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trlProps/ctrlProp2.xml" ContentType="application/vnd.ms-excel.controlproperties+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ctrlProps/ctrlProp3.xml" ContentType="application/vnd.ms-excel.controlproperties+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xampp\htdocs\gf_k13\assets\panduan\data_nilai\"/>
    </mc:Choice>
  </mc:AlternateContent>
  <bookViews>
    <workbookView xWindow="120" yWindow="90" windowWidth="15600" windowHeight="7170" firstSheet="25" activeTab="22"/>
  </bookViews>
  <sheets>
    <sheet name="MENU" sheetId="1" r:id="rId1"/>
    <sheet name="sampul" sheetId="40" r:id="rId2"/>
    <sheet name="KKM" sheetId="39" r:id="rId3"/>
    <sheet name="SISWA" sheetId="2" r:id="rId4"/>
    <sheet name="KI-1" sheetId="3" r:id="rId5"/>
    <sheet name="KI-2" sheetId="4" r:id="rId6"/>
    <sheet name="KI-3" sheetId="5" r:id="rId7"/>
    <sheet name="KI-4" sheetId="6" r:id="rId8"/>
    <sheet name="K-pkn" sheetId="7" r:id="rId9"/>
    <sheet name="P-pkn" sheetId="8" r:id="rId10"/>
    <sheet name="RAPOT" sheetId="9" state="hidden" r:id="rId11"/>
    <sheet name="fisik" sheetId="11" r:id="rId12"/>
    <sheet name="saran" sheetId="12" r:id="rId13"/>
    <sheet name="ekskul" sheetId="13" r:id="rId14"/>
    <sheet name="penget" sheetId="14" r:id="rId15"/>
    <sheet name="ketramp" sheetId="15" r:id="rId16"/>
    <sheet name="absen" sheetId="18" r:id="rId17"/>
    <sheet name="P-BI" sheetId="19" r:id="rId18"/>
    <sheet name="P MTK" sheetId="20" r:id="rId19"/>
    <sheet name="P-SBDP" sheetId="21" r:id="rId20"/>
    <sheet name="P-BJAWA" sheetId="22" r:id="rId21"/>
    <sheet name="P-PJOK" sheetId="23" r:id="rId22"/>
    <sheet name="K-BI" sheetId="25" r:id="rId23"/>
    <sheet name="K-MAT" sheetId="26" r:id="rId24"/>
    <sheet name="K-SBDP" sheetId="27" r:id="rId25"/>
    <sheet name="K-BJAWA" sheetId="28" r:id="rId26"/>
    <sheet name="K-PJOK" sheetId="29" r:id="rId27"/>
    <sheet name="KDKI-4" sheetId="31" r:id="rId28"/>
    <sheet name="KDKI-3" sheetId="32" r:id="rId29"/>
    <sheet name="P-IPA" sheetId="33" r:id="rId30"/>
    <sheet name="K-IPA" sheetId="34" r:id="rId31"/>
    <sheet name="P-IPS" sheetId="35" r:id="rId32"/>
    <sheet name="K-IPS" sheetId="36" r:id="rId33"/>
    <sheet name="rbaru" sheetId="37" r:id="rId34"/>
    <sheet name="lbaru" sheetId="38" state="hidden" r:id="rId35"/>
    <sheet name="LEGER" sheetId="10" state="hidden" r:id="rId36"/>
    <sheet name="JUK" sheetId="41" r:id="rId37"/>
  </sheets>
  <externalReferences>
    <externalReference r:id="rId38"/>
    <externalReference r:id="rId39"/>
  </externalReferences>
  <definedNames>
    <definedName name="A">saran!$B$5:$C$14</definedName>
    <definedName name="d">SISWA!$A$6:$AA$40</definedName>
    <definedName name="da">SISWA!$A$6:$AA$40</definedName>
    <definedName name="fisik">fisik!$A$6:$R$45</definedName>
    <definedName name="k">ekskul!$A$6:$Y$45</definedName>
    <definedName name="kul">ekskul!$A$6:$N$45</definedName>
    <definedName name="N">LEGER!$A$10:$AM$44</definedName>
    <definedName name="nilai">LEGER!$A$10:$AM$44</definedName>
    <definedName name="nilairapot">[1]leger!$A$10:$CG$41</definedName>
    <definedName name="p">absen!$A$6:$F$45</definedName>
    <definedName name="_xlnm.Print_Area" localSheetId="6">'KI-3'!$A$1:$AI$45</definedName>
    <definedName name="_xlnm.Print_Area" localSheetId="7">'KI-4'!$A$1:$AI$47</definedName>
    <definedName name="_xlnm.Print_Area" localSheetId="10">RAPOT!$A$1:$K$252</definedName>
    <definedName name="_xlnm.Print_Area" localSheetId="33">rbaru!$A$1:$M$96</definedName>
    <definedName name="_xlnm.Print_Area" localSheetId="1">sampul!$A$1:$K$147</definedName>
    <definedName name="s">saran!$A$18:$D$52</definedName>
    <definedName name="siswa">SISWA!$A$6:$D$40</definedName>
    <definedName name="x">lbaru!$A$10:$CM$49</definedName>
  </definedNames>
  <calcPr calcId="152511"/>
</workbook>
</file>

<file path=xl/calcChain.xml><?xml version="1.0" encoding="utf-8"?>
<calcChain xmlns="http://schemas.openxmlformats.org/spreadsheetml/2006/main">
  <c r="U9" i="22" l="1"/>
  <c r="V9" i="22"/>
  <c r="W9" i="22"/>
  <c r="X9" i="22"/>
  <c r="Y9" i="22"/>
  <c r="Z9" i="22"/>
  <c r="AA9" i="22"/>
  <c r="AB9" i="22"/>
  <c r="AC9" i="22"/>
  <c r="U10" i="22"/>
  <c r="V10" i="22"/>
  <c r="W10" i="22"/>
  <c r="X10" i="22"/>
  <c r="Y10" i="22"/>
  <c r="Z10" i="22"/>
  <c r="AA10" i="22"/>
  <c r="AB10" i="22"/>
  <c r="AC10" i="22"/>
  <c r="U11" i="22"/>
  <c r="V11" i="22"/>
  <c r="W11" i="22"/>
  <c r="X11" i="22"/>
  <c r="Y11" i="22"/>
  <c r="Z11" i="22"/>
  <c r="AA11" i="22"/>
  <c r="AB11" i="22"/>
  <c r="AC11" i="22"/>
  <c r="U12" i="22"/>
  <c r="V12" i="22"/>
  <c r="W12" i="22"/>
  <c r="X12" i="22"/>
  <c r="Y12" i="22"/>
  <c r="Z12" i="22"/>
  <c r="AA12" i="22"/>
  <c r="AB12" i="22"/>
  <c r="AC12" i="22"/>
  <c r="U13" i="22"/>
  <c r="V13" i="22"/>
  <c r="W13" i="22"/>
  <c r="X13" i="22"/>
  <c r="Y13" i="22"/>
  <c r="Z13" i="22"/>
  <c r="AA13" i="22"/>
  <c r="AB13" i="22"/>
  <c r="AC13" i="22"/>
  <c r="U14" i="22"/>
  <c r="V14" i="22"/>
  <c r="W14" i="22"/>
  <c r="X14" i="22"/>
  <c r="Y14" i="22"/>
  <c r="Z14" i="22"/>
  <c r="AA14" i="22"/>
  <c r="AB14" i="22"/>
  <c r="AC14" i="22"/>
  <c r="U15" i="22"/>
  <c r="V15" i="22"/>
  <c r="W15" i="22"/>
  <c r="X15" i="22"/>
  <c r="Y15" i="22"/>
  <c r="Z15" i="22"/>
  <c r="AA15" i="22"/>
  <c r="AB15" i="22"/>
  <c r="AC15" i="22"/>
  <c r="U16" i="22"/>
  <c r="V16" i="22"/>
  <c r="W16" i="22"/>
  <c r="X16" i="22"/>
  <c r="Y16" i="22"/>
  <c r="Z16" i="22"/>
  <c r="AA16" i="22"/>
  <c r="AB16" i="22"/>
  <c r="AC16" i="22"/>
  <c r="U17" i="22"/>
  <c r="V17" i="22"/>
  <c r="W17" i="22"/>
  <c r="X17" i="22"/>
  <c r="Y17" i="22"/>
  <c r="Z17" i="22"/>
  <c r="AA17" i="22"/>
  <c r="AB17" i="22"/>
  <c r="AC17" i="22"/>
  <c r="U18" i="22"/>
  <c r="V18" i="22"/>
  <c r="W18" i="22"/>
  <c r="X18" i="22"/>
  <c r="Y18" i="22"/>
  <c r="Z18" i="22"/>
  <c r="AA18" i="22"/>
  <c r="AB18" i="22"/>
  <c r="AC18" i="22"/>
  <c r="U19" i="22"/>
  <c r="V19" i="22"/>
  <c r="W19" i="22"/>
  <c r="X19" i="22"/>
  <c r="Y19" i="22"/>
  <c r="Z19" i="22"/>
  <c r="AA19" i="22"/>
  <c r="AB19" i="22"/>
  <c r="AC19" i="22"/>
  <c r="U20" i="22"/>
  <c r="V20" i="22"/>
  <c r="W20" i="22"/>
  <c r="X20" i="22"/>
  <c r="Y20" i="22"/>
  <c r="Z20" i="22"/>
  <c r="AA20" i="22"/>
  <c r="AB20" i="22"/>
  <c r="AC20" i="22"/>
  <c r="U21" i="22"/>
  <c r="V21" i="22"/>
  <c r="W21" i="22"/>
  <c r="X21" i="22"/>
  <c r="Y21" i="22"/>
  <c r="Z21" i="22"/>
  <c r="AA21" i="22"/>
  <c r="AB21" i="22"/>
  <c r="AC21" i="22"/>
  <c r="U22" i="22"/>
  <c r="V22" i="22"/>
  <c r="W22" i="22"/>
  <c r="X22" i="22"/>
  <c r="Y22" i="22"/>
  <c r="Z22" i="22"/>
  <c r="AA22" i="22"/>
  <c r="AB22" i="22"/>
  <c r="AC22" i="22"/>
  <c r="U23" i="22"/>
  <c r="V23" i="22"/>
  <c r="W23" i="22"/>
  <c r="X23" i="22"/>
  <c r="Y23" i="22"/>
  <c r="Z23" i="22"/>
  <c r="AA23" i="22"/>
  <c r="AB23" i="22"/>
  <c r="AC23" i="22"/>
  <c r="U24" i="22"/>
  <c r="V24" i="22"/>
  <c r="W24" i="22"/>
  <c r="X24" i="22"/>
  <c r="Y24" i="22"/>
  <c r="Z24" i="22"/>
  <c r="AA24" i="22"/>
  <c r="AB24" i="22"/>
  <c r="AC24" i="22"/>
  <c r="U25" i="22"/>
  <c r="V25" i="22"/>
  <c r="W25" i="22"/>
  <c r="X25" i="22"/>
  <c r="Y25" i="22"/>
  <c r="Z25" i="22"/>
  <c r="AA25" i="22"/>
  <c r="AB25" i="22"/>
  <c r="AC25" i="22"/>
  <c r="U26" i="22"/>
  <c r="V26" i="22"/>
  <c r="W26" i="22"/>
  <c r="X26" i="22"/>
  <c r="Y26" i="22"/>
  <c r="Z26" i="22"/>
  <c r="AA26" i="22"/>
  <c r="AB26" i="22"/>
  <c r="AC26" i="22"/>
  <c r="U27" i="22"/>
  <c r="V27" i="22"/>
  <c r="W27" i="22"/>
  <c r="X27" i="22"/>
  <c r="Y27" i="22"/>
  <c r="Z27" i="22"/>
  <c r="AA27" i="22"/>
  <c r="AB27" i="22"/>
  <c r="AC27" i="22"/>
  <c r="U28" i="22"/>
  <c r="V28" i="22"/>
  <c r="W28" i="22"/>
  <c r="X28" i="22"/>
  <c r="Y28" i="22"/>
  <c r="Z28" i="22"/>
  <c r="AA28" i="22"/>
  <c r="AB28" i="22"/>
  <c r="AC28" i="22"/>
  <c r="U29" i="22"/>
  <c r="V29" i="22"/>
  <c r="W29" i="22"/>
  <c r="X29" i="22"/>
  <c r="Y29" i="22"/>
  <c r="Z29" i="22"/>
  <c r="AA29" i="22"/>
  <c r="AB29" i="22"/>
  <c r="AC29" i="22"/>
  <c r="U30" i="22"/>
  <c r="V30" i="22"/>
  <c r="W30" i="22"/>
  <c r="X30" i="22"/>
  <c r="Y30" i="22"/>
  <c r="Z30" i="22"/>
  <c r="AA30" i="22"/>
  <c r="AB30" i="22"/>
  <c r="AC30" i="22"/>
  <c r="U31" i="22"/>
  <c r="V31" i="22"/>
  <c r="W31" i="22"/>
  <c r="X31" i="22"/>
  <c r="Y31" i="22"/>
  <c r="Z31" i="22"/>
  <c r="AA31" i="22"/>
  <c r="AB31" i="22"/>
  <c r="AC31" i="22"/>
  <c r="U32" i="22"/>
  <c r="V32" i="22"/>
  <c r="W32" i="22"/>
  <c r="X32" i="22"/>
  <c r="Y32" i="22"/>
  <c r="Z32" i="22"/>
  <c r="AA32" i="22"/>
  <c r="AB32" i="22"/>
  <c r="AC32" i="22"/>
  <c r="U33" i="22"/>
  <c r="V33" i="22"/>
  <c r="W33" i="22"/>
  <c r="X33" i="22"/>
  <c r="Y33" i="22"/>
  <c r="Z33" i="22"/>
  <c r="AA33" i="22"/>
  <c r="AB33" i="22"/>
  <c r="AC33" i="22"/>
  <c r="U34" i="22"/>
  <c r="V34" i="22"/>
  <c r="W34" i="22"/>
  <c r="X34" i="22"/>
  <c r="Y34" i="22"/>
  <c r="Z34" i="22"/>
  <c r="AA34" i="22"/>
  <c r="AB34" i="22"/>
  <c r="AC34" i="22"/>
  <c r="U35" i="22"/>
  <c r="V35" i="22"/>
  <c r="W35" i="22"/>
  <c r="X35" i="22"/>
  <c r="Y35" i="22"/>
  <c r="Z35" i="22"/>
  <c r="AA35" i="22"/>
  <c r="AB35" i="22"/>
  <c r="AC35" i="22"/>
  <c r="U36" i="22"/>
  <c r="V36" i="22"/>
  <c r="W36" i="22"/>
  <c r="X36" i="22"/>
  <c r="Y36" i="22"/>
  <c r="Z36" i="22"/>
  <c r="AA36" i="22"/>
  <c r="AB36" i="22"/>
  <c r="AC36" i="22"/>
  <c r="U37" i="22"/>
  <c r="V37" i="22"/>
  <c r="W37" i="22"/>
  <c r="X37" i="22"/>
  <c r="Y37" i="22"/>
  <c r="Z37" i="22"/>
  <c r="AA37" i="22"/>
  <c r="AB37" i="22"/>
  <c r="AC37" i="22"/>
  <c r="U38" i="22"/>
  <c r="V38" i="22"/>
  <c r="W38" i="22"/>
  <c r="X38" i="22"/>
  <c r="Y38" i="22"/>
  <c r="Z38" i="22"/>
  <c r="AA38" i="22"/>
  <c r="AB38" i="22"/>
  <c r="AC38" i="22"/>
  <c r="U39" i="22"/>
  <c r="V39" i="22"/>
  <c r="W39" i="22"/>
  <c r="X39" i="22"/>
  <c r="Y39" i="22"/>
  <c r="Z39" i="22"/>
  <c r="AA39" i="22"/>
  <c r="AB39" i="22"/>
  <c r="AC39" i="22"/>
  <c r="U40" i="22"/>
  <c r="V40" i="22"/>
  <c r="W40" i="22"/>
  <c r="X40" i="22"/>
  <c r="Y40" i="22"/>
  <c r="Z40" i="22"/>
  <c r="AA40" i="22"/>
  <c r="AB40" i="22"/>
  <c r="AC40" i="22"/>
  <c r="U41" i="22"/>
  <c r="V41" i="22"/>
  <c r="W41" i="22"/>
  <c r="X41" i="22"/>
  <c r="Y41" i="22"/>
  <c r="Z41" i="22"/>
  <c r="AA41" i="22"/>
  <c r="AB41" i="22"/>
  <c r="AC41" i="22"/>
  <c r="U42" i="22"/>
  <c r="V42" i="22"/>
  <c r="W42" i="22"/>
  <c r="X42" i="22"/>
  <c r="Y42" i="22"/>
  <c r="Z42" i="22"/>
  <c r="AA42" i="22"/>
  <c r="AB42" i="22"/>
  <c r="AC42" i="22"/>
  <c r="JC6" i="34"/>
  <c r="EV9" i="34"/>
  <c r="EW9" i="34"/>
  <c r="EX9" i="34"/>
  <c r="EY9" i="34"/>
  <c r="EZ9" i="34"/>
  <c r="FA9" i="34"/>
  <c r="FB9" i="34"/>
  <c r="FC9" i="34"/>
  <c r="HS9" i="34" s="1"/>
  <c r="FD9" i="34"/>
  <c r="HY9" i="34" s="1"/>
  <c r="FG9" i="34"/>
  <c r="FH9" i="34"/>
  <c r="FI9" i="34"/>
  <c r="FJ9" i="34"/>
  <c r="FK9" i="34"/>
  <c r="FL9" i="34"/>
  <c r="FM9" i="34"/>
  <c r="FN9" i="34"/>
  <c r="FO9" i="34"/>
  <c r="HZ9" i="34" s="1"/>
  <c r="FR9" i="34"/>
  <c r="FS9" i="34"/>
  <c r="FT9" i="34"/>
  <c r="FU9" i="34"/>
  <c r="FV9" i="34"/>
  <c r="FW9" i="34"/>
  <c r="FX9" i="34"/>
  <c r="FY9" i="34"/>
  <c r="HU9" i="34" s="1"/>
  <c r="FZ9" i="34"/>
  <c r="IA9" i="34" s="1"/>
  <c r="EV10" i="34"/>
  <c r="EW10" i="34"/>
  <c r="EX10" i="34"/>
  <c r="EY10" i="34"/>
  <c r="EZ10" i="34"/>
  <c r="FA10" i="34"/>
  <c r="FB10" i="34"/>
  <c r="FC10" i="34"/>
  <c r="HS10" i="34" s="1"/>
  <c r="FD10" i="34"/>
  <c r="FG10" i="34"/>
  <c r="FH10" i="34"/>
  <c r="FI10" i="34"/>
  <c r="FJ10" i="34"/>
  <c r="FK10" i="34"/>
  <c r="FL10" i="34"/>
  <c r="FM10" i="34"/>
  <c r="FN10" i="34"/>
  <c r="HT10" i="34" s="1"/>
  <c r="FO10" i="34"/>
  <c r="HZ10" i="34" s="1"/>
  <c r="FR10" i="34"/>
  <c r="FS10" i="34"/>
  <c r="FT10" i="34"/>
  <c r="FU10" i="34"/>
  <c r="FV10" i="34"/>
  <c r="FW10" i="34"/>
  <c r="FX10" i="34"/>
  <c r="FY10" i="34"/>
  <c r="HU10" i="34" s="1"/>
  <c r="FZ10" i="34"/>
  <c r="IA10" i="34" s="1"/>
  <c r="EV11" i="34"/>
  <c r="EW11" i="34"/>
  <c r="EX11" i="34"/>
  <c r="EY11" i="34"/>
  <c r="EZ11" i="34"/>
  <c r="FA11" i="34"/>
  <c r="FB11" i="34"/>
  <c r="FC11" i="34"/>
  <c r="HS11" i="34" s="1"/>
  <c r="FD11" i="34"/>
  <c r="HY11" i="34" s="1"/>
  <c r="FG11" i="34"/>
  <c r="FH11" i="34"/>
  <c r="FI11" i="34"/>
  <c r="FJ11" i="34"/>
  <c r="FK11" i="34"/>
  <c r="FL11" i="34"/>
  <c r="FM11" i="34"/>
  <c r="FN11" i="34"/>
  <c r="HT11" i="34" s="1"/>
  <c r="FO11" i="34"/>
  <c r="HZ11" i="34" s="1"/>
  <c r="FR11" i="34"/>
  <c r="FS11" i="34"/>
  <c r="FT11" i="34"/>
  <c r="FU11" i="34"/>
  <c r="FV11" i="34"/>
  <c r="FW11" i="34"/>
  <c r="FX11" i="34"/>
  <c r="FY11" i="34"/>
  <c r="HU11" i="34" s="1"/>
  <c r="FZ11" i="34"/>
  <c r="IA11" i="34" s="1"/>
  <c r="EV12" i="34"/>
  <c r="EW12" i="34"/>
  <c r="EX12" i="34"/>
  <c r="EY12" i="34"/>
  <c r="EZ12" i="34"/>
  <c r="FA12" i="34"/>
  <c r="FB12" i="34"/>
  <c r="FC12" i="34"/>
  <c r="HS12" i="34" s="1"/>
  <c r="FD12" i="34"/>
  <c r="HY12" i="34" s="1"/>
  <c r="FF12" i="34"/>
  <c r="FG12" i="34"/>
  <c r="FH12" i="34"/>
  <c r="FI12" i="34"/>
  <c r="FJ12" i="34"/>
  <c r="FK12" i="34"/>
  <c r="FL12" i="34"/>
  <c r="FM12" i="34"/>
  <c r="FN12" i="34"/>
  <c r="HT12" i="34" s="1"/>
  <c r="FO12" i="34"/>
  <c r="HZ12" i="34" s="1"/>
  <c r="FR12" i="34"/>
  <c r="FS12" i="34"/>
  <c r="FT12" i="34"/>
  <c r="FU12" i="34"/>
  <c r="FV12" i="34"/>
  <c r="FW12" i="34"/>
  <c r="FX12" i="34"/>
  <c r="FY12" i="34"/>
  <c r="HU12" i="34" s="1"/>
  <c r="FZ12" i="34"/>
  <c r="IA12" i="34" s="1"/>
  <c r="EV13" i="34"/>
  <c r="EW13" i="34"/>
  <c r="EX13" i="34"/>
  <c r="EY13" i="34"/>
  <c r="EZ13" i="34"/>
  <c r="FA13" i="34"/>
  <c r="FB13" i="34"/>
  <c r="FC13" i="34"/>
  <c r="HS13" i="34" s="1"/>
  <c r="FD13" i="34"/>
  <c r="HY13" i="34" s="1"/>
  <c r="FG13" i="34"/>
  <c r="FH13" i="34"/>
  <c r="FI13" i="34"/>
  <c r="FJ13" i="34"/>
  <c r="FK13" i="34"/>
  <c r="FL13" i="34"/>
  <c r="FM13" i="34"/>
  <c r="FN13" i="34"/>
  <c r="HT13" i="34" s="1"/>
  <c r="FO13" i="34"/>
  <c r="HZ13" i="34" s="1"/>
  <c r="FR13" i="34"/>
  <c r="FS13" i="34"/>
  <c r="FT13" i="34"/>
  <c r="FU13" i="34"/>
  <c r="FV13" i="34"/>
  <c r="FW13" i="34"/>
  <c r="FX13" i="34"/>
  <c r="FY13" i="34"/>
  <c r="HU13" i="34" s="1"/>
  <c r="FZ13" i="34"/>
  <c r="IA13" i="34" s="1"/>
  <c r="EV14" i="34"/>
  <c r="EW14" i="34"/>
  <c r="EX14" i="34"/>
  <c r="EY14" i="34"/>
  <c r="EZ14" i="34"/>
  <c r="FA14" i="34"/>
  <c r="FB14" i="34"/>
  <c r="FC14" i="34"/>
  <c r="HS14" i="34" s="1"/>
  <c r="FD14" i="34"/>
  <c r="HY14" i="34" s="1"/>
  <c r="FG14" i="34"/>
  <c r="FH14" i="34"/>
  <c r="FI14" i="34"/>
  <c r="FJ14" i="34"/>
  <c r="FK14" i="34"/>
  <c r="FL14" i="34"/>
  <c r="FM14" i="34"/>
  <c r="FN14" i="34"/>
  <c r="HT14" i="34" s="1"/>
  <c r="FO14" i="34"/>
  <c r="HZ14" i="34" s="1"/>
  <c r="FR14" i="34"/>
  <c r="FS14" i="34"/>
  <c r="FT14" i="34"/>
  <c r="FU14" i="34"/>
  <c r="FV14" i="34"/>
  <c r="FW14" i="34"/>
  <c r="FX14" i="34"/>
  <c r="FY14" i="34"/>
  <c r="HU14" i="34" s="1"/>
  <c r="FZ14" i="34"/>
  <c r="IA14" i="34" s="1"/>
  <c r="EV15" i="34"/>
  <c r="EW15" i="34"/>
  <c r="EX15" i="34"/>
  <c r="EY15" i="34"/>
  <c r="EZ15" i="34"/>
  <c r="FA15" i="34"/>
  <c r="FB15" i="34"/>
  <c r="FC15" i="34"/>
  <c r="HS15" i="34" s="1"/>
  <c r="FD15" i="34"/>
  <c r="HY15" i="34" s="1"/>
  <c r="FG15" i="34"/>
  <c r="FH15" i="34"/>
  <c r="FI15" i="34"/>
  <c r="FJ15" i="34"/>
  <c r="FK15" i="34"/>
  <c r="FL15" i="34"/>
  <c r="FM15" i="34"/>
  <c r="FN15" i="34"/>
  <c r="HT15" i="34" s="1"/>
  <c r="FO15" i="34"/>
  <c r="HZ15" i="34" s="1"/>
  <c r="FR15" i="34"/>
  <c r="FS15" i="34"/>
  <c r="FT15" i="34"/>
  <c r="FU15" i="34"/>
  <c r="FV15" i="34"/>
  <c r="FW15" i="34"/>
  <c r="FX15" i="34"/>
  <c r="FY15" i="34"/>
  <c r="HU15" i="34" s="1"/>
  <c r="FZ15" i="34"/>
  <c r="IA15" i="34" s="1"/>
  <c r="EV16" i="34"/>
  <c r="EW16" i="34"/>
  <c r="EX16" i="34"/>
  <c r="EY16" i="34"/>
  <c r="EZ16" i="34"/>
  <c r="FA16" i="34"/>
  <c r="FB16" i="34"/>
  <c r="FC16" i="34"/>
  <c r="HS16" i="34" s="1"/>
  <c r="FD16" i="34"/>
  <c r="HY16" i="34" s="1"/>
  <c r="FG16" i="34"/>
  <c r="FH16" i="34"/>
  <c r="FI16" i="34"/>
  <c r="FJ16" i="34"/>
  <c r="FK16" i="34"/>
  <c r="FL16" i="34"/>
  <c r="FM16" i="34"/>
  <c r="FN16" i="34"/>
  <c r="HT16" i="34" s="1"/>
  <c r="FO16" i="34"/>
  <c r="HZ16" i="34" s="1"/>
  <c r="FR16" i="34"/>
  <c r="FS16" i="34"/>
  <c r="FT16" i="34"/>
  <c r="FU16" i="34"/>
  <c r="FV16" i="34"/>
  <c r="FW16" i="34"/>
  <c r="FX16" i="34"/>
  <c r="FY16" i="34"/>
  <c r="HU16" i="34" s="1"/>
  <c r="FZ16" i="34"/>
  <c r="IA16" i="34" s="1"/>
  <c r="EV17" i="34"/>
  <c r="EW17" i="34"/>
  <c r="EX17" i="34"/>
  <c r="EY17" i="34"/>
  <c r="EZ17" i="34"/>
  <c r="FA17" i="34"/>
  <c r="FB17" i="34"/>
  <c r="FC17" i="34"/>
  <c r="HS17" i="34" s="1"/>
  <c r="FD17" i="34"/>
  <c r="HY17" i="34" s="1"/>
  <c r="FG17" i="34"/>
  <c r="FH17" i="34"/>
  <c r="FI17" i="34"/>
  <c r="FJ17" i="34"/>
  <c r="FK17" i="34"/>
  <c r="FL17" i="34"/>
  <c r="FM17" i="34"/>
  <c r="FN17" i="34"/>
  <c r="HT17" i="34" s="1"/>
  <c r="FO17" i="34"/>
  <c r="HZ17" i="34" s="1"/>
  <c r="FR17" i="34"/>
  <c r="FS17" i="34"/>
  <c r="FT17" i="34"/>
  <c r="FU17" i="34"/>
  <c r="FV17" i="34"/>
  <c r="FW17" i="34"/>
  <c r="FX17" i="34"/>
  <c r="FY17" i="34"/>
  <c r="HU17" i="34" s="1"/>
  <c r="FZ17" i="34"/>
  <c r="IA17" i="34" s="1"/>
  <c r="EV18" i="34"/>
  <c r="EW18" i="34"/>
  <c r="EX18" i="34"/>
  <c r="EY18" i="34"/>
  <c r="EZ18" i="34"/>
  <c r="FA18" i="34"/>
  <c r="FB18" i="34"/>
  <c r="FC18" i="34"/>
  <c r="HS18" i="34" s="1"/>
  <c r="FD18" i="34"/>
  <c r="HY18" i="34" s="1"/>
  <c r="FG18" i="34"/>
  <c r="FH18" i="34"/>
  <c r="FI18" i="34"/>
  <c r="FJ18" i="34"/>
  <c r="FK18" i="34"/>
  <c r="FL18" i="34"/>
  <c r="FM18" i="34"/>
  <c r="FN18" i="34"/>
  <c r="HT18" i="34" s="1"/>
  <c r="FO18" i="34"/>
  <c r="HZ18" i="34" s="1"/>
  <c r="FR18" i="34"/>
  <c r="FS18" i="34"/>
  <c r="FT18" i="34"/>
  <c r="FU18" i="34"/>
  <c r="FV18" i="34"/>
  <c r="FW18" i="34"/>
  <c r="FX18" i="34"/>
  <c r="FY18" i="34"/>
  <c r="HU18" i="34" s="1"/>
  <c r="FZ18" i="34"/>
  <c r="IA18" i="34" s="1"/>
  <c r="EV19" i="34"/>
  <c r="EW19" i="34"/>
  <c r="EX19" i="34"/>
  <c r="EY19" i="34"/>
  <c r="EZ19" i="34"/>
  <c r="FA19" i="34"/>
  <c r="FB19" i="34"/>
  <c r="FC19" i="34"/>
  <c r="HS19" i="34" s="1"/>
  <c r="FD19" i="34"/>
  <c r="HY19" i="34" s="1"/>
  <c r="FG19" i="34"/>
  <c r="FH19" i="34"/>
  <c r="FI19" i="34"/>
  <c r="FJ19" i="34"/>
  <c r="FK19" i="34"/>
  <c r="FL19" i="34"/>
  <c r="FM19" i="34"/>
  <c r="FN19" i="34"/>
  <c r="HT19" i="34" s="1"/>
  <c r="FO19" i="34"/>
  <c r="HZ19" i="34" s="1"/>
  <c r="FR19" i="34"/>
  <c r="FS19" i="34"/>
  <c r="FT19" i="34"/>
  <c r="FU19" i="34"/>
  <c r="FV19" i="34"/>
  <c r="FW19" i="34"/>
  <c r="FX19" i="34"/>
  <c r="FY19" i="34"/>
  <c r="HU19" i="34" s="1"/>
  <c r="FZ19" i="34"/>
  <c r="IA19" i="34" s="1"/>
  <c r="EV20" i="34"/>
  <c r="EW20" i="34"/>
  <c r="EX20" i="34"/>
  <c r="EY20" i="34"/>
  <c r="EZ20" i="34"/>
  <c r="FA20" i="34"/>
  <c r="FB20" i="34"/>
  <c r="FC20" i="34"/>
  <c r="HS20" i="34" s="1"/>
  <c r="FD20" i="34"/>
  <c r="HY20" i="34" s="1"/>
  <c r="FG20" i="34"/>
  <c r="FH20" i="34"/>
  <c r="FI20" i="34"/>
  <c r="FJ20" i="34"/>
  <c r="FK20" i="34"/>
  <c r="FL20" i="34"/>
  <c r="FM20" i="34"/>
  <c r="FN20" i="34"/>
  <c r="HT20" i="34" s="1"/>
  <c r="FO20" i="34"/>
  <c r="HZ20" i="34" s="1"/>
  <c r="FR20" i="34"/>
  <c r="FS20" i="34"/>
  <c r="FT20" i="34"/>
  <c r="FU20" i="34"/>
  <c r="FV20" i="34"/>
  <c r="FW20" i="34"/>
  <c r="FX20" i="34"/>
  <c r="FY20" i="34"/>
  <c r="HU20" i="34" s="1"/>
  <c r="FZ20" i="34"/>
  <c r="IA20" i="34" s="1"/>
  <c r="EV21" i="34"/>
  <c r="EW21" i="34"/>
  <c r="EX21" i="34"/>
  <c r="EY21" i="34"/>
  <c r="EZ21" i="34"/>
  <c r="FA21" i="34"/>
  <c r="FB21" i="34"/>
  <c r="FC21" i="34"/>
  <c r="HS21" i="34" s="1"/>
  <c r="FD21" i="34"/>
  <c r="HY21" i="34" s="1"/>
  <c r="FG21" i="34"/>
  <c r="FH21" i="34"/>
  <c r="FI21" i="34"/>
  <c r="FJ21" i="34"/>
  <c r="FK21" i="34"/>
  <c r="FL21" i="34"/>
  <c r="FM21" i="34"/>
  <c r="FN21" i="34"/>
  <c r="HT21" i="34" s="1"/>
  <c r="FO21" i="34"/>
  <c r="HZ21" i="34" s="1"/>
  <c r="FR21" i="34"/>
  <c r="FS21" i="34"/>
  <c r="FT21" i="34"/>
  <c r="FU21" i="34"/>
  <c r="FV21" i="34"/>
  <c r="FW21" i="34"/>
  <c r="FX21" i="34"/>
  <c r="FY21" i="34"/>
  <c r="HU21" i="34" s="1"/>
  <c r="FZ21" i="34"/>
  <c r="IA21" i="34" s="1"/>
  <c r="EV22" i="34"/>
  <c r="EW22" i="34"/>
  <c r="EX22" i="34"/>
  <c r="EY22" i="34"/>
  <c r="EZ22" i="34"/>
  <c r="FA22" i="34"/>
  <c r="FB22" i="34"/>
  <c r="FC22" i="34"/>
  <c r="HS22" i="34" s="1"/>
  <c r="FD22" i="34"/>
  <c r="HY22" i="34" s="1"/>
  <c r="FG22" i="34"/>
  <c r="FH22" i="34"/>
  <c r="FI22" i="34"/>
  <c r="FJ22" i="34"/>
  <c r="FK22" i="34"/>
  <c r="FL22" i="34"/>
  <c r="FM22" i="34"/>
  <c r="FN22" i="34"/>
  <c r="HT22" i="34" s="1"/>
  <c r="FO22" i="34"/>
  <c r="HZ22" i="34" s="1"/>
  <c r="FR22" i="34"/>
  <c r="FS22" i="34"/>
  <c r="FT22" i="34"/>
  <c r="FU22" i="34"/>
  <c r="FV22" i="34"/>
  <c r="FW22" i="34"/>
  <c r="FX22" i="34"/>
  <c r="FY22" i="34"/>
  <c r="HU22" i="34" s="1"/>
  <c r="FZ22" i="34"/>
  <c r="IA22" i="34" s="1"/>
  <c r="EV23" i="34"/>
  <c r="EW23" i="34"/>
  <c r="EX23" i="34"/>
  <c r="EY23" i="34"/>
  <c r="EZ23" i="34"/>
  <c r="FA23" i="34"/>
  <c r="FB23" i="34"/>
  <c r="FC23" i="34"/>
  <c r="HS23" i="34" s="1"/>
  <c r="FD23" i="34"/>
  <c r="HY23" i="34" s="1"/>
  <c r="FG23" i="34"/>
  <c r="FH23" i="34"/>
  <c r="FI23" i="34"/>
  <c r="FJ23" i="34"/>
  <c r="FK23" i="34"/>
  <c r="FL23" i="34"/>
  <c r="FM23" i="34"/>
  <c r="FN23" i="34"/>
  <c r="HT23" i="34" s="1"/>
  <c r="FO23" i="34"/>
  <c r="HZ23" i="34" s="1"/>
  <c r="FR23" i="34"/>
  <c r="FS23" i="34"/>
  <c r="FT23" i="34"/>
  <c r="FU23" i="34"/>
  <c r="FV23" i="34"/>
  <c r="FW23" i="34"/>
  <c r="FX23" i="34"/>
  <c r="FY23" i="34"/>
  <c r="HU23" i="34" s="1"/>
  <c r="FZ23" i="34"/>
  <c r="IA23" i="34" s="1"/>
  <c r="EV24" i="34"/>
  <c r="EW24" i="34"/>
  <c r="EX24" i="34"/>
  <c r="EY24" i="34"/>
  <c r="EZ24" i="34"/>
  <c r="FA24" i="34"/>
  <c r="FB24" i="34"/>
  <c r="FC24" i="34"/>
  <c r="HS24" i="34" s="1"/>
  <c r="FD24" i="34"/>
  <c r="HY24" i="34" s="1"/>
  <c r="FG24" i="34"/>
  <c r="FH24" i="34"/>
  <c r="FI24" i="34"/>
  <c r="FJ24" i="34"/>
  <c r="FK24" i="34"/>
  <c r="FL24" i="34"/>
  <c r="FM24" i="34"/>
  <c r="FN24" i="34"/>
  <c r="HT24" i="34" s="1"/>
  <c r="FO24" i="34"/>
  <c r="HZ24" i="34" s="1"/>
  <c r="FR24" i="34"/>
  <c r="FS24" i="34"/>
  <c r="FT24" i="34"/>
  <c r="FU24" i="34"/>
  <c r="FV24" i="34"/>
  <c r="FW24" i="34"/>
  <c r="FX24" i="34"/>
  <c r="FY24" i="34"/>
  <c r="HU24" i="34" s="1"/>
  <c r="FZ24" i="34"/>
  <c r="IA24" i="34" s="1"/>
  <c r="EV25" i="34"/>
  <c r="EW25" i="34"/>
  <c r="EX25" i="34"/>
  <c r="EY25" i="34"/>
  <c r="EZ25" i="34"/>
  <c r="FA25" i="34"/>
  <c r="FB25" i="34"/>
  <c r="FC25" i="34"/>
  <c r="HS25" i="34" s="1"/>
  <c r="FD25" i="34"/>
  <c r="HY25" i="34" s="1"/>
  <c r="FG25" i="34"/>
  <c r="FH25" i="34"/>
  <c r="FI25" i="34"/>
  <c r="FJ25" i="34"/>
  <c r="FK25" i="34"/>
  <c r="FL25" i="34"/>
  <c r="FM25" i="34"/>
  <c r="FN25" i="34"/>
  <c r="HT25" i="34" s="1"/>
  <c r="FO25" i="34"/>
  <c r="HZ25" i="34" s="1"/>
  <c r="FR25" i="34"/>
  <c r="FS25" i="34"/>
  <c r="FT25" i="34"/>
  <c r="FU25" i="34"/>
  <c r="FV25" i="34"/>
  <c r="FW25" i="34"/>
  <c r="FX25" i="34"/>
  <c r="FY25" i="34"/>
  <c r="HU25" i="34" s="1"/>
  <c r="FZ25" i="34"/>
  <c r="IA25" i="34" s="1"/>
  <c r="EV26" i="34"/>
  <c r="EW26" i="34"/>
  <c r="EX26" i="34"/>
  <c r="EY26" i="34"/>
  <c r="EZ26" i="34"/>
  <c r="FA26" i="34"/>
  <c r="FB26" i="34"/>
  <c r="FC26" i="34"/>
  <c r="HS26" i="34" s="1"/>
  <c r="FD26" i="34"/>
  <c r="HY26" i="34" s="1"/>
  <c r="FG26" i="34"/>
  <c r="FH26" i="34"/>
  <c r="FI26" i="34"/>
  <c r="FJ26" i="34"/>
  <c r="FK26" i="34"/>
  <c r="FL26" i="34"/>
  <c r="FM26" i="34"/>
  <c r="FN26" i="34"/>
  <c r="HT26" i="34" s="1"/>
  <c r="FO26" i="34"/>
  <c r="HZ26" i="34" s="1"/>
  <c r="FR26" i="34"/>
  <c r="FS26" i="34"/>
  <c r="FT26" i="34"/>
  <c r="FU26" i="34"/>
  <c r="FV26" i="34"/>
  <c r="FW26" i="34"/>
  <c r="FX26" i="34"/>
  <c r="FY26" i="34"/>
  <c r="HU26" i="34" s="1"/>
  <c r="FZ26" i="34"/>
  <c r="IA26" i="34" s="1"/>
  <c r="IB26" i="34" s="1"/>
  <c r="IC26" i="34" s="1"/>
  <c r="EV27" i="34"/>
  <c r="EW27" i="34"/>
  <c r="EX27" i="34"/>
  <c r="EY27" i="34"/>
  <c r="EZ27" i="34"/>
  <c r="FA27" i="34"/>
  <c r="FB27" i="34"/>
  <c r="FC27" i="34"/>
  <c r="HS27" i="34" s="1"/>
  <c r="FD27" i="34"/>
  <c r="HY27" i="34" s="1"/>
  <c r="FG27" i="34"/>
  <c r="FH27" i="34"/>
  <c r="FI27" i="34"/>
  <c r="FJ27" i="34"/>
  <c r="FK27" i="34"/>
  <c r="FL27" i="34"/>
  <c r="FM27" i="34"/>
  <c r="FN27" i="34"/>
  <c r="HT27" i="34" s="1"/>
  <c r="FO27" i="34"/>
  <c r="HZ27" i="34" s="1"/>
  <c r="FR27" i="34"/>
  <c r="FS27" i="34"/>
  <c r="FT27" i="34"/>
  <c r="FU27" i="34"/>
  <c r="FV27" i="34"/>
  <c r="FW27" i="34"/>
  <c r="FX27" i="34"/>
  <c r="FY27" i="34"/>
  <c r="HU27" i="34" s="1"/>
  <c r="FZ27" i="34"/>
  <c r="IA27" i="34" s="1"/>
  <c r="EV28" i="34"/>
  <c r="EW28" i="34"/>
  <c r="EX28" i="34"/>
  <c r="EY28" i="34"/>
  <c r="EZ28" i="34"/>
  <c r="FA28" i="34"/>
  <c r="FB28" i="34"/>
  <c r="FC28" i="34"/>
  <c r="HS28" i="34" s="1"/>
  <c r="FD28" i="34"/>
  <c r="HY28" i="34" s="1"/>
  <c r="FG28" i="34"/>
  <c r="FH28" i="34"/>
  <c r="FI28" i="34"/>
  <c r="FJ28" i="34"/>
  <c r="FK28" i="34"/>
  <c r="FL28" i="34"/>
  <c r="FM28" i="34"/>
  <c r="FN28" i="34"/>
  <c r="HT28" i="34" s="1"/>
  <c r="FO28" i="34"/>
  <c r="HZ28" i="34" s="1"/>
  <c r="FR28" i="34"/>
  <c r="FS28" i="34"/>
  <c r="FT28" i="34"/>
  <c r="FU28" i="34"/>
  <c r="FV28" i="34"/>
  <c r="FW28" i="34"/>
  <c r="FX28" i="34"/>
  <c r="FY28" i="34"/>
  <c r="HU28" i="34" s="1"/>
  <c r="FZ28" i="34"/>
  <c r="IA28" i="34" s="1"/>
  <c r="EV29" i="34"/>
  <c r="EW29" i="34"/>
  <c r="EX29" i="34"/>
  <c r="EY29" i="34"/>
  <c r="EZ29" i="34"/>
  <c r="FA29" i="34"/>
  <c r="FB29" i="34"/>
  <c r="FC29" i="34"/>
  <c r="HS29" i="34" s="1"/>
  <c r="FD29" i="34"/>
  <c r="HY29" i="34" s="1"/>
  <c r="FG29" i="34"/>
  <c r="FH29" i="34"/>
  <c r="FI29" i="34"/>
  <c r="FJ29" i="34"/>
  <c r="FK29" i="34"/>
  <c r="FL29" i="34"/>
  <c r="FM29" i="34"/>
  <c r="FN29" i="34"/>
  <c r="HT29" i="34" s="1"/>
  <c r="FO29" i="34"/>
  <c r="HZ29" i="34" s="1"/>
  <c r="FR29" i="34"/>
  <c r="FS29" i="34"/>
  <c r="FT29" i="34"/>
  <c r="FU29" i="34"/>
  <c r="FV29" i="34"/>
  <c r="FW29" i="34"/>
  <c r="FX29" i="34"/>
  <c r="FY29" i="34"/>
  <c r="HU29" i="34" s="1"/>
  <c r="FZ29" i="34"/>
  <c r="IA29" i="34" s="1"/>
  <c r="EV30" i="34"/>
  <c r="EW30" i="34"/>
  <c r="EX30" i="34"/>
  <c r="EY30" i="34"/>
  <c r="EZ30" i="34"/>
  <c r="FA30" i="34"/>
  <c r="FB30" i="34"/>
  <c r="FC30" i="34"/>
  <c r="HS30" i="34" s="1"/>
  <c r="FD30" i="34"/>
  <c r="HY30" i="34" s="1"/>
  <c r="FG30" i="34"/>
  <c r="FH30" i="34"/>
  <c r="FI30" i="34"/>
  <c r="FJ30" i="34"/>
  <c r="FK30" i="34"/>
  <c r="FL30" i="34"/>
  <c r="FM30" i="34"/>
  <c r="FN30" i="34"/>
  <c r="HT30" i="34" s="1"/>
  <c r="FO30" i="34"/>
  <c r="HZ30" i="34" s="1"/>
  <c r="FR30" i="34"/>
  <c r="FS30" i="34"/>
  <c r="FT30" i="34"/>
  <c r="FU30" i="34"/>
  <c r="FV30" i="34"/>
  <c r="FW30" i="34"/>
  <c r="FX30" i="34"/>
  <c r="FY30" i="34"/>
  <c r="HU30" i="34" s="1"/>
  <c r="FZ30" i="34"/>
  <c r="IA30" i="34" s="1"/>
  <c r="EV31" i="34"/>
  <c r="EW31" i="34"/>
  <c r="EX31" i="34"/>
  <c r="EY31" i="34"/>
  <c r="EZ31" i="34"/>
  <c r="FA31" i="34"/>
  <c r="FB31" i="34"/>
  <c r="FC31" i="34"/>
  <c r="HS31" i="34" s="1"/>
  <c r="FD31" i="34"/>
  <c r="HY31" i="34" s="1"/>
  <c r="FG31" i="34"/>
  <c r="FH31" i="34"/>
  <c r="FI31" i="34"/>
  <c r="FJ31" i="34"/>
  <c r="FK31" i="34"/>
  <c r="FL31" i="34"/>
  <c r="FM31" i="34"/>
  <c r="FN31" i="34"/>
  <c r="HT31" i="34" s="1"/>
  <c r="FO31" i="34"/>
  <c r="HZ31" i="34" s="1"/>
  <c r="FR31" i="34"/>
  <c r="FS31" i="34"/>
  <c r="FT31" i="34"/>
  <c r="FU31" i="34"/>
  <c r="FV31" i="34"/>
  <c r="FW31" i="34"/>
  <c r="FX31" i="34"/>
  <c r="FY31" i="34"/>
  <c r="HU31" i="34" s="1"/>
  <c r="FZ31" i="34"/>
  <c r="IA31" i="34" s="1"/>
  <c r="EV32" i="34"/>
  <c r="EW32" i="34"/>
  <c r="EX32" i="34"/>
  <c r="EY32" i="34"/>
  <c r="EZ32" i="34"/>
  <c r="FA32" i="34"/>
  <c r="FB32" i="34"/>
  <c r="FC32" i="34"/>
  <c r="HS32" i="34" s="1"/>
  <c r="FD32" i="34"/>
  <c r="HY32" i="34" s="1"/>
  <c r="FG32" i="34"/>
  <c r="FH32" i="34"/>
  <c r="FI32" i="34"/>
  <c r="FJ32" i="34"/>
  <c r="FK32" i="34"/>
  <c r="FL32" i="34"/>
  <c r="FM32" i="34"/>
  <c r="FN32" i="34"/>
  <c r="HT32" i="34" s="1"/>
  <c r="FO32" i="34"/>
  <c r="HZ32" i="34" s="1"/>
  <c r="FR32" i="34"/>
  <c r="FS32" i="34"/>
  <c r="FT32" i="34"/>
  <c r="FU32" i="34"/>
  <c r="FV32" i="34"/>
  <c r="FW32" i="34"/>
  <c r="FX32" i="34"/>
  <c r="FY32" i="34"/>
  <c r="HU32" i="34" s="1"/>
  <c r="FZ32" i="34"/>
  <c r="IA32" i="34" s="1"/>
  <c r="EV33" i="34"/>
  <c r="EW33" i="34"/>
  <c r="EX33" i="34"/>
  <c r="EY33" i="34"/>
  <c r="EZ33" i="34"/>
  <c r="FA33" i="34"/>
  <c r="FB33" i="34"/>
  <c r="FC33" i="34"/>
  <c r="HS33" i="34" s="1"/>
  <c r="FD33" i="34"/>
  <c r="HY33" i="34" s="1"/>
  <c r="FG33" i="34"/>
  <c r="FH33" i="34"/>
  <c r="FI33" i="34"/>
  <c r="FJ33" i="34"/>
  <c r="FK33" i="34"/>
  <c r="FL33" i="34"/>
  <c r="FM33" i="34"/>
  <c r="FN33" i="34"/>
  <c r="HT33" i="34" s="1"/>
  <c r="FO33" i="34"/>
  <c r="HZ33" i="34" s="1"/>
  <c r="FR33" i="34"/>
  <c r="FS33" i="34"/>
  <c r="FT33" i="34"/>
  <c r="FU33" i="34"/>
  <c r="FV33" i="34"/>
  <c r="FW33" i="34"/>
  <c r="FX33" i="34"/>
  <c r="FY33" i="34"/>
  <c r="HU33" i="34" s="1"/>
  <c r="FZ33" i="34"/>
  <c r="IA33" i="34" s="1"/>
  <c r="EV34" i="34"/>
  <c r="EW34" i="34"/>
  <c r="EX34" i="34"/>
  <c r="EY34" i="34"/>
  <c r="EZ34" i="34"/>
  <c r="FA34" i="34"/>
  <c r="FB34" i="34"/>
  <c r="FC34" i="34"/>
  <c r="HS34" i="34" s="1"/>
  <c r="FD34" i="34"/>
  <c r="HY34" i="34" s="1"/>
  <c r="FG34" i="34"/>
  <c r="FH34" i="34"/>
  <c r="FI34" i="34"/>
  <c r="FJ34" i="34"/>
  <c r="FK34" i="34"/>
  <c r="FL34" i="34"/>
  <c r="FM34" i="34"/>
  <c r="FN34" i="34"/>
  <c r="HT34" i="34" s="1"/>
  <c r="FO34" i="34"/>
  <c r="HZ34" i="34" s="1"/>
  <c r="FR34" i="34"/>
  <c r="FS34" i="34"/>
  <c r="FT34" i="34"/>
  <c r="FU34" i="34"/>
  <c r="FV34" i="34"/>
  <c r="FW34" i="34"/>
  <c r="FX34" i="34"/>
  <c r="FY34" i="34"/>
  <c r="HU34" i="34" s="1"/>
  <c r="FZ34" i="34"/>
  <c r="IA34" i="34" s="1"/>
  <c r="EV35" i="34"/>
  <c r="EW35" i="34"/>
  <c r="EX35" i="34"/>
  <c r="EY35" i="34"/>
  <c r="EZ35" i="34"/>
  <c r="FA35" i="34"/>
  <c r="FB35" i="34"/>
  <c r="FC35" i="34"/>
  <c r="HS35" i="34" s="1"/>
  <c r="FD35" i="34"/>
  <c r="HY35" i="34" s="1"/>
  <c r="FG35" i="34"/>
  <c r="FH35" i="34"/>
  <c r="FI35" i="34"/>
  <c r="FJ35" i="34"/>
  <c r="FK35" i="34"/>
  <c r="FL35" i="34"/>
  <c r="FM35" i="34"/>
  <c r="FN35" i="34"/>
  <c r="HT35" i="34" s="1"/>
  <c r="FO35" i="34"/>
  <c r="HZ35" i="34" s="1"/>
  <c r="FR35" i="34"/>
  <c r="FS35" i="34"/>
  <c r="FT35" i="34"/>
  <c r="FU35" i="34"/>
  <c r="FV35" i="34"/>
  <c r="FW35" i="34"/>
  <c r="FX35" i="34"/>
  <c r="FY35" i="34"/>
  <c r="HU35" i="34" s="1"/>
  <c r="FZ35" i="34"/>
  <c r="IA35" i="34" s="1"/>
  <c r="EV36" i="34"/>
  <c r="EW36" i="34"/>
  <c r="EX36" i="34"/>
  <c r="EY36" i="34"/>
  <c r="EZ36" i="34"/>
  <c r="FA36" i="34"/>
  <c r="FB36" i="34"/>
  <c r="FC36" i="34"/>
  <c r="HS36" i="34" s="1"/>
  <c r="FD36" i="34"/>
  <c r="HY36" i="34" s="1"/>
  <c r="FG36" i="34"/>
  <c r="FH36" i="34"/>
  <c r="FI36" i="34"/>
  <c r="FJ36" i="34"/>
  <c r="FK36" i="34"/>
  <c r="FL36" i="34"/>
  <c r="FM36" i="34"/>
  <c r="FN36" i="34"/>
  <c r="HT36" i="34" s="1"/>
  <c r="FO36" i="34"/>
  <c r="HZ36" i="34" s="1"/>
  <c r="FR36" i="34"/>
  <c r="FS36" i="34"/>
  <c r="FT36" i="34"/>
  <c r="FU36" i="34"/>
  <c r="FV36" i="34"/>
  <c r="FW36" i="34"/>
  <c r="FX36" i="34"/>
  <c r="FY36" i="34"/>
  <c r="HU36" i="34" s="1"/>
  <c r="FZ36" i="34"/>
  <c r="IA36" i="34" s="1"/>
  <c r="EV37" i="34"/>
  <c r="EW37" i="34"/>
  <c r="EX37" i="34"/>
  <c r="EY37" i="34"/>
  <c r="EZ37" i="34"/>
  <c r="FA37" i="34"/>
  <c r="FB37" i="34"/>
  <c r="FC37" i="34"/>
  <c r="HS37" i="34" s="1"/>
  <c r="FD37" i="34"/>
  <c r="HY37" i="34" s="1"/>
  <c r="FG37" i="34"/>
  <c r="FH37" i="34"/>
  <c r="FI37" i="34"/>
  <c r="FJ37" i="34"/>
  <c r="FK37" i="34"/>
  <c r="FL37" i="34"/>
  <c r="FM37" i="34"/>
  <c r="FN37" i="34"/>
  <c r="HT37" i="34" s="1"/>
  <c r="FO37" i="34"/>
  <c r="HZ37" i="34" s="1"/>
  <c r="FR37" i="34"/>
  <c r="FS37" i="34"/>
  <c r="FT37" i="34"/>
  <c r="FU37" i="34"/>
  <c r="FV37" i="34"/>
  <c r="FW37" i="34"/>
  <c r="FX37" i="34"/>
  <c r="FY37" i="34"/>
  <c r="HU37" i="34" s="1"/>
  <c r="FZ37" i="34"/>
  <c r="IA37" i="34" s="1"/>
  <c r="EV38" i="34"/>
  <c r="EW38" i="34"/>
  <c r="EX38" i="34"/>
  <c r="EY38" i="34"/>
  <c r="EZ38" i="34"/>
  <c r="FA38" i="34"/>
  <c r="FB38" i="34"/>
  <c r="FC38" i="34"/>
  <c r="HS38" i="34" s="1"/>
  <c r="FD38" i="34"/>
  <c r="HY38" i="34" s="1"/>
  <c r="FG38" i="34"/>
  <c r="FH38" i="34"/>
  <c r="FI38" i="34"/>
  <c r="FJ38" i="34"/>
  <c r="FK38" i="34"/>
  <c r="FL38" i="34"/>
  <c r="FM38" i="34"/>
  <c r="FN38" i="34"/>
  <c r="HT38" i="34" s="1"/>
  <c r="FO38" i="34"/>
  <c r="HZ38" i="34" s="1"/>
  <c r="FR38" i="34"/>
  <c r="FS38" i="34"/>
  <c r="FT38" i="34"/>
  <c r="FU38" i="34"/>
  <c r="FV38" i="34"/>
  <c r="FW38" i="34"/>
  <c r="FX38" i="34"/>
  <c r="FY38" i="34"/>
  <c r="HU38" i="34" s="1"/>
  <c r="FZ38" i="34"/>
  <c r="IA38" i="34" s="1"/>
  <c r="EV39" i="34"/>
  <c r="EW39" i="34"/>
  <c r="EX39" i="34"/>
  <c r="EY39" i="34"/>
  <c r="EZ39" i="34"/>
  <c r="FA39" i="34"/>
  <c r="FB39" i="34"/>
  <c r="FC39" i="34"/>
  <c r="HS39" i="34" s="1"/>
  <c r="FD39" i="34"/>
  <c r="HY39" i="34" s="1"/>
  <c r="FG39" i="34"/>
  <c r="FH39" i="34"/>
  <c r="FI39" i="34"/>
  <c r="FJ39" i="34"/>
  <c r="FK39" i="34"/>
  <c r="FL39" i="34"/>
  <c r="FM39" i="34"/>
  <c r="FN39" i="34"/>
  <c r="HT39" i="34" s="1"/>
  <c r="FO39" i="34"/>
  <c r="HZ39" i="34" s="1"/>
  <c r="FR39" i="34"/>
  <c r="FS39" i="34"/>
  <c r="FT39" i="34"/>
  <c r="FU39" i="34"/>
  <c r="FV39" i="34"/>
  <c r="FW39" i="34"/>
  <c r="FX39" i="34"/>
  <c r="FY39" i="34"/>
  <c r="HU39" i="34" s="1"/>
  <c r="FZ39" i="34"/>
  <c r="IA39" i="34" s="1"/>
  <c r="EV40" i="34"/>
  <c r="EW40" i="34"/>
  <c r="EX40" i="34"/>
  <c r="EY40" i="34"/>
  <c r="EZ40" i="34"/>
  <c r="FA40" i="34"/>
  <c r="FB40" i="34"/>
  <c r="FC40" i="34"/>
  <c r="HS40" i="34" s="1"/>
  <c r="FD40" i="34"/>
  <c r="HY40" i="34" s="1"/>
  <c r="FG40" i="34"/>
  <c r="FH40" i="34"/>
  <c r="FI40" i="34"/>
  <c r="FJ40" i="34"/>
  <c r="FK40" i="34"/>
  <c r="FL40" i="34"/>
  <c r="FM40" i="34"/>
  <c r="FN40" i="34"/>
  <c r="HT40" i="34" s="1"/>
  <c r="FO40" i="34"/>
  <c r="HZ40" i="34" s="1"/>
  <c r="FR40" i="34"/>
  <c r="FS40" i="34"/>
  <c r="FT40" i="34"/>
  <c r="FU40" i="34"/>
  <c r="FV40" i="34"/>
  <c r="FW40" i="34"/>
  <c r="FX40" i="34"/>
  <c r="FY40" i="34"/>
  <c r="HU40" i="34" s="1"/>
  <c r="FZ40" i="34"/>
  <c r="IA40" i="34" s="1"/>
  <c r="EV41" i="34"/>
  <c r="EW41" i="34"/>
  <c r="EX41" i="34"/>
  <c r="EY41" i="34"/>
  <c r="EZ41" i="34"/>
  <c r="FA41" i="34"/>
  <c r="FB41" i="34"/>
  <c r="FC41" i="34"/>
  <c r="HS41" i="34" s="1"/>
  <c r="FD41" i="34"/>
  <c r="HY41" i="34" s="1"/>
  <c r="FG41" i="34"/>
  <c r="FH41" i="34"/>
  <c r="FI41" i="34"/>
  <c r="FJ41" i="34"/>
  <c r="FK41" i="34"/>
  <c r="FL41" i="34"/>
  <c r="FM41" i="34"/>
  <c r="FN41" i="34"/>
  <c r="HT41" i="34" s="1"/>
  <c r="FO41" i="34"/>
  <c r="HZ41" i="34" s="1"/>
  <c r="FR41" i="34"/>
  <c r="FS41" i="34"/>
  <c r="FT41" i="34"/>
  <c r="FU41" i="34"/>
  <c r="FV41" i="34"/>
  <c r="FW41" i="34"/>
  <c r="FX41" i="34"/>
  <c r="FY41" i="34"/>
  <c r="HU41" i="34" s="1"/>
  <c r="FZ41" i="34"/>
  <c r="IA41" i="34" s="1"/>
  <c r="EV42" i="34"/>
  <c r="EW42" i="34"/>
  <c r="EX42" i="34"/>
  <c r="EY42" i="34"/>
  <c r="EZ42" i="34"/>
  <c r="FA42" i="34"/>
  <c r="FB42" i="34"/>
  <c r="FC42" i="34"/>
  <c r="HS42" i="34" s="1"/>
  <c r="FD42" i="34"/>
  <c r="HY42" i="34" s="1"/>
  <c r="FG42" i="34"/>
  <c r="FH42" i="34"/>
  <c r="FI42" i="34"/>
  <c r="FJ42" i="34"/>
  <c r="FK42" i="34"/>
  <c r="FL42" i="34"/>
  <c r="FM42" i="34"/>
  <c r="FN42" i="34"/>
  <c r="HT42" i="34" s="1"/>
  <c r="FO42" i="34"/>
  <c r="HZ42" i="34" s="1"/>
  <c r="FR42" i="34"/>
  <c r="FS42" i="34"/>
  <c r="FT42" i="34"/>
  <c r="FU42" i="34"/>
  <c r="FV42" i="34"/>
  <c r="FW42" i="34"/>
  <c r="FX42" i="34"/>
  <c r="FY42" i="34"/>
  <c r="HU42" i="34" s="1"/>
  <c r="FZ42" i="34"/>
  <c r="IA42" i="34" s="1"/>
  <c r="FY8" i="34"/>
  <c r="HU8" i="34" s="1"/>
  <c r="FZ8" i="34"/>
  <c r="IA8" i="34" s="1"/>
  <c r="FN8" i="34"/>
  <c r="HT8" i="34" s="1"/>
  <c r="FO8" i="34"/>
  <c r="HZ8" i="34" s="1"/>
  <c r="FD8" i="34"/>
  <c r="HY8" i="34" s="1"/>
  <c r="FC8" i="34"/>
  <c r="HS8" i="34" s="1"/>
  <c r="FB8" i="34"/>
  <c r="B53" i="34"/>
  <c r="JB6" i="34" s="1"/>
  <c r="JQ6" i="34" s="1"/>
  <c r="A53" i="34"/>
  <c r="K7" i="34" s="1"/>
  <c r="T7" i="34" s="1"/>
  <c r="AC7" i="34" s="1"/>
  <c r="AL7" i="34" s="1"/>
  <c r="AU7" i="34" s="1"/>
  <c r="BD7" i="34" s="1"/>
  <c r="BM7" i="34" s="1"/>
  <c r="BV7" i="34" s="1"/>
  <c r="CE7" i="34" s="1"/>
  <c r="CN7" i="34" s="1"/>
  <c r="CW7" i="34" s="1"/>
  <c r="DF7" i="34" s="1"/>
  <c r="FF24" i="34" l="1"/>
  <c r="HV12" i="34"/>
  <c r="HW12" i="34" s="1"/>
  <c r="HV41" i="34"/>
  <c r="HW41" i="34" s="1"/>
  <c r="FF40" i="34"/>
  <c r="FF36" i="34"/>
  <c r="FF32" i="34"/>
  <c r="FF28" i="34"/>
  <c r="FQ38" i="34"/>
  <c r="FQ34" i="34"/>
  <c r="HV32" i="34"/>
  <c r="HW32" i="34" s="1"/>
  <c r="FQ30" i="34"/>
  <c r="HV28" i="34"/>
  <c r="HW28" i="34" s="1"/>
  <c r="FQ26" i="34"/>
  <c r="HV24" i="34"/>
  <c r="HW24" i="34" s="1"/>
  <c r="HV20" i="34"/>
  <c r="HW20" i="34" s="1"/>
  <c r="HV16" i="34"/>
  <c r="HW16" i="34" s="1"/>
  <c r="HV11" i="34"/>
  <c r="HW11" i="34" s="1"/>
  <c r="FF20" i="34"/>
  <c r="FF16" i="34"/>
  <c r="FF9" i="34"/>
  <c r="FQ22" i="34"/>
  <c r="FQ18" i="34"/>
  <c r="FQ14" i="34"/>
  <c r="HV39" i="34"/>
  <c r="HW39" i="34" s="1"/>
  <c r="HV37" i="34"/>
  <c r="HW37" i="34" s="1"/>
  <c r="IB8" i="34"/>
  <c r="IC8" i="34" s="1"/>
  <c r="HV8" i="34"/>
  <c r="HW8" i="34" s="1"/>
  <c r="HV35" i="34"/>
  <c r="HW35" i="34" s="1"/>
  <c r="HV33" i="34"/>
  <c r="HW33" i="34" s="1"/>
  <c r="FQ40" i="34"/>
  <c r="FQ39" i="34"/>
  <c r="HV38" i="34"/>
  <c r="HW38" i="34" s="1"/>
  <c r="FF37" i="34"/>
  <c r="FQ36" i="34"/>
  <c r="FQ35" i="34"/>
  <c r="HV34" i="34"/>
  <c r="HW34" i="34" s="1"/>
  <c r="FF33" i="34"/>
  <c r="FQ32" i="34"/>
  <c r="FQ31" i="34"/>
  <c r="HV31" i="34"/>
  <c r="HW31" i="34" s="1"/>
  <c r="HV30" i="34"/>
  <c r="HW30" i="34" s="1"/>
  <c r="FF29" i="34"/>
  <c r="FQ28" i="34"/>
  <c r="FQ27" i="34"/>
  <c r="HV27" i="34"/>
  <c r="HW27" i="34" s="1"/>
  <c r="HV26" i="34"/>
  <c r="HW26" i="34" s="1"/>
  <c r="FF25" i="34"/>
  <c r="FQ24" i="34"/>
  <c r="FQ23" i="34"/>
  <c r="HV23" i="34"/>
  <c r="HW23" i="34" s="1"/>
  <c r="HV22" i="34"/>
  <c r="HW22" i="34" s="1"/>
  <c r="FF21" i="34"/>
  <c r="FQ20" i="34"/>
  <c r="FQ19" i="34"/>
  <c r="HV19" i="34"/>
  <c r="HW19" i="34" s="1"/>
  <c r="HV18" i="34"/>
  <c r="HW18" i="34" s="1"/>
  <c r="FF17" i="34"/>
  <c r="FQ15" i="34"/>
  <c r="HV15" i="34"/>
  <c r="HW15" i="34" s="1"/>
  <c r="HV14" i="34"/>
  <c r="HW14" i="34" s="1"/>
  <c r="FF14" i="34"/>
  <c r="FF13" i="34"/>
  <c r="FQ11" i="34"/>
  <c r="FQ10" i="34"/>
  <c r="FF10" i="34"/>
  <c r="HY10" i="34"/>
  <c r="HV42" i="34"/>
  <c r="HW42" i="34" s="1"/>
  <c r="FF41" i="34"/>
  <c r="FQ42" i="34"/>
  <c r="FF42" i="34"/>
  <c r="FQ41" i="34"/>
  <c r="HV40" i="34"/>
  <c r="HW40" i="34" s="1"/>
  <c r="FF39" i="34"/>
  <c r="FF38" i="34"/>
  <c r="FQ37" i="34"/>
  <c r="HV36" i="34"/>
  <c r="HW36" i="34" s="1"/>
  <c r="FF35" i="34"/>
  <c r="FF34" i="34"/>
  <c r="FQ33" i="34"/>
  <c r="FF31" i="34"/>
  <c r="FF30" i="34"/>
  <c r="FQ29" i="34"/>
  <c r="HV29" i="34"/>
  <c r="HW29" i="34" s="1"/>
  <c r="IB28" i="34"/>
  <c r="IC28" i="34" s="1"/>
  <c r="ID28" i="34" s="1"/>
  <c r="IN28" i="34" s="1"/>
  <c r="FF27" i="34"/>
  <c r="ID26" i="34"/>
  <c r="IN26" i="34" s="1"/>
  <c r="FF26" i="34"/>
  <c r="FQ25" i="34"/>
  <c r="HV25" i="34"/>
  <c r="HW25" i="34" s="1"/>
  <c r="FF23" i="34"/>
  <c r="FF22" i="34"/>
  <c r="FQ21" i="34"/>
  <c r="HV21" i="34"/>
  <c r="HW21" i="34" s="1"/>
  <c r="FF19" i="34"/>
  <c r="FF18" i="34"/>
  <c r="FQ17" i="34"/>
  <c r="HV17" i="34"/>
  <c r="HW17" i="34" s="1"/>
  <c r="FQ16" i="34"/>
  <c r="FF15" i="34"/>
  <c r="FQ13" i="34"/>
  <c r="HV13" i="34"/>
  <c r="HW13" i="34" s="1"/>
  <c r="FQ12" i="34"/>
  <c r="FF11" i="34"/>
  <c r="FQ9" i="34"/>
  <c r="HT9" i="34"/>
  <c r="HV9" i="34" s="1"/>
  <c r="HW9" i="34" s="1"/>
  <c r="HX9" i="34" s="1"/>
  <c r="IM9" i="34" s="1"/>
  <c r="HV10" i="34"/>
  <c r="HW10" i="34" s="1"/>
  <c r="HX10" i="34" s="1"/>
  <c r="IM10" i="34" s="1"/>
  <c r="HX42" i="34"/>
  <c r="IM42" i="34" s="1"/>
  <c r="HX41" i="34"/>
  <c r="IM41" i="34" s="1"/>
  <c r="IB40" i="34"/>
  <c r="IC40" i="34" s="1"/>
  <c r="ID40" i="34" s="1"/>
  <c r="IN40" i="34" s="1"/>
  <c r="HX39" i="34"/>
  <c r="IM39" i="34" s="1"/>
  <c r="HX38" i="34"/>
  <c r="IM38" i="34" s="1"/>
  <c r="IB37" i="34"/>
  <c r="IC37" i="34" s="1"/>
  <c r="ID37" i="34" s="1"/>
  <c r="IN37" i="34" s="1"/>
  <c r="HX36" i="34"/>
  <c r="IM36" i="34" s="1"/>
  <c r="IB35" i="34"/>
  <c r="IC35" i="34" s="1"/>
  <c r="ID35" i="34" s="1"/>
  <c r="IN35" i="34" s="1"/>
  <c r="IB34" i="34"/>
  <c r="IC34" i="34" s="1"/>
  <c r="ID34" i="34" s="1"/>
  <c r="IN34" i="34" s="1"/>
  <c r="HX33" i="34"/>
  <c r="IM33" i="34" s="1"/>
  <c r="IB32" i="34"/>
  <c r="IC32" i="34" s="1"/>
  <c r="ID32" i="34" s="1"/>
  <c r="IN32" i="34" s="1"/>
  <c r="HX31" i="34"/>
  <c r="IM31" i="34" s="1"/>
  <c r="IB30" i="34"/>
  <c r="IC30" i="34" s="1"/>
  <c r="ID30" i="34" s="1"/>
  <c r="IN30" i="34" s="1"/>
  <c r="HX29" i="34"/>
  <c r="IM29" i="34" s="1"/>
  <c r="HX27" i="34"/>
  <c r="IM27" i="34" s="1"/>
  <c r="HX26" i="34"/>
  <c r="IM26" i="34" s="1"/>
  <c r="IB25" i="34"/>
  <c r="IC25" i="34" s="1"/>
  <c r="ID25" i="34" s="1"/>
  <c r="IN25" i="34" s="1"/>
  <c r="IB24" i="34"/>
  <c r="IC24" i="34" s="1"/>
  <c r="ID24" i="34" s="1"/>
  <c r="IN24" i="34" s="1"/>
  <c r="HX23" i="34"/>
  <c r="IM23" i="34" s="1"/>
  <c r="IB22" i="34"/>
  <c r="IC22" i="34" s="1"/>
  <c r="ID22" i="34" s="1"/>
  <c r="IN22" i="34" s="1"/>
  <c r="HX21" i="34"/>
  <c r="IM21" i="34" s="1"/>
  <c r="HX20" i="34"/>
  <c r="IM20" i="34" s="1"/>
  <c r="IB19" i="34"/>
  <c r="IC19" i="34" s="1"/>
  <c r="ID19" i="34" s="1"/>
  <c r="IN19" i="34" s="1"/>
  <c r="IB18" i="34"/>
  <c r="IC18" i="34" s="1"/>
  <c r="ID18" i="34" s="1"/>
  <c r="IN18" i="34" s="1"/>
  <c r="IB17" i="34"/>
  <c r="IC17" i="34" s="1"/>
  <c r="ID17" i="34" s="1"/>
  <c r="IN17" i="34" s="1"/>
  <c r="HX16" i="34"/>
  <c r="IM16" i="34" s="1"/>
  <c r="IB15" i="34"/>
  <c r="IC15" i="34" s="1"/>
  <c r="ID15" i="34" s="1"/>
  <c r="IN15" i="34" s="1"/>
  <c r="HX14" i="34"/>
  <c r="IM14" i="34" s="1"/>
  <c r="IB13" i="34"/>
  <c r="IC13" i="34" s="1"/>
  <c r="ID13" i="34" s="1"/>
  <c r="IN13" i="34" s="1"/>
  <c r="HX12" i="34"/>
  <c r="IM12" i="34" s="1"/>
  <c r="IB11" i="34"/>
  <c r="IC11" i="34" s="1"/>
  <c r="ID11" i="34" s="1"/>
  <c r="IN11" i="34" s="1"/>
  <c r="IB9" i="34"/>
  <c r="IC9" i="34" s="1"/>
  <c r="ID9" i="34" s="1"/>
  <c r="IN9" i="34" s="1"/>
  <c r="IB42" i="34"/>
  <c r="IC42" i="34" s="1"/>
  <c r="ID42" i="34" s="1"/>
  <c r="IN42" i="34" s="1"/>
  <c r="IB41" i="34"/>
  <c r="IC41" i="34" s="1"/>
  <c r="ID41" i="34" s="1"/>
  <c r="IN41" i="34" s="1"/>
  <c r="HX40" i="34"/>
  <c r="IM40" i="34" s="1"/>
  <c r="IB39" i="34"/>
  <c r="IC39" i="34" s="1"/>
  <c r="ID39" i="34" s="1"/>
  <c r="IN39" i="34" s="1"/>
  <c r="IB38" i="34"/>
  <c r="IC38" i="34" s="1"/>
  <c r="ID38" i="34" s="1"/>
  <c r="IN38" i="34" s="1"/>
  <c r="HX37" i="34"/>
  <c r="IM37" i="34" s="1"/>
  <c r="IB36" i="34"/>
  <c r="IC36" i="34" s="1"/>
  <c r="ID36" i="34" s="1"/>
  <c r="IN36" i="34" s="1"/>
  <c r="HX35" i="34"/>
  <c r="IM35" i="34" s="1"/>
  <c r="HX34" i="34"/>
  <c r="IM34" i="34" s="1"/>
  <c r="IB33" i="34"/>
  <c r="IC33" i="34" s="1"/>
  <c r="ID33" i="34" s="1"/>
  <c r="IN33" i="34" s="1"/>
  <c r="HX32" i="34"/>
  <c r="IM32" i="34" s="1"/>
  <c r="IB31" i="34"/>
  <c r="IC31" i="34" s="1"/>
  <c r="ID31" i="34" s="1"/>
  <c r="IN31" i="34" s="1"/>
  <c r="HX30" i="34"/>
  <c r="IM30" i="34" s="1"/>
  <c r="IB29" i="34"/>
  <c r="IC29" i="34" s="1"/>
  <c r="ID29" i="34" s="1"/>
  <c r="IN29" i="34" s="1"/>
  <c r="HX28" i="34"/>
  <c r="IM28" i="34" s="1"/>
  <c r="IB27" i="34"/>
  <c r="IC27" i="34" s="1"/>
  <c r="ID27" i="34" s="1"/>
  <c r="IN27" i="34" s="1"/>
  <c r="HX25" i="34"/>
  <c r="IM25" i="34" s="1"/>
  <c r="HX24" i="34"/>
  <c r="IM24" i="34" s="1"/>
  <c r="IB23" i="34"/>
  <c r="IC23" i="34" s="1"/>
  <c r="ID23" i="34" s="1"/>
  <c r="IN23" i="34" s="1"/>
  <c r="HX22" i="34"/>
  <c r="IM22" i="34" s="1"/>
  <c r="IB21" i="34"/>
  <c r="IC21" i="34" s="1"/>
  <c r="ID21" i="34" s="1"/>
  <c r="IN21" i="34" s="1"/>
  <c r="IB20" i="34"/>
  <c r="IC20" i="34" s="1"/>
  <c r="ID20" i="34" s="1"/>
  <c r="IN20" i="34" s="1"/>
  <c r="HX19" i="34"/>
  <c r="IM19" i="34" s="1"/>
  <c r="HX18" i="34"/>
  <c r="IM18" i="34" s="1"/>
  <c r="HX17" i="34"/>
  <c r="IM17" i="34" s="1"/>
  <c r="IB16" i="34"/>
  <c r="IC16" i="34" s="1"/>
  <c r="ID16" i="34" s="1"/>
  <c r="IN16" i="34" s="1"/>
  <c r="HX15" i="34"/>
  <c r="IM15" i="34" s="1"/>
  <c r="IB14" i="34"/>
  <c r="IC14" i="34" s="1"/>
  <c r="ID14" i="34" s="1"/>
  <c r="IN14" i="34" s="1"/>
  <c r="HX13" i="34"/>
  <c r="IM13" i="34" s="1"/>
  <c r="IB12" i="34"/>
  <c r="IC12" i="34" s="1"/>
  <c r="ID12" i="34" s="1"/>
  <c r="IN12" i="34" s="1"/>
  <c r="HX11" i="34"/>
  <c r="IM11" i="34" s="1"/>
  <c r="IB10" i="34"/>
  <c r="IC10" i="34" s="1"/>
  <c r="ID10" i="34" s="1"/>
  <c r="IN10" i="34" s="1"/>
  <c r="HX8" i="34"/>
  <c r="IM8" i="34" s="1"/>
  <c r="ID8" i="34"/>
  <c r="IN8" i="34" s="1"/>
  <c r="EP7" i="34"/>
  <c r="DO7" i="34"/>
  <c r="DX7" i="34" s="1"/>
  <c r="EG7" i="34" s="1"/>
  <c r="EP12" i="34" l="1"/>
  <c r="EP20" i="34"/>
  <c r="EP29" i="34"/>
  <c r="EP18" i="34"/>
  <c r="EP35" i="34"/>
  <c r="EO9" i="34"/>
  <c r="EP36" i="34"/>
  <c r="EP42" i="34"/>
  <c r="EP13" i="34"/>
  <c r="EP19" i="34"/>
  <c r="EP40" i="34"/>
  <c r="EO11" i="34"/>
  <c r="EP14" i="34"/>
  <c r="EO18" i="34"/>
  <c r="EO19" i="34"/>
  <c r="EP21" i="34"/>
  <c r="EP23" i="34"/>
  <c r="EO25" i="34"/>
  <c r="EO28" i="34"/>
  <c r="EO30" i="34"/>
  <c r="EO32" i="34"/>
  <c r="EO34" i="34"/>
  <c r="EO37" i="34"/>
  <c r="EP39" i="34"/>
  <c r="EP41" i="34"/>
  <c r="EP9" i="34"/>
  <c r="EO12" i="34"/>
  <c r="EO14" i="34"/>
  <c r="EO16" i="34"/>
  <c r="EO20" i="34"/>
  <c r="EO21" i="34"/>
  <c r="EO23" i="34"/>
  <c r="EP25" i="34"/>
  <c r="EO27" i="34"/>
  <c r="EP30" i="34"/>
  <c r="EP32" i="34"/>
  <c r="EP34" i="34"/>
  <c r="EO36" i="34"/>
  <c r="EP37" i="34"/>
  <c r="EO39" i="34"/>
  <c r="EO41" i="34"/>
  <c r="EP26" i="34"/>
  <c r="EP8" i="34"/>
  <c r="EO13" i="34"/>
  <c r="EP16" i="34"/>
  <c r="EO8" i="34"/>
  <c r="EO15" i="34"/>
  <c r="EO17" i="34"/>
  <c r="EO22" i="34"/>
  <c r="EO24" i="34"/>
  <c r="EP27" i="34"/>
  <c r="EP31" i="34"/>
  <c r="EP33" i="34"/>
  <c r="EO35" i="34"/>
  <c r="EP38" i="34"/>
  <c r="EO40" i="34"/>
  <c r="EP11" i="34"/>
  <c r="EP15" i="34"/>
  <c r="EP17" i="34"/>
  <c r="EP22" i="34"/>
  <c r="EP24" i="34"/>
  <c r="EO26" i="34"/>
  <c r="EO29" i="34"/>
  <c r="EO31" i="34"/>
  <c r="EO33" i="34"/>
  <c r="EO38" i="34"/>
  <c r="EO42" i="34"/>
  <c r="EP28" i="34"/>
  <c r="EO10" i="34"/>
  <c r="EP10" i="34"/>
  <c r="H84" i="40" l="1"/>
  <c r="F84" i="40"/>
  <c r="E4" i="37"/>
  <c r="DP9" i="27"/>
  <c r="EZ9" i="27" s="1"/>
  <c r="DQ9" i="27"/>
  <c r="FF9" i="27" s="1"/>
  <c r="DR9" i="27"/>
  <c r="FL9" i="27" s="1"/>
  <c r="DS9" i="27"/>
  <c r="DT9" i="27"/>
  <c r="FX9" i="27" s="1"/>
  <c r="DU9" i="27"/>
  <c r="GD9" i="27" s="1"/>
  <c r="DV9" i="27"/>
  <c r="GJ9" i="27" s="1"/>
  <c r="EB9" i="27"/>
  <c r="EC9" i="27"/>
  <c r="ED9" i="27"/>
  <c r="FM9" i="27" s="1"/>
  <c r="EE9" i="27"/>
  <c r="EF9" i="27"/>
  <c r="EG9" i="27"/>
  <c r="GE9" i="27" s="1"/>
  <c r="EH9" i="27"/>
  <c r="GK9" i="27" s="1"/>
  <c r="EN9" i="27"/>
  <c r="EO9" i="27"/>
  <c r="EP9" i="27"/>
  <c r="FN9" i="27" s="1"/>
  <c r="EQ9" i="27"/>
  <c r="FT9" i="27" s="1"/>
  <c r="ER9" i="27"/>
  <c r="FZ9" i="27" s="1"/>
  <c r="ES9" i="27"/>
  <c r="GF9" i="27" s="1"/>
  <c r="ET9" i="27"/>
  <c r="GL9" i="27" s="1"/>
  <c r="FA9" i="27"/>
  <c r="FB9" i="27"/>
  <c r="FR9" i="27"/>
  <c r="FS9" i="27"/>
  <c r="FY9" i="27"/>
  <c r="GP9" i="27"/>
  <c r="GQ9" i="27"/>
  <c r="GR9" i="27"/>
  <c r="GV9" i="27"/>
  <c r="GW9" i="27"/>
  <c r="GX9" i="27"/>
  <c r="HB9" i="27"/>
  <c r="HC9" i="27"/>
  <c r="HD9" i="27"/>
  <c r="HH9" i="27"/>
  <c r="HI9" i="27"/>
  <c r="HJ9" i="27"/>
  <c r="IC9" i="27"/>
  <c r="DP10" i="27"/>
  <c r="EZ10" i="27" s="1"/>
  <c r="DQ10" i="27"/>
  <c r="FF10" i="27" s="1"/>
  <c r="DR10" i="27"/>
  <c r="FL10" i="27" s="1"/>
  <c r="DS10" i="27"/>
  <c r="FR10" i="27" s="1"/>
  <c r="DT10" i="27"/>
  <c r="FX10" i="27" s="1"/>
  <c r="DU10" i="27"/>
  <c r="GD10" i="27" s="1"/>
  <c r="DV10" i="27"/>
  <c r="EB10" i="27"/>
  <c r="FA10" i="27" s="1"/>
  <c r="EC10" i="27"/>
  <c r="FG10" i="27" s="1"/>
  <c r="ED10" i="27"/>
  <c r="FM10" i="27" s="1"/>
  <c r="EE10" i="27"/>
  <c r="FS10" i="27" s="1"/>
  <c r="EF10" i="27"/>
  <c r="FY10" i="27" s="1"/>
  <c r="EG10" i="27"/>
  <c r="GE10" i="27" s="1"/>
  <c r="EH10" i="27"/>
  <c r="EN10" i="27"/>
  <c r="EO10" i="27"/>
  <c r="FH10" i="27" s="1"/>
  <c r="EP10" i="27"/>
  <c r="EQ10" i="27"/>
  <c r="FT10" i="27" s="1"/>
  <c r="ER10" i="27"/>
  <c r="FZ10" i="27" s="1"/>
  <c r="ES10" i="27"/>
  <c r="GF10" i="27" s="1"/>
  <c r="ET10" i="27"/>
  <c r="GL10" i="27" s="1"/>
  <c r="FN10" i="27"/>
  <c r="GJ10" i="27"/>
  <c r="GK10" i="27"/>
  <c r="GP10" i="27"/>
  <c r="GQ10" i="27"/>
  <c r="GR10" i="27"/>
  <c r="GV10" i="27"/>
  <c r="GW10" i="27"/>
  <c r="GX10" i="27"/>
  <c r="HB10" i="27"/>
  <c r="HC10" i="27"/>
  <c r="HD10" i="27"/>
  <c r="HH10" i="27"/>
  <c r="HI10" i="27"/>
  <c r="HJ10" i="27"/>
  <c r="IC10" i="27"/>
  <c r="DP11" i="27"/>
  <c r="EZ11" i="27" s="1"/>
  <c r="DQ11" i="27"/>
  <c r="FF11" i="27" s="1"/>
  <c r="DR11" i="27"/>
  <c r="FL11" i="27" s="1"/>
  <c r="DS11" i="27"/>
  <c r="FR11" i="27" s="1"/>
  <c r="DT11" i="27"/>
  <c r="FX11" i="27" s="1"/>
  <c r="DU11" i="27"/>
  <c r="GD11" i="27" s="1"/>
  <c r="DV11" i="27"/>
  <c r="EB11" i="27"/>
  <c r="FA11" i="27" s="1"/>
  <c r="EC11" i="27"/>
  <c r="FG11" i="27" s="1"/>
  <c r="ED11" i="27"/>
  <c r="FM11" i="27" s="1"/>
  <c r="EE11" i="27"/>
  <c r="FS11" i="27" s="1"/>
  <c r="EF11" i="27"/>
  <c r="FY11" i="27" s="1"/>
  <c r="EG11" i="27"/>
  <c r="EH11" i="27"/>
  <c r="GK11" i="27" s="1"/>
  <c r="EN11" i="27"/>
  <c r="FB11" i="27" s="1"/>
  <c r="EO11" i="27"/>
  <c r="EP11" i="27"/>
  <c r="FN11" i="27" s="1"/>
  <c r="EQ11" i="27"/>
  <c r="FT11" i="27" s="1"/>
  <c r="ER11" i="27"/>
  <c r="FZ11" i="27" s="1"/>
  <c r="ES11" i="27"/>
  <c r="ET11" i="27"/>
  <c r="GL11" i="27" s="1"/>
  <c r="FH11" i="27"/>
  <c r="GE11" i="27"/>
  <c r="GF11" i="27"/>
  <c r="GJ11" i="27"/>
  <c r="GP11" i="27"/>
  <c r="GQ11" i="27"/>
  <c r="GR11" i="27"/>
  <c r="GV11" i="27"/>
  <c r="GW11" i="27"/>
  <c r="GX11" i="27"/>
  <c r="HB11" i="27"/>
  <c r="HC11" i="27"/>
  <c r="HD11" i="27"/>
  <c r="HH11" i="27"/>
  <c r="HI11" i="27"/>
  <c r="HJ11" i="27"/>
  <c r="IC11" i="27"/>
  <c r="DP12" i="27"/>
  <c r="DQ12" i="27"/>
  <c r="FF12" i="27" s="1"/>
  <c r="DR12" i="27"/>
  <c r="FL12" i="27" s="1"/>
  <c r="DS12" i="27"/>
  <c r="DT12" i="27"/>
  <c r="FX12" i="27" s="1"/>
  <c r="DU12" i="27"/>
  <c r="GD12" i="27" s="1"/>
  <c r="DV12" i="27"/>
  <c r="GJ12" i="27" s="1"/>
  <c r="EB12" i="27"/>
  <c r="EC12" i="27"/>
  <c r="FG12" i="27" s="1"/>
  <c r="ED12" i="27"/>
  <c r="FM12" i="27" s="1"/>
  <c r="EE12" i="27"/>
  <c r="FS12" i="27" s="1"/>
  <c r="EF12" i="27"/>
  <c r="FY12" i="27" s="1"/>
  <c r="EG12" i="27"/>
  <c r="GE12" i="27" s="1"/>
  <c r="EH12" i="27"/>
  <c r="GK12" i="27" s="1"/>
  <c r="EN12" i="27"/>
  <c r="EO12" i="27"/>
  <c r="EP12" i="27"/>
  <c r="FN12" i="27" s="1"/>
  <c r="EQ12" i="27"/>
  <c r="FT12" i="27" s="1"/>
  <c r="ER12" i="27"/>
  <c r="FZ12" i="27" s="1"/>
  <c r="ES12" i="27"/>
  <c r="ET12" i="27"/>
  <c r="GL12" i="27" s="1"/>
  <c r="FH12" i="27"/>
  <c r="FR12" i="27"/>
  <c r="GF12" i="27"/>
  <c r="GP12" i="27"/>
  <c r="GQ12" i="27"/>
  <c r="GR12" i="27"/>
  <c r="GV12" i="27"/>
  <c r="GW12" i="27"/>
  <c r="GX12" i="27"/>
  <c r="HB12" i="27"/>
  <c r="HC12" i="27"/>
  <c r="HD12" i="27"/>
  <c r="HH12" i="27"/>
  <c r="HI12" i="27"/>
  <c r="HJ12" i="27"/>
  <c r="IC12" i="27"/>
  <c r="DP13" i="27"/>
  <c r="EZ13" i="27" s="1"/>
  <c r="DQ13" i="27"/>
  <c r="DR13" i="27"/>
  <c r="FL13" i="27" s="1"/>
  <c r="DS13" i="27"/>
  <c r="FR13" i="27" s="1"/>
  <c r="DT13" i="27"/>
  <c r="FX13" i="27" s="1"/>
  <c r="DU13" i="27"/>
  <c r="GD13" i="27" s="1"/>
  <c r="DV13" i="27"/>
  <c r="GJ13" i="27" s="1"/>
  <c r="EB13" i="27"/>
  <c r="FA13" i="27" s="1"/>
  <c r="EC13" i="27"/>
  <c r="ED13" i="27"/>
  <c r="FM13" i="27" s="1"/>
  <c r="EE13" i="27"/>
  <c r="FS13" i="27" s="1"/>
  <c r="EF13" i="27"/>
  <c r="FY13" i="27" s="1"/>
  <c r="EG13" i="27"/>
  <c r="GE13" i="27" s="1"/>
  <c r="EH13" i="27"/>
  <c r="GK13" i="27" s="1"/>
  <c r="EN13" i="27"/>
  <c r="FB13" i="27" s="1"/>
  <c r="EO13" i="27"/>
  <c r="EP13" i="27"/>
  <c r="FN13" i="27" s="1"/>
  <c r="EQ13" i="27"/>
  <c r="FT13" i="27" s="1"/>
  <c r="ER13" i="27"/>
  <c r="FZ13" i="27" s="1"/>
  <c r="ES13" i="27"/>
  <c r="GF13" i="27" s="1"/>
  <c r="ET13" i="27"/>
  <c r="GL13" i="27" s="1"/>
  <c r="GP13" i="27"/>
  <c r="GQ13" i="27"/>
  <c r="GR13" i="27"/>
  <c r="GV13" i="27"/>
  <c r="GW13" i="27"/>
  <c r="GX13" i="27"/>
  <c r="HB13" i="27"/>
  <c r="HC13" i="27"/>
  <c r="HD13" i="27"/>
  <c r="HH13" i="27"/>
  <c r="HI13" i="27"/>
  <c r="HJ13" i="27"/>
  <c r="IC13" i="27"/>
  <c r="DP14" i="27"/>
  <c r="EZ14" i="27" s="1"/>
  <c r="DQ14" i="27"/>
  <c r="FF14" i="27" s="1"/>
  <c r="DR14" i="27"/>
  <c r="FL14" i="27" s="1"/>
  <c r="DS14" i="27"/>
  <c r="FR14" i="27" s="1"/>
  <c r="DT14" i="27"/>
  <c r="FX14" i="27" s="1"/>
  <c r="DU14" i="27"/>
  <c r="GD14" i="27" s="1"/>
  <c r="DV14" i="27"/>
  <c r="GJ14" i="27" s="1"/>
  <c r="EB14" i="27"/>
  <c r="EC14" i="27"/>
  <c r="FG14" i="27" s="1"/>
  <c r="ED14" i="27"/>
  <c r="EE14" i="27"/>
  <c r="FS14" i="27" s="1"/>
  <c r="EF14" i="27"/>
  <c r="FY14" i="27" s="1"/>
  <c r="EG14" i="27"/>
  <c r="GE14" i="27" s="1"/>
  <c r="EH14" i="27"/>
  <c r="EN14" i="27"/>
  <c r="EO14" i="27"/>
  <c r="FH14" i="27" s="1"/>
  <c r="EP14" i="27"/>
  <c r="FN14" i="27" s="1"/>
  <c r="EQ14" i="27"/>
  <c r="FT14" i="27" s="1"/>
  <c r="ER14" i="27"/>
  <c r="FZ14" i="27" s="1"/>
  <c r="ES14" i="27"/>
  <c r="GF14" i="27" s="1"/>
  <c r="ET14" i="27"/>
  <c r="GL14" i="27" s="1"/>
  <c r="FM14" i="27"/>
  <c r="GK14" i="27"/>
  <c r="GP14" i="27"/>
  <c r="GQ14" i="27"/>
  <c r="GR14" i="27"/>
  <c r="GV14" i="27"/>
  <c r="GW14" i="27"/>
  <c r="GX14" i="27"/>
  <c r="HB14" i="27"/>
  <c r="HC14" i="27"/>
  <c r="HD14" i="27"/>
  <c r="HH14" i="27"/>
  <c r="HI14" i="27"/>
  <c r="HJ14" i="27"/>
  <c r="IC14" i="27"/>
  <c r="DP15" i="27"/>
  <c r="EZ15" i="27" s="1"/>
  <c r="DQ15" i="27"/>
  <c r="DR15" i="27"/>
  <c r="FL15" i="27" s="1"/>
  <c r="DS15" i="27"/>
  <c r="FR15" i="27" s="1"/>
  <c r="DT15" i="27"/>
  <c r="FX15" i="27" s="1"/>
  <c r="DU15" i="27"/>
  <c r="GD15" i="27" s="1"/>
  <c r="DV15" i="27"/>
  <c r="GJ15" i="27" s="1"/>
  <c r="EB15" i="27"/>
  <c r="EC15" i="27"/>
  <c r="FG15" i="27" s="1"/>
  <c r="ED15" i="27"/>
  <c r="FM15" i="27" s="1"/>
  <c r="EE15" i="27"/>
  <c r="FS15" i="27" s="1"/>
  <c r="EF15" i="27"/>
  <c r="FY15" i="27" s="1"/>
  <c r="EG15" i="27"/>
  <c r="GE15" i="27" s="1"/>
  <c r="EH15" i="27"/>
  <c r="GK15" i="27" s="1"/>
  <c r="EN15" i="27"/>
  <c r="EO15" i="27"/>
  <c r="FH15" i="27" s="1"/>
  <c r="EP15" i="27"/>
  <c r="FN15" i="27" s="1"/>
  <c r="EQ15" i="27"/>
  <c r="FT15" i="27" s="1"/>
  <c r="ER15" i="27"/>
  <c r="FZ15" i="27" s="1"/>
  <c r="ES15" i="27"/>
  <c r="ET15" i="27"/>
  <c r="GL15" i="27" s="1"/>
  <c r="FF15" i="27"/>
  <c r="GF15" i="27"/>
  <c r="GP15" i="27"/>
  <c r="GQ15" i="27"/>
  <c r="GR15" i="27"/>
  <c r="GV15" i="27"/>
  <c r="GW15" i="27"/>
  <c r="GX15" i="27"/>
  <c r="HB15" i="27"/>
  <c r="HC15" i="27"/>
  <c r="HD15" i="27"/>
  <c r="HH15" i="27"/>
  <c r="HI15" i="27"/>
  <c r="HJ15" i="27"/>
  <c r="IC15" i="27"/>
  <c r="DP16" i="27"/>
  <c r="EZ16" i="27" s="1"/>
  <c r="DQ16" i="27"/>
  <c r="DR16" i="27"/>
  <c r="DS16" i="27"/>
  <c r="FR16" i="27" s="1"/>
  <c r="DT16" i="27"/>
  <c r="FX16" i="27" s="1"/>
  <c r="DU16" i="27"/>
  <c r="GD16" i="27" s="1"/>
  <c r="DV16" i="27"/>
  <c r="GJ16" i="27" s="1"/>
  <c r="EB16" i="27"/>
  <c r="FA16" i="27" s="1"/>
  <c r="EC16" i="27"/>
  <c r="ED16" i="27"/>
  <c r="EE16" i="27"/>
  <c r="FS16" i="27" s="1"/>
  <c r="EF16" i="27"/>
  <c r="FY16" i="27" s="1"/>
  <c r="EG16" i="27"/>
  <c r="GE16" i="27" s="1"/>
  <c r="EH16" i="27"/>
  <c r="GK16" i="27" s="1"/>
  <c r="EN16" i="27"/>
  <c r="FB16" i="27" s="1"/>
  <c r="EO16" i="27"/>
  <c r="FH16" i="27" s="1"/>
  <c r="EP16" i="27"/>
  <c r="FN16" i="27" s="1"/>
  <c r="EQ16" i="27"/>
  <c r="FT16" i="27" s="1"/>
  <c r="ER16" i="27"/>
  <c r="FZ16" i="27" s="1"/>
  <c r="ES16" i="27"/>
  <c r="ET16" i="27"/>
  <c r="GL16" i="27" s="1"/>
  <c r="FF16" i="27"/>
  <c r="FG16" i="27"/>
  <c r="GF16" i="27"/>
  <c r="GP16" i="27"/>
  <c r="GQ16" i="27"/>
  <c r="GR16" i="27"/>
  <c r="GV16" i="27"/>
  <c r="GW16" i="27"/>
  <c r="GX16" i="27"/>
  <c r="HB16" i="27"/>
  <c r="HC16" i="27"/>
  <c r="HD16" i="27"/>
  <c r="HH16" i="27"/>
  <c r="HI16" i="27"/>
  <c r="HJ16" i="27"/>
  <c r="IC16" i="27"/>
  <c r="DP17" i="27"/>
  <c r="EZ17" i="27" s="1"/>
  <c r="DQ17" i="27"/>
  <c r="FF17" i="27" s="1"/>
  <c r="DR17" i="27"/>
  <c r="FL17" i="27" s="1"/>
  <c r="DS17" i="27"/>
  <c r="DT17" i="27"/>
  <c r="FX17" i="27" s="1"/>
  <c r="DU17" i="27"/>
  <c r="GD17" i="27" s="1"/>
  <c r="DV17" i="27"/>
  <c r="GJ17" i="27" s="1"/>
  <c r="EB17" i="27"/>
  <c r="EC17" i="27"/>
  <c r="FG17" i="27" s="1"/>
  <c r="ED17" i="27"/>
  <c r="FM17" i="27" s="1"/>
  <c r="EE17" i="27"/>
  <c r="EF17" i="27"/>
  <c r="EG17" i="27"/>
  <c r="GE17" i="27" s="1"/>
  <c r="EH17" i="27"/>
  <c r="EN17" i="27"/>
  <c r="EO17" i="27"/>
  <c r="FH17" i="27" s="1"/>
  <c r="EP17" i="27"/>
  <c r="FN17" i="27" s="1"/>
  <c r="EQ17" i="27"/>
  <c r="FT17" i="27" s="1"/>
  <c r="ER17" i="27"/>
  <c r="FZ17" i="27" s="1"/>
  <c r="ES17" i="27"/>
  <c r="GF17" i="27" s="1"/>
  <c r="ET17" i="27"/>
  <c r="GL17" i="27" s="1"/>
  <c r="FA17" i="27"/>
  <c r="FB17" i="27"/>
  <c r="FR17" i="27"/>
  <c r="FS17" i="27"/>
  <c r="FY17" i="27"/>
  <c r="GK17" i="27"/>
  <c r="GP17" i="27"/>
  <c r="GQ17" i="27"/>
  <c r="GR17" i="27"/>
  <c r="GV17" i="27"/>
  <c r="GW17" i="27"/>
  <c r="GX17" i="27"/>
  <c r="HB17" i="27"/>
  <c r="HC17" i="27"/>
  <c r="HD17" i="27"/>
  <c r="HH17" i="27"/>
  <c r="HI17" i="27"/>
  <c r="HJ17" i="27"/>
  <c r="IC17" i="27"/>
  <c r="DP18" i="27"/>
  <c r="EZ18" i="27" s="1"/>
  <c r="DQ18" i="27"/>
  <c r="FF18" i="27" s="1"/>
  <c r="DR18" i="27"/>
  <c r="FL18" i="27" s="1"/>
  <c r="DS18" i="27"/>
  <c r="FR18" i="27" s="1"/>
  <c r="DT18" i="27"/>
  <c r="FX18" i="27" s="1"/>
  <c r="DU18" i="27"/>
  <c r="GD18" i="27" s="1"/>
  <c r="DV18" i="27"/>
  <c r="GJ18" i="27" s="1"/>
  <c r="EB18" i="27"/>
  <c r="FA18" i="27" s="1"/>
  <c r="EC18" i="27"/>
  <c r="FG18" i="27" s="1"/>
  <c r="ED18" i="27"/>
  <c r="EE18" i="27"/>
  <c r="FS18" i="27" s="1"/>
  <c r="EF18" i="27"/>
  <c r="EG18" i="27"/>
  <c r="GE18" i="27" s="1"/>
  <c r="EH18" i="27"/>
  <c r="EN18" i="27"/>
  <c r="EO18" i="27"/>
  <c r="FH18" i="27" s="1"/>
  <c r="EP18" i="27"/>
  <c r="FN18" i="27" s="1"/>
  <c r="EQ18" i="27"/>
  <c r="ER18" i="27"/>
  <c r="FZ18" i="27" s="1"/>
  <c r="ES18" i="27"/>
  <c r="GF18" i="27" s="1"/>
  <c r="ET18" i="27"/>
  <c r="GL18" i="27" s="1"/>
  <c r="FM18" i="27"/>
  <c r="FT18" i="27"/>
  <c r="FY18" i="27"/>
  <c r="GK18" i="27"/>
  <c r="GP18" i="27"/>
  <c r="GQ18" i="27"/>
  <c r="GR18" i="27"/>
  <c r="GV18" i="27"/>
  <c r="GW18" i="27"/>
  <c r="GX18" i="27"/>
  <c r="HB18" i="27"/>
  <c r="HC18" i="27"/>
  <c r="HD18" i="27"/>
  <c r="HH18" i="27"/>
  <c r="HI18" i="27"/>
  <c r="HJ18" i="27"/>
  <c r="IC18" i="27"/>
  <c r="DP19" i="27"/>
  <c r="EZ19" i="27" s="1"/>
  <c r="DQ19" i="27"/>
  <c r="FF19" i="27" s="1"/>
  <c r="DR19" i="27"/>
  <c r="FL19" i="27" s="1"/>
  <c r="DS19" i="27"/>
  <c r="FR19" i="27" s="1"/>
  <c r="DT19" i="27"/>
  <c r="DU19" i="27"/>
  <c r="DV19" i="27"/>
  <c r="GJ19" i="27" s="1"/>
  <c r="EB19" i="27"/>
  <c r="FA19" i="27" s="1"/>
  <c r="EC19" i="27"/>
  <c r="FG19" i="27" s="1"/>
  <c r="ED19" i="27"/>
  <c r="FM19" i="27" s="1"/>
  <c r="EE19" i="27"/>
  <c r="FS19" i="27" s="1"/>
  <c r="EF19" i="27"/>
  <c r="FY19" i="27" s="1"/>
  <c r="EG19" i="27"/>
  <c r="EH19" i="27"/>
  <c r="GK19" i="27" s="1"/>
  <c r="EN19" i="27"/>
  <c r="FB19" i="27" s="1"/>
  <c r="EO19" i="27"/>
  <c r="FH19" i="27" s="1"/>
  <c r="EP19" i="27"/>
  <c r="FN19" i="27" s="1"/>
  <c r="EQ19" i="27"/>
  <c r="FT19" i="27" s="1"/>
  <c r="ER19" i="27"/>
  <c r="FZ19" i="27" s="1"/>
  <c r="ES19" i="27"/>
  <c r="GF19" i="27" s="1"/>
  <c r="ET19" i="27"/>
  <c r="GL19" i="27" s="1"/>
  <c r="FX19" i="27"/>
  <c r="GD19" i="27"/>
  <c r="GE19" i="27"/>
  <c r="GP19" i="27"/>
  <c r="GQ19" i="27"/>
  <c r="GR19" i="27"/>
  <c r="GV19" i="27"/>
  <c r="GW19" i="27"/>
  <c r="GX19" i="27"/>
  <c r="HB19" i="27"/>
  <c r="HC19" i="27"/>
  <c r="HD19" i="27"/>
  <c r="HH19" i="27"/>
  <c r="HI19" i="27"/>
  <c r="HJ19" i="27"/>
  <c r="IC19" i="27"/>
  <c r="DP20" i="27"/>
  <c r="EZ20" i="27" s="1"/>
  <c r="DQ20" i="27"/>
  <c r="FF20" i="27" s="1"/>
  <c r="DR20" i="27"/>
  <c r="FL20" i="27" s="1"/>
  <c r="DS20" i="27"/>
  <c r="FR20" i="27" s="1"/>
  <c r="DT20" i="27"/>
  <c r="FX20" i="27" s="1"/>
  <c r="DU20" i="27"/>
  <c r="GD20" i="27" s="1"/>
  <c r="DV20" i="27"/>
  <c r="GJ20" i="27" s="1"/>
  <c r="EB20" i="27"/>
  <c r="FA20" i="27" s="1"/>
  <c r="EC20" i="27"/>
  <c r="FG20" i="27" s="1"/>
  <c r="ED20" i="27"/>
  <c r="FM20" i="27" s="1"/>
  <c r="EE20" i="27"/>
  <c r="FS20" i="27" s="1"/>
  <c r="EF20" i="27"/>
  <c r="FY20" i="27" s="1"/>
  <c r="EG20" i="27"/>
  <c r="GE20" i="27" s="1"/>
  <c r="EH20" i="27"/>
  <c r="EN20" i="27"/>
  <c r="FB20" i="27" s="1"/>
  <c r="EO20" i="27"/>
  <c r="FH20" i="27" s="1"/>
  <c r="EP20" i="27"/>
  <c r="FN20" i="27" s="1"/>
  <c r="EQ20" i="27"/>
  <c r="FT20" i="27" s="1"/>
  <c r="ER20" i="27"/>
  <c r="FZ20" i="27" s="1"/>
  <c r="ES20" i="27"/>
  <c r="GF20" i="27" s="1"/>
  <c r="ET20" i="27"/>
  <c r="GL20" i="27" s="1"/>
  <c r="GK20" i="27"/>
  <c r="GP20" i="27"/>
  <c r="GQ20" i="27"/>
  <c r="GR20" i="27"/>
  <c r="GV20" i="27"/>
  <c r="GW20" i="27"/>
  <c r="GX20" i="27"/>
  <c r="HB20" i="27"/>
  <c r="HC20" i="27"/>
  <c r="HD20" i="27"/>
  <c r="HH20" i="27"/>
  <c r="HI20" i="27"/>
  <c r="HJ20" i="27"/>
  <c r="IC20" i="27"/>
  <c r="DP21" i="27"/>
  <c r="EZ21" i="27" s="1"/>
  <c r="DQ21" i="27"/>
  <c r="FF21" i="27" s="1"/>
  <c r="DR21" i="27"/>
  <c r="FL21" i="27" s="1"/>
  <c r="DS21" i="27"/>
  <c r="FR21" i="27" s="1"/>
  <c r="DT21" i="27"/>
  <c r="FX21" i="27" s="1"/>
  <c r="DU21" i="27"/>
  <c r="GD21" i="27" s="1"/>
  <c r="DV21" i="27"/>
  <c r="GJ21" i="27" s="1"/>
  <c r="EB21" i="27"/>
  <c r="EC21" i="27"/>
  <c r="FG21" i="27" s="1"/>
  <c r="ED21" i="27"/>
  <c r="FM21" i="27" s="1"/>
  <c r="EE21" i="27"/>
  <c r="FS21" i="27" s="1"/>
  <c r="EF21" i="27"/>
  <c r="FY21" i="27" s="1"/>
  <c r="EG21" i="27"/>
  <c r="GE21" i="27" s="1"/>
  <c r="EH21" i="27"/>
  <c r="GK21" i="27" s="1"/>
  <c r="EN21" i="27"/>
  <c r="EO21" i="27"/>
  <c r="FH21" i="27" s="1"/>
  <c r="EP21" i="27"/>
  <c r="FN21" i="27" s="1"/>
  <c r="EQ21" i="27"/>
  <c r="FT21" i="27" s="1"/>
  <c r="ER21" i="27"/>
  <c r="FZ21" i="27" s="1"/>
  <c r="ES21" i="27"/>
  <c r="GF21" i="27" s="1"/>
  <c r="ET21" i="27"/>
  <c r="GL21" i="27" s="1"/>
  <c r="GP21" i="27"/>
  <c r="GQ21" i="27"/>
  <c r="GR21" i="27"/>
  <c r="GV21" i="27"/>
  <c r="GW21" i="27"/>
  <c r="GX21" i="27"/>
  <c r="HB21" i="27"/>
  <c r="HC21" i="27"/>
  <c r="HD21" i="27"/>
  <c r="HH21" i="27"/>
  <c r="HI21" i="27"/>
  <c r="HJ21" i="27"/>
  <c r="IC21" i="27"/>
  <c r="DP22" i="27"/>
  <c r="DQ22" i="27"/>
  <c r="DR22" i="27"/>
  <c r="DS22" i="27"/>
  <c r="FR22" i="27" s="1"/>
  <c r="DT22" i="27"/>
  <c r="FX22" i="27" s="1"/>
  <c r="DU22" i="27"/>
  <c r="GD22" i="27" s="1"/>
  <c r="DV22" i="27"/>
  <c r="GJ22" i="27" s="1"/>
  <c r="EB22" i="27"/>
  <c r="FA22" i="27" s="1"/>
  <c r="EC22" i="27"/>
  <c r="FG22" i="27" s="1"/>
  <c r="ED22" i="27"/>
  <c r="FM22" i="27" s="1"/>
  <c r="EE22" i="27"/>
  <c r="FS22" i="27" s="1"/>
  <c r="EF22" i="27"/>
  <c r="FY22" i="27" s="1"/>
  <c r="EG22" i="27"/>
  <c r="GE22" i="27" s="1"/>
  <c r="EH22" i="27"/>
  <c r="GK22" i="27" s="1"/>
  <c r="EN22" i="27"/>
  <c r="FB22" i="27" s="1"/>
  <c r="EO22" i="27"/>
  <c r="FH22" i="27" s="1"/>
  <c r="EP22" i="27"/>
  <c r="FN22" i="27" s="1"/>
  <c r="EQ22" i="27"/>
  <c r="ER22" i="27"/>
  <c r="FZ22" i="27" s="1"/>
  <c r="ES22" i="27"/>
  <c r="GF22" i="27" s="1"/>
  <c r="ET22" i="27"/>
  <c r="GL22" i="27" s="1"/>
  <c r="FF22" i="27"/>
  <c r="FL22" i="27"/>
  <c r="FT22" i="27"/>
  <c r="GP22" i="27"/>
  <c r="GQ22" i="27"/>
  <c r="GR22" i="27"/>
  <c r="GV22" i="27"/>
  <c r="GW22" i="27"/>
  <c r="GX22" i="27"/>
  <c r="HB22" i="27"/>
  <c r="HC22" i="27"/>
  <c r="HD22" i="27"/>
  <c r="HH22" i="27"/>
  <c r="HI22" i="27"/>
  <c r="HJ22" i="27"/>
  <c r="IC22" i="27"/>
  <c r="DP23" i="27"/>
  <c r="DQ23" i="27"/>
  <c r="FF23" i="27" s="1"/>
  <c r="DR23" i="27"/>
  <c r="FL23" i="27" s="1"/>
  <c r="DS23" i="27"/>
  <c r="FR23" i="27" s="1"/>
  <c r="DT23" i="27"/>
  <c r="DU23" i="27"/>
  <c r="GD23" i="27" s="1"/>
  <c r="DV23" i="27"/>
  <c r="GJ23" i="27" s="1"/>
  <c r="EB23" i="27"/>
  <c r="FA23" i="27" s="1"/>
  <c r="EC23" i="27"/>
  <c r="ED23" i="27"/>
  <c r="FM23" i="27" s="1"/>
  <c r="EE23" i="27"/>
  <c r="EF23" i="27"/>
  <c r="FY23" i="27" s="1"/>
  <c r="EG23" i="27"/>
  <c r="EH23" i="27"/>
  <c r="GK23" i="27" s="1"/>
  <c r="EN23" i="27"/>
  <c r="FB23" i="27" s="1"/>
  <c r="EO23" i="27"/>
  <c r="FH23" i="27" s="1"/>
  <c r="EP23" i="27"/>
  <c r="EQ23" i="27"/>
  <c r="FT23" i="27" s="1"/>
  <c r="ER23" i="27"/>
  <c r="ES23" i="27"/>
  <c r="GF23" i="27" s="1"/>
  <c r="ET23" i="27"/>
  <c r="EZ23" i="27"/>
  <c r="FG23" i="27"/>
  <c r="FN23" i="27"/>
  <c r="FX23" i="27"/>
  <c r="FZ23" i="27"/>
  <c r="GE23" i="27"/>
  <c r="GL23" i="27"/>
  <c r="GP23" i="27"/>
  <c r="GQ23" i="27"/>
  <c r="GR23" i="27"/>
  <c r="GV23" i="27"/>
  <c r="GW23" i="27"/>
  <c r="GX23" i="27"/>
  <c r="HB23" i="27"/>
  <c r="HC23" i="27"/>
  <c r="HD23" i="27"/>
  <c r="HH23" i="27"/>
  <c r="HI23" i="27"/>
  <c r="HJ23" i="27"/>
  <c r="IC23" i="27"/>
  <c r="DP24" i="27"/>
  <c r="EZ24" i="27" s="1"/>
  <c r="DQ24" i="27"/>
  <c r="FF24" i="27" s="1"/>
  <c r="DR24" i="27"/>
  <c r="FL24" i="27" s="1"/>
  <c r="DS24" i="27"/>
  <c r="FR24" i="27" s="1"/>
  <c r="DT24" i="27"/>
  <c r="DU24" i="27"/>
  <c r="DV24" i="27"/>
  <c r="GJ24" i="27" s="1"/>
  <c r="EB24" i="27"/>
  <c r="FA24" i="27" s="1"/>
  <c r="EC24" i="27"/>
  <c r="FG24" i="27" s="1"/>
  <c r="ED24" i="27"/>
  <c r="EE24" i="27"/>
  <c r="FS24" i="27" s="1"/>
  <c r="EF24" i="27"/>
  <c r="FY24" i="27" s="1"/>
  <c r="EG24" i="27"/>
  <c r="GE24" i="27" s="1"/>
  <c r="EH24" i="27"/>
  <c r="GK24" i="27" s="1"/>
  <c r="EN24" i="27"/>
  <c r="EO24" i="27"/>
  <c r="FH24" i="27" s="1"/>
  <c r="EP24" i="27"/>
  <c r="FN24" i="27" s="1"/>
  <c r="EQ24" i="27"/>
  <c r="FT24" i="27" s="1"/>
  <c r="ER24" i="27"/>
  <c r="FZ24" i="27" s="1"/>
  <c r="ES24" i="27"/>
  <c r="GF24" i="27" s="1"/>
  <c r="ET24" i="27"/>
  <c r="GL24" i="27" s="1"/>
  <c r="FB24" i="27"/>
  <c r="FM24" i="27"/>
  <c r="FX24" i="27"/>
  <c r="GD24" i="27"/>
  <c r="GP24" i="27"/>
  <c r="GQ24" i="27"/>
  <c r="GR24" i="27"/>
  <c r="GV24" i="27"/>
  <c r="GW24" i="27"/>
  <c r="GX24" i="27"/>
  <c r="HB24" i="27"/>
  <c r="HC24" i="27"/>
  <c r="HD24" i="27"/>
  <c r="HH24" i="27"/>
  <c r="HI24" i="27"/>
  <c r="HJ24" i="27"/>
  <c r="IC24" i="27"/>
  <c r="DP25" i="27"/>
  <c r="EZ25" i="27" s="1"/>
  <c r="DQ25" i="27"/>
  <c r="FF25" i="27" s="1"/>
  <c r="DR25" i="27"/>
  <c r="FL25" i="27" s="1"/>
  <c r="DS25" i="27"/>
  <c r="FR25" i="27" s="1"/>
  <c r="DT25" i="27"/>
  <c r="FX25" i="27" s="1"/>
  <c r="DU25" i="27"/>
  <c r="GD25" i="27" s="1"/>
  <c r="DV25" i="27"/>
  <c r="GJ25" i="27" s="1"/>
  <c r="EB25" i="27"/>
  <c r="EC25" i="27"/>
  <c r="FG25" i="27" s="1"/>
  <c r="ED25" i="27"/>
  <c r="FM25" i="27" s="1"/>
  <c r="EE25" i="27"/>
  <c r="FS25" i="27" s="1"/>
  <c r="EF25" i="27"/>
  <c r="FY25" i="27" s="1"/>
  <c r="EG25" i="27"/>
  <c r="GE25" i="27" s="1"/>
  <c r="EH25" i="27"/>
  <c r="GK25" i="27" s="1"/>
  <c r="EN25" i="27"/>
  <c r="EO25" i="27"/>
  <c r="FH25" i="27" s="1"/>
  <c r="EP25" i="27"/>
  <c r="FN25" i="27" s="1"/>
  <c r="EQ25" i="27"/>
  <c r="FT25" i="27" s="1"/>
  <c r="ER25" i="27"/>
  <c r="FZ25" i="27" s="1"/>
  <c r="ES25" i="27"/>
  <c r="ET25" i="27"/>
  <c r="GL25" i="27" s="1"/>
  <c r="FA25" i="27"/>
  <c r="GF25" i="27"/>
  <c r="GP25" i="27"/>
  <c r="GQ25" i="27"/>
  <c r="GR25" i="27"/>
  <c r="GV25" i="27"/>
  <c r="GW25" i="27"/>
  <c r="GX25" i="27"/>
  <c r="HB25" i="27"/>
  <c r="HC25" i="27"/>
  <c r="HD25" i="27"/>
  <c r="HH25" i="27"/>
  <c r="HI25" i="27"/>
  <c r="HJ25" i="27"/>
  <c r="IC25" i="27"/>
  <c r="DP26" i="27"/>
  <c r="EZ26" i="27" s="1"/>
  <c r="DQ26" i="27"/>
  <c r="DR26" i="27"/>
  <c r="FL26" i="27" s="1"/>
  <c r="DS26" i="27"/>
  <c r="FR26" i="27" s="1"/>
  <c r="DT26" i="27"/>
  <c r="FX26" i="27" s="1"/>
  <c r="DU26" i="27"/>
  <c r="GD26" i="27" s="1"/>
  <c r="DV26" i="27"/>
  <c r="GJ26" i="27" s="1"/>
  <c r="EB26" i="27"/>
  <c r="EC26" i="27"/>
  <c r="FG26" i="27" s="1"/>
  <c r="ED26" i="27"/>
  <c r="FM26" i="27" s="1"/>
  <c r="EE26" i="27"/>
  <c r="FS26" i="27" s="1"/>
  <c r="EF26" i="27"/>
  <c r="FY26" i="27" s="1"/>
  <c r="EG26" i="27"/>
  <c r="GE26" i="27" s="1"/>
  <c r="EH26" i="27"/>
  <c r="GK26" i="27" s="1"/>
  <c r="EN26" i="27"/>
  <c r="EO26" i="27"/>
  <c r="FH26" i="27" s="1"/>
  <c r="EP26" i="27"/>
  <c r="FN26" i="27" s="1"/>
  <c r="EQ26" i="27"/>
  <c r="FT26" i="27" s="1"/>
  <c r="ER26" i="27"/>
  <c r="FZ26" i="27" s="1"/>
  <c r="ES26" i="27"/>
  <c r="GF26" i="27" s="1"/>
  <c r="ET26" i="27"/>
  <c r="GL26" i="27" s="1"/>
  <c r="FF26" i="27"/>
  <c r="GP26" i="27"/>
  <c r="GQ26" i="27"/>
  <c r="GR26" i="27"/>
  <c r="GV26" i="27"/>
  <c r="GW26" i="27"/>
  <c r="GX26" i="27"/>
  <c r="HB26" i="27"/>
  <c r="HC26" i="27"/>
  <c r="HD26" i="27"/>
  <c r="HH26" i="27"/>
  <c r="HI26" i="27"/>
  <c r="HJ26" i="27"/>
  <c r="IC26" i="27"/>
  <c r="DP27" i="27"/>
  <c r="DQ27" i="27"/>
  <c r="FF27" i="27" s="1"/>
  <c r="DR27" i="27"/>
  <c r="FL27" i="27" s="1"/>
  <c r="DS27" i="27"/>
  <c r="FR27" i="27" s="1"/>
  <c r="DT27" i="27"/>
  <c r="DU27" i="27"/>
  <c r="GD27" i="27" s="1"/>
  <c r="DV27" i="27"/>
  <c r="EB27" i="27"/>
  <c r="EC27" i="27"/>
  <c r="ED27" i="27"/>
  <c r="FM27" i="27" s="1"/>
  <c r="EE27" i="27"/>
  <c r="FS27" i="27" s="1"/>
  <c r="EF27" i="27"/>
  <c r="FY27" i="27" s="1"/>
  <c r="EG27" i="27"/>
  <c r="EH27" i="27"/>
  <c r="GK27" i="27" s="1"/>
  <c r="EN27" i="27"/>
  <c r="EO27" i="27"/>
  <c r="FH27" i="27" s="1"/>
  <c r="EP27" i="27"/>
  <c r="EQ27" i="27"/>
  <c r="FT27" i="27" s="1"/>
  <c r="ER27" i="27"/>
  <c r="FZ27" i="27" s="1"/>
  <c r="ES27" i="27"/>
  <c r="GF27" i="27" s="1"/>
  <c r="ET27" i="27"/>
  <c r="EZ27" i="27"/>
  <c r="FG27" i="27"/>
  <c r="FN27" i="27"/>
  <c r="GE27" i="27"/>
  <c r="GJ27" i="27"/>
  <c r="GL27" i="27"/>
  <c r="GP27" i="27"/>
  <c r="GQ27" i="27"/>
  <c r="GR27" i="27"/>
  <c r="GV27" i="27"/>
  <c r="GW27" i="27"/>
  <c r="GX27" i="27"/>
  <c r="HB27" i="27"/>
  <c r="HC27" i="27"/>
  <c r="HD27" i="27"/>
  <c r="HH27" i="27"/>
  <c r="HI27" i="27"/>
  <c r="HJ27" i="27"/>
  <c r="IC27" i="27"/>
  <c r="DP28" i="27"/>
  <c r="DQ28" i="27"/>
  <c r="FF28" i="27" s="1"/>
  <c r="DR28" i="27"/>
  <c r="FL28" i="27" s="1"/>
  <c r="DS28" i="27"/>
  <c r="FR28" i="27" s="1"/>
  <c r="DT28" i="27"/>
  <c r="DU28" i="27"/>
  <c r="GD28" i="27" s="1"/>
  <c r="DV28" i="27"/>
  <c r="GJ28" i="27" s="1"/>
  <c r="EB28" i="27"/>
  <c r="FA28" i="27" s="1"/>
  <c r="EC28" i="27"/>
  <c r="FG28" i="27" s="1"/>
  <c r="ED28" i="27"/>
  <c r="FM28" i="27" s="1"/>
  <c r="EE28" i="27"/>
  <c r="EF28" i="27"/>
  <c r="FY28" i="27" s="1"/>
  <c r="EG28" i="27"/>
  <c r="GE28" i="27" s="1"/>
  <c r="EH28" i="27"/>
  <c r="GK28" i="27" s="1"/>
  <c r="EN28" i="27"/>
  <c r="EO28" i="27"/>
  <c r="FH28" i="27" s="1"/>
  <c r="EP28" i="27"/>
  <c r="FN28" i="27" s="1"/>
  <c r="EQ28" i="27"/>
  <c r="FT28" i="27" s="1"/>
  <c r="ER28" i="27"/>
  <c r="FZ28" i="27" s="1"/>
  <c r="ES28" i="27"/>
  <c r="GF28" i="27" s="1"/>
  <c r="ET28" i="27"/>
  <c r="FB28" i="27"/>
  <c r="FS28" i="27"/>
  <c r="FX28" i="27"/>
  <c r="GL28" i="27"/>
  <c r="GP28" i="27"/>
  <c r="GQ28" i="27"/>
  <c r="GR28" i="27"/>
  <c r="GV28" i="27"/>
  <c r="GW28" i="27"/>
  <c r="GX28" i="27"/>
  <c r="HB28" i="27"/>
  <c r="HC28" i="27"/>
  <c r="HD28" i="27"/>
  <c r="HH28" i="27"/>
  <c r="HI28" i="27"/>
  <c r="HJ28" i="27"/>
  <c r="IC28" i="27"/>
  <c r="DP29" i="27"/>
  <c r="DQ29" i="27"/>
  <c r="FF29" i="27" s="1"/>
  <c r="DR29" i="27"/>
  <c r="FL29" i="27" s="1"/>
  <c r="DS29" i="27"/>
  <c r="FR29" i="27" s="1"/>
  <c r="DT29" i="27"/>
  <c r="DU29" i="27"/>
  <c r="DV29" i="27"/>
  <c r="GJ29" i="27" s="1"/>
  <c r="EB29" i="27"/>
  <c r="EC29" i="27"/>
  <c r="FG29" i="27" s="1"/>
  <c r="ED29" i="27"/>
  <c r="EE29" i="27"/>
  <c r="FS29" i="27" s="1"/>
  <c r="EF29" i="27"/>
  <c r="FY29" i="27" s="1"/>
  <c r="EG29" i="27"/>
  <c r="GE29" i="27" s="1"/>
  <c r="EH29" i="27"/>
  <c r="GK29" i="27" s="1"/>
  <c r="EN29" i="27"/>
  <c r="EO29" i="27"/>
  <c r="FH29" i="27" s="1"/>
  <c r="EP29" i="27"/>
  <c r="EQ29" i="27"/>
  <c r="ER29" i="27"/>
  <c r="FZ29" i="27" s="1"/>
  <c r="ES29" i="27"/>
  <c r="GF29" i="27" s="1"/>
  <c r="ET29" i="27"/>
  <c r="EZ29" i="27"/>
  <c r="FB29" i="27"/>
  <c r="FM29" i="27"/>
  <c r="FN29" i="27"/>
  <c r="FT29" i="27"/>
  <c r="FX29" i="27"/>
  <c r="GD29" i="27"/>
  <c r="GL29" i="27"/>
  <c r="GP29" i="27"/>
  <c r="GQ29" i="27"/>
  <c r="GR29" i="27"/>
  <c r="GV29" i="27"/>
  <c r="GW29" i="27"/>
  <c r="GX29" i="27"/>
  <c r="HB29" i="27"/>
  <c r="HC29" i="27"/>
  <c r="HD29" i="27"/>
  <c r="HH29" i="27"/>
  <c r="HI29" i="27"/>
  <c r="HJ29" i="27"/>
  <c r="IC29" i="27"/>
  <c r="DP30" i="27"/>
  <c r="DQ30" i="27"/>
  <c r="FF30" i="27" s="1"/>
  <c r="DR30" i="27"/>
  <c r="FL30" i="27" s="1"/>
  <c r="DS30" i="27"/>
  <c r="FR30" i="27" s="1"/>
  <c r="DT30" i="27"/>
  <c r="FX30" i="27" s="1"/>
  <c r="DU30" i="27"/>
  <c r="GD30" i="27" s="1"/>
  <c r="DV30" i="27"/>
  <c r="GJ30" i="27" s="1"/>
  <c r="EB30" i="27"/>
  <c r="EC30" i="27"/>
  <c r="FG30" i="27" s="1"/>
  <c r="ED30" i="27"/>
  <c r="FM30" i="27" s="1"/>
  <c r="EE30" i="27"/>
  <c r="FS30" i="27" s="1"/>
  <c r="EF30" i="27"/>
  <c r="EG30" i="27"/>
  <c r="GE30" i="27" s="1"/>
  <c r="EH30" i="27"/>
  <c r="GK30" i="27" s="1"/>
  <c r="EN30" i="27"/>
  <c r="EO30" i="27"/>
  <c r="FH30" i="27" s="1"/>
  <c r="EP30" i="27"/>
  <c r="FN30" i="27" s="1"/>
  <c r="EQ30" i="27"/>
  <c r="FT30" i="27" s="1"/>
  <c r="ER30" i="27"/>
  <c r="FZ30" i="27" s="1"/>
  <c r="ES30" i="27"/>
  <c r="GF30" i="27" s="1"/>
  <c r="ET30" i="27"/>
  <c r="GL30" i="27" s="1"/>
  <c r="FA30" i="27"/>
  <c r="FY30" i="27"/>
  <c r="GP30" i="27"/>
  <c r="GQ30" i="27"/>
  <c r="GR30" i="27"/>
  <c r="GV30" i="27"/>
  <c r="GW30" i="27"/>
  <c r="GX30" i="27"/>
  <c r="HB30" i="27"/>
  <c r="HC30" i="27"/>
  <c r="HD30" i="27"/>
  <c r="HH30" i="27"/>
  <c r="HI30" i="27"/>
  <c r="HJ30" i="27"/>
  <c r="IC30" i="27"/>
  <c r="DP31" i="27"/>
  <c r="EZ31" i="27" s="1"/>
  <c r="DQ31" i="27"/>
  <c r="DR31" i="27"/>
  <c r="FL31" i="27" s="1"/>
  <c r="DS31" i="27"/>
  <c r="FR31" i="27" s="1"/>
  <c r="DT31" i="27"/>
  <c r="FX31" i="27" s="1"/>
  <c r="DU31" i="27"/>
  <c r="GD31" i="27" s="1"/>
  <c r="DV31" i="27"/>
  <c r="GJ31" i="27" s="1"/>
  <c r="EB31" i="27"/>
  <c r="FA31" i="27" s="1"/>
  <c r="EC31" i="27"/>
  <c r="FG31" i="27" s="1"/>
  <c r="ED31" i="27"/>
  <c r="FM31" i="27" s="1"/>
  <c r="EE31" i="27"/>
  <c r="FS31" i="27" s="1"/>
  <c r="EF31" i="27"/>
  <c r="FY31" i="27" s="1"/>
  <c r="EG31" i="27"/>
  <c r="GE31" i="27" s="1"/>
  <c r="EH31" i="27"/>
  <c r="GK31" i="27" s="1"/>
  <c r="EN31" i="27"/>
  <c r="FB31" i="27" s="1"/>
  <c r="EO31" i="27"/>
  <c r="FH31" i="27" s="1"/>
  <c r="EP31" i="27"/>
  <c r="EQ31" i="27"/>
  <c r="FT31" i="27" s="1"/>
  <c r="ER31" i="27"/>
  <c r="FZ31" i="27" s="1"/>
  <c r="ES31" i="27"/>
  <c r="GF31" i="27" s="1"/>
  <c r="ET31" i="27"/>
  <c r="GL31" i="27" s="1"/>
  <c r="FF31" i="27"/>
  <c r="FN31" i="27"/>
  <c r="GP31" i="27"/>
  <c r="GQ31" i="27"/>
  <c r="GR31" i="27"/>
  <c r="GV31" i="27"/>
  <c r="GW31" i="27"/>
  <c r="GX31" i="27"/>
  <c r="HB31" i="27"/>
  <c r="HC31" i="27"/>
  <c r="HD31" i="27"/>
  <c r="HH31" i="27"/>
  <c r="HI31" i="27"/>
  <c r="HJ31" i="27"/>
  <c r="IC31" i="27"/>
  <c r="DP32" i="27"/>
  <c r="DQ32" i="27"/>
  <c r="DR32" i="27"/>
  <c r="FL32" i="27" s="1"/>
  <c r="DS32" i="27"/>
  <c r="FR32" i="27" s="1"/>
  <c r="DT32" i="27"/>
  <c r="FX32" i="27" s="1"/>
  <c r="DU32" i="27"/>
  <c r="DV32" i="27"/>
  <c r="GJ32" i="27" s="1"/>
  <c r="EB32" i="27"/>
  <c r="FA32" i="27" s="1"/>
  <c r="EC32" i="27"/>
  <c r="ED32" i="27"/>
  <c r="FM32" i="27" s="1"/>
  <c r="EE32" i="27"/>
  <c r="EF32" i="27"/>
  <c r="FY32" i="27" s="1"/>
  <c r="EG32" i="27"/>
  <c r="EH32" i="27"/>
  <c r="GK32" i="27" s="1"/>
  <c r="EN32" i="27"/>
  <c r="FB32" i="27" s="1"/>
  <c r="EO32" i="27"/>
  <c r="FH32" i="27" s="1"/>
  <c r="EP32" i="27"/>
  <c r="FN32" i="27" s="1"/>
  <c r="EQ32" i="27"/>
  <c r="FT32" i="27" s="1"/>
  <c r="ER32" i="27"/>
  <c r="FZ32" i="27" s="1"/>
  <c r="ES32" i="27"/>
  <c r="GF32" i="27" s="1"/>
  <c r="ET32" i="27"/>
  <c r="FF32" i="27"/>
  <c r="FG32" i="27"/>
  <c r="GD32" i="27"/>
  <c r="GE32" i="27"/>
  <c r="GL32" i="27"/>
  <c r="GP32" i="27"/>
  <c r="GQ32" i="27"/>
  <c r="GR32" i="27"/>
  <c r="GV32" i="27"/>
  <c r="GW32" i="27"/>
  <c r="GX32" i="27"/>
  <c r="HB32" i="27"/>
  <c r="HC32" i="27"/>
  <c r="HD32" i="27"/>
  <c r="HH32" i="27"/>
  <c r="HI32" i="27"/>
  <c r="HJ32" i="27"/>
  <c r="IC32" i="27"/>
  <c r="DP33" i="27"/>
  <c r="EZ33" i="27" s="1"/>
  <c r="DQ33" i="27"/>
  <c r="FF33" i="27" s="1"/>
  <c r="DR33" i="27"/>
  <c r="FL33" i="27" s="1"/>
  <c r="DS33" i="27"/>
  <c r="FR33" i="27" s="1"/>
  <c r="DT33" i="27"/>
  <c r="FX33" i="27" s="1"/>
  <c r="DU33" i="27"/>
  <c r="GD33" i="27" s="1"/>
  <c r="DV33" i="27"/>
  <c r="GJ33" i="27" s="1"/>
  <c r="EB33" i="27"/>
  <c r="FA33" i="27" s="1"/>
  <c r="EC33" i="27"/>
  <c r="FG33" i="27" s="1"/>
  <c r="ED33" i="27"/>
  <c r="FM33" i="27" s="1"/>
  <c r="EE33" i="27"/>
  <c r="FS33" i="27" s="1"/>
  <c r="EF33" i="27"/>
  <c r="EG33" i="27"/>
  <c r="GE33" i="27" s="1"/>
  <c r="EH33" i="27"/>
  <c r="GK33" i="27" s="1"/>
  <c r="EN33" i="27"/>
  <c r="FB33" i="27" s="1"/>
  <c r="EO33" i="27"/>
  <c r="FH33" i="27" s="1"/>
  <c r="EP33" i="27"/>
  <c r="FN33" i="27" s="1"/>
  <c r="EQ33" i="27"/>
  <c r="FT33" i="27" s="1"/>
  <c r="ER33" i="27"/>
  <c r="FZ33" i="27" s="1"/>
  <c r="ES33" i="27"/>
  <c r="GF33" i="27" s="1"/>
  <c r="ET33" i="27"/>
  <c r="GL33" i="27" s="1"/>
  <c r="FY33" i="27"/>
  <c r="GP33" i="27"/>
  <c r="GQ33" i="27"/>
  <c r="GR33" i="27"/>
  <c r="GV33" i="27"/>
  <c r="GW33" i="27"/>
  <c r="GX33" i="27"/>
  <c r="HB33" i="27"/>
  <c r="HC33" i="27"/>
  <c r="HD33" i="27"/>
  <c r="HH33" i="27"/>
  <c r="HI33" i="27"/>
  <c r="HJ33" i="27"/>
  <c r="IC33" i="27"/>
  <c r="DP34" i="27"/>
  <c r="DQ34" i="27"/>
  <c r="FF34" i="27" s="1"/>
  <c r="DR34" i="27"/>
  <c r="FL34" i="27" s="1"/>
  <c r="DS34" i="27"/>
  <c r="FR34" i="27" s="1"/>
  <c r="DT34" i="27"/>
  <c r="FX34" i="27" s="1"/>
  <c r="DU34" i="27"/>
  <c r="GD34" i="27" s="1"/>
  <c r="DV34" i="27"/>
  <c r="GJ34" i="27" s="1"/>
  <c r="EB34" i="27"/>
  <c r="EC34" i="27"/>
  <c r="FG34" i="27" s="1"/>
  <c r="ED34" i="27"/>
  <c r="FM34" i="27" s="1"/>
  <c r="EE34" i="27"/>
  <c r="FS34" i="27" s="1"/>
  <c r="EF34" i="27"/>
  <c r="EG34" i="27"/>
  <c r="GE34" i="27" s="1"/>
  <c r="EH34" i="27"/>
  <c r="GK34" i="27" s="1"/>
  <c r="EN34" i="27"/>
  <c r="EO34" i="27"/>
  <c r="FH34" i="27" s="1"/>
  <c r="EP34" i="27"/>
  <c r="FN34" i="27" s="1"/>
  <c r="EQ34" i="27"/>
  <c r="FT34" i="27" s="1"/>
  <c r="ER34" i="27"/>
  <c r="FZ34" i="27" s="1"/>
  <c r="ES34" i="27"/>
  <c r="GF34" i="27" s="1"/>
  <c r="ET34" i="27"/>
  <c r="GL34" i="27" s="1"/>
  <c r="FY34" i="27"/>
  <c r="GP34" i="27"/>
  <c r="GQ34" i="27"/>
  <c r="GR34" i="27"/>
  <c r="GV34" i="27"/>
  <c r="GW34" i="27"/>
  <c r="GX34" i="27"/>
  <c r="HB34" i="27"/>
  <c r="HC34" i="27"/>
  <c r="HD34" i="27"/>
  <c r="HH34" i="27"/>
  <c r="HI34" i="27"/>
  <c r="HJ34" i="27"/>
  <c r="IC34" i="27"/>
  <c r="DP35" i="27"/>
  <c r="DQ35" i="27"/>
  <c r="DR35" i="27"/>
  <c r="FL35" i="27" s="1"/>
  <c r="DS35" i="27"/>
  <c r="FR35" i="27" s="1"/>
  <c r="DT35" i="27"/>
  <c r="DU35" i="27"/>
  <c r="GD35" i="27" s="1"/>
  <c r="DV35" i="27"/>
  <c r="GJ35" i="27" s="1"/>
  <c r="EB35" i="27"/>
  <c r="FA35" i="27" s="1"/>
  <c r="EC35" i="27"/>
  <c r="ED35" i="27"/>
  <c r="FM35" i="27" s="1"/>
  <c r="EE35" i="27"/>
  <c r="FS35" i="27" s="1"/>
  <c r="EF35" i="27"/>
  <c r="FY35" i="27" s="1"/>
  <c r="EG35" i="27"/>
  <c r="GE35" i="27" s="1"/>
  <c r="EH35" i="27"/>
  <c r="GK35" i="27" s="1"/>
  <c r="EN35" i="27"/>
  <c r="FB35" i="27" s="1"/>
  <c r="EO35" i="27"/>
  <c r="FH35" i="27" s="1"/>
  <c r="EP35" i="27"/>
  <c r="EQ35" i="27"/>
  <c r="FT35" i="27" s="1"/>
  <c r="ER35" i="27"/>
  <c r="FZ35" i="27" s="1"/>
  <c r="ES35" i="27"/>
  <c r="GF35" i="27" s="1"/>
  <c r="ET35" i="27"/>
  <c r="EZ35" i="27"/>
  <c r="FN35" i="27"/>
  <c r="FX35" i="27"/>
  <c r="GA35" i="27" s="1"/>
  <c r="GB35" i="27" s="1"/>
  <c r="GL35" i="27"/>
  <c r="GP35" i="27"/>
  <c r="GQ35" i="27"/>
  <c r="GR35" i="27"/>
  <c r="GV35" i="27"/>
  <c r="GW35" i="27"/>
  <c r="GX35" i="27"/>
  <c r="HB35" i="27"/>
  <c r="HC35" i="27"/>
  <c r="HD35" i="27"/>
  <c r="HH35" i="27"/>
  <c r="HI35" i="27"/>
  <c r="HJ35" i="27"/>
  <c r="IC35" i="27"/>
  <c r="DP36" i="27"/>
  <c r="EZ36" i="27" s="1"/>
  <c r="DQ36" i="27"/>
  <c r="FF36" i="27" s="1"/>
  <c r="DR36" i="27"/>
  <c r="DS36" i="27"/>
  <c r="FR36" i="27" s="1"/>
  <c r="DT36" i="27"/>
  <c r="FX36" i="27" s="1"/>
  <c r="DU36" i="27"/>
  <c r="GD36" i="27" s="1"/>
  <c r="DV36" i="27"/>
  <c r="GJ36" i="27" s="1"/>
  <c r="EB36" i="27"/>
  <c r="FA36" i="27" s="1"/>
  <c r="EC36" i="27"/>
  <c r="FG36" i="27" s="1"/>
  <c r="ED36" i="27"/>
  <c r="EE36" i="27"/>
  <c r="EF36" i="27"/>
  <c r="FY36" i="27" s="1"/>
  <c r="EG36" i="27"/>
  <c r="EH36" i="27"/>
  <c r="GK36" i="27" s="1"/>
  <c r="EN36" i="27"/>
  <c r="EO36" i="27"/>
  <c r="FH36" i="27" s="1"/>
  <c r="EP36" i="27"/>
  <c r="EQ36" i="27"/>
  <c r="FT36" i="27" s="1"/>
  <c r="ER36" i="27"/>
  <c r="ES36" i="27"/>
  <c r="GF36" i="27" s="1"/>
  <c r="ET36" i="27"/>
  <c r="GL36" i="27" s="1"/>
  <c r="FB36" i="27"/>
  <c r="FS36" i="27"/>
  <c r="FZ36" i="27"/>
  <c r="GE36" i="27"/>
  <c r="GP36" i="27"/>
  <c r="GQ36" i="27"/>
  <c r="GR36" i="27"/>
  <c r="GV36" i="27"/>
  <c r="GW36" i="27"/>
  <c r="GX36" i="27"/>
  <c r="HB36" i="27"/>
  <c r="HC36" i="27"/>
  <c r="HD36" i="27"/>
  <c r="HH36" i="27"/>
  <c r="HI36" i="27"/>
  <c r="HK36" i="27" s="1"/>
  <c r="HL36" i="27" s="1"/>
  <c r="HJ36" i="27"/>
  <c r="IC36" i="27"/>
  <c r="DP37" i="27"/>
  <c r="DQ37" i="27"/>
  <c r="FF37" i="27" s="1"/>
  <c r="DR37" i="27"/>
  <c r="FL37" i="27" s="1"/>
  <c r="DS37" i="27"/>
  <c r="DT37" i="27"/>
  <c r="FX37" i="27" s="1"/>
  <c r="DU37" i="27"/>
  <c r="GD37" i="27" s="1"/>
  <c r="DV37" i="27"/>
  <c r="GJ37" i="27" s="1"/>
  <c r="EB37" i="27"/>
  <c r="EC37" i="27"/>
  <c r="FG37" i="27" s="1"/>
  <c r="ED37" i="27"/>
  <c r="FM37" i="27" s="1"/>
  <c r="EE37" i="27"/>
  <c r="EF37" i="27"/>
  <c r="EG37" i="27"/>
  <c r="GE37" i="27" s="1"/>
  <c r="EH37" i="27"/>
  <c r="GK37" i="27" s="1"/>
  <c r="EN37" i="27"/>
  <c r="EO37" i="27"/>
  <c r="FH37" i="27" s="1"/>
  <c r="EP37" i="27"/>
  <c r="FN37" i="27" s="1"/>
  <c r="EQ37" i="27"/>
  <c r="FT37" i="27" s="1"/>
  <c r="ER37" i="27"/>
  <c r="FZ37" i="27" s="1"/>
  <c r="ES37" i="27"/>
  <c r="GF37" i="27" s="1"/>
  <c r="ET37" i="27"/>
  <c r="GL37" i="27" s="1"/>
  <c r="FA37" i="27"/>
  <c r="FB37" i="27"/>
  <c r="FR37" i="27"/>
  <c r="FS37" i="27"/>
  <c r="FY37" i="27"/>
  <c r="GP37" i="27"/>
  <c r="GQ37" i="27"/>
  <c r="GR37" i="27"/>
  <c r="GV37" i="27"/>
  <c r="GW37" i="27"/>
  <c r="GX37" i="27"/>
  <c r="HB37" i="27"/>
  <c r="HC37" i="27"/>
  <c r="HD37" i="27"/>
  <c r="HH37" i="27"/>
  <c r="HI37" i="27"/>
  <c r="HJ37" i="27"/>
  <c r="IC37" i="27"/>
  <c r="DP38" i="27"/>
  <c r="DQ38" i="27"/>
  <c r="FF38" i="27" s="1"/>
  <c r="DR38" i="27"/>
  <c r="FL38" i="27" s="1"/>
  <c r="DS38" i="27"/>
  <c r="FR38" i="27" s="1"/>
  <c r="DT38" i="27"/>
  <c r="FX38" i="27" s="1"/>
  <c r="DU38" i="27"/>
  <c r="GD38" i="27" s="1"/>
  <c r="DV38" i="27"/>
  <c r="EB38" i="27"/>
  <c r="FA38" i="27" s="1"/>
  <c r="EC38" i="27"/>
  <c r="FG38" i="27" s="1"/>
  <c r="ED38" i="27"/>
  <c r="EE38" i="27"/>
  <c r="EF38" i="27"/>
  <c r="FY38" i="27" s="1"/>
  <c r="EG38" i="27"/>
  <c r="GE38" i="27" s="1"/>
  <c r="EH38" i="27"/>
  <c r="EN38" i="27"/>
  <c r="EO38" i="27"/>
  <c r="FH38" i="27" s="1"/>
  <c r="EP38" i="27"/>
  <c r="FN38" i="27" s="1"/>
  <c r="EQ38" i="27"/>
  <c r="ER38" i="27"/>
  <c r="FZ38" i="27" s="1"/>
  <c r="ES38" i="27"/>
  <c r="GF38" i="27" s="1"/>
  <c r="ET38" i="27"/>
  <c r="GL38" i="27" s="1"/>
  <c r="FM38" i="27"/>
  <c r="FS38" i="27"/>
  <c r="FT38" i="27"/>
  <c r="GJ38" i="27"/>
  <c r="GK38" i="27"/>
  <c r="GP38" i="27"/>
  <c r="GQ38" i="27"/>
  <c r="GR38" i="27"/>
  <c r="GV38" i="27"/>
  <c r="GW38" i="27"/>
  <c r="GX38" i="27"/>
  <c r="HB38" i="27"/>
  <c r="HC38" i="27"/>
  <c r="HD38" i="27"/>
  <c r="HH38" i="27"/>
  <c r="HI38" i="27"/>
  <c r="HJ38" i="27"/>
  <c r="IC38" i="27"/>
  <c r="DP39" i="27"/>
  <c r="DQ39" i="27"/>
  <c r="FF39" i="27" s="1"/>
  <c r="DR39" i="27"/>
  <c r="DS39" i="27"/>
  <c r="FR39" i="27" s="1"/>
  <c r="DT39" i="27"/>
  <c r="FX39" i="27" s="1"/>
  <c r="DU39" i="27"/>
  <c r="GD39" i="27" s="1"/>
  <c r="DV39" i="27"/>
  <c r="EB39" i="27"/>
  <c r="FA39" i="27" s="1"/>
  <c r="EC39" i="27"/>
  <c r="FG39" i="27" s="1"/>
  <c r="ED39" i="27"/>
  <c r="FM39" i="27" s="1"/>
  <c r="EE39" i="27"/>
  <c r="EF39" i="27"/>
  <c r="FY39" i="27" s="1"/>
  <c r="EG39" i="27"/>
  <c r="GE39" i="27" s="1"/>
  <c r="EH39" i="27"/>
  <c r="GK39" i="27" s="1"/>
  <c r="EN39" i="27"/>
  <c r="FB39" i="27" s="1"/>
  <c r="EO39" i="27"/>
  <c r="FH39" i="27" s="1"/>
  <c r="EP39" i="27"/>
  <c r="EQ39" i="27"/>
  <c r="FT39" i="27" s="1"/>
  <c r="ER39" i="27"/>
  <c r="FZ39" i="27" s="1"/>
  <c r="ES39" i="27"/>
  <c r="GF39" i="27" s="1"/>
  <c r="ET39" i="27"/>
  <c r="GL39" i="27" s="1"/>
  <c r="FL39" i="27"/>
  <c r="FN39" i="27"/>
  <c r="FS39" i="27"/>
  <c r="GJ39" i="27"/>
  <c r="GP39" i="27"/>
  <c r="GQ39" i="27"/>
  <c r="GR39" i="27"/>
  <c r="GV39" i="27"/>
  <c r="GW39" i="27"/>
  <c r="GX39" i="27"/>
  <c r="HB39" i="27"/>
  <c r="HC39" i="27"/>
  <c r="HD39" i="27"/>
  <c r="HH39" i="27"/>
  <c r="HI39" i="27"/>
  <c r="HJ39" i="27"/>
  <c r="IC39" i="27"/>
  <c r="DP40" i="27"/>
  <c r="DQ40" i="27"/>
  <c r="DR40" i="27"/>
  <c r="FL40" i="27" s="1"/>
  <c r="DS40" i="27"/>
  <c r="FR40" i="27" s="1"/>
  <c r="DT40" i="27"/>
  <c r="DU40" i="27"/>
  <c r="GD40" i="27" s="1"/>
  <c r="DV40" i="27"/>
  <c r="GJ40" i="27" s="1"/>
  <c r="EB40" i="27"/>
  <c r="FA40" i="27" s="1"/>
  <c r="EC40" i="27"/>
  <c r="FG40" i="27" s="1"/>
  <c r="ED40" i="27"/>
  <c r="FM40" i="27" s="1"/>
  <c r="EE40" i="27"/>
  <c r="FS40" i="27" s="1"/>
  <c r="EF40" i="27"/>
  <c r="FY40" i="27" s="1"/>
  <c r="EG40" i="27"/>
  <c r="EH40" i="27"/>
  <c r="GK40" i="27" s="1"/>
  <c r="EN40" i="27"/>
  <c r="EO40" i="27"/>
  <c r="FH40" i="27" s="1"/>
  <c r="EP40" i="27"/>
  <c r="FN40" i="27" s="1"/>
  <c r="EQ40" i="27"/>
  <c r="FT40" i="27" s="1"/>
  <c r="ER40" i="27"/>
  <c r="FZ40" i="27" s="1"/>
  <c r="ES40" i="27"/>
  <c r="GF40" i="27" s="1"/>
  <c r="ET40" i="27"/>
  <c r="GL40" i="27" s="1"/>
  <c r="EZ40" i="27"/>
  <c r="FB40" i="27"/>
  <c r="FF40" i="27"/>
  <c r="FX40" i="27"/>
  <c r="GE40" i="27"/>
  <c r="GP40" i="27"/>
  <c r="GQ40" i="27"/>
  <c r="GR40" i="27"/>
  <c r="GV40" i="27"/>
  <c r="GW40" i="27"/>
  <c r="GX40" i="27"/>
  <c r="HB40" i="27"/>
  <c r="HC40" i="27"/>
  <c r="HD40" i="27"/>
  <c r="HH40" i="27"/>
  <c r="HI40" i="27"/>
  <c r="HJ40" i="27"/>
  <c r="IC40" i="27"/>
  <c r="DP41" i="27"/>
  <c r="EZ41" i="27" s="1"/>
  <c r="DQ41" i="27"/>
  <c r="FF41" i="27" s="1"/>
  <c r="DR41" i="27"/>
  <c r="FL41" i="27" s="1"/>
  <c r="DS41" i="27"/>
  <c r="FR41" i="27" s="1"/>
  <c r="DT41" i="27"/>
  <c r="FX41" i="27" s="1"/>
  <c r="DU41" i="27"/>
  <c r="GD41" i="27" s="1"/>
  <c r="DV41" i="27"/>
  <c r="GJ41" i="27" s="1"/>
  <c r="EB41" i="27"/>
  <c r="FA41" i="27" s="1"/>
  <c r="EC41" i="27"/>
  <c r="FG41" i="27" s="1"/>
  <c r="ED41" i="27"/>
  <c r="FM41" i="27" s="1"/>
  <c r="EE41" i="27"/>
  <c r="FS41" i="27" s="1"/>
  <c r="EF41" i="27"/>
  <c r="FY41" i="27" s="1"/>
  <c r="EG41" i="27"/>
  <c r="GE41" i="27" s="1"/>
  <c r="EH41" i="27"/>
  <c r="GK41" i="27" s="1"/>
  <c r="EN41" i="27"/>
  <c r="EO41" i="27"/>
  <c r="EP41" i="27"/>
  <c r="FN41" i="27" s="1"/>
  <c r="EQ41" i="27"/>
  <c r="FT41" i="27" s="1"/>
  <c r="ER41" i="27"/>
  <c r="ES41" i="27"/>
  <c r="GF41" i="27" s="1"/>
  <c r="ET41" i="27"/>
  <c r="GL41" i="27" s="1"/>
  <c r="FH41" i="27"/>
  <c r="FZ41" i="27"/>
  <c r="GP41" i="27"/>
  <c r="GQ41" i="27"/>
  <c r="GR41" i="27"/>
  <c r="GV41" i="27"/>
  <c r="GW41" i="27"/>
  <c r="GX41" i="27"/>
  <c r="HB41" i="27"/>
  <c r="HC41" i="27"/>
  <c r="HD41" i="27"/>
  <c r="HH41" i="27"/>
  <c r="HI41" i="27"/>
  <c r="HJ41" i="27"/>
  <c r="IC41" i="27"/>
  <c r="DP42" i="27"/>
  <c r="EZ42" i="27" s="1"/>
  <c r="DQ42" i="27"/>
  <c r="FF42" i="27" s="1"/>
  <c r="DR42" i="27"/>
  <c r="FL42" i="27" s="1"/>
  <c r="DS42" i="27"/>
  <c r="FR42" i="27" s="1"/>
  <c r="DT42" i="27"/>
  <c r="FX42" i="27" s="1"/>
  <c r="DU42" i="27"/>
  <c r="GD42" i="27" s="1"/>
  <c r="DV42" i="27"/>
  <c r="GJ42" i="27" s="1"/>
  <c r="EB42" i="27"/>
  <c r="FA42" i="27" s="1"/>
  <c r="EC42" i="27"/>
  <c r="FG42" i="27" s="1"/>
  <c r="ED42" i="27"/>
  <c r="FM42" i="27" s="1"/>
  <c r="EE42" i="27"/>
  <c r="EF42" i="27"/>
  <c r="FY42" i="27" s="1"/>
  <c r="EG42" i="27"/>
  <c r="GE42" i="27" s="1"/>
  <c r="EH42" i="27"/>
  <c r="GK42" i="27" s="1"/>
  <c r="EN42" i="27"/>
  <c r="FB42" i="27" s="1"/>
  <c r="EO42" i="27"/>
  <c r="EP42" i="27"/>
  <c r="EQ42" i="27"/>
  <c r="FT42" i="27" s="1"/>
  <c r="ER42" i="27"/>
  <c r="FZ42" i="27" s="1"/>
  <c r="ES42" i="27"/>
  <c r="ET42" i="27"/>
  <c r="GL42" i="27" s="1"/>
  <c r="FH42" i="27"/>
  <c r="FN42" i="27"/>
  <c r="GF42" i="27"/>
  <c r="GP42" i="27"/>
  <c r="GQ42" i="27"/>
  <c r="GR42" i="27"/>
  <c r="GV42" i="27"/>
  <c r="GW42" i="27"/>
  <c r="GX42" i="27"/>
  <c r="HB42" i="27"/>
  <c r="HC42" i="27"/>
  <c r="HD42" i="27"/>
  <c r="HH42" i="27"/>
  <c r="HI42" i="27"/>
  <c r="HJ42" i="27"/>
  <c r="IC42" i="27"/>
  <c r="IC8" i="27"/>
  <c r="GX9" i="36"/>
  <c r="GX10" i="36"/>
  <c r="GX11" i="36"/>
  <c r="GX12" i="36"/>
  <c r="GX13" i="36"/>
  <c r="GX14" i="36"/>
  <c r="GX15" i="36"/>
  <c r="GX16" i="36"/>
  <c r="GX17" i="36"/>
  <c r="GX18" i="36"/>
  <c r="GX19" i="36"/>
  <c r="GX20" i="36"/>
  <c r="GX21" i="36"/>
  <c r="GX22" i="36"/>
  <c r="GX23" i="36"/>
  <c r="GX24" i="36"/>
  <c r="GX25" i="36"/>
  <c r="GX26" i="36"/>
  <c r="GX27" i="36"/>
  <c r="GX28" i="36"/>
  <c r="GX29" i="36"/>
  <c r="GX30" i="36"/>
  <c r="GX31" i="36"/>
  <c r="GX32" i="36"/>
  <c r="GX33" i="36"/>
  <c r="GX34" i="36"/>
  <c r="GX35" i="36"/>
  <c r="GX36" i="36"/>
  <c r="GX37" i="36"/>
  <c r="GX38" i="36"/>
  <c r="GX39" i="36"/>
  <c r="GX40" i="36"/>
  <c r="GX41" i="36"/>
  <c r="GX42" i="36"/>
  <c r="GX8" i="36"/>
  <c r="IR9" i="34"/>
  <c r="IR10" i="34"/>
  <c r="IR11" i="34"/>
  <c r="IR12" i="34"/>
  <c r="IR13" i="34"/>
  <c r="IR14" i="34"/>
  <c r="IR15" i="34"/>
  <c r="IR16" i="34"/>
  <c r="IR17" i="34"/>
  <c r="IR18" i="34"/>
  <c r="IR19" i="34"/>
  <c r="IR20" i="34"/>
  <c r="IR21" i="34"/>
  <c r="IR22" i="34"/>
  <c r="IR23" i="34"/>
  <c r="IR24" i="34"/>
  <c r="IR25" i="34"/>
  <c r="IR26" i="34"/>
  <c r="IR27" i="34"/>
  <c r="IR28" i="34"/>
  <c r="IR29" i="34"/>
  <c r="IR30" i="34"/>
  <c r="IR31" i="34"/>
  <c r="IR32" i="34"/>
  <c r="IR33" i="34"/>
  <c r="IR34" i="34"/>
  <c r="IR35" i="34"/>
  <c r="IR36" i="34"/>
  <c r="IR37" i="34"/>
  <c r="IR38" i="34"/>
  <c r="IR39" i="34"/>
  <c r="IR40" i="34"/>
  <c r="IR41" i="34"/>
  <c r="IR42" i="34"/>
  <c r="IR8" i="34"/>
  <c r="BD9" i="26"/>
  <c r="BE9" i="26"/>
  <c r="BF9" i="26"/>
  <c r="DC9" i="26" s="1"/>
  <c r="BG9" i="26"/>
  <c r="DI9" i="26" s="1"/>
  <c r="BH9" i="26"/>
  <c r="DO9" i="26" s="1"/>
  <c r="BI9" i="26"/>
  <c r="BJ9" i="26"/>
  <c r="EA9" i="26" s="1"/>
  <c r="BK9" i="26"/>
  <c r="EG9" i="26" s="1"/>
  <c r="BL9" i="26"/>
  <c r="EM9" i="26" s="1"/>
  <c r="BM9" i="26"/>
  <c r="BN9" i="26"/>
  <c r="EY9" i="26" s="1"/>
  <c r="BO9" i="26"/>
  <c r="FE9" i="26" s="1"/>
  <c r="BQ9" i="26"/>
  <c r="CR9" i="26" s="1"/>
  <c r="BR9" i="26"/>
  <c r="BS9" i="26"/>
  <c r="BT9" i="26"/>
  <c r="BU9" i="26"/>
  <c r="DP9" i="26" s="1"/>
  <c r="BV9" i="26"/>
  <c r="BW9" i="26"/>
  <c r="EB9" i="26" s="1"/>
  <c r="BX9" i="26"/>
  <c r="BY9" i="26"/>
  <c r="EN9" i="26" s="1"/>
  <c r="BZ9" i="26"/>
  <c r="CA9" i="26"/>
  <c r="EZ9" i="26" s="1"/>
  <c r="CB9" i="26"/>
  <c r="CD9" i="26"/>
  <c r="CS9" i="26" s="1"/>
  <c r="CE9" i="26"/>
  <c r="CF9" i="26"/>
  <c r="CG9" i="26"/>
  <c r="CH9" i="26"/>
  <c r="DQ9" i="26" s="1"/>
  <c r="CI9" i="26"/>
  <c r="DW9" i="26" s="1"/>
  <c r="CJ9" i="26"/>
  <c r="EC9" i="26" s="1"/>
  <c r="CK9" i="26"/>
  <c r="CL9" i="26"/>
  <c r="EO9" i="26" s="1"/>
  <c r="CM9" i="26"/>
  <c r="EU9" i="26" s="1"/>
  <c r="CN9" i="26"/>
  <c r="CO9" i="26"/>
  <c r="CQ9" i="26"/>
  <c r="CW9" i="26"/>
  <c r="CX9" i="26"/>
  <c r="CY9" i="26"/>
  <c r="DE9" i="26"/>
  <c r="DJ9" i="26"/>
  <c r="DK9" i="26"/>
  <c r="DU9" i="26"/>
  <c r="DV9" i="26"/>
  <c r="EH9" i="26"/>
  <c r="EI9" i="26"/>
  <c r="ES9" i="26"/>
  <c r="ET9" i="26"/>
  <c r="FA9" i="26"/>
  <c r="FF9" i="26"/>
  <c r="GA9" i="26"/>
  <c r="BD10" i="26"/>
  <c r="CQ10" i="26" s="1"/>
  <c r="BE10" i="26"/>
  <c r="CW10" i="26" s="1"/>
  <c r="BF10" i="26"/>
  <c r="BG10" i="26"/>
  <c r="DI10" i="26" s="1"/>
  <c r="BH10" i="26"/>
  <c r="DO10" i="26" s="1"/>
  <c r="BI10" i="26"/>
  <c r="BJ10" i="26"/>
  <c r="EA10" i="26" s="1"/>
  <c r="BK10" i="26"/>
  <c r="EG10" i="26" s="1"/>
  <c r="BL10" i="26"/>
  <c r="EM10" i="26" s="1"/>
  <c r="BM10" i="26"/>
  <c r="ES10" i="26" s="1"/>
  <c r="BN10" i="26"/>
  <c r="EY10" i="26" s="1"/>
  <c r="BO10" i="26"/>
  <c r="BQ10" i="26"/>
  <c r="BR10" i="26"/>
  <c r="BS10" i="26"/>
  <c r="BT10" i="26"/>
  <c r="BU10" i="26"/>
  <c r="BV10" i="26"/>
  <c r="DV10" i="26" s="1"/>
  <c r="BW10" i="26"/>
  <c r="BX10" i="26"/>
  <c r="EH10" i="26" s="1"/>
  <c r="BY10" i="26"/>
  <c r="BZ10" i="26"/>
  <c r="CA10" i="26"/>
  <c r="CB10" i="26"/>
  <c r="FF10" i="26" s="1"/>
  <c r="CD10" i="26"/>
  <c r="CS10" i="26" s="1"/>
  <c r="CE10" i="26"/>
  <c r="CF10" i="26"/>
  <c r="DE10" i="26" s="1"/>
  <c r="CG10" i="26"/>
  <c r="DK10" i="26" s="1"/>
  <c r="CH10" i="26"/>
  <c r="DQ10" i="26" s="1"/>
  <c r="CI10" i="26"/>
  <c r="DW10" i="26" s="1"/>
  <c r="CJ10" i="26"/>
  <c r="EC10" i="26" s="1"/>
  <c r="CK10" i="26"/>
  <c r="EI10" i="26" s="1"/>
  <c r="CL10" i="26"/>
  <c r="EO10" i="26" s="1"/>
  <c r="CM10" i="26"/>
  <c r="EU10" i="26" s="1"/>
  <c r="CN10" i="26"/>
  <c r="FA10" i="26" s="1"/>
  <c r="CO10" i="26"/>
  <c r="CR10" i="26"/>
  <c r="CX10" i="26"/>
  <c r="DD10" i="26"/>
  <c r="DJ10" i="26"/>
  <c r="DP10" i="26"/>
  <c r="DU10" i="26"/>
  <c r="EB10" i="26"/>
  <c r="ED10" i="26"/>
  <c r="EE10" i="26" s="1"/>
  <c r="EN10" i="26"/>
  <c r="EP10" i="26" s="1"/>
  <c r="EQ10" i="26" s="1"/>
  <c r="ET10" i="26"/>
  <c r="EZ10" i="26"/>
  <c r="FB10" i="26" s="1"/>
  <c r="FC10" i="26" s="1"/>
  <c r="FE10" i="26"/>
  <c r="GA10" i="26"/>
  <c r="BD11" i="26"/>
  <c r="BE11" i="26"/>
  <c r="BF11" i="26"/>
  <c r="DC11" i="26" s="1"/>
  <c r="BG11" i="26"/>
  <c r="BH11" i="26"/>
  <c r="DO11" i="26" s="1"/>
  <c r="BI11" i="26"/>
  <c r="DU11" i="26" s="1"/>
  <c r="BJ11" i="26"/>
  <c r="BK11" i="26"/>
  <c r="BL11" i="26"/>
  <c r="BM11" i="26"/>
  <c r="ES11" i="26" s="1"/>
  <c r="BN11" i="26"/>
  <c r="EY11" i="26" s="1"/>
  <c r="BO11" i="26"/>
  <c r="BQ11" i="26"/>
  <c r="CR11" i="26" s="1"/>
  <c r="BR11" i="26"/>
  <c r="BS11" i="26"/>
  <c r="DD11" i="26" s="1"/>
  <c r="BT11" i="26"/>
  <c r="DJ11" i="26" s="1"/>
  <c r="BU11" i="26"/>
  <c r="DP11" i="26" s="1"/>
  <c r="BV11" i="26"/>
  <c r="BW11" i="26"/>
  <c r="EB11" i="26" s="1"/>
  <c r="BX11" i="26"/>
  <c r="EH11" i="26" s="1"/>
  <c r="BY11" i="26"/>
  <c r="EN11" i="26" s="1"/>
  <c r="BZ11" i="26"/>
  <c r="CA11" i="26"/>
  <c r="EZ11" i="26" s="1"/>
  <c r="CB11" i="26"/>
  <c r="FF11" i="26" s="1"/>
  <c r="CD11" i="26"/>
  <c r="CS11" i="26" s="1"/>
  <c r="CE11" i="26"/>
  <c r="CF11" i="26"/>
  <c r="DE11" i="26" s="1"/>
  <c r="CG11" i="26"/>
  <c r="DK11" i="26" s="1"/>
  <c r="CH11" i="26"/>
  <c r="DQ11" i="26" s="1"/>
  <c r="CI11" i="26"/>
  <c r="CJ11" i="26"/>
  <c r="EC11" i="26" s="1"/>
  <c r="CK11" i="26"/>
  <c r="EI11" i="26" s="1"/>
  <c r="CL11" i="26"/>
  <c r="EO11" i="26" s="1"/>
  <c r="CM11" i="26"/>
  <c r="CN11" i="26"/>
  <c r="FA11" i="26" s="1"/>
  <c r="CO11" i="26"/>
  <c r="CQ11" i="26"/>
  <c r="CT11" i="26" s="1"/>
  <c r="CU11" i="26" s="1"/>
  <c r="CX11" i="26"/>
  <c r="CY11" i="26"/>
  <c r="DI11" i="26"/>
  <c r="DV11" i="26"/>
  <c r="DW11" i="26"/>
  <c r="EA11" i="26"/>
  <c r="ED11" i="26" s="1"/>
  <c r="EE11" i="26" s="1"/>
  <c r="EG11" i="26"/>
  <c r="EM11" i="26"/>
  <c r="ET11" i="26"/>
  <c r="EU11" i="26"/>
  <c r="FE11" i="26"/>
  <c r="GA11" i="26"/>
  <c r="BD12" i="26"/>
  <c r="CQ12" i="26" s="1"/>
  <c r="BE12" i="26"/>
  <c r="BF12" i="26"/>
  <c r="DC12" i="26" s="1"/>
  <c r="BG12" i="26"/>
  <c r="DI12" i="26" s="1"/>
  <c r="BH12" i="26"/>
  <c r="DO12" i="26" s="1"/>
  <c r="BI12" i="26"/>
  <c r="DU12" i="26" s="1"/>
  <c r="BJ12" i="26"/>
  <c r="EA12" i="26" s="1"/>
  <c r="BK12" i="26"/>
  <c r="BL12" i="26"/>
  <c r="EM12" i="26" s="1"/>
  <c r="BM12" i="26"/>
  <c r="BN12" i="26"/>
  <c r="EY12" i="26" s="1"/>
  <c r="BO12" i="26"/>
  <c r="FE12" i="26" s="1"/>
  <c r="BQ12" i="26"/>
  <c r="BR12" i="26"/>
  <c r="BS12" i="26"/>
  <c r="BT12" i="26"/>
  <c r="DJ12" i="26" s="1"/>
  <c r="BU12" i="26"/>
  <c r="BV12" i="26"/>
  <c r="BW12" i="26"/>
  <c r="EB12" i="26" s="1"/>
  <c r="BX12" i="26"/>
  <c r="EH12" i="26" s="1"/>
  <c r="BY12" i="26"/>
  <c r="EN12" i="26" s="1"/>
  <c r="BZ12" i="26"/>
  <c r="CA12" i="26"/>
  <c r="CB12" i="26"/>
  <c r="FF12" i="26" s="1"/>
  <c r="CD12" i="26"/>
  <c r="CS12" i="26" s="1"/>
  <c r="CE12" i="26"/>
  <c r="CF12" i="26"/>
  <c r="CG12" i="26"/>
  <c r="CH12" i="26"/>
  <c r="DQ12" i="26" s="1"/>
  <c r="CI12" i="26"/>
  <c r="CJ12" i="26"/>
  <c r="EC12" i="26" s="1"/>
  <c r="CK12" i="26"/>
  <c r="CL12" i="26"/>
  <c r="EO12" i="26" s="1"/>
  <c r="CM12" i="26"/>
  <c r="CN12" i="26"/>
  <c r="FA12" i="26" s="1"/>
  <c r="CO12" i="26"/>
  <c r="CR12" i="26"/>
  <c r="CW12" i="26"/>
  <c r="CX12" i="26"/>
  <c r="CY12" i="26"/>
  <c r="DD12" i="26"/>
  <c r="DK12" i="26"/>
  <c r="DP12" i="26"/>
  <c r="DV12" i="26"/>
  <c r="DW12" i="26"/>
  <c r="DX12" i="26" s="1"/>
  <c r="DY12" i="26" s="1"/>
  <c r="DZ12" i="26" s="1"/>
  <c r="FQ12" i="26" s="1"/>
  <c r="EG12" i="26"/>
  <c r="EI12" i="26"/>
  <c r="EJ12" i="26"/>
  <c r="EK12" i="26" s="1"/>
  <c r="ES12" i="26"/>
  <c r="ET12" i="26"/>
  <c r="EU12" i="26"/>
  <c r="EZ12" i="26"/>
  <c r="GA12" i="26"/>
  <c r="BD13" i="26"/>
  <c r="BE13" i="26"/>
  <c r="BF13" i="26"/>
  <c r="BG13" i="26"/>
  <c r="DI13" i="26" s="1"/>
  <c r="BH13" i="26"/>
  <c r="BI13" i="26"/>
  <c r="DU13" i="26" s="1"/>
  <c r="BJ13" i="26"/>
  <c r="BK13" i="26"/>
  <c r="EG13" i="26" s="1"/>
  <c r="BL13" i="26"/>
  <c r="BM13" i="26"/>
  <c r="ES13" i="26" s="1"/>
  <c r="BN13" i="26"/>
  <c r="BO13" i="26"/>
  <c r="FE13" i="26" s="1"/>
  <c r="BQ13" i="26"/>
  <c r="CR13" i="26" s="1"/>
  <c r="BR13" i="26"/>
  <c r="CX13" i="26" s="1"/>
  <c r="BS13" i="26"/>
  <c r="BT13" i="26"/>
  <c r="DJ13" i="26" s="1"/>
  <c r="BU13" i="26"/>
  <c r="DP13" i="26" s="1"/>
  <c r="BV13" i="26"/>
  <c r="DV13" i="26" s="1"/>
  <c r="BW13" i="26"/>
  <c r="EB13" i="26" s="1"/>
  <c r="BX13" i="26"/>
  <c r="EH13" i="26" s="1"/>
  <c r="BY13" i="26"/>
  <c r="EN13" i="26" s="1"/>
  <c r="BZ13" i="26"/>
  <c r="ET13" i="26" s="1"/>
  <c r="CA13" i="26"/>
  <c r="EZ13" i="26" s="1"/>
  <c r="CB13" i="26"/>
  <c r="FF13" i="26" s="1"/>
  <c r="CD13" i="26"/>
  <c r="CE13" i="26"/>
  <c r="CF13" i="26"/>
  <c r="CG13" i="26"/>
  <c r="DK13" i="26" s="1"/>
  <c r="CH13" i="26"/>
  <c r="CI13" i="26"/>
  <c r="DW13" i="26" s="1"/>
  <c r="CJ13" i="26"/>
  <c r="CK13" i="26"/>
  <c r="CL13" i="26"/>
  <c r="CM13" i="26"/>
  <c r="EU13" i="26" s="1"/>
  <c r="CN13" i="26"/>
  <c r="CO13" i="26"/>
  <c r="CQ13" i="26"/>
  <c r="CS13" i="26"/>
  <c r="DC13" i="26"/>
  <c r="DE13" i="26"/>
  <c r="DO13" i="26"/>
  <c r="DQ13" i="26"/>
  <c r="EA13" i="26"/>
  <c r="EC13" i="26"/>
  <c r="EI13" i="26"/>
  <c r="EM13" i="26"/>
  <c r="EO13" i="26"/>
  <c r="EY13" i="26"/>
  <c r="FA13" i="26"/>
  <c r="GA13" i="26"/>
  <c r="BD14" i="26"/>
  <c r="CQ14" i="26" s="1"/>
  <c r="BE14" i="26"/>
  <c r="CW14" i="26" s="1"/>
  <c r="BF14" i="26"/>
  <c r="BG14" i="26"/>
  <c r="DI14" i="26" s="1"/>
  <c r="BH14" i="26"/>
  <c r="DO14" i="26" s="1"/>
  <c r="BI14" i="26"/>
  <c r="BJ14" i="26"/>
  <c r="EA14" i="26" s="1"/>
  <c r="BK14" i="26"/>
  <c r="EG14" i="26" s="1"/>
  <c r="BL14" i="26"/>
  <c r="EM14" i="26" s="1"/>
  <c r="BM14" i="26"/>
  <c r="ES14" i="26" s="1"/>
  <c r="BN14" i="26"/>
  <c r="EY14" i="26" s="1"/>
  <c r="BO14" i="26"/>
  <c r="FE14" i="26" s="1"/>
  <c r="BQ14" i="26"/>
  <c r="BR14" i="26"/>
  <c r="BS14" i="26"/>
  <c r="BT14" i="26"/>
  <c r="BU14" i="26"/>
  <c r="BV14" i="26"/>
  <c r="DV14" i="26" s="1"/>
  <c r="BW14" i="26"/>
  <c r="BX14" i="26"/>
  <c r="EH14" i="26" s="1"/>
  <c r="BY14" i="26"/>
  <c r="EN14" i="26" s="1"/>
  <c r="BZ14" i="26"/>
  <c r="ET14" i="26" s="1"/>
  <c r="CA14" i="26"/>
  <c r="EZ14" i="26" s="1"/>
  <c r="CB14" i="26"/>
  <c r="FF14" i="26" s="1"/>
  <c r="CD14" i="26"/>
  <c r="CS14" i="26" s="1"/>
  <c r="CE14" i="26"/>
  <c r="CF14" i="26"/>
  <c r="DE14" i="26" s="1"/>
  <c r="CG14" i="26"/>
  <c r="DK14" i="26" s="1"/>
  <c r="CH14" i="26"/>
  <c r="DQ14" i="26" s="1"/>
  <c r="CI14" i="26"/>
  <c r="DW14" i="26" s="1"/>
  <c r="CJ14" i="26"/>
  <c r="EC14" i="26" s="1"/>
  <c r="CK14" i="26"/>
  <c r="EI14" i="26" s="1"/>
  <c r="CL14" i="26"/>
  <c r="EO14" i="26" s="1"/>
  <c r="CM14" i="26"/>
  <c r="EU14" i="26" s="1"/>
  <c r="CN14" i="26"/>
  <c r="FA14" i="26" s="1"/>
  <c r="CO14" i="26"/>
  <c r="CR14" i="26"/>
  <c r="CX14" i="26"/>
  <c r="DD14" i="26"/>
  <c r="DJ14" i="26"/>
  <c r="DP14" i="26"/>
  <c r="DU14" i="26"/>
  <c r="EB14" i="26"/>
  <c r="FB14" i="26"/>
  <c r="FC14" i="26" s="1"/>
  <c r="GA14" i="26"/>
  <c r="BD15" i="26"/>
  <c r="CQ15" i="26" s="1"/>
  <c r="BE15" i="26"/>
  <c r="BF15" i="26"/>
  <c r="DC15" i="26" s="1"/>
  <c r="BG15" i="26"/>
  <c r="BH15" i="26"/>
  <c r="DO15" i="26" s="1"/>
  <c r="BI15" i="26"/>
  <c r="DU15" i="26" s="1"/>
  <c r="BJ15" i="26"/>
  <c r="EA15" i="26" s="1"/>
  <c r="BK15" i="26"/>
  <c r="BL15" i="26"/>
  <c r="EM15" i="26" s="1"/>
  <c r="BM15" i="26"/>
  <c r="BN15" i="26"/>
  <c r="BO15" i="26"/>
  <c r="BQ15" i="26"/>
  <c r="CR15" i="26" s="1"/>
  <c r="BR15" i="26"/>
  <c r="BS15" i="26"/>
  <c r="DD15" i="26" s="1"/>
  <c r="BT15" i="26"/>
  <c r="BU15" i="26"/>
  <c r="DP15" i="26" s="1"/>
  <c r="BV15" i="26"/>
  <c r="BW15" i="26"/>
  <c r="EB15" i="26" s="1"/>
  <c r="BX15" i="26"/>
  <c r="BY15" i="26"/>
  <c r="EN15" i="26" s="1"/>
  <c r="BZ15" i="26"/>
  <c r="CA15" i="26"/>
  <c r="EZ15" i="26" s="1"/>
  <c r="CB15" i="26"/>
  <c r="CC15" i="26"/>
  <c r="CD15" i="26"/>
  <c r="CE15" i="26"/>
  <c r="CY15" i="26" s="1"/>
  <c r="CF15" i="26"/>
  <c r="CG15" i="26"/>
  <c r="DK15" i="26" s="1"/>
  <c r="CH15" i="26"/>
  <c r="CI15" i="26"/>
  <c r="DW15" i="26" s="1"/>
  <c r="CJ15" i="26"/>
  <c r="CK15" i="26"/>
  <c r="EI15" i="26" s="1"/>
  <c r="CL15" i="26"/>
  <c r="CM15" i="26"/>
  <c r="EU15" i="26" s="1"/>
  <c r="CN15" i="26"/>
  <c r="CO15" i="26"/>
  <c r="CS15" i="26"/>
  <c r="CX15" i="26"/>
  <c r="DE15" i="26"/>
  <c r="DI15" i="26"/>
  <c r="DJ15" i="26"/>
  <c r="DQ15" i="26"/>
  <c r="DV15" i="26"/>
  <c r="EC15" i="26"/>
  <c r="EG15" i="26"/>
  <c r="EH15" i="26"/>
  <c r="EO15" i="26"/>
  <c r="ES15" i="26"/>
  <c r="ET15" i="26"/>
  <c r="EY15" i="26"/>
  <c r="FB15" i="26" s="1"/>
  <c r="FC15" i="26" s="1"/>
  <c r="FA15" i="26"/>
  <c r="FE15" i="26"/>
  <c r="FF15" i="26"/>
  <c r="GA15" i="26"/>
  <c r="BD16" i="26"/>
  <c r="CQ16" i="26" s="1"/>
  <c r="BE16" i="26"/>
  <c r="BF16" i="26"/>
  <c r="DC16" i="26" s="1"/>
  <c r="BG16" i="26"/>
  <c r="DI16" i="26" s="1"/>
  <c r="BH16" i="26"/>
  <c r="DO16" i="26" s="1"/>
  <c r="BI16" i="26"/>
  <c r="DU16" i="26" s="1"/>
  <c r="BJ16" i="26"/>
  <c r="EA16" i="26" s="1"/>
  <c r="BK16" i="26"/>
  <c r="EG16" i="26" s="1"/>
  <c r="BL16" i="26"/>
  <c r="EM16" i="26" s="1"/>
  <c r="BM16" i="26"/>
  <c r="ES16" i="26" s="1"/>
  <c r="BN16" i="26"/>
  <c r="EY16" i="26" s="1"/>
  <c r="BO16" i="26"/>
  <c r="FE16" i="26" s="1"/>
  <c r="BQ16" i="26"/>
  <c r="BR16" i="26"/>
  <c r="CX16" i="26" s="1"/>
  <c r="BS16" i="26"/>
  <c r="BT16" i="26"/>
  <c r="DJ16" i="26" s="1"/>
  <c r="BU16" i="26"/>
  <c r="BV16" i="26"/>
  <c r="DV16" i="26" s="1"/>
  <c r="DX16" i="26" s="1"/>
  <c r="DY16" i="26" s="1"/>
  <c r="DZ16" i="26" s="1"/>
  <c r="FQ16" i="26" s="1"/>
  <c r="BW16" i="26"/>
  <c r="EB16" i="26" s="1"/>
  <c r="BX16" i="26"/>
  <c r="EH16" i="26" s="1"/>
  <c r="BY16" i="26"/>
  <c r="BZ16" i="26"/>
  <c r="ET16" i="26" s="1"/>
  <c r="EV16" i="26" s="1"/>
  <c r="EW16" i="26" s="1"/>
  <c r="EX16" i="26" s="1"/>
  <c r="FU16" i="26" s="1"/>
  <c r="CA16" i="26"/>
  <c r="EZ16" i="26" s="1"/>
  <c r="CB16" i="26"/>
  <c r="FF16" i="26" s="1"/>
  <c r="CD16" i="26"/>
  <c r="CS16" i="26" s="1"/>
  <c r="CE16" i="26"/>
  <c r="CY16" i="26" s="1"/>
  <c r="CF16" i="26"/>
  <c r="CG16" i="26"/>
  <c r="DK16" i="26" s="1"/>
  <c r="CH16" i="26"/>
  <c r="DQ16" i="26" s="1"/>
  <c r="CI16" i="26"/>
  <c r="DW16" i="26" s="1"/>
  <c r="CJ16" i="26"/>
  <c r="EC16" i="26" s="1"/>
  <c r="CK16" i="26"/>
  <c r="EI16" i="26" s="1"/>
  <c r="CL16" i="26"/>
  <c r="EO16" i="26" s="1"/>
  <c r="CM16" i="26"/>
  <c r="EU16" i="26" s="1"/>
  <c r="CN16" i="26"/>
  <c r="FA16" i="26" s="1"/>
  <c r="CO16" i="26"/>
  <c r="CR16" i="26"/>
  <c r="CW16" i="26"/>
  <c r="DD16" i="26"/>
  <c r="DP16" i="26"/>
  <c r="EN16" i="26"/>
  <c r="GA16" i="26"/>
  <c r="BD17" i="26"/>
  <c r="BE17" i="26"/>
  <c r="BF17" i="26"/>
  <c r="DC17" i="26" s="1"/>
  <c r="BG17" i="26"/>
  <c r="DI17" i="26" s="1"/>
  <c r="BH17" i="26"/>
  <c r="BI17" i="26"/>
  <c r="DU17" i="26" s="1"/>
  <c r="BJ17" i="26"/>
  <c r="BK17" i="26"/>
  <c r="EG17" i="26" s="1"/>
  <c r="BL17" i="26"/>
  <c r="BM17" i="26"/>
  <c r="ES17" i="26" s="1"/>
  <c r="BN17" i="26"/>
  <c r="BO17" i="26"/>
  <c r="FE17" i="26" s="1"/>
  <c r="BQ17" i="26"/>
  <c r="CR17" i="26" s="1"/>
  <c r="BR17" i="26"/>
  <c r="BS17" i="26"/>
  <c r="DD17" i="26" s="1"/>
  <c r="BT17" i="26"/>
  <c r="DJ17" i="26" s="1"/>
  <c r="BU17" i="26"/>
  <c r="DP17" i="26" s="1"/>
  <c r="BV17" i="26"/>
  <c r="DV17" i="26" s="1"/>
  <c r="BW17" i="26"/>
  <c r="EB17" i="26" s="1"/>
  <c r="BX17" i="26"/>
  <c r="BY17" i="26"/>
  <c r="BZ17" i="26"/>
  <c r="ET17" i="26" s="1"/>
  <c r="CA17" i="26"/>
  <c r="CB17" i="26"/>
  <c r="FF17" i="26" s="1"/>
  <c r="CD17" i="26"/>
  <c r="CS17" i="26" s="1"/>
  <c r="CE17" i="26"/>
  <c r="CY17" i="26" s="1"/>
  <c r="CF17" i="26"/>
  <c r="CG17" i="26"/>
  <c r="DK17" i="26" s="1"/>
  <c r="CH17" i="26"/>
  <c r="DQ17" i="26" s="1"/>
  <c r="CI17" i="26"/>
  <c r="CJ17" i="26"/>
  <c r="EC17" i="26" s="1"/>
  <c r="CK17" i="26"/>
  <c r="EI17" i="26" s="1"/>
  <c r="CL17" i="26"/>
  <c r="CM17" i="26"/>
  <c r="CN17" i="26"/>
  <c r="FA17" i="26" s="1"/>
  <c r="CO17" i="26"/>
  <c r="CQ17" i="26"/>
  <c r="CW17" i="26"/>
  <c r="DE17" i="26"/>
  <c r="DO17" i="26"/>
  <c r="DR17" i="26"/>
  <c r="DS17" i="26" s="1"/>
  <c r="DW17" i="26"/>
  <c r="EA17" i="26"/>
  <c r="EH17" i="26"/>
  <c r="EM17" i="26"/>
  <c r="EN17" i="26"/>
  <c r="EO17" i="26"/>
  <c r="EU17" i="26"/>
  <c r="EY17" i="26"/>
  <c r="EZ17" i="26"/>
  <c r="GA17" i="26"/>
  <c r="BD18" i="26"/>
  <c r="BE18" i="26"/>
  <c r="BF18" i="26"/>
  <c r="DC18" i="26" s="1"/>
  <c r="BG18" i="26"/>
  <c r="DI18" i="26" s="1"/>
  <c r="BH18" i="26"/>
  <c r="BI18" i="26"/>
  <c r="DU18" i="26" s="1"/>
  <c r="BJ18" i="26"/>
  <c r="EA18" i="26" s="1"/>
  <c r="BK18" i="26"/>
  <c r="EG18" i="26" s="1"/>
  <c r="BL18" i="26"/>
  <c r="EM18" i="26" s="1"/>
  <c r="BM18" i="26"/>
  <c r="ES18" i="26" s="1"/>
  <c r="BN18" i="26"/>
  <c r="EY18" i="26" s="1"/>
  <c r="BO18" i="26"/>
  <c r="FE18" i="26" s="1"/>
  <c r="BQ18" i="26"/>
  <c r="CR18" i="26" s="1"/>
  <c r="BR18" i="26"/>
  <c r="BS18" i="26"/>
  <c r="DD18" i="26" s="1"/>
  <c r="BT18" i="26"/>
  <c r="DJ18" i="26" s="1"/>
  <c r="BU18" i="26"/>
  <c r="DP18" i="26" s="1"/>
  <c r="BV18" i="26"/>
  <c r="DV18" i="26" s="1"/>
  <c r="BW18" i="26"/>
  <c r="EB18" i="26" s="1"/>
  <c r="BX18" i="26"/>
  <c r="EH18" i="26" s="1"/>
  <c r="BY18" i="26"/>
  <c r="EN18" i="26" s="1"/>
  <c r="BZ18" i="26"/>
  <c r="ET18" i="26" s="1"/>
  <c r="CA18" i="26"/>
  <c r="EZ18" i="26" s="1"/>
  <c r="CB18" i="26"/>
  <c r="FF18" i="26" s="1"/>
  <c r="CD18" i="26"/>
  <c r="CS18" i="26" s="1"/>
  <c r="CE18" i="26"/>
  <c r="CF18" i="26"/>
  <c r="CG18" i="26"/>
  <c r="CH18" i="26"/>
  <c r="DQ18" i="26" s="1"/>
  <c r="CI18" i="26"/>
  <c r="DW18" i="26" s="1"/>
  <c r="CJ18" i="26"/>
  <c r="CK18" i="26"/>
  <c r="EI18" i="26" s="1"/>
  <c r="CL18" i="26"/>
  <c r="EO18" i="26" s="1"/>
  <c r="CM18" i="26"/>
  <c r="CN18" i="26"/>
  <c r="FA18" i="26" s="1"/>
  <c r="CO18" i="26"/>
  <c r="CQ18" i="26"/>
  <c r="CT18" i="26" s="1"/>
  <c r="CU18" i="26" s="1"/>
  <c r="CW18" i="26"/>
  <c r="DE18" i="26"/>
  <c r="DK18" i="26"/>
  <c r="DO18" i="26"/>
  <c r="DR18" i="26" s="1"/>
  <c r="DS18" i="26" s="1"/>
  <c r="EC18" i="26"/>
  <c r="EU18" i="26"/>
  <c r="FB18" i="26"/>
  <c r="FC18" i="26" s="1"/>
  <c r="GA18" i="26"/>
  <c r="BD19" i="26"/>
  <c r="CQ19" i="26" s="1"/>
  <c r="BE19" i="26"/>
  <c r="BF19" i="26"/>
  <c r="DC19" i="26" s="1"/>
  <c r="BG19" i="26"/>
  <c r="DI19" i="26" s="1"/>
  <c r="BH19" i="26"/>
  <c r="DO19" i="26" s="1"/>
  <c r="BI19" i="26"/>
  <c r="BJ19" i="26"/>
  <c r="EA19" i="26" s="1"/>
  <c r="BK19" i="26"/>
  <c r="BL19" i="26"/>
  <c r="EM19" i="26" s="1"/>
  <c r="BM19" i="26"/>
  <c r="BN19" i="26"/>
  <c r="EY19" i="26" s="1"/>
  <c r="BO19" i="26"/>
  <c r="BQ19" i="26"/>
  <c r="CR19" i="26" s="1"/>
  <c r="BR19" i="26"/>
  <c r="BS19" i="26"/>
  <c r="DD19" i="26" s="1"/>
  <c r="BT19" i="26"/>
  <c r="BU19" i="26"/>
  <c r="DP19" i="26" s="1"/>
  <c r="BV19" i="26"/>
  <c r="BW19" i="26"/>
  <c r="EB19" i="26" s="1"/>
  <c r="BX19" i="26"/>
  <c r="BY19" i="26"/>
  <c r="EN19" i="26" s="1"/>
  <c r="BZ19" i="26"/>
  <c r="CA19" i="26"/>
  <c r="EZ19" i="26" s="1"/>
  <c r="CB19" i="26"/>
  <c r="CC19" i="26"/>
  <c r="CD19" i="26"/>
  <c r="CE19" i="26"/>
  <c r="CF19" i="26"/>
  <c r="CG19" i="26"/>
  <c r="CH19" i="26"/>
  <c r="CI19" i="26"/>
  <c r="CJ19" i="26"/>
  <c r="CK19" i="26"/>
  <c r="EI19" i="26" s="1"/>
  <c r="CL19" i="26"/>
  <c r="CM19" i="26"/>
  <c r="EU19" i="26" s="1"/>
  <c r="CN19" i="26"/>
  <c r="CO19" i="26"/>
  <c r="CS19" i="26"/>
  <c r="CW19" i="26"/>
  <c r="CX19" i="26"/>
  <c r="CY19" i="26"/>
  <c r="DE19" i="26"/>
  <c r="DJ19" i="26"/>
  <c r="DQ19" i="26"/>
  <c r="DU19" i="26"/>
  <c r="DV19" i="26"/>
  <c r="DW19" i="26"/>
  <c r="EC19" i="26"/>
  <c r="EG19" i="26"/>
  <c r="EH19" i="26"/>
  <c r="EO19" i="26"/>
  <c r="ES19" i="26"/>
  <c r="ET19" i="26"/>
  <c r="FA19" i="26"/>
  <c r="FE19" i="26"/>
  <c r="FF19" i="26"/>
  <c r="GA19" i="26"/>
  <c r="BD20" i="26"/>
  <c r="CQ20" i="26" s="1"/>
  <c r="BE20" i="26"/>
  <c r="BF20" i="26"/>
  <c r="DC20" i="26" s="1"/>
  <c r="BG20" i="26"/>
  <c r="BH20" i="26"/>
  <c r="DO20" i="26" s="1"/>
  <c r="BI20" i="26"/>
  <c r="BJ20" i="26"/>
  <c r="EA20" i="26" s="1"/>
  <c r="BK20" i="26"/>
  <c r="BL20" i="26"/>
  <c r="EM20" i="26" s="1"/>
  <c r="BM20" i="26"/>
  <c r="BN20" i="26"/>
  <c r="EY20" i="26" s="1"/>
  <c r="BO20" i="26"/>
  <c r="BQ20" i="26"/>
  <c r="BR20" i="26"/>
  <c r="BS20" i="26"/>
  <c r="BT20" i="26"/>
  <c r="BU20" i="26"/>
  <c r="BV20" i="26"/>
  <c r="BW20" i="26"/>
  <c r="BX20" i="26"/>
  <c r="EH20" i="26" s="1"/>
  <c r="BY20" i="26"/>
  <c r="EN20" i="26" s="1"/>
  <c r="BZ20" i="26"/>
  <c r="ET20" i="26" s="1"/>
  <c r="CA20" i="26"/>
  <c r="EZ20" i="26" s="1"/>
  <c r="CB20" i="26"/>
  <c r="FF20" i="26" s="1"/>
  <c r="CD20" i="26"/>
  <c r="CS20" i="26" s="1"/>
  <c r="CE20" i="26"/>
  <c r="CY20" i="26" s="1"/>
  <c r="CF20" i="26"/>
  <c r="DE20" i="26" s="1"/>
  <c r="CG20" i="26"/>
  <c r="DK20" i="26" s="1"/>
  <c r="CH20" i="26"/>
  <c r="DQ20" i="26" s="1"/>
  <c r="CI20" i="26"/>
  <c r="DW20" i="26" s="1"/>
  <c r="CJ20" i="26"/>
  <c r="EC20" i="26" s="1"/>
  <c r="CK20" i="26"/>
  <c r="EI20" i="26" s="1"/>
  <c r="CL20" i="26"/>
  <c r="CM20" i="26"/>
  <c r="CN20" i="26"/>
  <c r="FA20" i="26" s="1"/>
  <c r="CO20" i="26"/>
  <c r="CR20" i="26"/>
  <c r="CW20" i="26"/>
  <c r="CX20" i="26"/>
  <c r="DD20" i="26"/>
  <c r="DI20" i="26"/>
  <c r="DP20" i="26"/>
  <c r="DU20" i="26"/>
  <c r="DV20" i="26"/>
  <c r="EB20" i="26"/>
  <c r="EG20" i="26"/>
  <c r="EJ20" i="26"/>
  <c r="EK20" i="26" s="1"/>
  <c r="EO20" i="26"/>
  <c r="ES20" i="26"/>
  <c r="EU20" i="26"/>
  <c r="FE20" i="26"/>
  <c r="GA20" i="26"/>
  <c r="BD21" i="26"/>
  <c r="BE21" i="26"/>
  <c r="BF21" i="26"/>
  <c r="DC21" i="26" s="1"/>
  <c r="BG21" i="26"/>
  <c r="BH21" i="26"/>
  <c r="DO21" i="26" s="1"/>
  <c r="BI21" i="26"/>
  <c r="BJ21" i="26"/>
  <c r="EA21" i="26" s="1"/>
  <c r="BK21" i="26"/>
  <c r="EG21" i="26" s="1"/>
  <c r="BL21" i="26"/>
  <c r="EM21" i="26" s="1"/>
  <c r="BM21" i="26"/>
  <c r="BN21" i="26"/>
  <c r="EY21" i="26" s="1"/>
  <c r="BO21" i="26"/>
  <c r="FE21" i="26" s="1"/>
  <c r="BQ21" i="26"/>
  <c r="CR21" i="26" s="1"/>
  <c r="BR21" i="26"/>
  <c r="BS21" i="26"/>
  <c r="DD21" i="26" s="1"/>
  <c r="BT21" i="26"/>
  <c r="DJ21" i="26" s="1"/>
  <c r="BU21" i="26"/>
  <c r="DP21" i="26" s="1"/>
  <c r="BV21" i="26"/>
  <c r="BW21" i="26"/>
  <c r="EB21" i="26" s="1"/>
  <c r="BX21" i="26"/>
  <c r="EH21" i="26" s="1"/>
  <c r="BY21" i="26"/>
  <c r="EN21" i="26" s="1"/>
  <c r="BZ21" i="26"/>
  <c r="CA21" i="26"/>
  <c r="EZ21" i="26" s="1"/>
  <c r="CB21" i="26"/>
  <c r="CD21" i="26"/>
  <c r="CS21" i="26" s="1"/>
  <c r="CE21" i="26"/>
  <c r="CF21" i="26"/>
  <c r="DE21" i="26" s="1"/>
  <c r="CG21" i="26"/>
  <c r="CH21" i="26"/>
  <c r="DQ21" i="26" s="1"/>
  <c r="CI21" i="26"/>
  <c r="DW21" i="26" s="1"/>
  <c r="CJ21" i="26"/>
  <c r="EC21" i="26" s="1"/>
  <c r="CK21" i="26"/>
  <c r="CL21" i="26"/>
  <c r="EO21" i="26" s="1"/>
  <c r="CM21" i="26"/>
  <c r="EU21" i="26" s="1"/>
  <c r="CN21" i="26"/>
  <c r="FA21" i="26" s="1"/>
  <c r="CO21" i="26"/>
  <c r="CQ21" i="26"/>
  <c r="CW21" i="26"/>
  <c r="CX21" i="26"/>
  <c r="CY21" i="26"/>
  <c r="DK21" i="26"/>
  <c r="DU21" i="26"/>
  <c r="DV21" i="26"/>
  <c r="EI21" i="26"/>
  <c r="ES21" i="26"/>
  <c r="ET21" i="26"/>
  <c r="FF21" i="26"/>
  <c r="GA21" i="26"/>
  <c r="BD22" i="26"/>
  <c r="CQ22" i="26" s="1"/>
  <c r="BE22" i="26"/>
  <c r="BF22" i="26"/>
  <c r="DC22" i="26" s="1"/>
  <c r="BG22" i="26"/>
  <c r="DI22" i="26" s="1"/>
  <c r="BH22" i="26"/>
  <c r="DO22" i="26" s="1"/>
  <c r="BI22" i="26"/>
  <c r="BJ22" i="26"/>
  <c r="EA22" i="26" s="1"/>
  <c r="BK22" i="26"/>
  <c r="EG22" i="26" s="1"/>
  <c r="BL22" i="26"/>
  <c r="EM22" i="26" s="1"/>
  <c r="BM22" i="26"/>
  <c r="BN22" i="26"/>
  <c r="EY22" i="26" s="1"/>
  <c r="BO22" i="26"/>
  <c r="BQ22" i="26"/>
  <c r="CR22" i="26" s="1"/>
  <c r="BR22" i="26"/>
  <c r="BS22" i="26"/>
  <c r="DD22" i="26" s="1"/>
  <c r="BT22" i="26"/>
  <c r="BU22" i="26"/>
  <c r="DP22" i="26" s="1"/>
  <c r="BV22" i="26"/>
  <c r="DV22" i="26" s="1"/>
  <c r="BW22" i="26"/>
  <c r="EB22" i="26" s="1"/>
  <c r="BX22" i="26"/>
  <c r="BY22" i="26"/>
  <c r="EN22" i="26" s="1"/>
  <c r="BZ22" i="26"/>
  <c r="ET22" i="26" s="1"/>
  <c r="CA22" i="26"/>
  <c r="EZ22" i="26" s="1"/>
  <c r="CB22" i="26"/>
  <c r="CD22" i="26"/>
  <c r="CS22" i="26" s="1"/>
  <c r="CE22" i="26"/>
  <c r="CF22" i="26"/>
  <c r="DE22" i="26" s="1"/>
  <c r="CG22" i="26"/>
  <c r="CH22" i="26"/>
  <c r="DQ22" i="26" s="1"/>
  <c r="CI22" i="26"/>
  <c r="CJ22" i="26"/>
  <c r="EC22" i="26" s="1"/>
  <c r="CK22" i="26"/>
  <c r="CL22" i="26"/>
  <c r="EO22" i="26" s="1"/>
  <c r="CM22" i="26"/>
  <c r="CN22" i="26"/>
  <c r="FA22" i="26" s="1"/>
  <c r="CO22" i="26"/>
  <c r="CP22" i="26"/>
  <c r="FG22" i="26" s="1"/>
  <c r="CW22" i="26"/>
  <c r="CX22" i="26"/>
  <c r="CY22" i="26"/>
  <c r="DF22" i="26"/>
  <c r="DG22" i="26" s="1"/>
  <c r="DJ22" i="26"/>
  <c r="DK22" i="26"/>
  <c r="DU22" i="26"/>
  <c r="DW22" i="26"/>
  <c r="EH22" i="26"/>
  <c r="EI22" i="26"/>
  <c r="ES22" i="26"/>
  <c r="EU22" i="26"/>
  <c r="FE22" i="26"/>
  <c r="FF22" i="26"/>
  <c r="GA22" i="26"/>
  <c r="BD23" i="26"/>
  <c r="BE23" i="26"/>
  <c r="CW23" i="26" s="1"/>
  <c r="BF23" i="26"/>
  <c r="DC23" i="26" s="1"/>
  <c r="BG23" i="26"/>
  <c r="DI23" i="26" s="1"/>
  <c r="BH23" i="26"/>
  <c r="BI23" i="26"/>
  <c r="DU23" i="26" s="1"/>
  <c r="BJ23" i="26"/>
  <c r="EA23" i="26" s="1"/>
  <c r="BK23" i="26"/>
  <c r="EG23" i="26" s="1"/>
  <c r="BL23" i="26"/>
  <c r="EM23" i="26" s="1"/>
  <c r="BM23" i="26"/>
  <c r="ES23" i="26" s="1"/>
  <c r="BN23" i="26"/>
  <c r="BO23" i="26"/>
  <c r="BQ23" i="26"/>
  <c r="CR23" i="26" s="1"/>
  <c r="BR23" i="26"/>
  <c r="BS23" i="26"/>
  <c r="BT23" i="26"/>
  <c r="DJ23" i="26" s="1"/>
  <c r="BU23" i="26"/>
  <c r="DP23" i="26" s="1"/>
  <c r="BV23" i="26"/>
  <c r="DV23" i="26" s="1"/>
  <c r="BW23" i="26"/>
  <c r="EB23" i="26" s="1"/>
  <c r="BX23" i="26"/>
  <c r="EH23" i="26" s="1"/>
  <c r="BY23" i="26"/>
  <c r="BZ23" i="26"/>
  <c r="CA23" i="26"/>
  <c r="EZ23" i="26" s="1"/>
  <c r="CB23" i="26"/>
  <c r="FF23" i="26" s="1"/>
  <c r="CD23" i="26"/>
  <c r="CS23" i="26" s="1"/>
  <c r="CE23" i="26"/>
  <c r="CF23" i="26"/>
  <c r="DE23" i="26" s="1"/>
  <c r="CG23" i="26"/>
  <c r="DK23" i="26" s="1"/>
  <c r="CH23" i="26"/>
  <c r="DQ23" i="26" s="1"/>
  <c r="CI23" i="26"/>
  <c r="DW23" i="26" s="1"/>
  <c r="CJ23" i="26"/>
  <c r="CK23" i="26"/>
  <c r="EI23" i="26" s="1"/>
  <c r="CL23" i="26"/>
  <c r="EO23" i="26" s="1"/>
  <c r="CM23" i="26"/>
  <c r="EU23" i="26" s="1"/>
  <c r="CN23" i="26"/>
  <c r="CO23" i="26"/>
  <c r="CQ23" i="26"/>
  <c r="CY23" i="26"/>
  <c r="DD23" i="26"/>
  <c r="DO23" i="26"/>
  <c r="DR23" i="26" s="1"/>
  <c r="DS23" i="26" s="1"/>
  <c r="EC23" i="26"/>
  <c r="EN23" i="26"/>
  <c r="ET23" i="26"/>
  <c r="EY23" i="26"/>
  <c r="FA23" i="26"/>
  <c r="FE23" i="26"/>
  <c r="GA23" i="26"/>
  <c r="BD24" i="26"/>
  <c r="CQ24" i="26" s="1"/>
  <c r="BE24" i="26"/>
  <c r="BF24" i="26"/>
  <c r="DC24" i="26" s="1"/>
  <c r="BG24" i="26"/>
  <c r="DI24" i="26" s="1"/>
  <c r="BH24" i="26"/>
  <c r="BI24" i="26"/>
  <c r="DU24" i="26" s="1"/>
  <c r="BJ24" i="26"/>
  <c r="EA24" i="26" s="1"/>
  <c r="BK24" i="26"/>
  <c r="EG24" i="26" s="1"/>
  <c r="BL24" i="26"/>
  <c r="EM24" i="26" s="1"/>
  <c r="BM24" i="26"/>
  <c r="ES24" i="26" s="1"/>
  <c r="BN24" i="26"/>
  <c r="EY24" i="26" s="1"/>
  <c r="BO24" i="26"/>
  <c r="BQ24" i="26"/>
  <c r="CR24" i="26" s="1"/>
  <c r="BR24" i="26"/>
  <c r="BS24" i="26"/>
  <c r="DD24" i="26" s="1"/>
  <c r="BT24" i="26"/>
  <c r="DJ24" i="26" s="1"/>
  <c r="BU24" i="26"/>
  <c r="DP24" i="26" s="1"/>
  <c r="BV24" i="26"/>
  <c r="DV24" i="26" s="1"/>
  <c r="BW24" i="26"/>
  <c r="EB24" i="26" s="1"/>
  <c r="BX24" i="26"/>
  <c r="EH24" i="26" s="1"/>
  <c r="BY24" i="26"/>
  <c r="EN24" i="26" s="1"/>
  <c r="BZ24" i="26"/>
  <c r="ET24" i="26" s="1"/>
  <c r="CA24" i="26"/>
  <c r="EZ24" i="26" s="1"/>
  <c r="CB24" i="26"/>
  <c r="FF24" i="26" s="1"/>
  <c r="CD24" i="26"/>
  <c r="CE24" i="26"/>
  <c r="CF24" i="26"/>
  <c r="DE24" i="26" s="1"/>
  <c r="CG24" i="26"/>
  <c r="CH24" i="26"/>
  <c r="DQ24" i="26" s="1"/>
  <c r="CI24" i="26"/>
  <c r="CJ24" i="26"/>
  <c r="EC24" i="26" s="1"/>
  <c r="CK24" i="26"/>
  <c r="EI24" i="26" s="1"/>
  <c r="CL24" i="26"/>
  <c r="CM24" i="26"/>
  <c r="CN24" i="26"/>
  <c r="FA24" i="26" s="1"/>
  <c r="CO24" i="26"/>
  <c r="CS24" i="26"/>
  <c r="CY24" i="26"/>
  <c r="DO24" i="26"/>
  <c r="DW24" i="26"/>
  <c r="EO24" i="26"/>
  <c r="EU24" i="26"/>
  <c r="FE24" i="26"/>
  <c r="GA24" i="26"/>
  <c r="BD25" i="26"/>
  <c r="CQ25" i="26" s="1"/>
  <c r="BE25" i="26"/>
  <c r="BF25" i="26"/>
  <c r="DC25" i="26" s="1"/>
  <c r="BG25" i="26"/>
  <c r="BH25" i="26"/>
  <c r="DO25" i="26" s="1"/>
  <c r="BI25" i="26"/>
  <c r="DU25" i="26" s="1"/>
  <c r="BJ25" i="26"/>
  <c r="BK25" i="26"/>
  <c r="EG25" i="26" s="1"/>
  <c r="EJ25" i="26" s="1"/>
  <c r="EK25" i="26" s="1"/>
  <c r="BL25" i="26"/>
  <c r="EM25" i="26" s="1"/>
  <c r="BM25" i="26"/>
  <c r="BN25" i="26"/>
  <c r="BO25" i="26"/>
  <c r="BQ25" i="26"/>
  <c r="BR25" i="26"/>
  <c r="BS25" i="26"/>
  <c r="DD25" i="26" s="1"/>
  <c r="BT25" i="26"/>
  <c r="BU25" i="26"/>
  <c r="DP25" i="26" s="1"/>
  <c r="BV25" i="26"/>
  <c r="DV25" i="26" s="1"/>
  <c r="BW25" i="26"/>
  <c r="BX25" i="26"/>
  <c r="EH25" i="26" s="1"/>
  <c r="BY25" i="26"/>
  <c r="EN25" i="26" s="1"/>
  <c r="BZ25" i="26"/>
  <c r="ET25" i="26" s="1"/>
  <c r="CA25" i="26"/>
  <c r="EZ25" i="26" s="1"/>
  <c r="CB25" i="26"/>
  <c r="FF25" i="26" s="1"/>
  <c r="CD25" i="26"/>
  <c r="CS25" i="26" s="1"/>
  <c r="CE25" i="26"/>
  <c r="CY25" i="26" s="1"/>
  <c r="CF25" i="26"/>
  <c r="CG25" i="26"/>
  <c r="DK25" i="26" s="1"/>
  <c r="CH25" i="26"/>
  <c r="DQ25" i="26" s="1"/>
  <c r="CI25" i="26"/>
  <c r="CJ25" i="26"/>
  <c r="EC25" i="26" s="1"/>
  <c r="CK25" i="26"/>
  <c r="EI25" i="26" s="1"/>
  <c r="CL25" i="26"/>
  <c r="EO25" i="26" s="1"/>
  <c r="CM25" i="26"/>
  <c r="CN25" i="26"/>
  <c r="FA25" i="26" s="1"/>
  <c r="CO25" i="26"/>
  <c r="CR25" i="26"/>
  <c r="CW25" i="26"/>
  <c r="CX25" i="26"/>
  <c r="CZ25" i="26"/>
  <c r="DA25" i="26" s="1"/>
  <c r="DI25" i="26"/>
  <c r="DW25" i="26"/>
  <c r="EA25" i="26"/>
  <c r="EB25" i="26"/>
  <c r="ES25" i="26"/>
  <c r="EU25" i="26"/>
  <c r="EY25" i="26"/>
  <c r="FE25" i="26"/>
  <c r="GA25" i="26"/>
  <c r="BD26" i="26"/>
  <c r="BE26" i="26"/>
  <c r="BF26" i="26"/>
  <c r="DC26" i="26" s="1"/>
  <c r="BG26" i="26"/>
  <c r="BH26" i="26"/>
  <c r="DO26" i="26" s="1"/>
  <c r="BI26" i="26"/>
  <c r="BJ26" i="26"/>
  <c r="EA26" i="26" s="1"/>
  <c r="BK26" i="26"/>
  <c r="EG26" i="26" s="1"/>
  <c r="BL26" i="26"/>
  <c r="EM26" i="26" s="1"/>
  <c r="BM26" i="26"/>
  <c r="BN26" i="26"/>
  <c r="EY26" i="26" s="1"/>
  <c r="BO26" i="26"/>
  <c r="FE26" i="26" s="1"/>
  <c r="BQ26" i="26"/>
  <c r="CR26" i="26" s="1"/>
  <c r="BR26" i="26"/>
  <c r="BS26" i="26"/>
  <c r="BT26" i="26"/>
  <c r="DJ26" i="26" s="1"/>
  <c r="BU26" i="26"/>
  <c r="DP26" i="26" s="1"/>
  <c r="BV26" i="26"/>
  <c r="BW26" i="26"/>
  <c r="EB26" i="26" s="1"/>
  <c r="BX26" i="26"/>
  <c r="EH26" i="26" s="1"/>
  <c r="BY26" i="26"/>
  <c r="EN26" i="26" s="1"/>
  <c r="BZ26" i="26"/>
  <c r="CA26" i="26"/>
  <c r="EZ26" i="26" s="1"/>
  <c r="CB26" i="26"/>
  <c r="FF26" i="26" s="1"/>
  <c r="CD26" i="26"/>
  <c r="CS26" i="26" s="1"/>
  <c r="CE26" i="26"/>
  <c r="CF26" i="26"/>
  <c r="DE26" i="26" s="1"/>
  <c r="CG26" i="26"/>
  <c r="CH26" i="26"/>
  <c r="DQ26" i="26" s="1"/>
  <c r="CI26" i="26"/>
  <c r="DW26" i="26" s="1"/>
  <c r="CJ26" i="26"/>
  <c r="EC26" i="26" s="1"/>
  <c r="CK26" i="26"/>
  <c r="CL26" i="26"/>
  <c r="EO26" i="26" s="1"/>
  <c r="CM26" i="26"/>
  <c r="CN26" i="26"/>
  <c r="FA26" i="26" s="1"/>
  <c r="CO26" i="26"/>
  <c r="CQ26" i="26"/>
  <c r="CW26" i="26"/>
  <c r="CX26" i="26"/>
  <c r="CY26" i="26"/>
  <c r="DK26" i="26"/>
  <c r="DU26" i="26"/>
  <c r="DV26" i="26"/>
  <c r="EI26" i="26"/>
  <c r="ES26" i="26"/>
  <c r="ET26" i="26"/>
  <c r="EU26" i="26"/>
  <c r="EV26" i="26" s="1"/>
  <c r="EW26" i="26" s="1"/>
  <c r="GA26" i="26"/>
  <c r="BD27" i="26"/>
  <c r="BE27" i="26"/>
  <c r="CW27" i="26" s="1"/>
  <c r="BF27" i="26"/>
  <c r="BG27" i="26"/>
  <c r="DI27" i="26" s="1"/>
  <c r="BH27" i="26"/>
  <c r="DO27" i="26" s="1"/>
  <c r="BI27" i="26"/>
  <c r="DU27" i="26" s="1"/>
  <c r="BJ27" i="26"/>
  <c r="EA27" i="26" s="1"/>
  <c r="BK27" i="26"/>
  <c r="EG27" i="26" s="1"/>
  <c r="BL27" i="26"/>
  <c r="BM27" i="26"/>
  <c r="ES27" i="26" s="1"/>
  <c r="BN27" i="26"/>
  <c r="EY27" i="26" s="1"/>
  <c r="BO27" i="26"/>
  <c r="FE27" i="26" s="1"/>
  <c r="BQ27" i="26"/>
  <c r="CR27" i="26" s="1"/>
  <c r="BR27" i="26"/>
  <c r="CX27" i="26" s="1"/>
  <c r="BS27" i="26"/>
  <c r="DD27" i="26" s="1"/>
  <c r="BT27" i="26"/>
  <c r="DJ27" i="26" s="1"/>
  <c r="BU27" i="26"/>
  <c r="BV27" i="26"/>
  <c r="DV27" i="26" s="1"/>
  <c r="BW27" i="26"/>
  <c r="EB27" i="26" s="1"/>
  <c r="BX27" i="26"/>
  <c r="EH27" i="26" s="1"/>
  <c r="BY27" i="26"/>
  <c r="EN27" i="26" s="1"/>
  <c r="BZ27" i="26"/>
  <c r="ET27" i="26" s="1"/>
  <c r="CA27" i="26"/>
  <c r="EZ27" i="26" s="1"/>
  <c r="CB27" i="26"/>
  <c r="CD27" i="26"/>
  <c r="CS27" i="26" s="1"/>
  <c r="CE27" i="26"/>
  <c r="CF27" i="26"/>
  <c r="DE27" i="26" s="1"/>
  <c r="CG27" i="26"/>
  <c r="CH27" i="26"/>
  <c r="DQ27" i="26" s="1"/>
  <c r="CI27" i="26"/>
  <c r="CJ27" i="26"/>
  <c r="CK27" i="26"/>
  <c r="CL27" i="26"/>
  <c r="EO27" i="26" s="1"/>
  <c r="CM27" i="26"/>
  <c r="CN27" i="26"/>
  <c r="FA27" i="26" s="1"/>
  <c r="FB27" i="26" s="1"/>
  <c r="FC27" i="26" s="1"/>
  <c r="CO27" i="26"/>
  <c r="CQ27" i="26"/>
  <c r="CY27" i="26"/>
  <c r="DK27" i="26"/>
  <c r="DP27" i="26"/>
  <c r="DR27" i="26" s="1"/>
  <c r="DS27" i="26" s="1"/>
  <c r="DW27" i="26"/>
  <c r="EC27" i="26"/>
  <c r="EI27" i="26"/>
  <c r="EM27" i="26"/>
  <c r="EU27" i="26"/>
  <c r="FF27" i="26"/>
  <c r="GA27" i="26"/>
  <c r="BD28" i="26"/>
  <c r="BE28" i="26"/>
  <c r="BF28" i="26"/>
  <c r="DC28" i="26" s="1"/>
  <c r="BG28" i="26"/>
  <c r="DI28" i="26" s="1"/>
  <c r="BH28" i="26"/>
  <c r="DO28" i="26" s="1"/>
  <c r="BI28" i="26"/>
  <c r="DU28" i="26" s="1"/>
  <c r="BJ28" i="26"/>
  <c r="EA28" i="26" s="1"/>
  <c r="BK28" i="26"/>
  <c r="BL28" i="26"/>
  <c r="EM28" i="26" s="1"/>
  <c r="BM28" i="26"/>
  <c r="BN28" i="26"/>
  <c r="EY28" i="26" s="1"/>
  <c r="BO28" i="26"/>
  <c r="BQ28" i="26"/>
  <c r="CR28" i="26" s="1"/>
  <c r="BR28" i="26"/>
  <c r="BS28" i="26"/>
  <c r="DD28" i="26" s="1"/>
  <c r="BT28" i="26"/>
  <c r="BU28" i="26"/>
  <c r="DP28" i="26" s="1"/>
  <c r="BV28" i="26"/>
  <c r="BW28" i="26"/>
  <c r="EB28" i="26" s="1"/>
  <c r="BX28" i="26"/>
  <c r="EH28" i="26" s="1"/>
  <c r="BY28" i="26"/>
  <c r="EN28" i="26" s="1"/>
  <c r="BZ28" i="26"/>
  <c r="ET28" i="26" s="1"/>
  <c r="CA28" i="26"/>
  <c r="EZ28" i="26" s="1"/>
  <c r="CB28" i="26"/>
  <c r="FF28" i="26" s="1"/>
  <c r="CD28" i="26"/>
  <c r="CS28" i="26" s="1"/>
  <c r="CE28" i="26"/>
  <c r="CF28" i="26"/>
  <c r="DE28" i="26" s="1"/>
  <c r="CG28" i="26"/>
  <c r="CH28" i="26"/>
  <c r="DQ28" i="26" s="1"/>
  <c r="CI28" i="26"/>
  <c r="CJ28" i="26"/>
  <c r="EC28" i="26" s="1"/>
  <c r="CK28" i="26"/>
  <c r="EI28" i="26" s="1"/>
  <c r="CL28" i="26"/>
  <c r="EO28" i="26" s="1"/>
  <c r="CM28" i="26"/>
  <c r="CN28" i="26"/>
  <c r="FA28" i="26" s="1"/>
  <c r="CO28" i="26"/>
  <c r="CQ28" i="26"/>
  <c r="CW28" i="26"/>
  <c r="CY28" i="26"/>
  <c r="DJ28" i="26"/>
  <c r="DV28" i="26"/>
  <c r="DW28" i="26"/>
  <c r="EG28" i="26"/>
  <c r="ES28" i="26"/>
  <c r="EU28" i="26"/>
  <c r="FE28" i="26"/>
  <c r="GA28" i="26"/>
  <c r="BD29" i="26"/>
  <c r="CQ29" i="26" s="1"/>
  <c r="BE29" i="26"/>
  <c r="CW29" i="26" s="1"/>
  <c r="BF29" i="26"/>
  <c r="BG29" i="26"/>
  <c r="DI29" i="26" s="1"/>
  <c r="BH29" i="26"/>
  <c r="DO29" i="26" s="1"/>
  <c r="BI29" i="26"/>
  <c r="DU29" i="26" s="1"/>
  <c r="BJ29" i="26"/>
  <c r="EA29" i="26" s="1"/>
  <c r="BK29" i="26"/>
  <c r="EG29" i="26" s="1"/>
  <c r="BL29" i="26"/>
  <c r="BM29" i="26"/>
  <c r="ES29" i="26" s="1"/>
  <c r="BN29" i="26"/>
  <c r="BO29" i="26"/>
  <c r="BQ29" i="26"/>
  <c r="CR29" i="26" s="1"/>
  <c r="BR29" i="26"/>
  <c r="CX29" i="26" s="1"/>
  <c r="BS29" i="26"/>
  <c r="DD29" i="26" s="1"/>
  <c r="BT29" i="26"/>
  <c r="DJ29" i="26" s="1"/>
  <c r="BU29" i="26"/>
  <c r="DP29" i="26" s="1"/>
  <c r="BV29" i="26"/>
  <c r="DV29" i="26" s="1"/>
  <c r="BW29" i="26"/>
  <c r="BX29" i="26"/>
  <c r="EH29" i="26" s="1"/>
  <c r="BY29" i="26"/>
  <c r="EN29" i="26" s="1"/>
  <c r="BZ29" i="26"/>
  <c r="ET29" i="26" s="1"/>
  <c r="CA29" i="26"/>
  <c r="EZ29" i="26" s="1"/>
  <c r="CB29" i="26"/>
  <c r="FF29" i="26" s="1"/>
  <c r="CD29" i="26"/>
  <c r="CS29" i="26" s="1"/>
  <c r="CE29" i="26"/>
  <c r="CF29" i="26"/>
  <c r="DE29" i="26" s="1"/>
  <c r="CG29" i="26"/>
  <c r="DK29" i="26" s="1"/>
  <c r="CH29" i="26"/>
  <c r="DQ29" i="26" s="1"/>
  <c r="CI29" i="26"/>
  <c r="CJ29" i="26"/>
  <c r="EC29" i="26" s="1"/>
  <c r="CK29" i="26"/>
  <c r="EI29" i="26" s="1"/>
  <c r="CL29" i="26"/>
  <c r="CM29" i="26"/>
  <c r="EU29" i="26" s="1"/>
  <c r="CN29" i="26"/>
  <c r="CO29" i="26"/>
  <c r="DC29" i="26"/>
  <c r="DW29" i="26"/>
  <c r="EB29" i="26"/>
  <c r="EM29" i="26"/>
  <c r="EO29" i="26"/>
  <c r="FA29" i="26"/>
  <c r="FE29" i="26"/>
  <c r="GA29" i="26"/>
  <c r="BD30" i="26"/>
  <c r="CQ30" i="26" s="1"/>
  <c r="BE30" i="26"/>
  <c r="BP30" i="26" s="1"/>
  <c r="BF30" i="26"/>
  <c r="BG30" i="26"/>
  <c r="BH30" i="26"/>
  <c r="DO30" i="26" s="1"/>
  <c r="BI30" i="26"/>
  <c r="BJ30" i="26"/>
  <c r="EA30" i="26" s="1"/>
  <c r="BK30" i="26"/>
  <c r="BL30" i="26"/>
  <c r="EM30" i="26" s="1"/>
  <c r="BM30" i="26"/>
  <c r="BN30" i="26"/>
  <c r="EY30" i="26" s="1"/>
  <c r="BO30" i="26"/>
  <c r="FE30" i="26" s="1"/>
  <c r="BQ30" i="26"/>
  <c r="BR30" i="26"/>
  <c r="BS30" i="26"/>
  <c r="DD30" i="26" s="1"/>
  <c r="BT30" i="26"/>
  <c r="DJ30" i="26" s="1"/>
  <c r="BU30" i="26"/>
  <c r="DP30" i="26" s="1"/>
  <c r="BV30" i="26"/>
  <c r="DV30" i="26" s="1"/>
  <c r="BW30" i="26"/>
  <c r="EB30" i="26" s="1"/>
  <c r="BX30" i="26"/>
  <c r="EH30" i="26" s="1"/>
  <c r="BY30" i="26"/>
  <c r="EN30" i="26" s="1"/>
  <c r="BZ30" i="26"/>
  <c r="ET30" i="26" s="1"/>
  <c r="CA30" i="26"/>
  <c r="CB30" i="26"/>
  <c r="FF30" i="26" s="1"/>
  <c r="CD30" i="26"/>
  <c r="CS30" i="26" s="1"/>
  <c r="CE30" i="26"/>
  <c r="CY30" i="26" s="1"/>
  <c r="CF30" i="26"/>
  <c r="CG30" i="26"/>
  <c r="DK30" i="26" s="1"/>
  <c r="CH30" i="26"/>
  <c r="DQ30" i="26" s="1"/>
  <c r="CI30" i="26"/>
  <c r="DW30" i="26" s="1"/>
  <c r="CJ30" i="26"/>
  <c r="EC30" i="26" s="1"/>
  <c r="CK30" i="26"/>
  <c r="EI30" i="26" s="1"/>
  <c r="CL30" i="26"/>
  <c r="EO30" i="26" s="1"/>
  <c r="CM30" i="26"/>
  <c r="CN30" i="26"/>
  <c r="FA30" i="26" s="1"/>
  <c r="CO30" i="26"/>
  <c r="CR30" i="26"/>
  <c r="DC30" i="26"/>
  <c r="DI30" i="26"/>
  <c r="DU30" i="26"/>
  <c r="EG30" i="26"/>
  <c r="ES30" i="26"/>
  <c r="EU30" i="26"/>
  <c r="EZ30" i="26"/>
  <c r="GA30" i="26"/>
  <c r="BD31" i="26"/>
  <c r="BE31" i="26"/>
  <c r="BF31" i="26"/>
  <c r="DC31" i="26" s="1"/>
  <c r="BG31" i="26"/>
  <c r="DI31" i="26" s="1"/>
  <c r="BH31" i="26"/>
  <c r="DO31" i="26" s="1"/>
  <c r="BI31" i="26"/>
  <c r="DU31" i="26" s="1"/>
  <c r="BJ31" i="26"/>
  <c r="BK31" i="26"/>
  <c r="EG31" i="26" s="1"/>
  <c r="BL31" i="26"/>
  <c r="BM31" i="26"/>
  <c r="BN31" i="26"/>
  <c r="EY31" i="26" s="1"/>
  <c r="BO31" i="26"/>
  <c r="FE31" i="26" s="1"/>
  <c r="BQ31" i="26"/>
  <c r="CR31" i="26" s="1"/>
  <c r="BR31" i="26"/>
  <c r="CX31" i="26" s="1"/>
  <c r="BS31" i="26"/>
  <c r="BT31" i="26"/>
  <c r="BU31" i="26"/>
  <c r="DP31" i="26" s="1"/>
  <c r="BV31" i="26"/>
  <c r="BW31" i="26"/>
  <c r="EB31" i="26" s="1"/>
  <c r="BX31" i="26"/>
  <c r="EH31" i="26" s="1"/>
  <c r="BY31" i="26"/>
  <c r="EN31" i="26" s="1"/>
  <c r="BZ31" i="26"/>
  <c r="ET31" i="26" s="1"/>
  <c r="CA31" i="26"/>
  <c r="EZ31" i="26" s="1"/>
  <c r="CB31" i="26"/>
  <c r="CD31" i="26"/>
  <c r="CS31" i="26" s="1"/>
  <c r="CE31" i="26"/>
  <c r="CF31" i="26"/>
  <c r="CG31" i="26"/>
  <c r="DK31" i="26" s="1"/>
  <c r="CH31" i="26"/>
  <c r="CI31" i="26"/>
  <c r="DW31" i="26" s="1"/>
  <c r="CJ31" i="26"/>
  <c r="EC31" i="26" s="1"/>
  <c r="CK31" i="26"/>
  <c r="CL31" i="26"/>
  <c r="EO31" i="26" s="1"/>
  <c r="CM31" i="26"/>
  <c r="CN31" i="26"/>
  <c r="CO31" i="26"/>
  <c r="CQ31" i="26"/>
  <c r="CW31" i="26"/>
  <c r="CY31" i="26"/>
  <c r="DE31" i="26"/>
  <c r="DJ31" i="26"/>
  <c r="DQ31" i="26"/>
  <c r="DV31" i="26"/>
  <c r="EA31" i="26"/>
  <c r="EI31" i="26"/>
  <c r="EM31" i="26"/>
  <c r="ES31" i="26"/>
  <c r="EU31" i="26"/>
  <c r="FA31" i="26"/>
  <c r="FF31" i="26"/>
  <c r="GA31" i="26"/>
  <c r="BD32" i="26"/>
  <c r="CQ32" i="26" s="1"/>
  <c r="BE32" i="26"/>
  <c r="CW32" i="26" s="1"/>
  <c r="BF32" i="26"/>
  <c r="BG32" i="26"/>
  <c r="BH32" i="26"/>
  <c r="DO32" i="26" s="1"/>
  <c r="BI32" i="26"/>
  <c r="BJ32" i="26"/>
  <c r="EA32" i="26" s="1"/>
  <c r="BK32" i="26"/>
  <c r="EG32" i="26" s="1"/>
  <c r="BL32" i="26"/>
  <c r="BM32" i="26"/>
  <c r="BN32" i="26"/>
  <c r="EY32" i="26" s="1"/>
  <c r="BO32" i="26"/>
  <c r="FE32" i="26" s="1"/>
  <c r="BQ32" i="26"/>
  <c r="BR32" i="26"/>
  <c r="BS32" i="26"/>
  <c r="BT32" i="26"/>
  <c r="DJ32" i="26" s="1"/>
  <c r="BU32" i="26"/>
  <c r="BV32" i="26"/>
  <c r="DV32" i="26" s="1"/>
  <c r="BW32" i="26"/>
  <c r="EB32" i="26" s="1"/>
  <c r="BX32" i="26"/>
  <c r="BY32" i="26"/>
  <c r="EN32" i="26" s="1"/>
  <c r="BZ32" i="26"/>
  <c r="ET32" i="26" s="1"/>
  <c r="CA32" i="26"/>
  <c r="CB32" i="26"/>
  <c r="CD32" i="26"/>
  <c r="CS32" i="26" s="1"/>
  <c r="CE32" i="26"/>
  <c r="CF32" i="26"/>
  <c r="DE32" i="26" s="1"/>
  <c r="CG32" i="26"/>
  <c r="DK32" i="26" s="1"/>
  <c r="CH32" i="26"/>
  <c r="DQ32" i="26" s="1"/>
  <c r="CI32" i="26"/>
  <c r="CJ32" i="26"/>
  <c r="CK32" i="26"/>
  <c r="EI32" i="26" s="1"/>
  <c r="CL32" i="26"/>
  <c r="EO32" i="26" s="1"/>
  <c r="CM32" i="26"/>
  <c r="CN32" i="26"/>
  <c r="FA32" i="26" s="1"/>
  <c r="CO32" i="26"/>
  <c r="CR32" i="26"/>
  <c r="CX32" i="26"/>
  <c r="DD32" i="26"/>
  <c r="DI32" i="26"/>
  <c r="DP32" i="26"/>
  <c r="DU32" i="26"/>
  <c r="DW32" i="26"/>
  <c r="EC32" i="26"/>
  <c r="EH32" i="26"/>
  <c r="EJ32" i="26" s="1"/>
  <c r="EK32" i="26" s="1"/>
  <c r="EL32" i="26" s="1"/>
  <c r="FS32" i="26" s="1"/>
  <c r="EM32" i="26"/>
  <c r="ES32" i="26"/>
  <c r="EU32" i="26"/>
  <c r="EZ32" i="26"/>
  <c r="FF32" i="26"/>
  <c r="GA32" i="26"/>
  <c r="BD33" i="26"/>
  <c r="CQ33" i="26" s="1"/>
  <c r="BE33" i="26"/>
  <c r="BF33" i="26"/>
  <c r="BG33" i="26"/>
  <c r="BH33" i="26"/>
  <c r="BI33" i="26"/>
  <c r="BJ33" i="26"/>
  <c r="EA33" i="26" s="1"/>
  <c r="BK33" i="26"/>
  <c r="BL33" i="26"/>
  <c r="EM33" i="26" s="1"/>
  <c r="BM33" i="26"/>
  <c r="BN33" i="26"/>
  <c r="EY33" i="26" s="1"/>
  <c r="BO33" i="26"/>
  <c r="BQ33" i="26"/>
  <c r="CR33" i="26" s="1"/>
  <c r="BR33" i="26"/>
  <c r="BS33" i="26"/>
  <c r="DD33" i="26" s="1"/>
  <c r="BT33" i="26"/>
  <c r="BU33" i="26"/>
  <c r="DP33" i="26" s="1"/>
  <c r="BV33" i="26"/>
  <c r="BW33" i="26"/>
  <c r="EB33" i="26" s="1"/>
  <c r="BX33" i="26"/>
  <c r="BY33" i="26"/>
  <c r="EN33" i="26" s="1"/>
  <c r="BZ33" i="26"/>
  <c r="CA33" i="26"/>
  <c r="EZ33" i="26" s="1"/>
  <c r="CB33" i="26"/>
  <c r="CC33" i="26"/>
  <c r="CD33" i="26"/>
  <c r="CE33" i="26"/>
  <c r="CF33" i="26"/>
  <c r="CG33" i="26"/>
  <c r="DK33" i="26" s="1"/>
  <c r="CH33" i="26"/>
  <c r="CI33" i="26"/>
  <c r="CJ33" i="26"/>
  <c r="CK33" i="26"/>
  <c r="EI33" i="26" s="1"/>
  <c r="CL33" i="26"/>
  <c r="CM33" i="26"/>
  <c r="EU33" i="26" s="1"/>
  <c r="CN33" i="26"/>
  <c r="CO33" i="26"/>
  <c r="CS33" i="26"/>
  <c r="CW33" i="26"/>
  <c r="CX33" i="26"/>
  <c r="DC33" i="26"/>
  <c r="DF33" i="26" s="1"/>
  <c r="DG33" i="26" s="1"/>
  <c r="DE33" i="26"/>
  <c r="DI33" i="26"/>
  <c r="DJ33" i="26"/>
  <c r="DO33" i="26"/>
  <c r="DR33" i="26" s="1"/>
  <c r="DS33" i="26" s="1"/>
  <c r="DQ33" i="26"/>
  <c r="DU33" i="26"/>
  <c r="DV33" i="26"/>
  <c r="DW33" i="26"/>
  <c r="EC33" i="26"/>
  <c r="EG33" i="26"/>
  <c r="EH33" i="26"/>
  <c r="EO33" i="26"/>
  <c r="ES33" i="26"/>
  <c r="ET33" i="26"/>
  <c r="FA33" i="26"/>
  <c r="FE33" i="26"/>
  <c r="FF33" i="26"/>
  <c r="GA33" i="26"/>
  <c r="BD34" i="26"/>
  <c r="CQ34" i="26" s="1"/>
  <c r="BE34" i="26"/>
  <c r="BF34" i="26"/>
  <c r="DC34" i="26" s="1"/>
  <c r="BG34" i="26"/>
  <c r="DI34" i="26" s="1"/>
  <c r="BH34" i="26"/>
  <c r="DO34" i="26" s="1"/>
  <c r="BI34" i="26"/>
  <c r="DU34" i="26" s="1"/>
  <c r="BJ34" i="26"/>
  <c r="EA34" i="26" s="1"/>
  <c r="BK34" i="26"/>
  <c r="EG34" i="26" s="1"/>
  <c r="BL34" i="26"/>
  <c r="EM34" i="26" s="1"/>
  <c r="BM34" i="26"/>
  <c r="ES34" i="26" s="1"/>
  <c r="BN34" i="26"/>
  <c r="BO34" i="26"/>
  <c r="BQ34" i="26"/>
  <c r="BR34" i="26"/>
  <c r="BS34" i="26"/>
  <c r="BT34" i="26"/>
  <c r="DJ34" i="26" s="1"/>
  <c r="BU34" i="26"/>
  <c r="BV34" i="26"/>
  <c r="BW34" i="26"/>
  <c r="EB34" i="26" s="1"/>
  <c r="BX34" i="26"/>
  <c r="EH34" i="26" s="1"/>
  <c r="BY34" i="26"/>
  <c r="EN34" i="26" s="1"/>
  <c r="BZ34" i="26"/>
  <c r="CA34" i="26"/>
  <c r="EZ34" i="26" s="1"/>
  <c r="FB34" i="26" s="1"/>
  <c r="FC34" i="26" s="1"/>
  <c r="FD34" i="26" s="1"/>
  <c r="FV34" i="26" s="1"/>
  <c r="CB34" i="26"/>
  <c r="FF34" i="26" s="1"/>
  <c r="CD34" i="26"/>
  <c r="CS34" i="26" s="1"/>
  <c r="CE34" i="26"/>
  <c r="CF34" i="26"/>
  <c r="CG34" i="26"/>
  <c r="CH34" i="26"/>
  <c r="DQ34" i="26" s="1"/>
  <c r="CI34" i="26"/>
  <c r="CJ34" i="26"/>
  <c r="EC34" i="26" s="1"/>
  <c r="CK34" i="26"/>
  <c r="CL34" i="26"/>
  <c r="EO34" i="26" s="1"/>
  <c r="CM34" i="26"/>
  <c r="CN34" i="26"/>
  <c r="FA34" i="26" s="1"/>
  <c r="CO34" i="26"/>
  <c r="CR34" i="26"/>
  <c r="CX34" i="26"/>
  <c r="CY34" i="26"/>
  <c r="DD34" i="26"/>
  <c r="DK34" i="26"/>
  <c r="DP34" i="26"/>
  <c r="DV34" i="26"/>
  <c r="DW34" i="26"/>
  <c r="EI34" i="26"/>
  <c r="ET34" i="26"/>
  <c r="EU34" i="26"/>
  <c r="EY34" i="26"/>
  <c r="FE34" i="26"/>
  <c r="GA34" i="26"/>
  <c r="BD35" i="26"/>
  <c r="BE35" i="26"/>
  <c r="BF35" i="26"/>
  <c r="DC35" i="26" s="1"/>
  <c r="BG35" i="26"/>
  <c r="DI35" i="26" s="1"/>
  <c r="BH35" i="26"/>
  <c r="DO35" i="26" s="1"/>
  <c r="BI35" i="26"/>
  <c r="BJ35" i="26"/>
  <c r="EA35" i="26" s="1"/>
  <c r="BK35" i="26"/>
  <c r="EG35" i="26" s="1"/>
  <c r="BL35" i="26"/>
  <c r="EM35" i="26" s="1"/>
  <c r="BM35" i="26"/>
  <c r="BN35" i="26"/>
  <c r="EY35" i="26" s="1"/>
  <c r="BO35" i="26"/>
  <c r="FE35" i="26" s="1"/>
  <c r="BQ35" i="26"/>
  <c r="CR35" i="26" s="1"/>
  <c r="BR35" i="26"/>
  <c r="BS35" i="26"/>
  <c r="BT35" i="26"/>
  <c r="BU35" i="26"/>
  <c r="DP35" i="26" s="1"/>
  <c r="BV35" i="26"/>
  <c r="BW35" i="26"/>
  <c r="EB35" i="26" s="1"/>
  <c r="BX35" i="26"/>
  <c r="BY35" i="26"/>
  <c r="BZ35" i="26"/>
  <c r="CA35" i="26"/>
  <c r="EZ35" i="26" s="1"/>
  <c r="CB35" i="26"/>
  <c r="CD35" i="26"/>
  <c r="CS35" i="26" s="1"/>
  <c r="CE35" i="26"/>
  <c r="CF35" i="26"/>
  <c r="CG35" i="26"/>
  <c r="CH35" i="26"/>
  <c r="DQ35" i="26" s="1"/>
  <c r="CI35" i="26"/>
  <c r="CJ35" i="26"/>
  <c r="EC35" i="26" s="1"/>
  <c r="CK35" i="26"/>
  <c r="CL35" i="26"/>
  <c r="EO35" i="26" s="1"/>
  <c r="CM35" i="26"/>
  <c r="CN35" i="26"/>
  <c r="CO35" i="26"/>
  <c r="CQ35" i="26"/>
  <c r="CW35" i="26"/>
  <c r="CX35" i="26"/>
  <c r="CY35" i="26"/>
  <c r="DE35" i="26"/>
  <c r="DJ35" i="26"/>
  <c r="DK35" i="26"/>
  <c r="DU35" i="26"/>
  <c r="DV35" i="26"/>
  <c r="DW35" i="26"/>
  <c r="EH35" i="26"/>
  <c r="EI35" i="26"/>
  <c r="EN35" i="26"/>
  <c r="ES35" i="26"/>
  <c r="ET35" i="26"/>
  <c r="EU35" i="26"/>
  <c r="FA35" i="26"/>
  <c r="FF35" i="26"/>
  <c r="GA35" i="26"/>
  <c r="BD36" i="26"/>
  <c r="BE36" i="26"/>
  <c r="CW36" i="26" s="1"/>
  <c r="BF36" i="26"/>
  <c r="BG36" i="26"/>
  <c r="DI36" i="26" s="1"/>
  <c r="BH36" i="26"/>
  <c r="BI36" i="26"/>
  <c r="DU36" i="26" s="1"/>
  <c r="BJ36" i="26"/>
  <c r="EA36" i="26" s="1"/>
  <c r="BK36" i="26"/>
  <c r="BL36" i="26"/>
  <c r="BM36" i="26"/>
  <c r="ES36" i="26" s="1"/>
  <c r="BN36" i="26"/>
  <c r="EY36" i="26" s="1"/>
  <c r="BO36" i="26"/>
  <c r="BQ36" i="26"/>
  <c r="BR36" i="26"/>
  <c r="BS36" i="26"/>
  <c r="BT36" i="26"/>
  <c r="DJ36" i="26" s="1"/>
  <c r="BU36" i="26"/>
  <c r="BV36" i="26"/>
  <c r="DV36" i="26" s="1"/>
  <c r="DX36" i="26" s="1"/>
  <c r="DY36" i="26" s="1"/>
  <c r="DZ36" i="26" s="1"/>
  <c r="FQ36" i="26" s="1"/>
  <c r="BW36" i="26"/>
  <c r="BX36" i="26"/>
  <c r="EH36" i="26" s="1"/>
  <c r="BY36" i="26"/>
  <c r="BZ36" i="26"/>
  <c r="ET36" i="26" s="1"/>
  <c r="CA36" i="26"/>
  <c r="CB36" i="26"/>
  <c r="FF36" i="26" s="1"/>
  <c r="CD36" i="26"/>
  <c r="CS36" i="26" s="1"/>
  <c r="CE36" i="26"/>
  <c r="CF36" i="26"/>
  <c r="CG36" i="26"/>
  <c r="DK36" i="26" s="1"/>
  <c r="CH36" i="26"/>
  <c r="DQ36" i="26" s="1"/>
  <c r="CI36" i="26"/>
  <c r="DW36" i="26" s="1"/>
  <c r="CJ36" i="26"/>
  <c r="CK36" i="26"/>
  <c r="EI36" i="26" s="1"/>
  <c r="CL36" i="26"/>
  <c r="EO36" i="26" s="1"/>
  <c r="CM36" i="26"/>
  <c r="EU36" i="26" s="1"/>
  <c r="CN36" i="26"/>
  <c r="CO36" i="26"/>
  <c r="CQ36" i="26"/>
  <c r="CR36" i="26"/>
  <c r="CT36" i="26" s="1"/>
  <c r="CU36" i="26" s="1"/>
  <c r="CX36" i="26"/>
  <c r="DD36" i="26"/>
  <c r="DE36" i="26"/>
  <c r="DO36" i="26"/>
  <c r="DP36" i="26"/>
  <c r="DR36" i="26"/>
  <c r="DS36" i="26" s="1"/>
  <c r="EB36" i="26"/>
  <c r="EC36" i="26"/>
  <c r="EG36" i="26"/>
  <c r="EM36" i="26"/>
  <c r="EN36" i="26"/>
  <c r="EP36" i="26" s="1"/>
  <c r="EQ36" i="26" s="1"/>
  <c r="EZ36" i="26"/>
  <c r="FA36" i="26"/>
  <c r="FE36" i="26"/>
  <c r="GA36" i="26"/>
  <c r="BD37" i="26"/>
  <c r="BE37" i="26"/>
  <c r="CW37" i="26" s="1"/>
  <c r="BF37" i="26"/>
  <c r="DC37" i="26" s="1"/>
  <c r="BG37" i="26"/>
  <c r="DI37" i="26" s="1"/>
  <c r="BH37" i="26"/>
  <c r="BI37" i="26"/>
  <c r="DU37" i="26" s="1"/>
  <c r="BJ37" i="26"/>
  <c r="EA37" i="26" s="1"/>
  <c r="BK37" i="26"/>
  <c r="EG37" i="26" s="1"/>
  <c r="BL37" i="26"/>
  <c r="EM37" i="26" s="1"/>
  <c r="EP37" i="26" s="1"/>
  <c r="EQ37" i="26" s="1"/>
  <c r="BM37" i="26"/>
  <c r="ES37" i="26" s="1"/>
  <c r="BN37" i="26"/>
  <c r="EY37" i="26" s="1"/>
  <c r="BO37" i="26"/>
  <c r="FE37" i="26" s="1"/>
  <c r="BQ37" i="26"/>
  <c r="CR37" i="26" s="1"/>
  <c r="BR37" i="26"/>
  <c r="BS37" i="26"/>
  <c r="BT37" i="26"/>
  <c r="DJ37" i="26" s="1"/>
  <c r="BU37" i="26"/>
  <c r="DP37" i="26" s="1"/>
  <c r="BV37" i="26"/>
  <c r="DV37" i="26" s="1"/>
  <c r="BW37" i="26"/>
  <c r="BX37" i="26"/>
  <c r="EH37" i="26" s="1"/>
  <c r="BY37" i="26"/>
  <c r="EN37" i="26" s="1"/>
  <c r="BZ37" i="26"/>
  <c r="ET37" i="26" s="1"/>
  <c r="CA37" i="26"/>
  <c r="CB37" i="26"/>
  <c r="CD37" i="26"/>
  <c r="CS37" i="26" s="1"/>
  <c r="CE37" i="26"/>
  <c r="CF37" i="26"/>
  <c r="DE37" i="26" s="1"/>
  <c r="CG37" i="26"/>
  <c r="DK37" i="26" s="1"/>
  <c r="CH37" i="26"/>
  <c r="DQ37" i="26" s="1"/>
  <c r="CI37" i="26"/>
  <c r="CJ37" i="26"/>
  <c r="EC37" i="26" s="1"/>
  <c r="CK37" i="26"/>
  <c r="EI37" i="26" s="1"/>
  <c r="CL37" i="26"/>
  <c r="EO37" i="26" s="1"/>
  <c r="CM37" i="26"/>
  <c r="CN37" i="26"/>
  <c r="FA37" i="26" s="1"/>
  <c r="CO37" i="26"/>
  <c r="CQ37" i="26"/>
  <c r="CT37" i="26" s="1"/>
  <c r="CU37" i="26" s="1"/>
  <c r="CX37" i="26"/>
  <c r="CY37" i="26"/>
  <c r="DD37" i="26"/>
  <c r="DO37" i="26"/>
  <c r="DW37" i="26"/>
  <c r="EB37" i="26"/>
  <c r="EU37" i="26"/>
  <c r="EZ37" i="26"/>
  <c r="FF37" i="26"/>
  <c r="GA37" i="26"/>
  <c r="BD38" i="26"/>
  <c r="CQ38" i="26" s="1"/>
  <c r="BE38" i="26"/>
  <c r="BF38" i="26"/>
  <c r="DC38" i="26" s="1"/>
  <c r="BG38" i="26"/>
  <c r="BH38" i="26"/>
  <c r="DO38" i="26" s="1"/>
  <c r="BI38" i="26"/>
  <c r="BJ38" i="26"/>
  <c r="EA38" i="26" s="1"/>
  <c r="BK38" i="26"/>
  <c r="BL38" i="26"/>
  <c r="EM38" i="26" s="1"/>
  <c r="BM38" i="26"/>
  <c r="BN38" i="26"/>
  <c r="EY38" i="26" s="1"/>
  <c r="BO38" i="26"/>
  <c r="BP38" i="26"/>
  <c r="BQ38" i="26"/>
  <c r="BR38" i="26"/>
  <c r="CX38" i="26" s="1"/>
  <c r="BS38" i="26"/>
  <c r="BT38" i="26"/>
  <c r="BU38" i="26"/>
  <c r="BV38" i="26"/>
  <c r="BW38" i="26"/>
  <c r="BX38" i="26"/>
  <c r="EH38" i="26" s="1"/>
  <c r="BY38" i="26"/>
  <c r="BZ38" i="26"/>
  <c r="ET38" i="26" s="1"/>
  <c r="EV38" i="26" s="1"/>
  <c r="EW38" i="26" s="1"/>
  <c r="EX38" i="26" s="1"/>
  <c r="FU38" i="26" s="1"/>
  <c r="CA38" i="26"/>
  <c r="CB38" i="26"/>
  <c r="FF38" i="26" s="1"/>
  <c r="CD38" i="26"/>
  <c r="CE38" i="26"/>
  <c r="CF38" i="26"/>
  <c r="CG38" i="26"/>
  <c r="DK38" i="26" s="1"/>
  <c r="CH38" i="26"/>
  <c r="CI38" i="26"/>
  <c r="DW38" i="26" s="1"/>
  <c r="CJ38" i="26"/>
  <c r="EC38" i="26" s="1"/>
  <c r="CK38" i="26"/>
  <c r="EI38" i="26" s="1"/>
  <c r="CL38" i="26"/>
  <c r="CM38" i="26"/>
  <c r="EU38" i="26" s="1"/>
  <c r="CN38" i="26"/>
  <c r="FA38" i="26" s="1"/>
  <c r="CO38" i="26"/>
  <c r="CR38" i="26"/>
  <c r="CS38" i="26"/>
  <c r="CW38" i="26"/>
  <c r="CY38" i="26"/>
  <c r="DD38" i="26"/>
  <c r="DI38" i="26"/>
  <c r="DP38" i="26"/>
  <c r="DQ38" i="26"/>
  <c r="DU38" i="26"/>
  <c r="DV38" i="26"/>
  <c r="DX38" i="26" s="1"/>
  <c r="DY38" i="26" s="1"/>
  <c r="DZ38" i="26" s="1"/>
  <c r="FQ38" i="26" s="1"/>
  <c r="EB38" i="26"/>
  <c r="EG38" i="26"/>
  <c r="EN38" i="26"/>
  <c r="EO38" i="26"/>
  <c r="ES38" i="26"/>
  <c r="EZ38" i="26"/>
  <c r="FB38" i="26" s="1"/>
  <c r="FC38" i="26" s="1"/>
  <c r="FD38" i="26" s="1"/>
  <c r="FV38" i="26" s="1"/>
  <c r="FE38" i="26"/>
  <c r="GA38" i="26"/>
  <c r="BD39" i="26"/>
  <c r="BE39" i="26"/>
  <c r="CW39" i="26" s="1"/>
  <c r="BF39" i="26"/>
  <c r="BG39" i="26"/>
  <c r="DI39" i="26" s="1"/>
  <c r="BH39" i="26"/>
  <c r="BI39" i="26"/>
  <c r="DU39" i="26" s="1"/>
  <c r="BJ39" i="26"/>
  <c r="BK39" i="26"/>
  <c r="EG39" i="26" s="1"/>
  <c r="BL39" i="26"/>
  <c r="BM39" i="26"/>
  <c r="ES39" i="26" s="1"/>
  <c r="BN39" i="26"/>
  <c r="BO39" i="26"/>
  <c r="FE39" i="26" s="1"/>
  <c r="BQ39" i="26"/>
  <c r="CR39" i="26" s="1"/>
  <c r="BR39" i="26"/>
  <c r="CX39" i="26" s="1"/>
  <c r="BS39" i="26"/>
  <c r="BT39" i="26"/>
  <c r="BU39" i="26"/>
  <c r="BV39" i="26"/>
  <c r="BW39" i="26"/>
  <c r="EB39" i="26" s="1"/>
  <c r="BX39" i="26"/>
  <c r="EH39" i="26" s="1"/>
  <c r="BY39" i="26"/>
  <c r="BZ39" i="26"/>
  <c r="ET39" i="26" s="1"/>
  <c r="CA39" i="26"/>
  <c r="EZ39" i="26" s="1"/>
  <c r="CB39" i="26"/>
  <c r="CD39" i="26"/>
  <c r="CE39" i="26"/>
  <c r="CY39" i="26" s="1"/>
  <c r="CF39" i="26"/>
  <c r="CG39" i="26"/>
  <c r="DK39" i="26" s="1"/>
  <c r="CH39" i="26"/>
  <c r="CI39" i="26"/>
  <c r="DW39" i="26" s="1"/>
  <c r="CJ39" i="26"/>
  <c r="CK39" i="26"/>
  <c r="EI39" i="26" s="1"/>
  <c r="CL39" i="26"/>
  <c r="CM39" i="26"/>
  <c r="EU39" i="26" s="1"/>
  <c r="CN39" i="26"/>
  <c r="CO39" i="26"/>
  <c r="CQ39" i="26"/>
  <c r="CS39" i="26"/>
  <c r="DC39" i="26"/>
  <c r="DE39" i="26"/>
  <c r="DJ39" i="26"/>
  <c r="DO39" i="26"/>
  <c r="DP39" i="26"/>
  <c r="DQ39" i="26"/>
  <c r="DV39" i="26"/>
  <c r="EA39" i="26"/>
  <c r="EC39" i="26"/>
  <c r="EM39" i="26"/>
  <c r="EN39" i="26"/>
  <c r="EO39" i="26"/>
  <c r="EY39" i="26"/>
  <c r="FA39" i="26"/>
  <c r="FF39" i="26"/>
  <c r="GA39" i="26"/>
  <c r="BD40" i="26"/>
  <c r="CQ40" i="26" s="1"/>
  <c r="BE40" i="26"/>
  <c r="BF40" i="26"/>
  <c r="BG40" i="26"/>
  <c r="BH40" i="26"/>
  <c r="DO40" i="26" s="1"/>
  <c r="BI40" i="26"/>
  <c r="BJ40" i="26"/>
  <c r="EA40" i="26" s="1"/>
  <c r="BK40" i="26"/>
  <c r="BL40" i="26"/>
  <c r="EM40" i="26" s="1"/>
  <c r="BM40" i="26"/>
  <c r="BN40" i="26"/>
  <c r="EY40" i="26" s="1"/>
  <c r="BO40" i="26"/>
  <c r="BQ40" i="26"/>
  <c r="CR40" i="26" s="1"/>
  <c r="BR40" i="26"/>
  <c r="BS40" i="26"/>
  <c r="DD40" i="26" s="1"/>
  <c r="BT40" i="26"/>
  <c r="BU40" i="26"/>
  <c r="DP40" i="26" s="1"/>
  <c r="BV40" i="26"/>
  <c r="BW40" i="26"/>
  <c r="EB40" i="26" s="1"/>
  <c r="ED40" i="26" s="1"/>
  <c r="EE40" i="26" s="1"/>
  <c r="BX40" i="26"/>
  <c r="BY40" i="26"/>
  <c r="BZ40" i="26"/>
  <c r="CA40" i="26"/>
  <c r="CB40" i="26"/>
  <c r="CD40" i="26"/>
  <c r="CS40" i="26" s="1"/>
  <c r="CE40" i="26"/>
  <c r="CF40" i="26"/>
  <c r="DE40" i="26" s="1"/>
  <c r="CG40" i="26"/>
  <c r="CH40" i="26"/>
  <c r="DQ40" i="26" s="1"/>
  <c r="CI40" i="26"/>
  <c r="CJ40" i="26"/>
  <c r="EC40" i="26" s="1"/>
  <c r="CK40" i="26"/>
  <c r="CL40" i="26"/>
  <c r="EO40" i="26" s="1"/>
  <c r="CM40" i="26"/>
  <c r="CN40" i="26"/>
  <c r="FA40" i="26" s="1"/>
  <c r="CO40" i="26"/>
  <c r="CP40" i="26"/>
  <c r="FG40" i="26" s="1"/>
  <c r="CW40" i="26"/>
  <c r="CX40" i="26"/>
  <c r="CY40" i="26"/>
  <c r="DI40" i="26"/>
  <c r="DJ40" i="26"/>
  <c r="DK40" i="26"/>
  <c r="DU40" i="26"/>
  <c r="DV40" i="26"/>
  <c r="DW40" i="26"/>
  <c r="EG40" i="26"/>
  <c r="EH40" i="26"/>
  <c r="EI40" i="26"/>
  <c r="EN40" i="26"/>
  <c r="ES40" i="26"/>
  <c r="ET40" i="26"/>
  <c r="EU40" i="26"/>
  <c r="EZ40" i="26"/>
  <c r="FB40" i="26" s="1"/>
  <c r="FC40" i="26" s="1"/>
  <c r="FE40" i="26"/>
  <c r="FF40" i="26"/>
  <c r="FH40" i="26" s="1"/>
  <c r="FI40" i="26" s="1"/>
  <c r="GA40" i="26"/>
  <c r="BD41" i="26"/>
  <c r="BE41" i="26"/>
  <c r="BF41" i="26"/>
  <c r="DC41" i="26" s="1"/>
  <c r="BG41" i="26"/>
  <c r="BH41" i="26"/>
  <c r="BI41" i="26"/>
  <c r="BJ41" i="26"/>
  <c r="EA41" i="26" s="1"/>
  <c r="BK41" i="26"/>
  <c r="BL41" i="26"/>
  <c r="BM41" i="26"/>
  <c r="BN41" i="26"/>
  <c r="EY41" i="26" s="1"/>
  <c r="BO41" i="26"/>
  <c r="BQ41" i="26"/>
  <c r="CR41" i="26" s="1"/>
  <c r="BR41" i="26"/>
  <c r="BS41" i="26"/>
  <c r="BT41" i="26"/>
  <c r="DJ41" i="26" s="1"/>
  <c r="BU41" i="26"/>
  <c r="DP41" i="26" s="1"/>
  <c r="BV41" i="26"/>
  <c r="DV41" i="26" s="1"/>
  <c r="BW41" i="26"/>
  <c r="BX41" i="26"/>
  <c r="EH41" i="26" s="1"/>
  <c r="BY41" i="26"/>
  <c r="EN41" i="26" s="1"/>
  <c r="BZ41" i="26"/>
  <c r="ET41" i="26" s="1"/>
  <c r="CA41" i="26"/>
  <c r="CB41" i="26"/>
  <c r="FF41" i="26" s="1"/>
  <c r="CD41" i="26"/>
  <c r="CS41" i="26" s="1"/>
  <c r="CE41" i="26"/>
  <c r="CF41" i="26"/>
  <c r="DE41" i="26" s="1"/>
  <c r="CG41" i="26"/>
  <c r="DK41" i="26" s="1"/>
  <c r="CH41" i="26"/>
  <c r="DQ41" i="26" s="1"/>
  <c r="CI41" i="26"/>
  <c r="CJ41" i="26"/>
  <c r="EC41" i="26" s="1"/>
  <c r="CK41" i="26"/>
  <c r="EI41" i="26" s="1"/>
  <c r="CL41" i="26"/>
  <c r="EO41" i="26" s="1"/>
  <c r="CM41" i="26"/>
  <c r="CN41" i="26"/>
  <c r="FA41" i="26" s="1"/>
  <c r="CO41" i="26"/>
  <c r="CQ41" i="26"/>
  <c r="CW41" i="26"/>
  <c r="CY41" i="26"/>
  <c r="DD41" i="26"/>
  <c r="DI41" i="26"/>
  <c r="DO41" i="26"/>
  <c r="DU41" i="26"/>
  <c r="DW41" i="26"/>
  <c r="EB41" i="26"/>
  <c r="EG41" i="26"/>
  <c r="EM41" i="26"/>
  <c r="ES41" i="26"/>
  <c r="EU41" i="26"/>
  <c r="EZ41" i="26"/>
  <c r="FE41" i="26"/>
  <c r="GA41" i="26"/>
  <c r="BD42" i="26"/>
  <c r="CQ42" i="26" s="1"/>
  <c r="BE42" i="26"/>
  <c r="BF42" i="26"/>
  <c r="BG42" i="26"/>
  <c r="DI42" i="26" s="1"/>
  <c r="BH42" i="26"/>
  <c r="DO42" i="26" s="1"/>
  <c r="BI42" i="26"/>
  <c r="BJ42" i="26"/>
  <c r="BK42" i="26"/>
  <c r="EG42" i="26" s="1"/>
  <c r="EJ42" i="26" s="1"/>
  <c r="EK42" i="26" s="1"/>
  <c r="BL42" i="26"/>
  <c r="EM42" i="26" s="1"/>
  <c r="BM42" i="26"/>
  <c r="ES42" i="26" s="1"/>
  <c r="BN42" i="26"/>
  <c r="BO42" i="26"/>
  <c r="FE42" i="26" s="1"/>
  <c r="BQ42" i="26"/>
  <c r="BR42" i="26"/>
  <c r="CX42" i="26" s="1"/>
  <c r="BS42" i="26"/>
  <c r="DD42" i="26" s="1"/>
  <c r="BT42" i="26"/>
  <c r="BU42" i="26"/>
  <c r="DP42" i="26" s="1"/>
  <c r="BV42" i="26"/>
  <c r="DV42" i="26" s="1"/>
  <c r="BW42" i="26"/>
  <c r="EB42" i="26" s="1"/>
  <c r="BX42" i="26"/>
  <c r="EH42" i="26" s="1"/>
  <c r="BY42" i="26"/>
  <c r="EN42" i="26" s="1"/>
  <c r="BZ42" i="26"/>
  <c r="ET42" i="26" s="1"/>
  <c r="CA42" i="26"/>
  <c r="CB42" i="26"/>
  <c r="FF42" i="26" s="1"/>
  <c r="CD42" i="26"/>
  <c r="CS42" i="26" s="1"/>
  <c r="CE42" i="26"/>
  <c r="CY42" i="26" s="1"/>
  <c r="CF42" i="26"/>
  <c r="CG42" i="26"/>
  <c r="DK42" i="26" s="1"/>
  <c r="CH42" i="26"/>
  <c r="DQ42" i="26" s="1"/>
  <c r="CI42" i="26"/>
  <c r="DW42" i="26" s="1"/>
  <c r="CJ42" i="26"/>
  <c r="EC42" i="26" s="1"/>
  <c r="CK42" i="26"/>
  <c r="EI42" i="26" s="1"/>
  <c r="CL42" i="26"/>
  <c r="EO42" i="26" s="1"/>
  <c r="CM42" i="26"/>
  <c r="EU42" i="26" s="1"/>
  <c r="CN42" i="26"/>
  <c r="FA42" i="26" s="1"/>
  <c r="CO42" i="26"/>
  <c r="CR42" i="26"/>
  <c r="CW42" i="26"/>
  <c r="DC42" i="26"/>
  <c r="DU42" i="26"/>
  <c r="EA42" i="26"/>
  <c r="EY42" i="26"/>
  <c r="EZ42" i="26"/>
  <c r="GA42" i="26"/>
  <c r="GA8" i="26"/>
  <c r="HD5" i="26"/>
  <c r="GT5" i="26"/>
  <c r="GU5" i="26"/>
  <c r="GV5" i="26"/>
  <c r="GW5" i="26"/>
  <c r="GX5" i="26"/>
  <c r="GY5" i="26"/>
  <c r="GZ5" i="26"/>
  <c r="HA5" i="26"/>
  <c r="HB5" i="26"/>
  <c r="HC5" i="26"/>
  <c r="GS5" i="26"/>
  <c r="CE8" i="26"/>
  <c r="CF8" i="26"/>
  <c r="CG8" i="26"/>
  <c r="CH8" i="26"/>
  <c r="CI8" i="26"/>
  <c r="CJ8" i="26"/>
  <c r="CK8" i="26"/>
  <c r="CL8" i="26"/>
  <c r="CM8" i="26"/>
  <c r="CN8" i="26"/>
  <c r="CO8" i="26"/>
  <c r="CD8" i="26"/>
  <c r="BR8" i="26"/>
  <c r="BS8" i="26"/>
  <c r="BT8" i="26"/>
  <c r="BU8" i="26"/>
  <c r="BV8" i="26"/>
  <c r="BW8" i="26"/>
  <c r="BX8" i="26"/>
  <c r="BY8" i="26"/>
  <c r="BZ8" i="26"/>
  <c r="CA8" i="26"/>
  <c r="CB8" i="26"/>
  <c r="FF8" i="26" s="1"/>
  <c r="BQ8" i="26"/>
  <c r="BE8" i="26"/>
  <c r="BF8" i="26"/>
  <c r="BG8" i="26"/>
  <c r="BH8" i="26"/>
  <c r="BI8" i="26"/>
  <c r="BJ8" i="26"/>
  <c r="BK8" i="26"/>
  <c r="BL8" i="26"/>
  <c r="BM8" i="26"/>
  <c r="BN8" i="26"/>
  <c r="BO8" i="26"/>
  <c r="FE8" i="26" s="1"/>
  <c r="BD8" i="26"/>
  <c r="A56" i="26"/>
  <c r="N7" i="26" s="1"/>
  <c r="Z7" i="26" s="1"/>
  <c r="AL7" i="26" s="1"/>
  <c r="AX7" i="26" s="1"/>
  <c r="B56" i="26"/>
  <c r="A57" i="26"/>
  <c r="B57" i="26"/>
  <c r="EO42" i="25"/>
  <c r="EP42" i="25"/>
  <c r="IU9" i="25"/>
  <c r="IU10" i="25"/>
  <c r="IU11" i="25"/>
  <c r="IU12" i="25"/>
  <c r="IU13" i="25"/>
  <c r="IU14" i="25"/>
  <c r="IU15" i="25"/>
  <c r="IU16" i="25"/>
  <c r="IU17" i="25"/>
  <c r="IU18" i="25"/>
  <c r="IU19" i="25"/>
  <c r="IU20" i="25"/>
  <c r="IU21" i="25"/>
  <c r="IU22" i="25"/>
  <c r="IU23" i="25"/>
  <c r="IU24" i="25"/>
  <c r="IU25" i="25"/>
  <c r="IU26" i="25"/>
  <c r="IU27" i="25"/>
  <c r="IU28" i="25"/>
  <c r="IU29" i="25"/>
  <c r="IU30" i="25"/>
  <c r="IU31" i="25"/>
  <c r="IU32" i="25"/>
  <c r="IU33" i="25"/>
  <c r="IU34" i="25"/>
  <c r="IU35" i="25"/>
  <c r="IU36" i="25"/>
  <c r="IU37" i="25"/>
  <c r="IU38" i="25"/>
  <c r="IU39" i="25"/>
  <c r="IU40" i="25"/>
  <c r="IU41" i="25"/>
  <c r="IU8" i="25"/>
  <c r="ES42" i="25"/>
  <c r="EQ42" i="25"/>
  <c r="EV9" i="25"/>
  <c r="EW9" i="25"/>
  <c r="EX9" i="25"/>
  <c r="EY9" i="25"/>
  <c r="EZ9" i="25"/>
  <c r="FA9" i="25"/>
  <c r="FB9" i="25"/>
  <c r="FC9" i="25"/>
  <c r="HS9" i="25" s="1"/>
  <c r="FD9" i="25"/>
  <c r="HY9" i="25" s="1"/>
  <c r="FG9" i="25"/>
  <c r="FH9" i="25"/>
  <c r="FI9" i="25"/>
  <c r="FJ9" i="25"/>
  <c r="FK9" i="25"/>
  <c r="FL9" i="25"/>
  <c r="FM9" i="25"/>
  <c r="FN9" i="25"/>
  <c r="HT9" i="25" s="1"/>
  <c r="FO9" i="25"/>
  <c r="HZ9" i="25" s="1"/>
  <c r="FR9" i="25"/>
  <c r="FS9" i="25"/>
  <c r="FT9" i="25"/>
  <c r="FU9" i="25"/>
  <c r="FV9" i="25"/>
  <c r="FW9" i="25"/>
  <c r="FX9" i="25"/>
  <c r="FY9" i="25"/>
  <c r="HU9" i="25" s="1"/>
  <c r="FZ9" i="25"/>
  <c r="IA9" i="25" s="1"/>
  <c r="EV10" i="25"/>
  <c r="EW10" i="25"/>
  <c r="EX10" i="25"/>
  <c r="EY10" i="25"/>
  <c r="EZ10" i="25"/>
  <c r="FA10" i="25"/>
  <c r="FB10" i="25"/>
  <c r="FC10" i="25"/>
  <c r="HS10" i="25" s="1"/>
  <c r="FD10" i="25"/>
  <c r="HY10" i="25" s="1"/>
  <c r="FG10" i="25"/>
  <c r="FH10" i="25"/>
  <c r="FI10" i="25"/>
  <c r="FJ10" i="25"/>
  <c r="FK10" i="25"/>
  <c r="FL10" i="25"/>
  <c r="FM10" i="25"/>
  <c r="FN10" i="25"/>
  <c r="HT10" i="25" s="1"/>
  <c r="HV10" i="25" s="1"/>
  <c r="HW10" i="25" s="1"/>
  <c r="HX10" i="25" s="1"/>
  <c r="IO10" i="25" s="1"/>
  <c r="EO10" i="25" s="1"/>
  <c r="FO10" i="25"/>
  <c r="HZ10" i="25" s="1"/>
  <c r="FR10" i="25"/>
  <c r="FS10" i="25"/>
  <c r="FT10" i="25"/>
  <c r="FU10" i="25"/>
  <c r="FV10" i="25"/>
  <c r="FW10" i="25"/>
  <c r="FX10" i="25"/>
  <c r="FY10" i="25"/>
  <c r="HU10" i="25" s="1"/>
  <c r="FZ10" i="25"/>
  <c r="IA10" i="25" s="1"/>
  <c r="EV11" i="25"/>
  <c r="EW11" i="25"/>
  <c r="EX11" i="25"/>
  <c r="EY11" i="25"/>
  <c r="EZ11" i="25"/>
  <c r="FA11" i="25"/>
  <c r="FB11" i="25"/>
  <c r="FC11" i="25"/>
  <c r="HS11" i="25" s="1"/>
  <c r="FD11" i="25"/>
  <c r="HY11" i="25" s="1"/>
  <c r="FG11" i="25"/>
  <c r="FH11" i="25"/>
  <c r="FI11" i="25"/>
  <c r="FJ11" i="25"/>
  <c r="FK11" i="25"/>
  <c r="FL11" i="25"/>
  <c r="FM11" i="25"/>
  <c r="FN11" i="25"/>
  <c r="HT11" i="25" s="1"/>
  <c r="FO11" i="25"/>
  <c r="HZ11" i="25" s="1"/>
  <c r="FR11" i="25"/>
  <c r="FS11" i="25"/>
  <c r="FT11" i="25"/>
  <c r="FU11" i="25"/>
  <c r="FV11" i="25"/>
  <c r="FW11" i="25"/>
  <c r="FX11" i="25"/>
  <c r="FY11" i="25"/>
  <c r="HU11" i="25" s="1"/>
  <c r="FZ11" i="25"/>
  <c r="IA11" i="25" s="1"/>
  <c r="EV12" i="25"/>
  <c r="EW12" i="25"/>
  <c r="EX12" i="25"/>
  <c r="EY12" i="25"/>
  <c r="EZ12" i="25"/>
  <c r="FA12" i="25"/>
  <c r="FB12" i="25"/>
  <c r="FC12" i="25"/>
  <c r="HS12" i="25" s="1"/>
  <c r="FD12" i="25"/>
  <c r="HY12" i="25" s="1"/>
  <c r="FG12" i="25"/>
  <c r="FH12" i="25"/>
  <c r="FI12" i="25"/>
  <c r="FJ12" i="25"/>
  <c r="FK12" i="25"/>
  <c r="FL12" i="25"/>
  <c r="FM12" i="25"/>
  <c r="FN12" i="25"/>
  <c r="HT12" i="25" s="1"/>
  <c r="HV12" i="25" s="1"/>
  <c r="HW12" i="25" s="1"/>
  <c r="HX12" i="25" s="1"/>
  <c r="IO12" i="25" s="1"/>
  <c r="EO12" i="25" s="1"/>
  <c r="FO12" i="25"/>
  <c r="HZ12" i="25" s="1"/>
  <c r="FR12" i="25"/>
  <c r="FS12" i="25"/>
  <c r="FT12" i="25"/>
  <c r="FU12" i="25"/>
  <c r="FV12" i="25"/>
  <c r="FW12" i="25"/>
  <c r="FX12" i="25"/>
  <c r="FY12" i="25"/>
  <c r="HU12" i="25" s="1"/>
  <c r="FZ12" i="25"/>
  <c r="IA12" i="25" s="1"/>
  <c r="EV13" i="25"/>
  <c r="EW13" i="25"/>
  <c r="EX13" i="25"/>
  <c r="EY13" i="25"/>
  <c r="EZ13" i="25"/>
  <c r="FA13" i="25"/>
  <c r="FB13" i="25"/>
  <c r="FC13" i="25"/>
  <c r="HS13" i="25" s="1"/>
  <c r="FD13" i="25"/>
  <c r="HY13" i="25" s="1"/>
  <c r="FG13" i="25"/>
  <c r="FH13" i="25"/>
  <c r="FI13" i="25"/>
  <c r="FJ13" i="25"/>
  <c r="FK13" i="25"/>
  <c r="FL13" i="25"/>
  <c r="FM13" i="25"/>
  <c r="FN13" i="25"/>
  <c r="HT13" i="25" s="1"/>
  <c r="FO13" i="25"/>
  <c r="HZ13" i="25" s="1"/>
  <c r="FR13" i="25"/>
  <c r="FS13" i="25"/>
  <c r="FT13" i="25"/>
  <c r="FU13" i="25"/>
  <c r="FV13" i="25"/>
  <c r="FW13" i="25"/>
  <c r="FX13" i="25"/>
  <c r="FY13" i="25"/>
  <c r="HU13" i="25" s="1"/>
  <c r="FZ13" i="25"/>
  <c r="IA13" i="25" s="1"/>
  <c r="EV14" i="25"/>
  <c r="EW14" i="25"/>
  <c r="EX14" i="25"/>
  <c r="EY14" i="25"/>
  <c r="EZ14" i="25"/>
  <c r="FA14" i="25"/>
  <c r="FB14" i="25"/>
  <c r="FC14" i="25"/>
  <c r="HS14" i="25" s="1"/>
  <c r="FD14" i="25"/>
  <c r="HY14" i="25" s="1"/>
  <c r="FG14" i="25"/>
  <c r="FH14" i="25"/>
  <c r="FI14" i="25"/>
  <c r="FJ14" i="25"/>
  <c r="FK14" i="25"/>
  <c r="FL14" i="25"/>
  <c r="FM14" i="25"/>
  <c r="FN14" i="25"/>
  <c r="HT14" i="25" s="1"/>
  <c r="HV14" i="25" s="1"/>
  <c r="HW14" i="25" s="1"/>
  <c r="HX14" i="25" s="1"/>
  <c r="IO14" i="25" s="1"/>
  <c r="EO14" i="25" s="1"/>
  <c r="FO14" i="25"/>
  <c r="HZ14" i="25" s="1"/>
  <c r="FR14" i="25"/>
  <c r="FS14" i="25"/>
  <c r="FT14" i="25"/>
  <c r="FU14" i="25"/>
  <c r="FV14" i="25"/>
  <c r="FW14" i="25"/>
  <c r="FX14" i="25"/>
  <c r="FY14" i="25"/>
  <c r="HU14" i="25" s="1"/>
  <c r="FZ14" i="25"/>
  <c r="IA14" i="25" s="1"/>
  <c r="EV15" i="25"/>
  <c r="EW15" i="25"/>
  <c r="EX15" i="25"/>
  <c r="EY15" i="25"/>
  <c r="EZ15" i="25"/>
  <c r="FA15" i="25"/>
  <c r="FB15" i="25"/>
  <c r="FC15" i="25"/>
  <c r="HS15" i="25" s="1"/>
  <c r="FD15" i="25"/>
  <c r="HY15" i="25" s="1"/>
  <c r="FG15" i="25"/>
  <c r="FH15" i="25"/>
  <c r="FI15" i="25"/>
  <c r="FJ15" i="25"/>
  <c r="FK15" i="25"/>
  <c r="FL15" i="25"/>
  <c r="FM15" i="25"/>
  <c r="FN15" i="25"/>
  <c r="HT15" i="25" s="1"/>
  <c r="FO15" i="25"/>
  <c r="HZ15" i="25" s="1"/>
  <c r="FR15" i="25"/>
  <c r="FS15" i="25"/>
  <c r="FT15" i="25"/>
  <c r="FU15" i="25"/>
  <c r="FV15" i="25"/>
  <c r="FW15" i="25"/>
  <c r="FX15" i="25"/>
  <c r="FY15" i="25"/>
  <c r="HU15" i="25" s="1"/>
  <c r="FZ15" i="25"/>
  <c r="IA15" i="25" s="1"/>
  <c r="EV16" i="25"/>
  <c r="EW16" i="25"/>
  <c r="EX16" i="25"/>
  <c r="EY16" i="25"/>
  <c r="EZ16" i="25"/>
  <c r="FA16" i="25"/>
  <c r="FB16" i="25"/>
  <c r="FC16" i="25"/>
  <c r="HS16" i="25" s="1"/>
  <c r="FD16" i="25"/>
  <c r="HY16" i="25" s="1"/>
  <c r="FG16" i="25"/>
  <c r="FH16" i="25"/>
  <c r="FI16" i="25"/>
  <c r="FJ16" i="25"/>
  <c r="FK16" i="25"/>
  <c r="FL16" i="25"/>
  <c r="FM16" i="25"/>
  <c r="FN16" i="25"/>
  <c r="HT16" i="25" s="1"/>
  <c r="HV16" i="25" s="1"/>
  <c r="HW16" i="25" s="1"/>
  <c r="HX16" i="25" s="1"/>
  <c r="IO16" i="25" s="1"/>
  <c r="EO16" i="25" s="1"/>
  <c r="FO16" i="25"/>
  <c r="HZ16" i="25" s="1"/>
  <c r="FR16" i="25"/>
  <c r="FS16" i="25"/>
  <c r="FT16" i="25"/>
  <c r="FU16" i="25"/>
  <c r="FV16" i="25"/>
  <c r="FW16" i="25"/>
  <c r="FX16" i="25"/>
  <c r="FY16" i="25"/>
  <c r="HU16" i="25" s="1"/>
  <c r="FZ16" i="25"/>
  <c r="IA16" i="25" s="1"/>
  <c r="EV17" i="25"/>
  <c r="EW17" i="25"/>
  <c r="EX17" i="25"/>
  <c r="EY17" i="25"/>
  <c r="EZ17" i="25"/>
  <c r="FA17" i="25"/>
  <c r="FB17" i="25"/>
  <c r="FC17" i="25"/>
  <c r="HS17" i="25" s="1"/>
  <c r="FD17" i="25"/>
  <c r="HY17" i="25" s="1"/>
  <c r="FG17" i="25"/>
  <c r="FH17" i="25"/>
  <c r="FI17" i="25"/>
  <c r="FJ17" i="25"/>
  <c r="FK17" i="25"/>
  <c r="FL17" i="25"/>
  <c r="FM17" i="25"/>
  <c r="FN17" i="25"/>
  <c r="HT17" i="25" s="1"/>
  <c r="FO17" i="25"/>
  <c r="HZ17" i="25" s="1"/>
  <c r="FR17" i="25"/>
  <c r="FS17" i="25"/>
  <c r="FT17" i="25"/>
  <c r="FU17" i="25"/>
  <c r="FV17" i="25"/>
  <c r="FW17" i="25"/>
  <c r="FX17" i="25"/>
  <c r="FY17" i="25"/>
  <c r="HU17" i="25" s="1"/>
  <c r="FZ17" i="25"/>
  <c r="IA17" i="25" s="1"/>
  <c r="EV18" i="25"/>
  <c r="EW18" i="25"/>
  <c r="EX18" i="25"/>
  <c r="EY18" i="25"/>
  <c r="EZ18" i="25"/>
  <c r="FA18" i="25"/>
  <c r="FB18" i="25"/>
  <c r="FC18" i="25"/>
  <c r="HS18" i="25" s="1"/>
  <c r="FD18" i="25"/>
  <c r="HY18" i="25" s="1"/>
  <c r="FG18" i="25"/>
  <c r="FH18" i="25"/>
  <c r="FI18" i="25"/>
  <c r="FJ18" i="25"/>
  <c r="FK18" i="25"/>
  <c r="FL18" i="25"/>
  <c r="FM18" i="25"/>
  <c r="FN18" i="25"/>
  <c r="HT18" i="25" s="1"/>
  <c r="HV18" i="25" s="1"/>
  <c r="HW18" i="25" s="1"/>
  <c r="HX18" i="25" s="1"/>
  <c r="IO18" i="25" s="1"/>
  <c r="EO18" i="25" s="1"/>
  <c r="FO18" i="25"/>
  <c r="HZ18" i="25" s="1"/>
  <c r="FR18" i="25"/>
  <c r="FS18" i="25"/>
  <c r="FT18" i="25"/>
  <c r="FU18" i="25"/>
  <c r="FV18" i="25"/>
  <c r="FW18" i="25"/>
  <c r="FX18" i="25"/>
  <c r="FY18" i="25"/>
  <c r="HU18" i="25" s="1"/>
  <c r="FZ18" i="25"/>
  <c r="IA18" i="25" s="1"/>
  <c r="EV19" i="25"/>
  <c r="EW19" i="25"/>
  <c r="EX19" i="25"/>
  <c r="EY19" i="25"/>
  <c r="EZ19" i="25"/>
  <c r="FA19" i="25"/>
  <c r="FB19" i="25"/>
  <c r="FC19" i="25"/>
  <c r="HS19" i="25" s="1"/>
  <c r="FD19" i="25"/>
  <c r="HY19" i="25" s="1"/>
  <c r="FG19" i="25"/>
  <c r="FH19" i="25"/>
  <c r="FI19" i="25"/>
  <c r="FJ19" i="25"/>
  <c r="FK19" i="25"/>
  <c r="FL19" i="25"/>
  <c r="FM19" i="25"/>
  <c r="FN19" i="25"/>
  <c r="HT19" i="25" s="1"/>
  <c r="FO19" i="25"/>
  <c r="HZ19" i="25" s="1"/>
  <c r="FR19" i="25"/>
  <c r="FS19" i="25"/>
  <c r="FT19" i="25"/>
  <c r="FU19" i="25"/>
  <c r="FV19" i="25"/>
  <c r="FW19" i="25"/>
  <c r="FX19" i="25"/>
  <c r="FY19" i="25"/>
  <c r="HU19" i="25" s="1"/>
  <c r="FZ19" i="25"/>
  <c r="IA19" i="25" s="1"/>
  <c r="EV20" i="25"/>
  <c r="EW20" i="25"/>
  <c r="EX20" i="25"/>
  <c r="EY20" i="25"/>
  <c r="EZ20" i="25"/>
  <c r="FA20" i="25"/>
  <c r="FB20" i="25"/>
  <c r="FC20" i="25"/>
  <c r="HS20" i="25" s="1"/>
  <c r="FD20" i="25"/>
  <c r="HY20" i="25" s="1"/>
  <c r="FG20" i="25"/>
  <c r="FH20" i="25"/>
  <c r="FI20" i="25"/>
  <c r="FJ20" i="25"/>
  <c r="FK20" i="25"/>
  <c r="FL20" i="25"/>
  <c r="FM20" i="25"/>
  <c r="FN20" i="25"/>
  <c r="HT20" i="25" s="1"/>
  <c r="FO20" i="25"/>
  <c r="HZ20" i="25" s="1"/>
  <c r="FR20" i="25"/>
  <c r="FS20" i="25"/>
  <c r="FT20" i="25"/>
  <c r="FU20" i="25"/>
  <c r="FV20" i="25"/>
  <c r="FW20" i="25"/>
  <c r="FX20" i="25"/>
  <c r="FY20" i="25"/>
  <c r="HU20" i="25" s="1"/>
  <c r="FZ20" i="25"/>
  <c r="IA20" i="25" s="1"/>
  <c r="EV21" i="25"/>
  <c r="EW21" i="25"/>
  <c r="EX21" i="25"/>
  <c r="EY21" i="25"/>
  <c r="EZ21" i="25"/>
  <c r="FA21" i="25"/>
  <c r="FB21" i="25"/>
  <c r="FC21" i="25"/>
  <c r="HS21" i="25" s="1"/>
  <c r="FD21" i="25"/>
  <c r="HY21" i="25" s="1"/>
  <c r="FG21" i="25"/>
  <c r="FH21" i="25"/>
  <c r="FI21" i="25"/>
  <c r="FJ21" i="25"/>
  <c r="FK21" i="25"/>
  <c r="FL21" i="25"/>
  <c r="FM21" i="25"/>
  <c r="FN21" i="25"/>
  <c r="HT21" i="25" s="1"/>
  <c r="FO21" i="25"/>
  <c r="HZ21" i="25" s="1"/>
  <c r="FR21" i="25"/>
  <c r="FS21" i="25"/>
  <c r="FT21" i="25"/>
  <c r="FU21" i="25"/>
  <c r="FV21" i="25"/>
  <c r="FW21" i="25"/>
  <c r="FX21" i="25"/>
  <c r="FY21" i="25"/>
  <c r="HU21" i="25" s="1"/>
  <c r="FZ21" i="25"/>
  <c r="IA21" i="25" s="1"/>
  <c r="EV22" i="25"/>
  <c r="EW22" i="25"/>
  <c r="EX22" i="25"/>
  <c r="EY22" i="25"/>
  <c r="EZ22" i="25"/>
  <c r="FA22" i="25"/>
  <c r="FB22" i="25"/>
  <c r="FC22" i="25"/>
  <c r="HS22" i="25" s="1"/>
  <c r="FD22" i="25"/>
  <c r="HY22" i="25" s="1"/>
  <c r="FG22" i="25"/>
  <c r="FH22" i="25"/>
  <c r="FI22" i="25"/>
  <c r="FJ22" i="25"/>
  <c r="FK22" i="25"/>
  <c r="FL22" i="25"/>
  <c r="FM22" i="25"/>
  <c r="FN22" i="25"/>
  <c r="HT22" i="25" s="1"/>
  <c r="FO22" i="25"/>
  <c r="HZ22" i="25" s="1"/>
  <c r="FR22" i="25"/>
  <c r="FS22" i="25"/>
  <c r="FT22" i="25"/>
  <c r="FU22" i="25"/>
  <c r="FV22" i="25"/>
  <c r="FW22" i="25"/>
  <c r="FX22" i="25"/>
  <c r="FY22" i="25"/>
  <c r="HU22" i="25" s="1"/>
  <c r="FZ22" i="25"/>
  <c r="IA22" i="25" s="1"/>
  <c r="EV23" i="25"/>
  <c r="EW23" i="25"/>
  <c r="EX23" i="25"/>
  <c r="EY23" i="25"/>
  <c r="EZ23" i="25"/>
  <c r="FA23" i="25"/>
  <c r="FB23" i="25"/>
  <c r="FC23" i="25"/>
  <c r="HS23" i="25" s="1"/>
  <c r="FD23" i="25"/>
  <c r="HY23" i="25" s="1"/>
  <c r="FG23" i="25"/>
  <c r="FH23" i="25"/>
  <c r="FI23" i="25"/>
  <c r="FJ23" i="25"/>
  <c r="FK23" i="25"/>
  <c r="FL23" i="25"/>
  <c r="FM23" i="25"/>
  <c r="FN23" i="25"/>
  <c r="HT23" i="25" s="1"/>
  <c r="FO23" i="25"/>
  <c r="HZ23" i="25" s="1"/>
  <c r="FR23" i="25"/>
  <c r="FS23" i="25"/>
  <c r="FT23" i="25"/>
  <c r="FU23" i="25"/>
  <c r="FV23" i="25"/>
  <c r="FW23" i="25"/>
  <c r="FX23" i="25"/>
  <c r="FY23" i="25"/>
  <c r="HU23" i="25" s="1"/>
  <c r="FZ23" i="25"/>
  <c r="IA23" i="25" s="1"/>
  <c r="EV24" i="25"/>
  <c r="EW24" i="25"/>
  <c r="EX24" i="25"/>
  <c r="EY24" i="25"/>
  <c r="EZ24" i="25"/>
  <c r="FA24" i="25"/>
  <c r="FB24" i="25"/>
  <c r="FC24" i="25"/>
  <c r="HS24" i="25" s="1"/>
  <c r="FD24" i="25"/>
  <c r="HY24" i="25" s="1"/>
  <c r="FG24" i="25"/>
  <c r="FH24" i="25"/>
  <c r="FI24" i="25"/>
  <c r="FJ24" i="25"/>
  <c r="FK24" i="25"/>
  <c r="FL24" i="25"/>
  <c r="FM24" i="25"/>
  <c r="FN24" i="25"/>
  <c r="HT24" i="25" s="1"/>
  <c r="FO24" i="25"/>
  <c r="HZ24" i="25" s="1"/>
  <c r="FR24" i="25"/>
  <c r="FS24" i="25"/>
  <c r="FT24" i="25"/>
  <c r="FU24" i="25"/>
  <c r="FV24" i="25"/>
  <c r="FW24" i="25"/>
  <c r="FX24" i="25"/>
  <c r="FY24" i="25"/>
  <c r="HU24" i="25" s="1"/>
  <c r="FZ24" i="25"/>
  <c r="IA24" i="25" s="1"/>
  <c r="EV25" i="25"/>
  <c r="EW25" i="25"/>
  <c r="EX25" i="25"/>
  <c r="EY25" i="25"/>
  <c r="EZ25" i="25"/>
  <c r="FA25" i="25"/>
  <c r="FB25" i="25"/>
  <c r="FC25" i="25"/>
  <c r="HS25" i="25" s="1"/>
  <c r="FD25" i="25"/>
  <c r="HY25" i="25" s="1"/>
  <c r="FG25" i="25"/>
  <c r="FH25" i="25"/>
  <c r="FI25" i="25"/>
  <c r="FJ25" i="25"/>
  <c r="FK25" i="25"/>
  <c r="FL25" i="25"/>
  <c r="FM25" i="25"/>
  <c r="FN25" i="25"/>
  <c r="HT25" i="25" s="1"/>
  <c r="FO25" i="25"/>
  <c r="HZ25" i="25" s="1"/>
  <c r="FR25" i="25"/>
  <c r="FS25" i="25"/>
  <c r="FT25" i="25"/>
  <c r="FU25" i="25"/>
  <c r="FV25" i="25"/>
  <c r="FW25" i="25"/>
  <c r="FX25" i="25"/>
  <c r="FY25" i="25"/>
  <c r="HU25" i="25" s="1"/>
  <c r="FZ25" i="25"/>
  <c r="IA25" i="25" s="1"/>
  <c r="EV26" i="25"/>
  <c r="EW26" i="25"/>
  <c r="EX26" i="25"/>
  <c r="EY26" i="25"/>
  <c r="EZ26" i="25"/>
  <c r="FA26" i="25"/>
  <c r="FB26" i="25"/>
  <c r="FC26" i="25"/>
  <c r="HS26" i="25" s="1"/>
  <c r="FD26" i="25"/>
  <c r="HY26" i="25" s="1"/>
  <c r="FG26" i="25"/>
  <c r="FH26" i="25"/>
  <c r="FI26" i="25"/>
  <c r="FJ26" i="25"/>
  <c r="FK26" i="25"/>
  <c r="FL26" i="25"/>
  <c r="FM26" i="25"/>
  <c r="FN26" i="25"/>
  <c r="HT26" i="25" s="1"/>
  <c r="FO26" i="25"/>
  <c r="HZ26" i="25" s="1"/>
  <c r="FR26" i="25"/>
  <c r="FS26" i="25"/>
  <c r="FT26" i="25"/>
  <c r="FU26" i="25"/>
  <c r="FV26" i="25"/>
  <c r="FW26" i="25"/>
  <c r="FX26" i="25"/>
  <c r="FY26" i="25"/>
  <c r="HU26" i="25" s="1"/>
  <c r="FZ26" i="25"/>
  <c r="IA26" i="25" s="1"/>
  <c r="EV27" i="25"/>
  <c r="EW27" i="25"/>
  <c r="EX27" i="25"/>
  <c r="EY27" i="25"/>
  <c r="EZ27" i="25"/>
  <c r="FA27" i="25"/>
  <c r="FB27" i="25"/>
  <c r="FC27" i="25"/>
  <c r="HS27" i="25" s="1"/>
  <c r="FD27" i="25"/>
  <c r="HY27" i="25" s="1"/>
  <c r="FG27" i="25"/>
  <c r="FH27" i="25"/>
  <c r="FI27" i="25"/>
  <c r="FJ27" i="25"/>
  <c r="FK27" i="25"/>
  <c r="FL27" i="25"/>
  <c r="FM27" i="25"/>
  <c r="FN27" i="25"/>
  <c r="HT27" i="25" s="1"/>
  <c r="FO27" i="25"/>
  <c r="HZ27" i="25" s="1"/>
  <c r="FR27" i="25"/>
  <c r="FS27" i="25"/>
  <c r="FT27" i="25"/>
  <c r="FU27" i="25"/>
  <c r="FV27" i="25"/>
  <c r="FW27" i="25"/>
  <c r="FX27" i="25"/>
  <c r="FY27" i="25"/>
  <c r="HU27" i="25" s="1"/>
  <c r="FZ27" i="25"/>
  <c r="IA27" i="25" s="1"/>
  <c r="EV28" i="25"/>
  <c r="EW28" i="25"/>
  <c r="EX28" i="25"/>
  <c r="EY28" i="25"/>
  <c r="EZ28" i="25"/>
  <c r="FA28" i="25"/>
  <c r="FB28" i="25"/>
  <c r="FC28" i="25"/>
  <c r="HS28" i="25" s="1"/>
  <c r="FD28" i="25"/>
  <c r="HY28" i="25" s="1"/>
  <c r="FG28" i="25"/>
  <c r="FH28" i="25"/>
  <c r="FI28" i="25"/>
  <c r="FJ28" i="25"/>
  <c r="FK28" i="25"/>
  <c r="FL28" i="25"/>
  <c r="FM28" i="25"/>
  <c r="FN28" i="25"/>
  <c r="HT28" i="25" s="1"/>
  <c r="FO28" i="25"/>
  <c r="HZ28" i="25" s="1"/>
  <c r="FR28" i="25"/>
  <c r="FS28" i="25"/>
  <c r="FT28" i="25"/>
  <c r="FU28" i="25"/>
  <c r="FV28" i="25"/>
  <c r="FW28" i="25"/>
  <c r="FX28" i="25"/>
  <c r="FY28" i="25"/>
  <c r="HU28" i="25" s="1"/>
  <c r="FZ28" i="25"/>
  <c r="IA28" i="25" s="1"/>
  <c r="EV29" i="25"/>
  <c r="EW29" i="25"/>
  <c r="EX29" i="25"/>
  <c r="EY29" i="25"/>
  <c r="EZ29" i="25"/>
  <c r="FA29" i="25"/>
  <c r="FB29" i="25"/>
  <c r="FC29" i="25"/>
  <c r="HS29" i="25" s="1"/>
  <c r="FD29" i="25"/>
  <c r="HY29" i="25" s="1"/>
  <c r="FG29" i="25"/>
  <c r="FH29" i="25"/>
  <c r="FI29" i="25"/>
  <c r="FJ29" i="25"/>
  <c r="FK29" i="25"/>
  <c r="FL29" i="25"/>
  <c r="FM29" i="25"/>
  <c r="FN29" i="25"/>
  <c r="HT29" i="25" s="1"/>
  <c r="FO29" i="25"/>
  <c r="HZ29" i="25" s="1"/>
  <c r="FR29" i="25"/>
  <c r="FS29" i="25"/>
  <c r="FT29" i="25"/>
  <c r="FU29" i="25"/>
  <c r="FV29" i="25"/>
  <c r="FW29" i="25"/>
  <c r="FX29" i="25"/>
  <c r="FY29" i="25"/>
  <c r="HU29" i="25" s="1"/>
  <c r="FZ29" i="25"/>
  <c r="IA29" i="25" s="1"/>
  <c r="EV30" i="25"/>
  <c r="EW30" i="25"/>
  <c r="EX30" i="25"/>
  <c r="EY30" i="25"/>
  <c r="EZ30" i="25"/>
  <c r="FA30" i="25"/>
  <c r="FB30" i="25"/>
  <c r="FC30" i="25"/>
  <c r="HS30" i="25" s="1"/>
  <c r="FD30" i="25"/>
  <c r="HY30" i="25" s="1"/>
  <c r="FG30" i="25"/>
  <c r="FH30" i="25"/>
  <c r="FI30" i="25"/>
  <c r="FJ30" i="25"/>
  <c r="FK30" i="25"/>
  <c r="FL30" i="25"/>
  <c r="FM30" i="25"/>
  <c r="FN30" i="25"/>
  <c r="HT30" i="25" s="1"/>
  <c r="FO30" i="25"/>
  <c r="HZ30" i="25" s="1"/>
  <c r="FR30" i="25"/>
  <c r="FS30" i="25"/>
  <c r="FT30" i="25"/>
  <c r="FU30" i="25"/>
  <c r="FV30" i="25"/>
  <c r="FW30" i="25"/>
  <c r="FX30" i="25"/>
  <c r="FY30" i="25"/>
  <c r="HU30" i="25" s="1"/>
  <c r="FZ30" i="25"/>
  <c r="IA30" i="25" s="1"/>
  <c r="EV31" i="25"/>
  <c r="EW31" i="25"/>
  <c r="EX31" i="25"/>
  <c r="EY31" i="25"/>
  <c r="EZ31" i="25"/>
  <c r="FA31" i="25"/>
  <c r="FB31" i="25"/>
  <c r="FC31" i="25"/>
  <c r="HS31" i="25" s="1"/>
  <c r="FD31" i="25"/>
  <c r="HY31" i="25" s="1"/>
  <c r="FG31" i="25"/>
  <c r="FQ31" i="25" s="1"/>
  <c r="FH31" i="25"/>
  <c r="FI31" i="25"/>
  <c r="FJ31" i="25"/>
  <c r="FK31" i="25"/>
  <c r="FL31" i="25"/>
  <c r="FM31" i="25"/>
  <c r="FN31" i="25"/>
  <c r="HT31" i="25" s="1"/>
  <c r="FO31" i="25"/>
  <c r="HZ31" i="25" s="1"/>
  <c r="FR31" i="25"/>
  <c r="FS31" i="25"/>
  <c r="FT31" i="25"/>
  <c r="FU31" i="25"/>
  <c r="FV31" i="25"/>
  <c r="FW31" i="25"/>
  <c r="FX31" i="25"/>
  <c r="FY31" i="25"/>
  <c r="HU31" i="25" s="1"/>
  <c r="FZ31" i="25"/>
  <c r="IA31" i="25" s="1"/>
  <c r="EV32" i="25"/>
  <c r="EW32" i="25"/>
  <c r="EX32" i="25"/>
  <c r="EY32" i="25"/>
  <c r="EZ32" i="25"/>
  <c r="FA32" i="25"/>
  <c r="FB32" i="25"/>
  <c r="FC32" i="25"/>
  <c r="HS32" i="25" s="1"/>
  <c r="FD32" i="25"/>
  <c r="HY32" i="25" s="1"/>
  <c r="FG32" i="25"/>
  <c r="FH32" i="25"/>
  <c r="FI32" i="25"/>
  <c r="FJ32" i="25"/>
  <c r="FK32" i="25"/>
  <c r="FL32" i="25"/>
  <c r="FM32" i="25"/>
  <c r="FN32" i="25"/>
  <c r="HT32" i="25" s="1"/>
  <c r="FO32" i="25"/>
  <c r="HZ32" i="25" s="1"/>
  <c r="FR32" i="25"/>
  <c r="FS32" i="25"/>
  <c r="FT32" i="25"/>
  <c r="FU32" i="25"/>
  <c r="FV32" i="25"/>
  <c r="FW32" i="25"/>
  <c r="FX32" i="25"/>
  <c r="FY32" i="25"/>
  <c r="HU32" i="25" s="1"/>
  <c r="FZ32" i="25"/>
  <c r="IA32" i="25" s="1"/>
  <c r="EV33" i="25"/>
  <c r="EW33" i="25"/>
  <c r="EX33" i="25"/>
  <c r="EY33" i="25"/>
  <c r="EZ33" i="25"/>
  <c r="FA33" i="25"/>
  <c r="FB33" i="25"/>
  <c r="FC33" i="25"/>
  <c r="HS33" i="25" s="1"/>
  <c r="FD33" i="25"/>
  <c r="HY33" i="25" s="1"/>
  <c r="FG33" i="25"/>
  <c r="FH33" i="25"/>
  <c r="FI33" i="25"/>
  <c r="FJ33" i="25"/>
  <c r="FK33" i="25"/>
  <c r="FL33" i="25"/>
  <c r="FM33" i="25"/>
  <c r="FN33" i="25"/>
  <c r="HT33" i="25" s="1"/>
  <c r="FO33" i="25"/>
  <c r="HZ33" i="25" s="1"/>
  <c r="FR33" i="25"/>
  <c r="FS33" i="25"/>
  <c r="FT33" i="25"/>
  <c r="FU33" i="25"/>
  <c r="FV33" i="25"/>
  <c r="FW33" i="25"/>
  <c r="FX33" i="25"/>
  <c r="FY33" i="25"/>
  <c r="HU33" i="25" s="1"/>
  <c r="FZ33" i="25"/>
  <c r="IA33" i="25" s="1"/>
  <c r="EV34" i="25"/>
  <c r="EW34" i="25"/>
  <c r="EX34" i="25"/>
  <c r="EY34" i="25"/>
  <c r="EZ34" i="25"/>
  <c r="FA34" i="25"/>
  <c r="FB34" i="25"/>
  <c r="FC34" i="25"/>
  <c r="HS34" i="25" s="1"/>
  <c r="FD34" i="25"/>
  <c r="HY34" i="25" s="1"/>
  <c r="FG34" i="25"/>
  <c r="FH34" i="25"/>
  <c r="FI34" i="25"/>
  <c r="FJ34" i="25"/>
  <c r="FK34" i="25"/>
  <c r="FL34" i="25"/>
  <c r="FM34" i="25"/>
  <c r="FN34" i="25"/>
  <c r="HT34" i="25" s="1"/>
  <c r="FO34" i="25"/>
  <c r="HZ34" i="25" s="1"/>
  <c r="FR34" i="25"/>
  <c r="FS34" i="25"/>
  <c r="FT34" i="25"/>
  <c r="FU34" i="25"/>
  <c r="FV34" i="25"/>
  <c r="FW34" i="25"/>
  <c r="FX34" i="25"/>
  <c r="FY34" i="25"/>
  <c r="HU34" i="25" s="1"/>
  <c r="FZ34" i="25"/>
  <c r="IA34" i="25" s="1"/>
  <c r="EV35" i="25"/>
  <c r="EW35" i="25"/>
  <c r="EX35" i="25"/>
  <c r="EY35" i="25"/>
  <c r="EZ35" i="25"/>
  <c r="FA35" i="25"/>
  <c r="FB35" i="25"/>
  <c r="FC35" i="25"/>
  <c r="HS35" i="25" s="1"/>
  <c r="FD35" i="25"/>
  <c r="HY35" i="25" s="1"/>
  <c r="FG35" i="25"/>
  <c r="FH35" i="25"/>
  <c r="FI35" i="25"/>
  <c r="FJ35" i="25"/>
  <c r="FK35" i="25"/>
  <c r="FL35" i="25"/>
  <c r="FM35" i="25"/>
  <c r="FN35" i="25"/>
  <c r="HT35" i="25" s="1"/>
  <c r="FO35" i="25"/>
  <c r="HZ35" i="25" s="1"/>
  <c r="FR35" i="25"/>
  <c r="FS35" i="25"/>
  <c r="FT35" i="25"/>
  <c r="FU35" i="25"/>
  <c r="FV35" i="25"/>
  <c r="FW35" i="25"/>
  <c r="FX35" i="25"/>
  <c r="FY35" i="25"/>
  <c r="HU35" i="25" s="1"/>
  <c r="FZ35" i="25"/>
  <c r="IA35" i="25" s="1"/>
  <c r="EV36" i="25"/>
  <c r="EW36" i="25"/>
  <c r="EX36" i="25"/>
  <c r="EY36" i="25"/>
  <c r="EZ36" i="25"/>
  <c r="FA36" i="25"/>
  <c r="FB36" i="25"/>
  <c r="FC36" i="25"/>
  <c r="HS36" i="25" s="1"/>
  <c r="FD36" i="25"/>
  <c r="HY36" i="25" s="1"/>
  <c r="FG36" i="25"/>
  <c r="FH36" i="25"/>
  <c r="FI36" i="25"/>
  <c r="FJ36" i="25"/>
  <c r="FK36" i="25"/>
  <c r="FL36" i="25"/>
  <c r="FM36" i="25"/>
  <c r="FN36" i="25"/>
  <c r="HT36" i="25" s="1"/>
  <c r="FO36" i="25"/>
  <c r="HZ36" i="25" s="1"/>
  <c r="FR36" i="25"/>
  <c r="FS36" i="25"/>
  <c r="FT36" i="25"/>
  <c r="FU36" i="25"/>
  <c r="FV36" i="25"/>
  <c r="FW36" i="25"/>
  <c r="FX36" i="25"/>
  <c r="FY36" i="25"/>
  <c r="HU36" i="25" s="1"/>
  <c r="FZ36" i="25"/>
  <c r="IA36" i="25" s="1"/>
  <c r="EV37" i="25"/>
  <c r="EW37" i="25"/>
  <c r="EX37" i="25"/>
  <c r="EY37" i="25"/>
  <c r="EZ37" i="25"/>
  <c r="FA37" i="25"/>
  <c r="FB37" i="25"/>
  <c r="FC37" i="25"/>
  <c r="HS37" i="25" s="1"/>
  <c r="FD37" i="25"/>
  <c r="HY37" i="25" s="1"/>
  <c r="FG37" i="25"/>
  <c r="FH37" i="25"/>
  <c r="FI37" i="25"/>
  <c r="FJ37" i="25"/>
  <c r="FK37" i="25"/>
  <c r="FL37" i="25"/>
  <c r="FM37" i="25"/>
  <c r="FN37" i="25"/>
  <c r="HT37" i="25" s="1"/>
  <c r="FO37" i="25"/>
  <c r="HZ37" i="25" s="1"/>
  <c r="FR37" i="25"/>
  <c r="FS37" i="25"/>
  <c r="FT37" i="25"/>
  <c r="FU37" i="25"/>
  <c r="FV37" i="25"/>
  <c r="FW37" i="25"/>
  <c r="FX37" i="25"/>
  <c r="FY37" i="25"/>
  <c r="HU37" i="25" s="1"/>
  <c r="FZ37" i="25"/>
  <c r="IA37" i="25" s="1"/>
  <c r="EV38" i="25"/>
  <c r="EW38" i="25"/>
  <c r="EX38" i="25"/>
  <c r="EY38" i="25"/>
  <c r="EZ38" i="25"/>
  <c r="FA38" i="25"/>
  <c r="FB38" i="25"/>
  <c r="FC38" i="25"/>
  <c r="HS38" i="25" s="1"/>
  <c r="FD38" i="25"/>
  <c r="HY38" i="25" s="1"/>
  <c r="FG38" i="25"/>
  <c r="FH38" i="25"/>
  <c r="FI38" i="25"/>
  <c r="FJ38" i="25"/>
  <c r="FK38" i="25"/>
  <c r="FL38" i="25"/>
  <c r="FM38" i="25"/>
  <c r="FN38" i="25"/>
  <c r="HT38" i="25" s="1"/>
  <c r="FO38" i="25"/>
  <c r="HZ38" i="25" s="1"/>
  <c r="FR38" i="25"/>
  <c r="FS38" i="25"/>
  <c r="FT38" i="25"/>
  <c r="FU38" i="25"/>
  <c r="FV38" i="25"/>
  <c r="FW38" i="25"/>
  <c r="FX38" i="25"/>
  <c r="FY38" i="25"/>
  <c r="HU38" i="25" s="1"/>
  <c r="FZ38" i="25"/>
  <c r="IA38" i="25" s="1"/>
  <c r="EV39" i="25"/>
  <c r="EW39" i="25"/>
  <c r="EX39" i="25"/>
  <c r="EY39" i="25"/>
  <c r="EZ39" i="25"/>
  <c r="FA39" i="25"/>
  <c r="FB39" i="25"/>
  <c r="FC39" i="25"/>
  <c r="HS39" i="25" s="1"/>
  <c r="FD39" i="25"/>
  <c r="HY39" i="25" s="1"/>
  <c r="FG39" i="25"/>
  <c r="FH39" i="25"/>
  <c r="FI39" i="25"/>
  <c r="FJ39" i="25"/>
  <c r="FK39" i="25"/>
  <c r="FL39" i="25"/>
  <c r="FM39" i="25"/>
  <c r="FN39" i="25"/>
  <c r="HT39" i="25" s="1"/>
  <c r="FO39" i="25"/>
  <c r="HZ39" i="25" s="1"/>
  <c r="FR39" i="25"/>
  <c r="FS39" i="25"/>
  <c r="FT39" i="25"/>
  <c r="FU39" i="25"/>
  <c r="FV39" i="25"/>
  <c r="FW39" i="25"/>
  <c r="FX39" i="25"/>
  <c r="FY39" i="25"/>
  <c r="HU39" i="25" s="1"/>
  <c r="FZ39" i="25"/>
  <c r="IA39" i="25" s="1"/>
  <c r="EV40" i="25"/>
  <c r="EW40" i="25"/>
  <c r="EX40" i="25"/>
  <c r="EY40" i="25"/>
  <c r="EZ40" i="25"/>
  <c r="FA40" i="25"/>
  <c r="FB40" i="25"/>
  <c r="FC40" i="25"/>
  <c r="HS40" i="25" s="1"/>
  <c r="FD40" i="25"/>
  <c r="HY40" i="25" s="1"/>
  <c r="FG40" i="25"/>
  <c r="FH40" i="25"/>
  <c r="FI40" i="25"/>
  <c r="FJ40" i="25"/>
  <c r="FK40" i="25"/>
  <c r="FL40" i="25"/>
  <c r="FM40" i="25"/>
  <c r="FN40" i="25"/>
  <c r="HT40" i="25" s="1"/>
  <c r="FO40" i="25"/>
  <c r="HZ40" i="25" s="1"/>
  <c r="FR40" i="25"/>
  <c r="FS40" i="25"/>
  <c r="FT40" i="25"/>
  <c r="FU40" i="25"/>
  <c r="FV40" i="25"/>
  <c r="FW40" i="25"/>
  <c r="FX40" i="25"/>
  <c r="FY40" i="25"/>
  <c r="HU40" i="25" s="1"/>
  <c r="FZ40" i="25"/>
  <c r="IA40" i="25" s="1"/>
  <c r="EV41" i="25"/>
  <c r="EW41" i="25"/>
  <c r="EX41" i="25"/>
  <c r="EY41" i="25"/>
  <c r="EZ41" i="25"/>
  <c r="FA41" i="25"/>
  <c r="FB41" i="25"/>
  <c r="FC41" i="25"/>
  <c r="HS41" i="25" s="1"/>
  <c r="FD41" i="25"/>
  <c r="HY41" i="25" s="1"/>
  <c r="FG41" i="25"/>
  <c r="FH41" i="25"/>
  <c r="FI41" i="25"/>
  <c r="FJ41" i="25"/>
  <c r="FK41" i="25"/>
  <c r="FL41" i="25"/>
  <c r="FM41" i="25"/>
  <c r="FN41" i="25"/>
  <c r="HT41" i="25" s="1"/>
  <c r="FO41" i="25"/>
  <c r="HZ41" i="25" s="1"/>
  <c r="FR41" i="25"/>
  <c r="FS41" i="25"/>
  <c r="FT41" i="25"/>
  <c r="FU41" i="25"/>
  <c r="FV41" i="25"/>
  <c r="FW41" i="25"/>
  <c r="FX41" i="25"/>
  <c r="FY41" i="25"/>
  <c r="HU41" i="25" s="1"/>
  <c r="FZ41" i="25"/>
  <c r="IA41" i="25" s="1"/>
  <c r="EV42" i="25"/>
  <c r="EW42" i="25"/>
  <c r="EX42" i="25"/>
  <c r="EY42" i="25"/>
  <c r="EZ42" i="25"/>
  <c r="FA42" i="25"/>
  <c r="FB42" i="25"/>
  <c r="FC42" i="25"/>
  <c r="FD42" i="25"/>
  <c r="FG42" i="25"/>
  <c r="FH42" i="25"/>
  <c r="FI42" i="25"/>
  <c r="FJ42" i="25"/>
  <c r="FK42" i="25"/>
  <c r="FL42" i="25"/>
  <c r="FM42" i="25"/>
  <c r="FN42" i="25"/>
  <c r="FO42" i="25"/>
  <c r="FR42" i="25"/>
  <c r="FS42" i="25"/>
  <c r="FT42" i="25"/>
  <c r="FU42" i="25"/>
  <c r="FV42" i="25"/>
  <c r="FW42" i="25"/>
  <c r="FX42" i="25"/>
  <c r="FY42" i="25"/>
  <c r="FZ42" i="25"/>
  <c r="FY8" i="25"/>
  <c r="HU8" i="25" s="1"/>
  <c r="FZ8" i="25"/>
  <c r="IA8" i="25" s="1"/>
  <c r="FN8" i="25"/>
  <c r="HT8" i="25" s="1"/>
  <c r="FO8" i="25"/>
  <c r="HZ8" i="25" s="1"/>
  <c r="FC8" i="25"/>
  <c r="HS8" i="25" s="1"/>
  <c r="FD8" i="25"/>
  <c r="HY8" i="25" s="1"/>
  <c r="A52" i="25"/>
  <c r="J7" i="25" s="1"/>
  <c r="S7" i="25" s="1"/>
  <c r="AB7" i="25" s="1"/>
  <c r="AK7" i="25" s="1"/>
  <c r="AT7" i="25" s="1"/>
  <c r="BC7" i="25" s="1"/>
  <c r="BL7" i="25" s="1"/>
  <c r="BU7" i="25" s="1"/>
  <c r="CD7" i="25" s="1"/>
  <c r="CM7" i="25" s="1"/>
  <c r="CV7" i="25" s="1"/>
  <c r="DE7" i="25" s="1"/>
  <c r="DN7" i="25" s="1"/>
  <c r="DW7" i="25" s="1"/>
  <c r="EF7" i="25" s="1"/>
  <c r="B52" i="25"/>
  <c r="JD6" i="25" s="1"/>
  <c r="A53" i="25"/>
  <c r="K7" i="25" s="1"/>
  <c r="T7" i="25" s="1"/>
  <c r="AC7" i="25" s="1"/>
  <c r="AL7" i="25" s="1"/>
  <c r="AU7" i="25" s="1"/>
  <c r="BD7" i="25" s="1"/>
  <c r="BM7" i="25" s="1"/>
  <c r="BV7" i="25" s="1"/>
  <c r="CE7" i="25" s="1"/>
  <c r="CN7" i="25" s="1"/>
  <c r="CW7" i="25" s="1"/>
  <c r="DF7" i="25" s="1"/>
  <c r="DO7" i="25" s="1"/>
  <c r="DX7" i="25" s="1"/>
  <c r="EG7" i="25" s="1"/>
  <c r="B53" i="25"/>
  <c r="JE6" i="25" s="1"/>
  <c r="C9" i="6"/>
  <c r="D9" i="6"/>
  <c r="E9" i="6"/>
  <c r="F9" i="6"/>
  <c r="G9" i="6"/>
  <c r="H9" i="6"/>
  <c r="I9" i="6"/>
  <c r="J9" i="6"/>
  <c r="K9" i="6"/>
  <c r="L9" i="6"/>
  <c r="M9" i="6"/>
  <c r="N9" i="6"/>
  <c r="O9" i="6"/>
  <c r="P9" i="6"/>
  <c r="AC9" i="6"/>
  <c r="AD9" i="6"/>
  <c r="C10" i="6"/>
  <c r="D10" i="6"/>
  <c r="E10" i="6"/>
  <c r="F10" i="6"/>
  <c r="G10" i="6"/>
  <c r="H10" i="6"/>
  <c r="I10" i="6"/>
  <c r="J10" i="6"/>
  <c r="K10" i="6"/>
  <c r="L10" i="6"/>
  <c r="M10" i="6"/>
  <c r="N10" i="6"/>
  <c r="O10" i="6"/>
  <c r="P10" i="6"/>
  <c r="AC10" i="6"/>
  <c r="AD10" i="6"/>
  <c r="AD8" i="6"/>
  <c r="AC8" i="6"/>
  <c r="P8" i="6"/>
  <c r="O8" i="6"/>
  <c r="N8" i="6"/>
  <c r="M8" i="6"/>
  <c r="L8" i="6"/>
  <c r="K8" i="6"/>
  <c r="J8" i="6"/>
  <c r="I8" i="6"/>
  <c r="H8" i="6"/>
  <c r="G8" i="6"/>
  <c r="F8" i="6"/>
  <c r="E8" i="6"/>
  <c r="D8" i="6"/>
  <c r="C8" i="6"/>
  <c r="GC9" i="28"/>
  <c r="GC10" i="28"/>
  <c r="GC11" i="28"/>
  <c r="GC12" i="28"/>
  <c r="GC13" i="28"/>
  <c r="GC14" i="28"/>
  <c r="GC15" i="28"/>
  <c r="GC16" i="28"/>
  <c r="GC17" i="28"/>
  <c r="GC18" i="28"/>
  <c r="GC19" i="28"/>
  <c r="GC20" i="28"/>
  <c r="GC21" i="28"/>
  <c r="GC22" i="28"/>
  <c r="GC23" i="28"/>
  <c r="GC24" i="28"/>
  <c r="GC25" i="28"/>
  <c r="GC26" i="28"/>
  <c r="GC27" i="28"/>
  <c r="GC28" i="28"/>
  <c r="GC29" i="28"/>
  <c r="GC30" i="28"/>
  <c r="GC31" i="28"/>
  <c r="GC32" i="28"/>
  <c r="GC33" i="28"/>
  <c r="GC34" i="28"/>
  <c r="GC35" i="28"/>
  <c r="GC36" i="28"/>
  <c r="GC37" i="28"/>
  <c r="GC38" i="28"/>
  <c r="GC39" i="28"/>
  <c r="GC40" i="28"/>
  <c r="GC41" i="28"/>
  <c r="GC42" i="28"/>
  <c r="GC8" i="28"/>
  <c r="GX9" i="7"/>
  <c r="GX10" i="7"/>
  <c r="GX11" i="7"/>
  <c r="GX12" i="7"/>
  <c r="GX13" i="7"/>
  <c r="GX14" i="7"/>
  <c r="GX15" i="7"/>
  <c r="GX16" i="7"/>
  <c r="GX17" i="7"/>
  <c r="GX18" i="7"/>
  <c r="GX19" i="7"/>
  <c r="GX20" i="7"/>
  <c r="GX21" i="7"/>
  <c r="GX22" i="7"/>
  <c r="GX23" i="7"/>
  <c r="GX24" i="7"/>
  <c r="GX25" i="7"/>
  <c r="GX26" i="7"/>
  <c r="GX27" i="7"/>
  <c r="GX28" i="7"/>
  <c r="GX29" i="7"/>
  <c r="GX30" i="7"/>
  <c r="GX31" i="7"/>
  <c r="GX32" i="7"/>
  <c r="GX33" i="7"/>
  <c r="GX34" i="7"/>
  <c r="GX35" i="7"/>
  <c r="GX36" i="7"/>
  <c r="GX37" i="7"/>
  <c r="GX38" i="7"/>
  <c r="GX39" i="7"/>
  <c r="GX40" i="7"/>
  <c r="GX41" i="7"/>
  <c r="GX42" i="7"/>
  <c r="GX8" i="7"/>
  <c r="IB37" i="25" l="1"/>
  <c r="IC37" i="25" s="1"/>
  <c r="IB35" i="25"/>
  <c r="IC35" i="25" s="1"/>
  <c r="IB33" i="25"/>
  <c r="IC33" i="25" s="1"/>
  <c r="HV38" i="25"/>
  <c r="HW38" i="25" s="1"/>
  <c r="HX38" i="25" s="1"/>
  <c r="IO38" i="25" s="1"/>
  <c r="EO38" i="25" s="1"/>
  <c r="HV36" i="25"/>
  <c r="HW36" i="25" s="1"/>
  <c r="HX36" i="25" s="1"/>
  <c r="IO36" i="25" s="1"/>
  <c r="EO36" i="25" s="1"/>
  <c r="HV34" i="25"/>
  <c r="HW34" i="25" s="1"/>
  <c r="HX34" i="25" s="1"/>
  <c r="IO34" i="25" s="1"/>
  <c r="EO34" i="25" s="1"/>
  <c r="HV32" i="25"/>
  <c r="HW32" i="25" s="1"/>
  <c r="HX32" i="25" s="1"/>
  <c r="IO32" i="25" s="1"/>
  <c r="EO32" i="25" s="1"/>
  <c r="HV31" i="25"/>
  <c r="HW31" i="25" s="1"/>
  <c r="HX31" i="25" s="1"/>
  <c r="IO31" i="25" s="1"/>
  <c r="EO31" i="25" s="1"/>
  <c r="HV29" i="25"/>
  <c r="HW29" i="25" s="1"/>
  <c r="HX29" i="25" s="1"/>
  <c r="IO29" i="25" s="1"/>
  <c r="EO29" i="25" s="1"/>
  <c r="HV27" i="25"/>
  <c r="HW27" i="25" s="1"/>
  <c r="HX27" i="25" s="1"/>
  <c r="IO27" i="25" s="1"/>
  <c r="EO27" i="25" s="1"/>
  <c r="HV25" i="25"/>
  <c r="HW25" i="25" s="1"/>
  <c r="HX25" i="25" s="1"/>
  <c r="IO25" i="25" s="1"/>
  <c r="EO25" i="25" s="1"/>
  <c r="HV23" i="25"/>
  <c r="HW23" i="25" s="1"/>
  <c r="HX23" i="25" s="1"/>
  <c r="IO23" i="25" s="1"/>
  <c r="EO23" i="25" s="1"/>
  <c r="HV21" i="25"/>
  <c r="HW21" i="25" s="1"/>
  <c r="HX21" i="25" s="1"/>
  <c r="IO21" i="25" s="1"/>
  <c r="EO21" i="25" s="1"/>
  <c r="IB41" i="25"/>
  <c r="IC41" i="25" s="1"/>
  <c r="EV42" i="26"/>
  <c r="EW42" i="26" s="1"/>
  <c r="EX42" i="26" s="1"/>
  <c r="FU42" i="26" s="1"/>
  <c r="FB42" i="26"/>
  <c r="FC42" i="26" s="1"/>
  <c r="FD42" i="26" s="1"/>
  <c r="FV42" i="26" s="1"/>
  <c r="EJ40" i="26"/>
  <c r="EK40" i="26" s="1"/>
  <c r="EL40" i="26" s="1"/>
  <c r="FS40" i="26" s="1"/>
  <c r="DX40" i="26"/>
  <c r="DY40" i="26" s="1"/>
  <c r="FB36" i="26"/>
  <c r="FC36" i="26" s="1"/>
  <c r="ED36" i="26"/>
  <c r="EE36" i="26" s="1"/>
  <c r="EV34" i="26"/>
  <c r="EW34" i="26" s="1"/>
  <c r="EX34" i="26" s="1"/>
  <c r="FU34" i="26" s="1"/>
  <c r="EJ34" i="26"/>
  <c r="EK34" i="26" s="1"/>
  <c r="DX34" i="26"/>
  <c r="DY34" i="26" s="1"/>
  <c r="DZ34" i="26" s="1"/>
  <c r="FQ34" i="26" s="1"/>
  <c r="DL34" i="26"/>
  <c r="DM34" i="26" s="1"/>
  <c r="CW30" i="26"/>
  <c r="DX30" i="26"/>
  <c r="DY30" i="26" s="1"/>
  <c r="DZ30" i="26" s="1"/>
  <c r="FQ30" i="26" s="1"/>
  <c r="EP27" i="26"/>
  <c r="EQ27" i="26" s="1"/>
  <c r="CT27" i="26"/>
  <c r="CU27" i="26" s="1"/>
  <c r="BP25" i="26"/>
  <c r="ED14" i="26"/>
  <c r="EE14" i="26" s="1"/>
  <c r="EJ10" i="26"/>
  <c r="EK10" i="26" s="1"/>
  <c r="EL10" i="26" s="1"/>
  <c r="FS10" i="26" s="1"/>
  <c r="EP33" i="26"/>
  <c r="EQ33" i="26" s="1"/>
  <c r="DF29" i="26"/>
  <c r="DG29" i="26" s="1"/>
  <c r="CC24" i="26"/>
  <c r="CX24" i="26"/>
  <c r="FH22" i="26"/>
  <c r="FI22" i="26" s="1"/>
  <c r="DX20" i="26"/>
  <c r="DY20" i="26" s="1"/>
  <c r="ED17" i="26"/>
  <c r="EE17" i="26" s="1"/>
  <c r="EJ14" i="26"/>
  <c r="EK14" i="26" s="1"/>
  <c r="EL14" i="26" s="1"/>
  <c r="FS14" i="26" s="1"/>
  <c r="GY23" i="27"/>
  <c r="GZ23" i="27" s="1"/>
  <c r="BP20" i="26"/>
  <c r="CZ20" i="26"/>
  <c r="DA20" i="26" s="1"/>
  <c r="FO12" i="27"/>
  <c r="FP12" i="27" s="1"/>
  <c r="FC19" i="27"/>
  <c r="FD19" i="27" s="1"/>
  <c r="ID18" i="25"/>
  <c r="IP18" i="25" s="1"/>
  <c r="EP18" i="25" s="1"/>
  <c r="IB18" i="25"/>
  <c r="IC18" i="25" s="1"/>
  <c r="ID16" i="25"/>
  <c r="IP16" i="25" s="1"/>
  <c r="EP16" i="25" s="1"/>
  <c r="IB16" i="25"/>
  <c r="IC16" i="25" s="1"/>
  <c r="ID14" i="25"/>
  <c r="IP14" i="25" s="1"/>
  <c r="EP14" i="25" s="1"/>
  <c r="IB14" i="25"/>
  <c r="IC14" i="25" s="1"/>
  <c r="ID12" i="25"/>
  <c r="IP12" i="25" s="1"/>
  <c r="EP12" i="25" s="1"/>
  <c r="IB12" i="25"/>
  <c r="IC12" i="25" s="1"/>
  <c r="ID10" i="25"/>
  <c r="IP10" i="25" s="1"/>
  <c r="EP10" i="25" s="1"/>
  <c r="IB10" i="25"/>
  <c r="IC10" i="25" s="1"/>
  <c r="FF41" i="25"/>
  <c r="FQ40" i="25"/>
  <c r="FQ19" i="25"/>
  <c r="FQ17" i="25"/>
  <c r="FQ13" i="25"/>
  <c r="FQ9" i="25"/>
  <c r="FF9" i="25"/>
  <c r="IB40" i="25"/>
  <c r="IC40" i="25" s="1"/>
  <c r="ID40" i="25" s="1"/>
  <c r="IP40" i="25" s="1"/>
  <c r="EP40" i="25" s="1"/>
  <c r="IB39" i="25"/>
  <c r="IC39" i="25" s="1"/>
  <c r="IB38" i="25"/>
  <c r="IC38" i="25" s="1"/>
  <c r="ID38" i="25" s="1"/>
  <c r="IP38" i="25" s="1"/>
  <c r="EP38" i="25" s="1"/>
  <c r="IB36" i="25"/>
  <c r="IC36" i="25" s="1"/>
  <c r="ID36" i="25" s="1"/>
  <c r="IP36" i="25" s="1"/>
  <c r="EP36" i="25" s="1"/>
  <c r="IB34" i="25"/>
  <c r="IC34" i="25" s="1"/>
  <c r="ID34" i="25" s="1"/>
  <c r="IP34" i="25" s="1"/>
  <c r="EP34" i="25" s="1"/>
  <c r="IB32" i="25"/>
  <c r="IC32" i="25" s="1"/>
  <c r="ID32" i="25" s="1"/>
  <c r="IP32" i="25" s="1"/>
  <c r="EP32" i="25" s="1"/>
  <c r="IB31" i="25"/>
  <c r="IC31" i="25" s="1"/>
  <c r="ID31" i="25" s="1"/>
  <c r="IP31" i="25" s="1"/>
  <c r="EP31" i="25" s="1"/>
  <c r="IB30" i="25"/>
  <c r="IC30" i="25" s="1"/>
  <c r="ID30" i="25" s="1"/>
  <c r="IP30" i="25" s="1"/>
  <c r="EP30" i="25" s="1"/>
  <c r="IB29" i="25"/>
  <c r="IC29" i="25" s="1"/>
  <c r="ID28" i="25"/>
  <c r="IP28" i="25" s="1"/>
  <c r="EP28" i="25" s="1"/>
  <c r="IB28" i="25"/>
  <c r="IC28" i="25" s="1"/>
  <c r="IB27" i="25"/>
  <c r="IC27" i="25" s="1"/>
  <c r="ID27" i="25" s="1"/>
  <c r="IP27" i="25" s="1"/>
  <c r="EP27" i="25" s="1"/>
  <c r="IB26" i="25"/>
  <c r="IC26" i="25" s="1"/>
  <c r="ID26" i="25" s="1"/>
  <c r="IP26" i="25" s="1"/>
  <c r="EP26" i="25" s="1"/>
  <c r="IB25" i="25"/>
  <c r="IC25" i="25" s="1"/>
  <c r="IB24" i="25"/>
  <c r="IC24" i="25" s="1"/>
  <c r="ID24" i="25" s="1"/>
  <c r="IP24" i="25" s="1"/>
  <c r="EP24" i="25" s="1"/>
  <c r="IB23" i="25"/>
  <c r="IC23" i="25" s="1"/>
  <c r="ID23" i="25" s="1"/>
  <c r="IP23" i="25" s="1"/>
  <c r="EP23" i="25" s="1"/>
  <c r="IB22" i="25"/>
  <c r="IC22" i="25" s="1"/>
  <c r="ID22" i="25" s="1"/>
  <c r="IP22" i="25" s="1"/>
  <c r="EP22" i="25" s="1"/>
  <c r="IB21" i="25"/>
  <c r="IC21" i="25" s="1"/>
  <c r="ID20" i="25"/>
  <c r="IP20" i="25" s="1"/>
  <c r="EP20" i="25" s="1"/>
  <c r="IB20" i="25"/>
  <c r="IC20" i="25" s="1"/>
  <c r="IB19" i="25"/>
  <c r="IC19" i="25" s="1"/>
  <c r="ID19" i="25" s="1"/>
  <c r="IP19" i="25" s="1"/>
  <c r="EP19" i="25" s="1"/>
  <c r="IB17" i="25"/>
  <c r="IC17" i="25" s="1"/>
  <c r="IB15" i="25"/>
  <c r="IC15" i="25" s="1"/>
  <c r="ID15" i="25" s="1"/>
  <c r="IP15" i="25" s="1"/>
  <c r="EP15" i="25" s="1"/>
  <c r="IB13" i="25"/>
  <c r="IC13" i="25" s="1"/>
  <c r="IB11" i="25"/>
  <c r="IC11" i="25" s="1"/>
  <c r="ID11" i="25" s="1"/>
  <c r="IP11" i="25" s="1"/>
  <c r="EP11" i="25" s="1"/>
  <c r="IB9" i="25"/>
  <c r="IC9" i="25" s="1"/>
  <c r="DX42" i="26"/>
  <c r="DY42" i="26" s="1"/>
  <c r="DZ42" i="26" s="1"/>
  <c r="FQ42" i="26" s="1"/>
  <c r="ED42" i="26"/>
  <c r="EE42" i="26" s="1"/>
  <c r="CC41" i="26"/>
  <c r="CX41" i="26"/>
  <c r="EJ38" i="26"/>
  <c r="EK38" i="26" s="1"/>
  <c r="DR38" i="26"/>
  <c r="DS38" i="26" s="1"/>
  <c r="DT38" i="26" s="1"/>
  <c r="FP38" i="26" s="1"/>
  <c r="CT38" i="26"/>
  <c r="CU38" i="26" s="1"/>
  <c r="CV38" i="26" s="1"/>
  <c r="FL38" i="26" s="1"/>
  <c r="CC37" i="26"/>
  <c r="CP36" i="26"/>
  <c r="FG36" i="26" s="1"/>
  <c r="CY36" i="26"/>
  <c r="CZ36" i="26" s="1"/>
  <c r="DA36" i="26" s="1"/>
  <c r="DB36" i="26" s="1"/>
  <c r="FM36" i="26" s="1"/>
  <c r="FH36" i="26"/>
  <c r="FI36" i="26" s="1"/>
  <c r="FJ36" i="26" s="1"/>
  <c r="FW36" i="26" s="1"/>
  <c r="EV36" i="26"/>
  <c r="EW36" i="26" s="1"/>
  <c r="EX36" i="26" s="1"/>
  <c r="FU36" i="26" s="1"/>
  <c r="EJ36" i="26"/>
  <c r="EK36" i="26" s="1"/>
  <c r="DL36" i="26"/>
  <c r="DM36" i="26" s="1"/>
  <c r="DN36" i="26" s="1"/>
  <c r="FO36" i="26" s="1"/>
  <c r="AP36" i="26" s="1"/>
  <c r="BP34" i="26"/>
  <c r="CW34" i="26"/>
  <c r="CZ34" i="26" s="1"/>
  <c r="DA34" i="26" s="1"/>
  <c r="DB34" i="26" s="1"/>
  <c r="FM34" i="26" s="1"/>
  <c r="CP33" i="26"/>
  <c r="FG33" i="26" s="1"/>
  <c r="CY33" i="26"/>
  <c r="FB33" i="26"/>
  <c r="FC33" i="26" s="1"/>
  <c r="FD33" i="26" s="1"/>
  <c r="FV33" i="26" s="1"/>
  <c r="ED33" i="26"/>
  <c r="EE33" i="26" s="1"/>
  <c r="CT33" i="26"/>
  <c r="CU33" i="26" s="1"/>
  <c r="CV33" i="26" s="1"/>
  <c r="FL33" i="26" s="1"/>
  <c r="EV31" i="26"/>
  <c r="EW31" i="26" s="1"/>
  <c r="EX31" i="26" s="1"/>
  <c r="FU31" i="26" s="1"/>
  <c r="CZ31" i="26"/>
  <c r="DA31" i="26" s="1"/>
  <c r="CC30" i="26"/>
  <c r="CX30" i="26"/>
  <c r="CZ30" i="26" s="1"/>
  <c r="DA30" i="26" s="1"/>
  <c r="DB30" i="26" s="1"/>
  <c r="FM30" i="26" s="1"/>
  <c r="AN30" i="26" s="1"/>
  <c r="CP29" i="26"/>
  <c r="FG29" i="26" s="1"/>
  <c r="DL29" i="26"/>
  <c r="DM29" i="26" s="1"/>
  <c r="DN29" i="26" s="1"/>
  <c r="FO29" i="26" s="1"/>
  <c r="FB28" i="26"/>
  <c r="FC28" i="26" s="1"/>
  <c r="CP27" i="26"/>
  <c r="FG27" i="26" s="1"/>
  <c r="EV27" i="26"/>
  <c r="EW27" i="26" s="1"/>
  <c r="EX27" i="26" s="1"/>
  <c r="FU27" i="26" s="1"/>
  <c r="AV27" i="26" s="1"/>
  <c r="DX27" i="26"/>
  <c r="DY27" i="26" s="1"/>
  <c r="DZ27" i="26" s="1"/>
  <c r="FQ27" i="26" s="1"/>
  <c r="CZ27" i="26"/>
  <c r="DA27" i="26" s="1"/>
  <c r="DB27" i="26" s="1"/>
  <c r="FM27" i="26" s="1"/>
  <c r="AN27" i="26" s="1"/>
  <c r="FH27" i="26"/>
  <c r="FI27" i="26" s="1"/>
  <c r="FJ27" i="26" s="1"/>
  <c r="FW27" i="26" s="1"/>
  <c r="AX27" i="26" s="1"/>
  <c r="EJ27" i="26"/>
  <c r="EK27" i="26" s="1"/>
  <c r="DL27" i="26"/>
  <c r="DM27" i="26" s="1"/>
  <c r="CP23" i="26"/>
  <c r="FG23" i="26" s="1"/>
  <c r="EJ23" i="26"/>
  <c r="EK23" i="26" s="1"/>
  <c r="DL23" i="26"/>
  <c r="DM23" i="26" s="1"/>
  <c r="DN23" i="26" s="1"/>
  <c r="FO23" i="26" s="1"/>
  <c r="CP14" i="26"/>
  <c r="FG14" i="26" s="1"/>
  <c r="CY14" i="26"/>
  <c r="CZ14" i="26" s="1"/>
  <c r="DA14" i="26" s="1"/>
  <c r="DB14" i="26" s="1"/>
  <c r="FM14" i="26" s="1"/>
  <c r="GY29" i="27"/>
  <c r="GZ29" i="27" s="1"/>
  <c r="HA29" i="27" s="1"/>
  <c r="FF42" i="25"/>
  <c r="FQ41" i="25"/>
  <c r="FQ39" i="25"/>
  <c r="FQ37" i="25"/>
  <c r="FQ33" i="25"/>
  <c r="FQ30" i="25"/>
  <c r="FQ28" i="25"/>
  <c r="FQ27" i="25"/>
  <c r="FQ26" i="25"/>
  <c r="FQ24" i="25"/>
  <c r="FQ23" i="25"/>
  <c r="FQ22" i="25"/>
  <c r="FQ20" i="25"/>
  <c r="HV41" i="25"/>
  <c r="HW41" i="25" s="1"/>
  <c r="HX41" i="25" s="1"/>
  <c r="IO41" i="25" s="1"/>
  <c r="HV40" i="25"/>
  <c r="HW40" i="25" s="1"/>
  <c r="HX40" i="25" s="1"/>
  <c r="IO40" i="25" s="1"/>
  <c r="EO40" i="25" s="1"/>
  <c r="HV39" i="25"/>
  <c r="HW39" i="25" s="1"/>
  <c r="HX39" i="25" s="1"/>
  <c r="IO39" i="25" s="1"/>
  <c r="EO39" i="25" s="1"/>
  <c r="HV37" i="25"/>
  <c r="HW37" i="25" s="1"/>
  <c r="HX37" i="25" s="1"/>
  <c r="IO37" i="25" s="1"/>
  <c r="EO37" i="25" s="1"/>
  <c r="HV35" i="25"/>
  <c r="HW35" i="25" s="1"/>
  <c r="HX35" i="25" s="1"/>
  <c r="IO35" i="25" s="1"/>
  <c r="EO35" i="25" s="1"/>
  <c r="HV33" i="25"/>
  <c r="HW33" i="25" s="1"/>
  <c r="HX33" i="25" s="1"/>
  <c r="IO33" i="25" s="1"/>
  <c r="EO33" i="25" s="1"/>
  <c r="HV30" i="25"/>
  <c r="HW30" i="25" s="1"/>
  <c r="HX30" i="25" s="1"/>
  <c r="IO30" i="25" s="1"/>
  <c r="EO30" i="25" s="1"/>
  <c r="HV28" i="25"/>
  <c r="HW28" i="25" s="1"/>
  <c r="HX28" i="25" s="1"/>
  <c r="IO28" i="25" s="1"/>
  <c r="EO28" i="25" s="1"/>
  <c r="HV26" i="25"/>
  <c r="HW26" i="25" s="1"/>
  <c r="HX26" i="25" s="1"/>
  <c r="IO26" i="25" s="1"/>
  <c r="EO26" i="25" s="1"/>
  <c r="HV24" i="25"/>
  <c r="HW24" i="25" s="1"/>
  <c r="HX24" i="25" s="1"/>
  <c r="IO24" i="25" s="1"/>
  <c r="EO24" i="25" s="1"/>
  <c r="HV22" i="25"/>
  <c r="HW22" i="25" s="1"/>
  <c r="HX22" i="25" s="1"/>
  <c r="IO22" i="25" s="1"/>
  <c r="EO22" i="25" s="1"/>
  <c r="HV20" i="25"/>
  <c r="HW20" i="25" s="1"/>
  <c r="HX20" i="25" s="1"/>
  <c r="IO20" i="25" s="1"/>
  <c r="EO20" i="25" s="1"/>
  <c r="HV19" i="25"/>
  <c r="HW19" i="25" s="1"/>
  <c r="HX19" i="25" s="1"/>
  <c r="IO19" i="25" s="1"/>
  <c r="EO19" i="25" s="1"/>
  <c r="HV17" i="25"/>
  <c r="HW17" i="25" s="1"/>
  <c r="HX17" i="25" s="1"/>
  <c r="IO17" i="25" s="1"/>
  <c r="EO17" i="25" s="1"/>
  <c r="HV15" i="25"/>
  <c r="HW15" i="25" s="1"/>
  <c r="HX15" i="25" s="1"/>
  <c r="IO15" i="25" s="1"/>
  <c r="EO15" i="25" s="1"/>
  <c r="HV13" i="25"/>
  <c r="HW13" i="25" s="1"/>
  <c r="HX13" i="25" s="1"/>
  <c r="IO13" i="25" s="1"/>
  <c r="EO13" i="25" s="1"/>
  <c r="HV11" i="25"/>
  <c r="HW11" i="25" s="1"/>
  <c r="HX11" i="25" s="1"/>
  <c r="IO11" i="25" s="1"/>
  <c r="EO11" i="25" s="1"/>
  <c r="HV9" i="25"/>
  <c r="HW9" i="25" s="1"/>
  <c r="HX9" i="25" s="1"/>
  <c r="IO9" i="25" s="1"/>
  <c r="EO9" i="25" s="1"/>
  <c r="CZ42" i="26"/>
  <c r="DA42" i="26" s="1"/>
  <c r="DB42" i="26" s="1"/>
  <c r="FM42" i="26" s="1"/>
  <c r="BP42" i="26"/>
  <c r="EP40" i="26"/>
  <c r="EQ40" i="26" s="1"/>
  <c r="CT40" i="26"/>
  <c r="CU40" i="26" s="1"/>
  <c r="EV39" i="26"/>
  <c r="EW39" i="26" s="1"/>
  <c r="DX39" i="26"/>
  <c r="DY39" i="26" s="1"/>
  <c r="CZ39" i="26"/>
  <c r="DA39" i="26" s="1"/>
  <c r="CZ38" i="26"/>
  <c r="DA38" i="26" s="1"/>
  <c r="DB38" i="26" s="1"/>
  <c r="FM38" i="26" s="1"/>
  <c r="AN38" i="26" s="1"/>
  <c r="CP34" i="26"/>
  <c r="FG34" i="26" s="1"/>
  <c r="FH34" i="26" s="1"/>
  <c r="FI34" i="26" s="1"/>
  <c r="FJ34" i="26" s="1"/>
  <c r="FW34" i="26" s="1"/>
  <c r="ED34" i="26"/>
  <c r="EE34" i="26" s="1"/>
  <c r="CP32" i="26"/>
  <c r="FG32" i="26" s="1"/>
  <c r="FH32" i="26" s="1"/>
  <c r="FI32" i="26" s="1"/>
  <c r="FJ32" i="26" s="1"/>
  <c r="FW32" i="26" s="1"/>
  <c r="CY32" i="26"/>
  <c r="CZ32" i="26" s="1"/>
  <c r="DA32" i="26" s="1"/>
  <c r="DB32" i="26" s="1"/>
  <c r="FM32" i="26" s="1"/>
  <c r="AN32" i="26" s="1"/>
  <c r="EV32" i="26"/>
  <c r="EW32" i="26" s="1"/>
  <c r="EX32" i="26" s="1"/>
  <c r="FU32" i="26" s="1"/>
  <c r="DX32" i="26"/>
  <c r="DY32" i="26" s="1"/>
  <c r="DZ32" i="26" s="1"/>
  <c r="FQ32" i="26" s="1"/>
  <c r="DL32" i="26"/>
  <c r="DM32" i="26" s="1"/>
  <c r="CC32" i="26"/>
  <c r="CC31" i="26"/>
  <c r="EV30" i="26"/>
  <c r="EW30" i="26" s="1"/>
  <c r="EX30" i="26" s="1"/>
  <c r="FU30" i="26" s="1"/>
  <c r="ED30" i="26"/>
  <c r="EE30" i="26" s="1"/>
  <c r="EF30" i="26" s="1"/>
  <c r="FR30" i="26" s="1"/>
  <c r="CY29" i="26"/>
  <c r="CC28" i="26"/>
  <c r="CX28" i="26"/>
  <c r="EX25" i="26"/>
  <c r="FU25" i="26" s="1"/>
  <c r="AV25" i="26" s="1"/>
  <c r="EV25" i="26"/>
  <c r="EW25" i="26" s="1"/>
  <c r="EP20" i="26"/>
  <c r="EQ20" i="26" s="1"/>
  <c r="ER20" i="26" s="1"/>
  <c r="FT20" i="26" s="1"/>
  <c r="DR20" i="26"/>
  <c r="DS20" i="26" s="1"/>
  <c r="DT20" i="26" s="1"/>
  <c r="FP20" i="26" s="1"/>
  <c r="ER18" i="26"/>
  <c r="FT18" i="26" s="1"/>
  <c r="EP18" i="26"/>
  <c r="EQ18" i="26" s="1"/>
  <c r="CP18" i="26"/>
  <c r="FG18" i="26" s="1"/>
  <c r="CY18" i="26"/>
  <c r="EJ18" i="26"/>
  <c r="EK18" i="26" s="1"/>
  <c r="EL18" i="26" s="1"/>
  <c r="FS18" i="26" s="1"/>
  <c r="DX18" i="26"/>
  <c r="DY18" i="26" s="1"/>
  <c r="DZ18" i="26" s="1"/>
  <c r="FQ18" i="26" s="1"/>
  <c r="AR18" i="26" s="1"/>
  <c r="BP13" i="26"/>
  <c r="CW13" i="26"/>
  <c r="CP10" i="26"/>
  <c r="FG10" i="26" s="1"/>
  <c r="CY10" i="26"/>
  <c r="CZ10" i="26" s="1"/>
  <c r="DA10" i="26" s="1"/>
  <c r="DB10" i="26" s="1"/>
  <c r="FM10" i="26" s="1"/>
  <c r="FH10" i="26"/>
  <c r="FI10" i="26" s="1"/>
  <c r="FQ42" i="25"/>
  <c r="FQ38" i="25"/>
  <c r="FF37" i="25"/>
  <c r="FQ36" i="25"/>
  <c r="FQ35" i="25"/>
  <c r="FQ34" i="25"/>
  <c r="FQ32" i="25"/>
  <c r="FQ29" i="25"/>
  <c r="FQ25" i="25"/>
  <c r="FF25" i="25"/>
  <c r="FQ21" i="25"/>
  <c r="FF20" i="25"/>
  <c r="FQ18" i="25"/>
  <c r="FQ16" i="25"/>
  <c r="FQ15" i="25"/>
  <c r="FQ14" i="25"/>
  <c r="FQ12" i="25"/>
  <c r="FQ11" i="25"/>
  <c r="FQ10" i="25"/>
  <c r="FB41" i="26"/>
  <c r="FC41" i="26" s="1"/>
  <c r="FD41" i="26" s="1"/>
  <c r="FV41" i="26" s="1"/>
  <c r="ED41" i="26"/>
  <c r="EE41" i="26" s="1"/>
  <c r="DF41" i="26"/>
  <c r="DG41" i="26" s="1"/>
  <c r="DH41" i="26" s="1"/>
  <c r="FN41" i="26" s="1"/>
  <c r="CP41" i="26"/>
  <c r="FG41" i="26" s="1"/>
  <c r="EV40" i="26"/>
  <c r="EW40" i="26" s="1"/>
  <c r="EX40" i="26" s="1"/>
  <c r="FU40" i="26" s="1"/>
  <c r="AV40" i="26" s="1"/>
  <c r="DL40" i="26"/>
  <c r="DM40" i="26" s="1"/>
  <c r="CZ40" i="26"/>
  <c r="DA40" i="26" s="1"/>
  <c r="DB40" i="26" s="1"/>
  <c r="FM40" i="26" s="1"/>
  <c r="AN40" i="26" s="1"/>
  <c r="DR37" i="26"/>
  <c r="DS37" i="26" s="1"/>
  <c r="BP35" i="26"/>
  <c r="CC34" i="26"/>
  <c r="BP33" i="26"/>
  <c r="BP32" i="26"/>
  <c r="DX31" i="26"/>
  <c r="DY31" i="26" s="1"/>
  <c r="CP31" i="26"/>
  <c r="FG31" i="26" s="1"/>
  <c r="BP31" i="26"/>
  <c r="FB30" i="26"/>
  <c r="FC30" i="26" s="1"/>
  <c r="CP30" i="26"/>
  <c r="FG30" i="26" s="1"/>
  <c r="FH30" i="26" s="1"/>
  <c r="FI30" i="26" s="1"/>
  <c r="FJ30" i="26" s="1"/>
  <c r="FW30" i="26" s="1"/>
  <c r="EP29" i="26"/>
  <c r="EQ29" i="26" s="1"/>
  <c r="BP29" i="26"/>
  <c r="ED29" i="26"/>
  <c r="EE29" i="26" s="1"/>
  <c r="DT28" i="26"/>
  <c r="FP28" i="26" s="1"/>
  <c r="AQ28" i="26" s="1"/>
  <c r="DR28" i="26"/>
  <c r="DS28" i="26" s="1"/>
  <c r="CT28" i="26"/>
  <c r="CU28" i="26" s="1"/>
  <c r="CV28" i="26" s="1"/>
  <c r="FL28" i="26" s="1"/>
  <c r="DX25" i="26"/>
  <c r="DY25" i="26" s="1"/>
  <c r="DZ25" i="26" s="1"/>
  <c r="FQ25" i="26" s="1"/>
  <c r="AR25" i="26" s="1"/>
  <c r="EP25" i="26"/>
  <c r="EQ25" i="26" s="1"/>
  <c r="DR25" i="26"/>
  <c r="DS25" i="26" s="1"/>
  <c r="DT25" i="26" s="1"/>
  <c r="FP25" i="26" s="1"/>
  <c r="CT25" i="26"/>
  <c r="CU25" i="26" s="1"/>
  <c r="FB23" i="26"/>
  <c r="FC23" i="26" s="1"/>
  <c r="EP22" i="26"/>
  <c r="EQ22" i="26" s="1"/>
  <c r="FB22" i="26"/>
  <c r="FC22" i="26" s="1"/>
  <c r="FD22" i="26" s="1"/>
  <c r="FV22" i="26" s="1"/>
  <c r="ED22" i="26"/>
  <c r="EE22" i="26" s="1"/>
  <c r="EV20" i="26"/>
  <c r="EW20" i="26" s="1"/>
  <c r="CC17" i="26"/>
  <c r="CX17" i="26"/>
  <c r="CZ17" i="26" s="1"/>
  <c r="DA17" i="26" s="1"/>
  <c r="DB17" i="26" s="1"/>
  <c r="FM17" i="26" s="1"/>
  <c r="CZ16" i="26"/>
  <c r="DA16" i="26" s="1"/>
  <c r="DB16" i="26" s="1"/>
  <c r="FM16" i="26" s="1"/>
  <c r="DL16" i="26"/>
  <c r="DM16" i="26" s="1"/>
  <c r="DN16" i="26" s="1"/>
  <c r="FO16" i="26" s="1"/>
  <c r="BP16" i="26"/>
  <c r="CP15" i="26"/>
  <c r="FG15" i="26" s="1"/>
  <c r="ED15" i="26"/>
  <c r="EE15" i="26" s="1"/>
  <c r="CT15" i="26"/>
  <c r="CU15" i="26" s="1"/>
  <c r="CV15" i="26" s="1"/>
  <c r="FL15" i="26" s="1"/>
  <c r="EV12" i="26"/>
  <c r="EW12" i="26" s="1"/>
  <c r="EX12" i="26" s="1"/>
  <c r="FU12" i="26" s="1"/>
  <c r="CZ12" i="26"/>
  <c r="DA12" i="26" s="1"/>
  <c r="DB12" i="26" s="1"/>
  <c r="FM12" i="26" s="1"/>
  <c r="AN12" i="26" s="1"/>
  <c r="DL12" i="26"/>
  <c r="DM12" i="26" s="1"/>
  <c r="BP12" i="26"/>
  <c r="FB11" i="26"/>
  <c r="FC11" i="26" s="1"/>
  <c r="CC11" i="26"/>
  <c r="GY16" i="27"/>
  <c r="GZ16" i="27" s="1"/>
  <c r="GS14" i="27"/>
  <c r="GT14" i="27" s="1"/>
  <c r="GU14" i="27" s="1"/>
  <c r="CZ26" i="26"/>
  <c r="DA26" i="26" s="1"/>
  <c r="DX26" i="26"/>
  <c r="DY26" i="26" s="1"/>
  <c r="DZ26" i="26" s="1"/>
  <c r="FQ26" i="26" s="1"/>
  <c r="FB25" i="26"/>
  <c r="FC25" i="26" s="1"/>
  <c r="DB25" i="26"/>
  <c r="FM25" i="26" s="1"/>
  <c r="AN25" i="26" s="1"/>
  <c r="FD25" i="26"/>
  <c r="FV25" i="26" s="1"/>
  <c r="BP24" i="26"/>
  <c r="EP23" i="26"/>
  <c r="EQ23" i="26" s="1"/>
  <c r="CT23" i="26"/>
  <c r="CU23" i="26" s="1"/>
  <c r="DF23" i="26"/>
  <c r="DG23" i="26" s="1"/>
  <c r="FJ22" i="26"/>
  <c r="FW22" i="26" s="1"/>
  <c r="AX22" i="26" s="1"/>
  <c r="BP22" i="26"/>
  <c r="CC21" i="26"/>
  <c r="EL20" i="26"/>
  <c r="FS20" i="26" s="1"/>
  <c r="CT16" i="26"/>
  <c r="CU16" i="26" s="1"/>
  <c r="CV16" i="26" s="1"/>
  <c r="FL16" i="26" s="1"/>
  <c r="AM16" i="26" s="1"/>
  <c r="CT12" i="26"/>
  <c r="CU12" i="26" s="1"/>
  <c r="CV12" i="26" s="1"/>
  <c r="FL12" i="26" s="1"/>
  <c r="DR10" i="26"/>
  <c r="DS10" i="26" s="1"/>
  <c r="DT10" i="26" s="1"/>
  <c r="FP10" i="26" s="1"/>
  <c r="CT10" i="26"/>
  <c r="CU10" i="26" s="1"/>
  <c r="EV9" i="26"/>
  <c r="EW9" i="26" s="1"/>
  <c r="EX9" i="26" s="1"/>
  <c r="FU9" i="26" s="1"/>
  <c r="BP9" i="26"/>
  <c r="HE38" i="27"/>
  <c r="HF38" i="27" s="1"/>
  <c r="HG38" i="27" s="1"/>
  <c r="HE36" i="27"/>
  <c r="HF36" i="27" s="1"/>
  <c r="FC23" i="27"/>
  <c r="FD23" i="27" s="1"/>
  <c r="FE23" i="27" s="1"/>
  <c r="HO23" i="27" s="1"/>
  <c r="GS22" i="27"/>
  <c r="GT22" i="27" s="1"/>
  <c r="HK21" i="27"/>
  <c r="HL21" i="27" s="1"/>
  <c r="EA12" i="27"/>
  <c r="FC11" i="27"/>
  <c r="FD11" i="27" s="1"/>
  <c r="FE11" i="27" s="1"/>
  <c r="HO11" i="27" s="1"/>
  <c r="GY42" i="27"/>
  <c r="GZ42" i="27" s="1"/>
  <c r="GG41" i="27"/>
  <c r="GH41" i="27" s="1"/>
  <c r="GA39" i="27"/>
  <c r="GB39" i="27" s="1"/>
  <c r="EA39" i="27"/>
  <c r="GM35" i="27"/>
  <c r="GN35" i="27" s="1"/>
  <c r="FI33" i="27"/>
  <c r="FJ33" i="27" s="1"/>
  <c r="GY31" i="27"/>
  <c r="GZ31" i="27" s="1"/>
  <c r="FO28" i="27"/>
  <c r="FP28" i="27" s="1"/>
  <c r="HK27" i="27"/>
  <c r="HL27" i="27" s="1"/>
  <c r="FO27" i="27"/>
  <c r="FP27" i="27" s="1"/>
  <c r="FQ27" i="27" s="1"/>
  <c r="HQ27" i="27" s="1"/>
  <c r="GY26" i="27"/>
  <c r="GZ26" i="27" s="1"/>
  <c r="FO26" i="27"/>
  <c r="FP26" i="27" s="1"/>
  <c r="FQ26" i="27" s="1"/>
  <c r="HQ26" i="27" s="1"/>
  <c r="FO23" i="27"/>
  <c r="FP23" i="27" s="1"/>
  <c r="EM23" i="27"/>
  <c r="GM23" i="27"/>
  <c r="GN23" i="27" s="1"/>
  <c r="HE21" i="27"/>
  <c r="HF21" i="27" s="1"/>
  <c r="GS21" i="27"/>
  <c r="GT21" i="27" s="1"/>
  <c r="GS20" i="27"/>
  <c r="GT20" i="27" s="1"/>
  <c r="GU20" i="27" s="1"/>
  <c r="HE18" i="27"/>
  <c r="HF18" i="27" s="1"/>
  <c r="FI17" i="27"/>
  <c r="FJ17" i="27" s="1"/>
  <c r="FK17" i="27" s="1"/>
  <c r="HP17" i="27" s="1"/>
  <c r="HE14" i="27"/>
  <c r="HF14" i="27" s="1"/>
  <c r="GS13" i="27"/>
  <c r="GT13" i="27" s="1"/>
  <c r="GG11" i="27"/>
  <c r="GH11" i="27" s="1"/>
  <c r="HE10" i="27"/>
  <c r="HF10" i="27" s="1"/>
  <c r="FU18" i="27"/>
  <c r="FV18" i="27" s="1"/>
  <c r="FW18" i="27" s="1"/>
  <c r="HR18" i="27" s="1"/>
  <c r="FI12" i="27"/>
  <c r="FJ12" i="27" s="1"/>
  <c r="FK12" i="27" s="1"/>
  <c r="HP12" i="27" s="1"/>
  <c r="HK40" i="27"/>
  <c r="HL40" i="27" s="1"/>
  <c r="HK32" i="27"/>
  <c r="HL32" i="27" s="1"/>
  <c r="FS23" i="27"/>
  <c r="FU23" i="27" s="1"/>
  <c r="FV23" i="27" s="1"/>
  <c r="FW23" i="27" s="1"/>
  <c r="HR23" i="27" s="1"/>
  <c r="EZ12" i="27"/>
  <c r="HK11" i="27"/>
  <c r="HL11" i="27" s="1"/>
  <c r="HM11" i="27" s="1"/>
  <c r="HK42" i="27"/>
  <c r="HL42" i="27" s="1"/>
  <c r="GS41" i="27"/>
  <c r="GT41" i="27" s="1"/>
  <c r="GU41" i="27" s="1"/>
  <c r="FC40" i="27"/>
  <c r="FD40" i="27" s="1"/>
  <c r="GM40" i="27"/>
  <c r="GN40" i="27" s="1"/>
  <c r="FO39" i="27"/>
  <c r="FP39" i="27" s="1"/>
  <c r="HE37" i="27"/>
  <c r="HF37" i="27" s="1"/>
  <c r="HG37" i="27" s="1"/>
  <c r="FU37" i="27"/>
  <c r="FV37" i="27" s="1"/>
  <c r="GA37" i="27"/>
  <c r="GB37" i="27" s="1"/>
  <c r="EA37" i="27"/>
  <c r="FC35" i="27"/>
  <c r="FD35" i="27" s="1"/>
  <c r="FE35" i="27" s="1"/>
  <c r="HO35" i="27" s="1"/>
  <c r="EA35" i="27"/>
  <c r="HK31" i="27"/>
  <c r="HL31" i="27" s="1"/>
  <c r="HM31" i="27" s="1"/>
  <c r="GA31" i="27"/>
  <c r="GB31" i="27" s="1"/>
  <c r="GM31" i="27"/>
  <c r="GN31" i="27" s="1"/>
  <c r="GO31" i="27" s="1"/>
  <c r="HU31" i="27" s="1"/>
  <c r="EY28" i="27"/>
  <c r="GM28" i="27"/>
  <c r="GN28" i="27" s="1"/>
  <c r="GO28" i="27" s="1"/>
  <c r="HU28" i="27" s="1"/>
  <c r="GS27" i="27"/>
  <c r="GT27" i="27" s="1"/>
  <c r="GU27" i="27" s="1"/>
  <c r="GS24" i="27"/>
  <c r="GT24" i="27" s="1"/>
  <c r="GU24" i="27" s="1"/>
  <c r="FI21" i="27"/>
  <c r="FJ21" i="27" s="1"/>
  <c r="FK21" i="27" s="1"/>
  <c r="HP21" i="27" s="1"/>
  <c r="HE20" i="27"/>
  <c r="HF20" i="27" s="1"/>
  <c r="GM20" i="27"/>
  <c r="GN20" i="27" s="1"/>
  <c r="FI20" i="27"/>
  <c r="FJ20" i="27" s="1"/>
  <c r="FK20" i="27" s="1"/>
  <c r="HP20" i="27" s="1"/>
  <c r="GA16" i="27"/>
  <c r="GB16" i="27" s="1"/>
  <c r="GC16" i="27" s="1"/>
  <c r="HS16" i="27" s="1"/>
  <c r="GM16" i="27"/>
  <c r="GN16" i="27" s="1"/>
  <c r="GY15" i="27"/>
  <c r="GZ15" i="27" s="1"/>
  <c r="HK12" i="27"/>
  <c r="HL12" i="27" s="1"/>
  <c r="HM12" i="27" s="1"/>
  <c r="EM12" i="27"/>
  <c r="EA11" i="27"/>
  <c r="HE9" i="27"/>
  <c r="HF9" i="27" s="1"/>
  <c r="FU41" i="27"/>
  <c r="FV41" i="27" s="1"/>
  <c r="FW41" i="27" s="1"/>
  <c r="HR41" i="27" s="1"/>
  <c r="FU30" i="27"/>
  <c r="FV30" i="27" s="1"/>
  <c r="FW30" i="27" s="1"/>
  <c r="HR30" i="27" s="1"/>
  <c r="EM28" i="27"/>
  <c r="EA22" i="27"/>
  <c r="EZ39" i="27"/>
  <c r="FC39" i="27" s="1"/>
  <c r="FD39" i="27" s="1"/>
  <c r="EM29" i="27"/>
  <c r="EA28" i="27"/>
  <c r="EM19" i="27"/>
  <c r="FU14" i="27"/>
  <c r="FV14" i="27" s="1"/>
  <c r="FW14" i="27" s="1"/>
  <c r="HR14" i="27" s="1"/>
  <c r="GS42" i="27"/>
  <c r="GT42" i="27" s="1"/>
  <c r="GU42" i="27" s="1"/>
  <c r="EM42" i="27"/>
  <c r="GY35" i="27"/>
  <c r="GZ35" i="27" s="1"/>
  <c r="EM35" i="27"/>
  <c r="GG34" i="27"/>
  <c r="GH34" i="27" s="1"/>
  <c r="HE33" i="27"/>
  <c r="HF33" i="27" s="1"/>
  <c r="GS32" i="27"/>
  <c r="GT32" i="27" s="1"/>
  <c r="GU32" i="27" s="1"/>
  <c r="EA32" i="27"/>
  <c r="EZ28" i="27"/>
  <c r="FC28" i="27" s="1"/>
  <c r="FD28" i="27" s="1"/>
  <c r="GM25" i="27"/>
  <c r="GN25" i="27" s="1"/>
  <c r="GO25" i="27" s="1"/>
  <c r="HU25" i="27" s="1"/>
  <c r="GA20" i="27"/>
  <c r="GB20" i="27" s="1"/>
  <c r="FC20" i="27"/>
  <c r="FD20" i="27" s="1"/>
  <c r="FE20" i="27" s="1"/>
  <c r="HO20" i="27" s="1"/>
  <c r="HK19" i="27"/>
  <c r="HL19" i="27" s="1"/>
  <c r="GY12" i="27"/>
  <c r="GZ12" i="27" s="1"/>
  <c r="EY12" i="27"/>
  <c r="GA36" i="27"/>
  <c r="GB36" i="27" s="1"/>
  <c r="GC36" i="27" s="1"/>
  <c r="HS36" i="27" s="1"/>
  <c r="GM15" i="27"/>
  <c r="GN15" i="27" s="1"/>
  <c r="FO15" i="27"/>
  <c r="FP15" i="27" s="1"/>
  <c r="FQ15" i="27" s="1"/>
  <c r="HQ15" i="27" s="1"/>
  <c r="FO11" i="27"/>
  <c r="FP11" i="27" s="1"/>
  <c r="FQ11" i="27" s="1"/>
  <c r="HQ11" i="27" s="1"/>
  <c r="FU10" i="27"/>
  <c r="FV10" i="27" s="1"/>
  <c r="FW10" i="27" s="1"/>
  <c r="HR10" i="27" s="1"/>
  <c r="FU36" i="27"/>
  <c r="FV36" i="27" s="1"/>
  <c r="FW36" i="27" s="1"/>
  <c r="HR36" i="27" s="1"/>
  <c r="FU33" i="27"/>
  <c r="FV33" i="27" s="1"/>
  <c r="FU13" i="27"/>
  <c r="FV13" i="27" s="1"/>
  <c r="FW13" i="27" s="1"/>
  <c r="HR13" i="27" s="1"/>
  <c r="GA12" i="27"/>
  <c r="GB12" i="27" s="1"/>
  <c r="GC12" i="27" s="1"/>
  <c r="HS12" i="27" s="1"/>
  <c r="FI42" i="27"/>
  <c r="FJ42" i="27" s="1"/>
  <c r="FK42" i="27" s="1"/>
  <c r="HP42" i="27" s="1"/>
  <c r="FI40" i="27"/>
  <c r="FJ40" i="27" s="1"/>
  <c r="FK40" i="27" s="1"/>
  <c r="HP40" i="27" s="1"/>
  <c r="FO34" i="27"/>
  <c r="FP34" i="27" s="1"/>
  <c r="FQ34" i="27" s="1"/>
  <c r="HQ34" i="27" s="1"/>
  <c r="FC33" i="27"/>
  <c r="FD33" i="27" s="1"/>
  <c r="FE33" i="27" s="1"/>
  <c r="HO33" i="27" s="1"/>
  <c r="FI31" i="27"/>
  <c r="FJ31" i="27" s="1"/>
  <c r="GM30" i="27"/>
  <c r="GN30" i="27" s="1"/>
  <c r="GO30" i="27" s="1"/>
  <c r="HU30" i="27" s="1"/>
  <c r="FI29" i="27"/>
  <c r="FJ29" i="27" s="1"/>
  <c r="EY20" i="27"/>
  <c r="EA19" i="27"/>
  <c r="FS42" i="27"/>
  <c r="GA42" i="27"/>
  <c r="GB42" i="27" s="1"/>
  <c r="FC42" i="27"/>
  <c r="FD42" i="27" s="1"/>
  <c r="FE42" i="27" s="1"/>
  <c r="HO42" i="27" s="1"/>
  <c r="EM40" i="27"/>
  <c r="FO40" i="27"/>
  <c r="FP40" i="27" s="1"/>
  <c r="FQ40" i="27" s="1"/>
  <c r="HQ40" i="27" s="1"/>
  <c r="EZ37" i="27"/>
  <c r="FF35" i="27"/>
  <c r="HE34" i="27"/>
  <c r="HF34" i="27" s="1"/>
  <c r="HG34" i="27" s="1"/>
  <c r="GM34" i="27"/>
  <c r="GN34" i="27" s="1"/>
  <c r="GO34" i="27" s="1"/>
  <c r="HU34" i="27" s="1"/>
  <c r="GS33" i="27"/>
  <c r="GT33" i="27" s="1"/>
  <c r="EY33" i="27"/>
  <c r="HK26" i="27"/>
  <c r="HL26" i="27" s="1"/>
  <c r="FI25" i="27"/>
  <c r="FJ25" i="27" s="1"/>
  <c r="HK24" i="27"/>
  <c r="HL24" i="27" s="1"/>
  <c r="HM24" i="27" s="1"/>
  <c r="FI24" i="27"/>
  <c r="FJ24" i="27" s="1"/>
  <c r="FK24" i="27" s="1"/>
  <c r="HP24" i="27" s="1"/>
  <c r="EA24" i="27"/>
  <c r="HE23" i="27"/>
  <c r="HF23" i="27" s="1"/>
  <c r="HG23" i="27" s="1"/>
  <c r="GS23" i="27"/>
  <c r="GT23" i="27" s="1"/>
  <c r="GU23" i="27" s="1"/>
  <c r="EZ22" i="27"/>
  <c r="FC22" i="27" s="1"/>
  <c r="FD22" i="27" s="1"/>
  <c r="FE22" i="27" s="1"/>
  <c r="HO22" i="27" s="1"/>
  <c r="FO22" i="27"/>
  <c r="FP22" i="27" s="1"/>
  <c r="FQ22" i="27" s="1"/>
  <c r="HQ22" i="27" s="1"/>
  <c r="GY14" i="27"/>
  <c r="GZ14" i="27" s="1"/>
  <c r="HA14" i="27" s="1"/>
  <c r="HE13" i="27"/>
  <c r="HF13" i="27" s="1"/>
  <c r="FA12" i="27"/>
  <c r="GA32" i="27"/>
  <c r="GB32" i="27" s="1"/>
  <c r="GC32" i="27" s="1"/>
  <c r="HS32" i="27" s="1"/>
  <c r="EY23" i="27"/>
  <c r="EA23" i="27"/>
  <c r="EY19" i="27"/>
  <c r="HK41" i="27"/>
  <c r="HL41" i="27" s="1"/>
  <c r="HM41" i="27" s="1"/>
  <c r="GS39" i="27"/>
  <c r="GT39" i="27" s="1"/>
  <c r="GU39" i="27" s="1"/>
  <c r="EY39" i="27"/>
  <c r="EM39" i="27"/>
  <c r="GG36" i="27"/>
  <c r="GH36" i="27" s="1"/>
  <c r="GI36" i="27" s="1"/>
  <c r="HT36" i="27" s="1"/>
  <c r="HE35" i="27"/>
  <c r="HF35" i="27" s="1"/>
  <c r="HG35" i="27" s="1"/>
  <c r="FG35" i="27"/>
  <c r="EY35" i="27"/>
  <c r="HK34" i="27"/>
  <c r="HL34" i="27" s="1"/>
  <c r="HM34" i="27" s="1"/>
  <c r="FI32" i="27"/>
  <c r="FJ32" i="27" s="1"/>
  <c r="FK32" i="27" s="1"/>
  <c r="HP32" i="27" s="1"/>
  <c r="EZ32" i="27"/>
  <c r="FC32" i="27" s="1"/>
  <c r="FD32" i="27" s="1"/>
  <c r="EA31" i="27"/>
  <c r="GS30" i="27"/>
  <c r="GT30" i="27" s="1"/>
  <c r="GU30" i="27" s="1"/>
  <c r="GG30" i="27"/>
  <c r="GH30" i="27" s="1"/>
  <c r="EA30" i="27"/>
  <c r="GG29" i="27"/>
  <c r="GH29" i="27" s="1"/>
  <c r="GI29" i="27" s="1"/>
  <c r="HT29" i="27" s="1"/>
  <c r="GS28" i="27"/>
  <c r="GT28" i="27" s="1"/>
  <c r="GU28" i="27" s="1"/>
  <c r="FI28" i="27"/>
  <c r="FJ28" i="27" s="1"/>
  <c r="FK28" i="27" s="1"/>
  <c r="HP28" i="27" s="1"/>
  <c r="FI26" i="27"/>
  <c r="FJ26" i="27" s="1"/>
  <c r="FK26" i="27" s="1"/>
  <c r="HP26" i="27" s="1"/>
  <c r="GA26" i="27"/>
  <c r="GB26" i="27" s="1"/>
  <c r="GC26" i="27" s="1"/>
  <c r="HS26" i="27" s="1"/>
  <c r="HE25" i="27"/>
  <c r="HF25" i="27" s="1"/>
  <c r="HG25" i="27" s="1"/>
  <c r="FU25" i="27"/>
  <c r="FV25" i="27" s="1"/>
  <c r="GA24" i="27"/>
  <c r="GB24" i="27" s="1"/>
  <c r="GC24" i="27" s="1"/>
  <c r="HS24" i="27" s="1"/>
  <c r="HE22" i="27"/>
  <c r="HF22" i="27" s="1"/>
  <c r="HG22" i="27" s="1"/>
  <c r="FO21" i="27"/>
  <c r="FP21" i="27" s="1"/>
  <c r="FQ21" i="27" s="1"/>
  <c r="HQ21" i="27" s="1"/>
  <c r="FU21" i="27"/>
  <c r="FV21" i="27" s="1"/>
  <c r="FW21" i="27" s="1"/>
  <c r="HR21" i="27" s="1"/>
  <c r="EY17" i="27"/>
  <c r="GS16" i="27"/>
  <c r="GT16" i="27" s="1"/>
  <c r="GU16" i="27" s="1"/>
  <c r="FO14" i="27"/>
  <c r="FP14" i="27" s="1"/>
  <c r="FQ14" i="27" s="1"/>
  <c r="HQ14" i="27" s="1"/>
  <c r="FB12" i="27"/>
  <c r="GS11" i="27"/>
  <c r="GT11" i="27" s="1"/>
  <c r="GU11" i="27" s="1"/>
  <c r="FU9" i="27"/>
  <c r="FV9" i="27" s="1"/>
  <c r="FW9" i="27" s="1"/>
  <c r="HR9" i="27" s="1"/>
  <c r="FU29" i="27"/>
  <c r="FV29" i="27" s="1"/>
  <c r="HE42" i="27"/>
  <c r="HF42" i="27" s="1"/>
  <c r="HG42" i="27" s="1"/>
  <c r="HA42" i="27"/>
  <c r="GG42" i="27"/>
  <c r="GH42" i="27" s="1"/>
  <c r="GI42" i="27" s="1"/>
  <c r="HT42" i="27" s="1"/>
  <c r="GM42" i="27"/>
  <c r="GN42" i="27" s="1"/>
  <c r="GO42" i="27" s="1"/>
  <c r="HU42" i="27" s="1"/>
  <c r="FO42" i="27"/>
  <c r="FP42" i="27" s="1"/>
  <c r="FQ42" i="27" s="1"/>
  <c r="HQ42" i="27" s="1"/>
  <c r="HE41" i="27"/>
  <c r="HF41" i="27" s="1"/>
  <c r="HG41" i="27" s="1"/>
  <c r="EY41" i="27"/>
  <c r="GS40" i="27"/>
  <c r="GT40" i="27" s="1"/>
  <c r="GU40" i="27" s="1"/>
  <c r="HK39" i="27"/>
  <c r="HL39" i="27" s="1"/>
  <c r="FI38" i="27"/>
  <c r="FJ38" i="27" s="1"/>
  <c r="FK38" i="27" s="1"/>
  <c r="HP38" i="27" s="1"/>
  <c r="HK37" i="27"/>
  <c r="HL37" i="27" s="1"/>
  <c r="HM37" i="27" s="1"/>
  <c r="GY36" i="27"/>
  <c r="GZ36" i="27" s="1"/>
  <c r="GM32" i="27"/>
  <c r="GN32" i="27" s="1"/>
  <c r="GO32" i="27" s="1"/>
  <c r="HU32" i="27" s="1"/>
  <c r="EM32" i="27"/>
  <c r="GY30" i="27"/>
  <c r="GZ30" i="27" s="1"/>
  <c r="HA30" i="27" s="1"/>
  <c r="FA29" i="27"/>
  <c r="FO29" i="27"/>
  <c r="FP29" i="27" s="1"/>
  <c r="GY27" i="27"/>
  <c r="GZ27" i="27" s="1"/>
  <c r="HA27" i="27" s="1"/>
  <c r="GG27" i="27"/>
  <c r="GH27" i="27" s="1"/>
  <c r="GI27" i="27" s="1"/>
  <c r="HT27" i="27" s="1"/>
  <c r="GG25" i="27"/>
  <c r="GH25" i="27" s="1"/>
  <c r="GI25" i="27" s="1"/>
  <c r="HT25" i="27" s="1"/>
  <c r="GG22" i="27"/>
  <c r="GH22" i="27" s="1"/>
  <c r="GI22" i="27" s="1"/>
  <c r="HT22" i="27" s="1"/>
  <c r="HK20" i="27"/>
  <c r="HL20" i="27" s="1"/>
  <c r="HM20" i="27" s="1"/>
  <c r="FO20" i="27"/>
  <c r="FP20" i="27" s="1"/>
  <c r="FQ20" i="27" s="1"/>
  <c r="HQ20" i="27" s="1"/>
  <c r="FO19" i="27"/>
  <c r="FP19" i="27" s="1"/>
  <c r="FQ19" i="27" s="1"/>
  <c r="HQ19" i="27" s="1"/>
  <c r="EM17" i="27"/>
  <c r="GG14" i="27"/>
  <c r="GH14" i="27" s="1"/>
  <c r="GI14" i="27" s="1"/>
  <c r="HT14" i="27" s="1"/>
  <c r="FI14" i="27"/>
  <c r="FJ14" i="27" s="1"/>
  <c r="FI11" i="27"/>
  <c r="FJ11" i="27" s="1"/>
  <c r="FK11" i="27" s="1"/>
  <c r="HP11" i="27" s="1"/>
  <c r="EY11" i="27"/>
  <c r="EM11" i="27"/>
  <c r="GA38" i="27"/>
  <c r="GB38" i="27" s="1"/>
  <c r="GC38" i="27" s="1"/>
  <c r="HS38" i="27" s="1"/>
  <c r="GG38" i="27"/>
  <c r="GH38" i="27" s="1"/>
  <c r="FU42" i="27"/>
  <c r="FV42" i="27" s="1"/>
  <c r="FW42" i="27" s="1"/>
  <c r="HR42" i="27" s="1"/>
  <c r="GG37" i="27"/>
  <c r="GH37" i="27" s="1"/>
  <c r="GI37" i="27" s="1"/>
  <c r="HT37" i="27" s="1"/>
  <c r="FI41" i="27"/>
  <c r="FJ41" i="27" s="1"/>
  <c r="FK41" i="27" s="1"/>
  <c r="HP41" i="27" s="1"/>
  <c r="FU40" i="27"/>
  <c r="FV40" i="27" s="1"/>
  <c r="FW40" i="27" s="1"/>
  <c r="HR40" i="27" s="1"/>
  <c r="HM42" i="27"/>
  <c r="GC42" i="27"/>
  <c r="HS42" i="27" s="1"/>
  <c r="FM36" i="27"/>
  <c r="EM36" i="27"/>
  <c r="FO31" i="27"/>
  <c r="FP31" i="27" s="1"/>
  <c r="FQ31" i="27" s="1"/>
  <c r="HQ31" i="27" s="1"/>
  <c r="FC31" i="27"/>
  <c r="FD31" i="27" s="1"/>
  <c r="FE31" i="27" s="1"/>
  <c r="HO31" i="27" s="1"/>
  <c r="GS29" i="27"/>
  <c r="GT29" i="27" s="1"/>
  <c r="GU29" i="27" s="1"/>
  <c r="HM28" i="27"/>
  <c r="HK28" i="27"/>
  <c r="HL28" i="27" s="1"/>
  <c r="GM19" i="27"/>
  <c r="GN19" i="27" s="1"/>
  <c r="GO19" i="27" s="1"/>
  <c r="HU19" i="27" s="1"/>
  <c r="HK18" i="27"/>
  <c r="HL18" i="27" s="1"/>
  <c r="HM18" i="27" s="1"/>
  <c r="FI18" i="27"/>
  <c r="FJ18" i="27" s="1"/>
  <c r="FK18" i="27" s="1"/>
  <c r="HP18" i="27" s="1"/>
  <c r="HK15" i="27"/>
  <c r="HL15" i="27" s="1"/>
  <c r="HM15" i="27" s="1"/>
  <c r="EA13" i="27"/>
  <c r="FF13" i="27"/>
  <c r="GA11" i="27"/>
  <c r="GB11" i="27" s="1"/>
  <c r="GC11" i="27" s="1"/>
  <c r="HS11" i="27" s="1"/>
  <c r="FH9" i="27"/>
  <c r="EY9" i="27"/>
  <c r="GS38" i="27"/>
  <c r="GT38" i="27" s="1"/>
  <c r="GU38" i="27" s="1"/>
  <c r="GO36" i="27"/>
  <c r="HU36" i="27" s="1"/>
  <c r="GM36" i="27"/>
  <c r="GN36" i="27" s="1"/>
  <c r="FU34" i="27"/>
  <c r="FV34" i="27" s="1"/>
  <c r="FW34" i="27" s="1"/>
  <c r="HR34" i="27" s="1"/>
  <c r="HE30" i="27"/>
  <c r="HF30" i="27" s="1"/>
  <c r="HG30" i="27" s="1"/>
  <c r="FI30" i="27"/>
  <c r="FJ30" i="27" s="1"/>
  <c r="FK30" i="27" s="1"/>
  <c r="HP30" i="27" s="1"/>
  <c r="FB27" i="27"/>
  <c r="EY27" i="27"/>
  <c r="FB26" i="27"/>
  <c r="EY26" i="27"/>
  <c r="FC36" i="27"/>
  <c r="FD36" i="27" s="1"/>
  <c r="FE36" i="27" s="1"/>
  <c r="HO36" i="27" s="1"/>
  <c r="FU35" i="27"/>
  <c r="FV35" i="27" s="1"/>
  <c r="FW35" i="27" s="1"/>
  <c r="HR35" i="27" s="1"/>
  <c r="EA34" i="27"/>
  <c r="EZ34" i="27"/>
  <c r="GG32" i="27"/>
  <c r="GH32" i="27" s="1"/>
  <c r="GI32" i="27" s="1"/>
  <c r="HT32" i="27" s="1"/>
  <c r="FU28" i="27"/>
  <c r="FV28" i="27" s="1"/>
  <c r="FW28" i="27" s="1"/>
  <c r="HR28" i="27" s="1"/>
  <c r="FA27" i="27"/>
  <c r="EM27" i="27"/>
  <c r="FA26" i="27"/>
  <c r="EM26" i="27"/>
  <c r="EY25" i="27"/>
  <c r="FB25" i="27"/>
  <c r="GG24" i="27"/>
  <c r="GH24" i="27" s="1"/>
  <c r="GI24" i="27" s="1"/>
  <c r="HT24" i="27" s="1"/>
  <c r="FU24" i="27"/>
  <c r="FV24" i="27" s="1"/>
  <c r="FW24" i="27" s="1"/>
  <c r="HR24" i="27" s="1"/>
  <c r="HK22" i="27"/>
  <c r="HL22" i="27" s="1"/>
  <c r="HM22" i="27" s="1"/>
  <c r="GY19" i="27"/>
  <c r="GZ19" i="27" s="1"/>
  <c r="HA19" i="27" s="1"/>
  <c r="GG17" i="27"/>
  <c r="GH17" i="27" s="1"/>
  <c r="GI17" i="27" s="1"/>
  <c r="HT17" i="27" s="1"/>
  <c r="HK10" i="27"/>
  <c r="HL10" i="27" s="1"/>
  <c r="HM10" i="27" s="1"/>
  <c r="GS10" i="27"/>
  <c r="GT10" i="27" s="1"/>
  <c r="GU10" i="27" s="1"/>
  <c r="EY42" i="27"/>
  <c r="EA42" i="27"/>
  <c r="GM41" i="27"/>
  <c r="GN41" i="27" s="1"/>
  <c r="GO41" i="27" s="1"/>
  <c r="HU41" i="27" s="1"/>
  <c r="EA40" i="27"/>
  <c r="EA20" i="27"/>
  <c r="FO41" i="27"/>
  <c r="FP41" i="27" s="1"/>
  <c r="FQ41" i="27" s="1"/>
  <c r="HQ41" i="27" s="1"/>
  <c r="FU38" i="27"/>
  <c r="FV38" i="27" s="1"/>
  <c r="FW38" i="27" s="1"/>
  <c r="HR38" i="27" s="1"/>
  <c r="EZ30" i="27"/>
  <c r="GY41" i="27"/>
  <c r="GZ41" i="27" s="1"/>
  <c r="HA41" i="27" s="1"/>
  <c r="FB41" i="27"/>
  <c r="EM41" i="27"/>
  <c r="HE40" i="27"/>
  <c r="HF40" i="27" s="1"/>
  <c r="HG40" i="27" s="1"/>
  <c r="GA40" i="27"/>
  <c r="GB40" i="27" s="1"/>
  <c r="GC40" i="27" s="1"/>
  <c r="HS40" i="27" s="1"/>
  <c r="GG39" i="27"/>
  <c r="GH39" i="27" s="1"/>
  <c r="GI39" i="27" s="1"/>
  <c r="HT39" i="27" s="1"/>
  <c r="FQ39" i="27"/>
  <c r="HQ39" i="27" s="1"/>
  <c r="FI39" i="27"/>
  <c r="FJ39" i="27" s="1"/>
  <c r="FK39" i="27" s="1"/>
  <c r="HP39" i="27" s="1"/>
  <c r="FU39" i="27"/>
  <c r="FV39" i="27" s="1"/>
  <c r="FW39" i="27" s="1"/>
  <c r="HR39" i="27" s="1"/>
  <c r="HK38" i="27"/>
  <c r="HL38" i="27" s="1"/>
  <c r="HM38" i="27" s="1"/>
  <c r="GY38" i="27"/>
  <c r="GZ38" i="27" s="1"/>
  <c r="HA38" i="27" s="1"/>
  <c r="FO38" i="27"/>
  <c r="FP38" i="27" s="1"/>
  <c r="FQ38" i="27" s="1"/>
  <c r="HQ38" i="27" s="1"/>
  <c r="GM33" i="27"/>
  <c r="GN33" i="27" s="1"/>
  <c r="GO33" i="27" s="1"/>
  <c r="HU33" i="27" s="1"/>
  <c r="FO33" i="27"/>
  <c r="FP33" i="27" s="1"/>
  <c r="FQ33" i="27" s="1"/>
  <c r="HQ33" i="27" s="1"/>
  <c r="FS32" i="27"/>
  <c r="FU32" i="27" s="1"/>
  <c r="FV32" i="27" s="1"/>
  <c r="FK31" i="27"/>
  <c r="HP31" i="27" s="1"/>
  <c r="FQ29" i="27"/>
  <c r="HQ29" i="27" s="1"/>
  <c r="EM24" i="27"/>
  <c r="HM21" i="27"/>
  <c r="GY32" i="27"/>
  <c r="GZ32" i="27" s="1"/>
  <c r="HA32" i="27" s="1"/>
  <c r="GA30" i="27"/>
  <c r="GB30" i="27" s="1"/>
  <c r="GC30" i="27" s="1"/>
  <c r="HS30" i="27" s="1"/>
  <c r="GM27" i="27"/>
  <c r="GN27" i="27" s="1"/>
  <c r="GO27" i="27" s="1"/>
  <c r="HU27" i="27" s="1"/>
  <c r="FI23" i="27"/>
  <c r="FJ23" i="27" s="1"/>
  <c r="FK23" i="27" s="1"/>
  <c r="HP23" i="27" s="1"/>
  <c r="GY22" i="27"/>
  <c r="GZ22" i="27" s="1"/>
  <c r="HA22" i="27" s="1"/>
  <c r="GY21" i="27"/>
  <c r="GZ21" i="27" s="1"/>
  <c r="HA21" i="27" s="1"/>
  <c r="FU20" i="27"/>
  <c r="FV20" i="27" s="1"/>
  <c r="FW20" i="27" s="1"/>
  <c r="HR20" i="27" s="1"/>
  <c r="GA19" i="27"/>
  <c r="GB19" i="27" s="1"/>
  <c r="GC19" i="27" s="1"/>
  <c r="HS19" i="27" s="1"/>
  <c r="GS18" i="27"/>
  <c r="GT18" i="27" s="1"/>
  <c r="GU18" i="27" s="1"/>
  <c r="GG18" i="27"/>
  <c r="GH18" i="27" s="1"/>
  <c r="GI18" i="27" s="1"/>
  <c r="HT18" i="27" s="1"/>
  <c r="FU17" i="27"/>
  <c r="FV17" i="27" s="1"/>
  <c r="FW17" i="27" s="1"/>
  <c r="HR17" i="27" s="1"/>
  <c r="GS15" i="27"/>
  <c r="GT15" i="27" s="1"/>
  <c r="GU15" i="27" s="1"/>
  <c r="GG13" i="27"/>
  <c r="GH13" i="27" s="1"/>
  <c r="GI13" i="27" s="1"/>
  <c r="HT13" i="27" s="1"/>
  <c r="GM11" i="27"/>
  <c r="GN11" i="27" s="1"/>
  <c r="GO11" i="27" s="1"/>
  <c r="HU11" i="27" s="1"/>
  <c r="FI10" i="27"/>
  <c r="FJ10" i="27" s="1"/>
  <c r="FK10" i="27" s="1"/>
  <c r="HP10" i="27" s="1"/>
  <c r="EA38" i="27"/>
  <c r="EZ38" i="27"/>
  <c r="FI37" i="27"/>
  <c r="FJ37" i="27" s="1"/>
  <c r="FK37" i="27" s="1"/>
  <c r="HP37" i="27" s="1"/>
  <c r="FL36" i="27"/>
  <c r="EA36" i="27"/>
  <c r="FO35" i="27"/>
  <c r="FP35" i="27" s="1"/>
  <c r="FQ35" i="27" s="1"/>
  <c r="HQ35" i="27" s="1"/>
  <c r="GS34" i="27"/>
  <c r="GT34" i="27" s="1"/>
  <c r="GU34" i="27" s="1"/>
  <c r="EM34" i="27"/>
  <c r="FA34" i="27"/>
  <c r="GY39" i="27"/>
  <c r="GZ39" i="27" s="1"/>
  <c r="HA39" i="27" s="1"/>
  <c r="EY38" i="27"/>
  <c r="FB38" i="27"/>
  <c r="EY36" i="27"/>
  <c r="FN36" i="27"/>
  <c r="HK35" i="27"/>
  <c r="HL35" i="27" s="1"/>
  <c r="HM35" i="27" s="1"/>
  <c r="GA34" i="27"/>
  <c r="GB34" i="27" s="1"/>
  <c r="GC34" i="27" s="1"/>
  <c r="HS34" i="27" s="1"/>
  <c r="FO32" i="27"/>
  <c r="FP32" i="27" s="1"/>
  <c r="FQ32" i="27" s="1"/>
  <c r="HQ32" i="27" s="1"/>
  <c r="FU31" i="27"/>
  <c r="FV31" i="27" s="1"/>
  <c r="FW31" i="27" s="1"/>
  <c r="HR31" i="27" s="1"/>
  <c r="GM29" i="27"/>
  <c r="GN29" i="27" s="1"/>
  <c r="GO29" i="27" s="1"/>
  <c r="HU29" i="27" s="1"/>
  <c r="GA28" i="27"/>
  <c r="GB28" i="27" s="1"/>
  <c r="GC28" i="27" s="1"/>
  <c r="HS28" i="27" s="1"/>
  <c r="FX27" i="27"/>
  <c r="EA27" i="27"/>
  <c r="GM26" i="27"/>
  <c r="GN26" i="27" s="1"/>
  <c r="GO26" i="27" s="1"/>
  <c r="HU26" i="27" s="1"/>
  <c r="GS25" i="27"/>
  <c r="GT25" i="27" s="1"/>
  <c r="GU25" i="27" s="1"/>
  <c r="GA23" i="27"/>
  <c r="GB23" i="27" s="1"/>
  <c r="GC23" i="27" s="1"/>
  <c r="HS23" i="27" s="1"/>
  <c r="EM21" i="27"/>
  <c r="FA21" i="27"/>
  <c r="HE17" i="27"/>
  <c r="HF17" i="27" s="1"/>
  <c r="HG17" i="27" s="1"/>
  <c r="FB15" i="27"/>
  <c r="EY15" i="27"/>
  <c r="EM14" i="27"/>
  <c r="FA14" i="27"/>
  <c r="HK13" i="27"/>
  <c r="HL13" i="27" s="1"/>
  <c r="HM13" i="27" s="1"/>
  <c r="FU12" i="27"/>
  <c r="FV12" i="27" s="1"/>
  <c r="FW12" i="27" s="1"/>
  <c r="HR12" i="27" s="1"/>
  <c r="GA10" i="27"/>
  <c r="GB10" i="27" s="1"/>
  <c r="GC10" i="27" s="1"/>
  <c r="HS10" i="27" s="1"/>
  <c r="GI41" i="27"/>
  <c r="HT41" i="27" s="1"/>
  <c r="EY40" i="27"/>
  <c r="GC39" i="27"/>
  <c r="HS39" i="27" s="1"/>
  <c r="EM38" i="27"/>
  <c r="FK33" i="27"/>
  <c r="HP33" i="27" s="1"/>
  <c r="EY32" i="27"/>
  <c r="GC31" i="27"/>
  <c r="HS31" i="27" s="1"/>
  <c r="EM20" i="27"/>
  <c r="HM40" i="27"/>
  <c r="GY40" i="27"/>
  <c r="GZ40" i="27" s="1"/>
  <c r="HA40" i="27" s="1"/>
  <c r="GC37" i="27"/>
  <c r="HS37" i="27" s="1"/>
  <c r="GC35" i="27"/>
  <c r="HS35" i="27" s="1"/>
  <c r="GI30" i="27"/>
  <c r="HT30" i="27" s="1"/>
  <c r="GY28" i="27"/>
  <c r="GZ28" i="27" s="1"/>
  <c r="HA28" i="27" s="1"/>
  <c r="HK23" i="27"/>
  <c r="HL23" i="27" s="1"/>
  <c r="HM23" i="27" s="1"/>
  <c r="GA41" i="27"/>
  <c r="GB41" i="27" s="1"/>
  <c r="GC41" i="27" s="1"/>
  <c r="HS41" i="27" s="1"/>
  <c r="EA41" i="27"/>
  <c r="GG40" i="27"/>
  <c r="GH40" i="27" s="1"/>
  <c r="GI40" i="27" s="1"/>
  <c r="HT40" i="27" s="1"/>
  <c r="FE40" i="27"/>
  <c r="HO40" i="27" s="1"/>
  <c r="GO40" i="27"/>
  <c r="HU40" i="27" s="1"/>
  <c r="HM39" i="27"/>
  <c r="HE39" i="27"/>
  <c r="HF39" i="27" s="1"/>
  <c r="HG39" i="27" s="1"/>
  <c r="GM39" i="27"/>
  <c r="GN39" i="27" s="1"/>
  <c r="GO39" i="27" s="1"/>
  <c r="HU39" i="27" s="1"/>
  <c r="GS37" i="27"/>
  <c r="GT37" i="27" s="1"/>
  <c r="GU37" i="27" s="1"/>
  <c r="HG36" i="27"/>
  <c r="FI34" i="27"/>
  <c r="FJ34" i="27" s="1"/>
  <c r="GU33" i="27"/>
  <c r="GG33" i="27"/>
  <c r="GH33" i="27" s="1"/>
  <c r="GI33" i="27" s="1"/>
  <c r="HT33" i="27" s="1"/>
  <c r="FE32" i="27"/>
  <c r="HO32" i="27" s="1"/>
  <c r="EY31" i="27"/>
  <c r="EM31" i="27"/>
  <c r="HE29" i="27"/>
  <c r="HF29" i="27" s="1"/>
  <c r="HG29" i="27" s="1"/>
  <c r="FW29" i="27"/>
  <c r="HR29" i="27" s="1"/>
  <c r="EY29" i="27"/>
  <c r="EA26" i="27"/>
  <c r="HK25" i="27"/>
  <c r="HL25" i="27" s="1"/>
  <c r="HM25" i="27" s="1"/>
  <c r="GG10" i="27"/>
  <c r="GH10" i="27" s="1"/>
  <c r="GI10" i="27" s="1"/>
  <c r="HT10" i="27" s="1"/>
  <c r="EY34" i="27"/>
  <c r="FB34" i="27"/>
  <c r="FU26" i="27"/>
  <c r="FV26" i="27" s="1"/>
  <c r="FW26" i="27" s="1"/>
  <c r="HR26" i="27" s="1"/>
  <c r="GM22" i="27"/>
  <c r="GN22" i="27" s="1"/>
  <c r="GO22" i="27" s="1"/>
  <c r="HU22" i="27" s="1"/>
  <c r="GA22" i="27"/>
  <c r="GB22" i="27" s="1"/>
  <c r="GC22" i="27" s="1"/>
  <c r="HS22" i="27" s="1"/>
  <c r="EY21" i="27"/>
  <c r="FB21" i="27"/>
  <c r="GG20" i="27"/>
  <c r="GH20" i="27" s="1"/>
  <c r="GI20" i="27" s="1"/>
  <c r="HT20" i="27" s="1"/>
  <c r="GA18" i="27"/>
  <c r="GB18" i="27" s="1"/>
  <c r="GC18" i="27" s="1"/>
  <c r="HS18" i="27" s="1"/>
  <c r="GS17" i="27"/>
  <c r="GT17" i="27" s="1"/>
  <c r="GU17" i="27" s="1"/>
  <c r="EY14" i="27"/>
  <c r="FB14" i="27"/>
  <c r="GY11" i="27"/>
  <c r="GZ11" i="27" s="1"/>
  <c r="HA11" i="27" s="1"/>
  <c r="FC9" i="27"/>
  <c r="FD9" i="27" s="1"/>
  <c r="FE9" i="27" s="1"/>
  <c r="HO9" i="27" s="1"/>
  <c r="GM9" i="27"/>
  <c r="GN9" i="27" s="1"/>
  <c r="GO9" i="27" s="1"/>
  <c r="HU9" i="27" s="1"/>
  <c r="FO9" i="27"/>
  <c r="FP9" i="27" s="1"/>
  <c r="FQ9" i="27" s="1"/>
  <c r="HQ9" i="27" s="1"/>
  <c r="GM38" i="27"/>
  <c r="GN38" i="27" s="1"/>
  <c r="GO38" i="27" s="1"/>
  <c r="HU38" i="27" s="1"/>
  <c r="GI38" i="27"/>
  <c r="HT38" i="27" s="1"/>
  <c r="GY37" i="27"/>
  <c r="GZ37" i="27" s="1"/>
  <c r="HA37" i="27" s="1"/>
  <c r="FW37" i="27"/>
  <c r="HR37" i="27" s="1"/>
  <c r="EM37" i="27"/>
  <c r="HM36" i="27"/>
  <c r="GS36" i="27"/>
  <c r="GT36" i="27" s="1"/>
  <c r="GU36" i="27" s="1"/>
  <c r="FI36" i="27"/>
  <c r="FJ36" i="27" s="1"/>
  <c r="FK36" i="27" s="1"/>
  <c r="HP36" i="27" s="1"/>
  <c r="HA35" i="27"/>
  <c r="GS35" i="27"/>
  <c r="GT35" i="27" s="1"/>
  <c r="GU35" i="27" s="1"/>
  <c r="GO35" i="27"/>
  <c r="HU35" i="27" s="1"/>
  <c r="GG35" i="27"/>
  <c r="GH35" i="27" s="1"/>
  <c r="GI35" i="27" s="1"/>
  <c r="HT35" i="27" s="1"/>
  <c r="GY34" i="27"/>
  <c r="GZ34" i="27" s="1"/>
  <c r="HA34" i="27" s="1"/>
  <c r="HK33" i="27"/>
  <c r="HL33" i="27" s="1"/>
  <c r="HM33" i="27" s="1"/>
  <c r="GA33" i="27"/>
  <c r="GB33" i="27" s="1"/>
  <c r="GC33" i="27" s="1"/>
  <c r="HS33" i="27" s="1"/>
  <c r="EA33" i="27"/>
  <c r="HE32" i="27"/>
  <c r="HF32" i="27" s="1"/>
  <c r="HG32" i="27" s="1"/>
  <c r="HE31" i="27"/>
  <c r="HF31" i="27" s="1"/>
  <c r="HG31" i="27" s="1"/>
  <c r="HK30" i="27"/>
  <c r="HL30" i="27" s="1"/>
  <c r="HM30" i="27" s="1"/>
  <c r="FO30" i="27"/>
  <c r="FP30" i="27" s="1"/>
  <c r="FQ30" i="27" s="1"/>
  <c r="HQ30" i="27" s="1"/>
  <c r="EM30" i="27"/>
  <c r="FK29" i="27"/>
  <c r="HP29" i="27" s="1"/>
  <c r="FC29" i="27"/>
  <c r="FD29" i="27" s="1"/>
  <c r="FE29" i="27" s="1"/>
  <c r="HO29" i="27" s="1"/>
  <c r="GG28" i="27"/>
  <c r="GH28" i="27" s="1"/>
  <c r="GI28" i="27" s="1"/>
  <c r="HT28" i="27" s="1"/>
  <c r="FQ28" i="27"/>
  <c r="HQ28" i="27" s="1"/>
  <c r="FI27" i="27"/>
  <c r="FJ27" i="27" s="1"/>
  <c r="FK27" i="27" s="1"/>
  <c r="HP27" i="27" s="1"/>
  <c r="FU27" i="27"/>
  <c r="FV27" i="27" s="1"/>
  <c r="FW27" i="27" s="1"/>
  <c r="HR27" i="27" s="1"/>
  <c r="HA26" i="27"/>
  <c r="GS26" i="27"/>
  <c r="GT26" i="27" s="1"/>
  <c r="GU26" i="27" s="1"/>
  <c r="GY25" i="27"/>
  <c r="GZ25" i="27" s="1"/>
  <c r="HA25" i="27" s="1"/>
  <c r="FK25" i="27"/>
  <c r="HP25" i="27" s="1"/>
  <c r="GY24" i="27"/>
  <c r="GZ24" i="27" s="1"/>
  <c r="HA24" i="27" s="1"/>
  <c r="GO20" i="27"/>
  <c r="HU20" i="27" s="1"/>
  <c r="EA18" i="27"/>
  <c r="EY16" i="27"/>
  <c r="EY30" i="27"/>
  <c r="FB30" i="27"/>
  <c r="HE24" i="27"/>
  <c r="HF24" i="27" s="1"/>
  <c r="HG24" i="27" s="1"/>
  <c r="GM17" i="27"/>
  <c r="GN17" i="27" s="1"/>
  <c r="GO17" i="27" s="1"/>
  <c r="HU17" i="27" s="1"/>
  <c r="FO17" i="27"/>
  <c r="FP17" i="27" s="1"/>
  <c r="FQ17" i="27" s="1"/>
  <c r="HQ17" i="27" s="1"/>
  <c r="FC16" i="27"/>
  <c r="FD16" i="27" s="1"/>
  <c r="FE16" i="27" s="1"/>
  <c r="HO16" i="27" s="1"/>
  <c r="EY37" i="27"/>
  <c r="GM37" i="27"/>
  <c r="GN37" i="27" s="1"/>
  <c r="GO37" i="27" s="1"/>
  <c r="HU37" i="27" s="1"/>
  <c r="FO37" i="27"/>
  <c r="FP37" i="27" s="1"/>
  <c r="FQ37" i="27" s="1"/>
  <c r="HQ37" i="27" s="1"/>
  <c r="HA36" i="27"/>
  <c r="GI34" i="27"/>
  <c r="HT34" i="27" s="1"/>
  <c r="FK34" i="27"/>
  <c r="HP34" i="27" s="1"/>
  <c r="HG33" i="27"/>
  <c r="GY33" i="27"/>
  <c r="GZ33" i="27" s="1"/>
  <c r="HA33" i="27" s="1"/>
  <c r="FW33" i="27"/>
  <c r="HR33" i="27" s="1"/>
  <c r="EM33" i="27"/>
  <c r="HM32" i="27"/>
  <c r="HA31" i="27"/>
  <c r="GS31" i="27"/>
  <c r="GT31" i="27" s="1"/>
  <c r="GU31" i="27" s="1"/>
  <c r="GG31" i="27"/>
  <c r="GH31" i="27" s="1"/>
  <c r="GI31" i="27" s="1"/>
  <c r="HT31" i="27" s="1"/>
  <c r="HK29" i="27"/>
  <c r="HL29" i="27" s="1"/>
  <c r="HM29" i="27" s="1"/>
  <c r="GA29" i="27"/>
  <c r="GB29" i="27" s="1"/>
  <c r="GC29" i="27" s="1"/>
  <c r="HS29" i="27" s="1"/>
  <c r="EA29" i="27"/>
  <c r="HE28" i="27"/>
  <c r="HF28" i="27" s="1"/>
  <c r="HG28" i="27" s="1"/>
  <c r="HM27" i="27"/>
  <c r="HE27" i="27"/>
  <c r="HF27" i="27" s="1"/>
  <c r="HG27" i="27" s="1"/>
  <c r="GA25" i="27"/>
  <c r="GB25" i="27" s="1"/>
  <c r="GC25" i="27" s="1"/>
  <c r="HS25" i="27" s="1"/>
  <c r="GU22" i="27"/>
  <c r="GA21" i="27"/>
  <c r="GB21" i="27" s="1"/>
  <c r="GC21" i="27" s="1"/>
  <c r="HS21" i="27" s="1"/>
  <c r="GG21" i="27"/>
  <c r="GH21" i="27" s="1"/>
  <c r="GI21" i="27" s="1"/>
  <c r="HT21" i="27" s="1"/>
  <c r="GA15" i="27"/>
  <c r="GB15" i="27" s="1"/>
  <c r="GC15" i="27" s="1"/>
  <c r="HS15" i="27" s="1"/>
  <c r="HK16" i="27"/>
  <c r="HL16" i="27" s="1"/>
  <c r="HM16" i="27" s="1"/>
  <c r="FM16" i="27"/>
  <c r="EM16" i="27"/>
  <c r="FA15" i="27"/>
  <c r="FC15" i="27" s="1"/>
  <c r="FD15" i="27" s="1"/>
  <c r="EM15" i="27"/>
  <c r="GY13" i="27"/>
  <c r="GZ13" i="27" s="1"/>
  <c r="HA13" i="27" s="1"/>
  <c r="HE26" i="27"/>
  <c r="HF26" i="27" s="1"/>
  <c r="HG26" i="27" s="1"/>
  <c r="FO25" i="27"/>
  <c r="FP25" i="27" s="1"/>
  <c r="FQ25" i="27" s="1"/>
  <c r="HQ25" i="27" s="1"/>
  <c r="EM25" i="27"/>
  <c r="FW25" i="27"/>
  <c r="HR25" i="27" s="1"/>
  <c r="FC24" i="27"/>
  <c r="FD24" i="27" s="1"/>
  <c r="FE24" i="27" s="1"/>
  <c r="HO24" i="27" s="1"/>
  <c r="GG23" i="27"/>
  <c r="GH23" i="27" s="1"/>
  <c r="GI23" i="27" s="1"/>
  <c r="HT23" i="27" s="1"/>
  <c r="GO23" i="27"/>
  <c r="HU23" i="27" s="1"/>
  <c r="FQ23" i="27"/>
  <c r="HQ23" i="27" s="1"/>
  <c r="FI22" i="27"/>
  <c r="FJ22" i="27" s="1"/>
  <c r="FK22" i="27" s="1"/>
  <c r="HP22" i="27" s="1"/>
  <c r="EY22" i="27"/>
  <c r="EM22" i="27"/>
  <c r="FU22" i="27"/>
  <c r="FV22" i="27" s="1"/>
  <c r="FW22" i="27" s="1"/>
  <c r="HR22" i="27" s="1"/>
  <c r="GU21" i="27"/>
  <c r="EA21" i="27"/>
  <c r="HA16" i="27"/>
  <c r="HG14" i="27"/>
  <c r="GM12" i="27"/>
  <c r="GN12" i="27" s="1"/>
  <c r="GO12" i="27" s="1"/>
  <c r="HU12" i="27" s="1"/>
  <c r="GI11" i="27"/>
  <c r="HT11" i="27" s="1"/>
  <c r="FU11" i="27"/>
  <c r="FV11" i="27" s="1"/>
  <c r="FW11" i="27" s="1"/>
  <c r="HR11" i="27" s="1"/>
  <c r="GG19" i="27"/>
  <c r="GH19" i="27" s="1"/>
  <c r="GI19" i="27" s="1"/>
  <c r="HT19" i="27" s="1"/>
  <c r="FL16" i="27"/>
  <c r="EA16" i="27"/>
  <c r="HE15" i="27"/>
  <c r="HF15" i="27" s="1"/>
  <c r="HG15" i="27" s="1"/>
  <c r="GA13" i="27"/>
  <c r="GB13" i="27" s="1"/>
  <c r="GC13" i="27" s="1"/>
  <c r="HS13" i="27" s="1"/>
  <c r="EM13" i="27"/>
  <c r="FG13" i="27"/>
  <c r="GS9" i="27"/>
  <c r="GT9" i="27" s="1"/>
  <c r="GU9" i="27" s="1"/>
  <c r="GG9" i="27"/>
  <c r="GH9" i="27" s="1"/>
  <c r="GI9" i="27" s="1"/>
  <c r="HT9" i="27" s="1"/>
  <c r="HM26" i="27"/>
  <c r="GG26" i="27"/>
  <c r="GH26" i="27" s="1"/>
  <c r="GI26" i="27" s="1"/>
  <c r="HT26" i="27" s="1"/>
  <c r="EA25" i="27"/>
  <c r="EY24" i="27"/>
  <c r="GM24" i="27"/>
  <c r="GN24" i="27" s="1"/>
  <c r="GO24" i="27" s="1"/>
  <c r="HU24" i="27" s="1"/>
  <c r="FO24" i="27"/>
  <c r="FP24" i="27" s="1"/>
  <c r="FQ24" i="27" s="1"/>
  <c r="HQ24" i="27" s="1"/>
  <c r="HA23" i="27"/>
  <c r="HG21" i="27"/>
  <c r="GM21" i="27"/>
  <c r="GN21" i="27" s="1"/>
  <c r="GO21" i="27" s="1"/>
  <c r="HU21" i="27" s="1"/>
  <c r="HG20" i="27"/>
  <c r="GY20" i="27"/>
  <c r="GZ20" i="27" s="1"/>
  <c r="HA20" i="27" s="1"/>
  <c r="FU19" i="27"/>
  <c r="FV19" i="27" s="1"/>
  <c r="FW19" i="27" s="1"/>
  <c r="HR19" i="27" s="1"/>
  <c r="GO16" i="27"/>
  <c r="HU16" i="27" s="1"/>
  <c r="EA15" i="27"/>
  <c r="GM14" i="27"/>
  <c r="GN14" i="27" s="1"/>
  <c r="GO14" i="27" s="1"/>
  <c r="HU14" i="27" s="1"/>
  <c r="HE12" i="27"/>
  <c r="HF12" i="27" s="1"/>
  <c r="HG12" i="27" s="1"/>
  <c r="GG12" i="27"/>
  <c r="GH12" i="27" s="1"/>
  <c r="GI12" i="27" s="1"/>
  <c r="HT12" i="27" s="1"/>
  <c r="EA10" i="27"/>
  <c r="HG9" i="27"/>
  <c r="EY18" i="27"/>
  <c r="FB18" i="27"/>
  <c r="EY10" i="27"/>
  <c r="FB10" i="27"/>
  <c r="EM9" i="27"/>
  <c r="FG9" i="27"/>
  <c r="GC20" i="27"/>
  <c r="HS20" i="27" s="1"/>
  <c r="HM19" i="27"/>
  <c r="GS19" i="27"/>
  <c r="GT19" i="27" s="1"/>
  <c r="GU19" i="27" s="1"/>
  <c r="FI19" i="27"/>
  <c r="FJ19" i="27" s="1"/>
  <c r="FK19" i="27" s="1"/>
  <c r="HP19" i="27" s="1"/>
  <c r="FE19" i="27"/>
  <c r="HO19" i="27" s="1"/>
  <c r="HG18" i="27"/>
  <c r="GM18" i="27"/>
  <c r="GN18" i="27" s="1"/>
  <c r="GO18" i="27" s="1"/>
  <c r="HU18" i="27" s="1"/>
  <c r="GY17" i="27"/>
  <c r="GZ17" i="27" s="1"/>
  <c r="HA17" i="27" s="1"/>
  <c r="EA17" i="27"/>
  <c r="HE16" i="27"/>
  <c r="HF16" i="27" s="1"/>
  <c r="HG16" i="27" s="1"/>
  <c r="GG16" i="27"/>
  <c r="GH16" i="27" s="1"/>
  <c r="GI16" i="27" s="1"/>
  <c r="HT16" i="27" s="1"/>
  <c r="FU16" i="27"/>
  <c r="FV16" i="27" s="1"/>
  <c r="FW16" i="27" s="1"/>
  <c r="HR16" i="27" s="1"/>
  <c r="GO15" i="27"/>
  <c r="HU15" i="27" s="1"/>
  <c r="HK14" i="27"/>
  <c r="HL14" i="27" s="1"/>
  <c r="HM14" i="27" s="1"/>
  <c r="GA14" i="27"/>
  <c r="GB14" i="27" s="1"/>
  <c r="GC14" i="27" s="1"/>
  <c r="HS14" i="27" s="1"/>
  <c r="EA14" i="27"/>
  <c r="GU13" i="27"/>
  <c r="FC13" i="27"/>
  <c r="FD13" i="27" s="1"/>
  <c r="FE13" i="27" s="1"/>
  <c r="HO13" i="27" s="1"/>
  <c r="GM13" i="27"/>
  <c r="GN13" i="27" s="1"/>
  <c r="GO13" i="27" s="1"/>
  <c r="HU13" i="27" s="1"/>
  <c r="FO13" i="27"/>
  <c r="FP13" i="27" s="1"/>
  <c r="FQ13" i="27" s="1"/>
  <c r="HQ13" i="27" s="1"/>
  <c r="HA12" i="27"/>
  <c r="HE11" i="27"/>
  <c r="HF11" i="27" s="1"/>
  <c r="HG11" i="27" s="1"/>
  <c r="HG10" i="27"/>
  <c r="GM10" i="27"/>
  <c r="GN10" i="27" s="1"/>
  <c r="GO10" i="27" s="1"/>
  <c r="HU10" i="27" s="1"/>
  <c r="GY9" i="27"/>
  <c r="GZ9" i="27" s="1"/>
  <c r="HA9" i="27" s="1"/>
  <c r="FH13" i="27"/>
  <c r="EY13" i="27"/>
  <c r="HE19" i="27"/>
  <c r="HF19" i="27" s="1"/>
  <c r="HG19" i="27" s="1"/>
  <c r="GY18" i="27"/>
  <c r="GZ18" i="27" s="1"/>
  <c r="HA18" i="27" s="1"/>
  <c r="FO18" i="27"/>
  <c r="FP18" i="27" s="1"/>
  <c r="FQ18" i="27" s="1"/>
  <c r="HQ18" i="27" s="1"/>
  <c r="EM18" i="27"/>
  <c r="HK17" i="27"/>
  <c r="HL17" i="27" s="1"/>
  <c r="HM17" i="27" s="1"/>
  <c r="GA17" i="27"/>
  <c r="GB17" i="27" s="1"/>
  <c r="GC17" i="27" s="1"/>
  <c r="HS17" i="27" s="1"/>
  <c r="FC17" i="27"/>
  <c r="FD17" i="27" s="1"/>
  <c r="FE17" i="27" s="1"/>
  <c r="HO17" i="27" s="1"/>
  <c r="FI16" i="27"/>
  <c r="FJ16" i="27" s="1"/>
  <c r="FK16" i="27" s="1"/>
  <c r="HP16" i="27" s="1"/>
  <c r="HA15" i="27"/>
  <c r="GG15" i="27"/>
  <c r="GH15" i="27" s="1"/>
  <c r="GI15" i="27" s="1"/>
  <c r="HT15" i="27" s="1"/>
  <c r="FI15" i="27"/>
  <c r="FJ15" i="27" s="1"/>
  <c r="FK15" i="27" s="1"/>
  <c r="HP15" i="27" s="1"/>
  <c r="FU15" i="27"/>
  <c r="FV15" i="27" s="1"/>
  <c r="FW15" i="27" s="1"/>
  <c r="HR15" i="27" s="1"/>
  <c r="FK14" i="27"/>
  <c r="HP14" i="27" s="1"/>
  <c r="HG13" i="27"/>
  <c r="GS12" i="27"/>
  <c r="GT12" i="27" s="1"/>
  <c r="GU12" i="27" s="1"/>
  <c r="FQ12" i="27"/>
  <c r="HQ12" i="27" s="1"/>
  <c r="GY10" i="27"/>
  <c r="GZ10" i="27" s="1"/>
  <c r="HA10" i="27" s="1"/>
  <c r="FO10" i="27"/>
  <c r="FP10" i="27" s="1"/>
  <c r="FQ10" i="27" s="1"/>
  <c r="HQ10" i="27" s="1"/>
  <c r="EM10" i="27"/>
  <c r="HK9" i="27"/>
  <c r="HL9" i="27" s="1"/>
  <c r="HM9" i="27" s="1"/>
  <c r="GA9" i="27"/>
  <c r="GB9" i="27" s="1"/>
  <c r="GC9" i="27" s="1"/>
  <c r="HS9" i="27" s="1"/>
  <c r="EA9" i="27"/>
  <c r="AX36" i="26"/>
  <c r="EV37" i="26"/>
  <c r="EW37" i="26" s="1"/>
  <c r="EX37" i="26" s="1"/>
  <c r="FU37" i="26" s="1"/>
  <c r="DZ37" i="26"/>
  <c r="FQ37" i="26" s="1"/>
  <c r="DX37" i="26"/>
  <c r="DY37" i="26" s="1"/>
  <c r="CZ37" i="26"/>
  <c r="DA37" i="26" s="1"/>
  <c r="DB37" i="26" s="1"/>
  <c r="FM37" i="26" s="1"/>
  <c r="AW42" i="26"/>
  <c r="DT34" i="26"/>
  <c r="FP34" i="26" s="1"/>
  <c r="AR42" i="26"/>
  <c r="DJ42" i="26"/>
  <c r="CC42" i="26"/>
  <c r="BP40" i="26"/>
  <c r="DC40" i="26"/>
  <c r="FB39" i="26"/>
  <c r="FC39" i="26" s="1"/>
  <c r="FD39" i="26" s="1"/>
  <c r="FV39" i="26" s="1"/>
  <c r="ED39" i="26"/>
  <c r="EE39" i="26" s="1"/>
  <c r="EF39" i="26" s="1"/>
  <c r="FR39" i="26" s="1"/>
  <c r="CC39" i="26"/>
  <c r="DD39" i="26"/>
  <c r="DF39" i="26" s="1"/>
  <c r="DG39" i="26" s="1"/>
  <c r="DH39" i="26" s="1"/>
  <c r="FN39" i="26" s="1"/>
  <c r="CV35" i="26"/>
  <c r="FL35" i="26" s="1"/>
  <c r="CT35" i="26"/>
  <c r="CU35" i="26" s="1"/>
  <c r="AR34" i="26"/>
  <c r="AW34" i="26"/>
  <c r="AV32" i="26"/>
  <c r="FB32" i="26"/>
  <c r="FC32" i="26" s="1"/>
  <c r="FD32" i="26" s="1"/>
  <c r="FV32" i="26" s="1"/>
  <c r="EF32" i="26"/>
  <c r="FR32" i="26" s="1"/>
  <c r="ED32" i="26"/>
  <c r="EE32" i="26" s="1"/>
  <c r="DR29" i="26"/>
  <c r="DS29" i="26" s="1"/>
  <c r="DT29" i="26" s="1"/>
  <c r="FP29" i="26" s="1"/>
  <c r="CT29" i="26"/>
  <c r="CU29" i="26" s="1"/>
  <c r="CV29" i="26" s="1"/>
  <c r="FL29" i="26" s="1"/>
  <c r="EL42" i="26"/>
  <c r="FS42" i="26" s="1"/>
  <c r="EP42" i="26"/>
  <c r="EQ42" i="26" s="1"/>
  <c r="ER42" i="26" s="1"/>
  <c r="FT42" i="26" s="1"/>
  <c r="DR42" i="26"/>
  <c r="DS42" i="26" s="1"/>
  <c r="DT42" i="26" s="1"/>
  <c r="FP42" i="26" s="1"/>
  <c r="CT42" i="26"/>
  <c r="CU42" i="26" s="1"/>
  <c r="CV42" i="26" s="1"/>
  <c r="FL42" i="26" s="1"/>
  <c r="EP41" i="26"/>
  <c r="EQ41" i="26" s="1"/>
  <c r="DR41" i="26"/>
  <c r="DS41" i="26" s="1"/>
  <c r="CT41" i="26"/>
  <c r="CU41" i="26" s="1"/>
  <c r="BP41" i="26"/>
  <c r="DN40" i="26"/>
  <c r="FO40" i="26" s="1"/>
  <c r="FD40" i="26"/>
  <c r="FV40" i="26" s="1"/>
  <c r="EF40" i="26"/>
  <c r="FR40" i="26" s="1"/>
  <c r="ED38" i="26"/>
  <c r="EE38" i="26" s="1"/>
  <c r="EF38" i="26" s="1"/>
  <c r="FR38" i="26" s="1"/>
  <c r="ED37" i="26"/>
  <c r="EE37" i="26" s="1"/>
  <c r="EF37" i="26" s="1"/>
  <c r="FR37" i="26" s="1"/>
  <c r="DF37" i="26"/>
  <c r="DG37" i="26" s="1"/>
  <c r="EL36" i="26"/>
  <c r="FS36" i="26" s="1"/>
  <c r="ER36" i="26"/>
  <c r="FT36" i="26" s="1"/>
  <c r="DT36" i="26"/>
  <c r="FP36" i="26" s="1"/>
  <c r="CV36" i="26"/>
  <c r="FL36" i="26" s="1"/>
  <c r="AV42" i="26"/>
  <c r="FH41" i="26"/>
  <c r="FI41" i="26" s="1"/>
  <c r="FJ41" i="26" s="1"/>
  <c r="FW41" i="26" s="1"/>
  <c r="EJ41" i="26"/>
  <c r="EK41" i="26" s="1"/>
  <c r="EL41" i="26" s="1"/>
  <c r="FS41" i="26" s="1"/>
  <c r="DL41" i="26"/>
  <c r="DM41" i="26" s="1"/>
  <c r="DN41" i="26" s="1"/>
  <c r="FO41" i="26" s="1"/>
  <c r="AT40" i="26"/>
  <c r="EP39" i="26"/>
  <c r="EQ39" i="26" s="1"/>
  <c r="ER39" i="26" s="1"/>
  <c r="FT39" i="26" s="1"/>
  <c r="DR39" i="26"/>
  <c r="DS39" i="26" s="1"/>
  <c r="DT39" i="26" s="1"/>
  <c r="FP39" i="26" s="1"/>
  <c r="EJ39" i="26"/>
  <c r="EK39" i="26" s="1"/>
  <c r="EL39" i="26" s="1"/>
  <c r="FS39" i="26" s="1"/>
  <c r="DL39" i="26"/>
  <c r="DM39" i="26" s="1"/>
  <c r="DN39" i="26" s="1"/>
  <c r="FO39" i="26" s="1"/>
  <c r="AM38" i="26"/>
  <c r="CP38" i="26"/>
  <c r="FG38" i="26" s="1"/>
  <c r="FH38" i="26" s="1"/>
  <c r="FI38" i="26" s="1"/>
  <c r="FJ38" i="26" s="1"/>
  <c r="FW38" i="26" s="1"/>
  <c r="DE38" i="26"/>
  <c r="DF38" i="26" s="1"/>
  <c r="DG38" i="26" s="1"/>
  <c r="AV34" i="26"/>
  <c r="AR30" i="26"/>
  <c r="DX29" i="26"/>
  <c r="DY29" i="26" s="1"/>
  <c r="DZ29" i="26" s="1"/>
  <c r="FQ29" i="26" s="1"/>
  <c r="CZ29" i="26"/>
  <c r="DA29" i="26" s="1"/>
  <c r="DB29" i="26" s="1"/>
  <c r="FM29" i="26" s="1"/>
  <c r="CC36" i="26"/>
  <c r="AR36" i="26"/>
  <c r="CP35" i="26"/>
  <c r="FG35" i="26" s="1"/>
  <c r="FH35" i="26" s="1"/>
  <c r="FI35" i="26" s="1"/>
  <c r="DN32" i="26"/>
  <c r="FO32" i="26" s="1"/>
  <c r="EV41" i="26"/>
  <c r="EW41" i="26" s="1"/>
  <c r="EX41" i="26" s="1"/>
  <c r="FU41" i="26" s="1"/>
  <c r="DX41" i="26"/>
  <c r="DY41" i="26" s="1"/>
  <c r="DZ41" i="26" s="1"/>
  <c r="FQ41" i="26" s="1"/>
  <c r="CZ41" i="26"/>
  <c r="DA41" i="26" s="1"/>
  <c r="DB41" i="26" s="1"/>
  <c r="FM41" i="26" s="1"/>
  <c r="CT39" i="26"/>
  <c r="CU39" i="26" s="1"/>
  <c r="CV39" i="26" s="1"/>
  <c r="FL39" i="26" s="1"/>
  <c r="AR38" i="26"/>
  <c r="AW38" i="26"/>
  <c r="AQ38" i="26"/>
  <c r="DJ38" i="26"/>
  <c r="CC38" i="26"/>
  <c r="FB37" i="26"/>
  <c r="FC37" i="26" s="1"/>
  <c r="FD37" i="26" s="1"/>
  <c r="FV37" i="26" s="1"/>
  <c r="BP36" i="26"/>
  <c r="DC36" i="26"/>
  <c r="FD35" i="26"/>
  <c r="FV35" i="26" s="1"/>
  <c r="FB35" i="26"/>
  <c r="FC35" i="26" s="1"/>
  <c r="EF35" i="26"/>
  <c r="FR35" i="26" s="1"/>
  <c r="ED35" i="26"/>
  <c r="EE35" i="26" s="1"/>
  <c r="CC35" i="26"/>
  <c r="DD35" i="26"/>
  <c r="DF35" i="26" s="1"/>
  <c r="DG35" i="26" s="1"/>
  <c r="DH35" i="26" s="1"/>
  <c r="FN35" i="26" s="1"/>
  <c r="CT34" i="26"/>
  <c r="CU34" i="26" s="1"/>
  <c r="CV34" i="26" s="1"/>
  <c r="FL34" i="26" s="1"/>
  <c r="AR32" i="26"/>
  <c r="ER32" i="26"/>
  <c r="FT32" i="26" s="1"/>
  <c r="EP32" i="26"/>
  <c r="EQ32" i="26" s="1"/>
  <c r="DR32" i="26"/>
  <c r="DS32" i="26" s="1"/>
  <c r="DT32" i="26" s="1"/>
  <c r="FP32" i="26" s="1"/>
  <c r="CT32" i="26"/>
  <c r="CU32" i="26" s="1"/>
  <c r="CV32" i="26" s="1"/>
  <c r="FL32" i="26" s="1"/>
  <c r="FH31" i="26"/>
  <c r="FI31" i="26" s="1"/>
  <c r="FJ31" i="26" s="1"/>
  <c r="FW31" i="26" s="1"/>
  <c r="EJ31" i="26"/>
  <c r="EK31" i="26" s="1"/>
  <c r="EL31" i="26" s="1"/>
  <c r="FS31" i="26" s="1"/>
  <c r="DL31" i="26"/>
  <c r="DM31" i="26" s="1"/>
  <c r="DN31" i="26" s="1"/>
  <c r="FO31" i="26" s="1"/>
  <c r="AV30" i="26"/>
  <c r="ER40" i="26"/>
  <c r="FT40" i="26" s="1"/>
  <c r="CV40" i="26"/>
  <c r="FL40" i="26" s="1"/>
  <c r="EL38" i="26"/>
  <c r="FS38" i="26" s="1"/>
  <c r="EP38" i="26"/>
  <c r="EQ38" i="26" s="1"/>
  <c r="ER38" i="26" s="1"/>
  <c r="FT38" i="26" s="1"/>
  <c r="BP37" i="26"/>
  <c r="FD36" i="26"/>
  <c r="FV36" i="26" s="1"/>
  <c r="EF36" i="26"/>
  <c r="FR36" i="26" s="1"/>
  <c r="EL34" i="26"/>
  <c r="FS34" i="26" s="1"/>
  <c r="DN34" i="26"/>
  <c r="FO34" i="26" s="1"/>
  <c r="EP34" i="26"/>
  <c r="EQ34" i="26" s="1"/>
  <c r="ER34" i="26" s="1"/>
  <c r="FT34" i="26" s="1"/>
  <c r="DR34" i="26"/>
  <c r="DS34" i="26" s="1"/>
  <c r="AN42" i="26"/>
  <c r="CP42" i="26"/>
  <c r="FG42" i="26" s="1"/>
  <c r="FH42" i="26" s="1"/>
  <c r="FI42" i="26" s="1"/>
  <c r="DE42" i="26"/>
  <c r="DF42" i="26" s="1"/>
  <c r="DG42" i="26" s="1"/>
  <c r="AV38" i="26"/>
  <c r="EJ37" i="26"/>
  <c r="EK37" i="26" s="1"/>
  <c r="EL37" i="26" s="1"/>
  <c r="FS37" i="26" s="1"/>
  <c r="DL37" i="26"/>
  <c r="DM37" i="26" s="1"/>
  <c r="DN37" i="26" s="1"/>
  <c r="FO37" i="26" s="1"/>
  <c r="EP35" i="26"/>
  <c r="EQ35" i="26" s="1"/>
  <c r="ER35" i="26" s="1"/>
  <c r="FT35" i="26" s="1"/>
  <c r="DR35" i="26"/>
  <c r="DS35" i="26" s="1"/>
  <c r="DT35" i="26" s="1"/>
  <c r="FP35" i="26" s="1"/>
  <c r="EJ35" i="26"/>
  <c r="EK35" i="26" s="1"/>
  <c r="EL35" i="26" s="1"/>
  <c r="FS35" i="26" s="1"/>
  <c r="DL35" i="26"/>
  <c r="DM35" i="26" s="1"/>
  <c r="DN35" i="26" s="1"/>
  <c r="FO35" i="26" s="1"/>
  <c r="AN34" i="26"/>
  <c r="AT32" i="26"/>
  <c r="EL30" i="26"/>
  <c r="FS30" i="26" s="1"/>
  <c r="EJ30" i="26"/>
  <c r="EK30" i="26" s="1"/>
  <c r="DL30" i="26"/>
  <c r="DM30" i="26" s="1"/>
  <c r="DN30" i="26" s="1"/>
  <c r="FO30" i="26" s="1"/>
  <c r="EP30" i="26"/>
  <c r="EQ30" i="26" s="1"/>
  <c r="ER30" i="26" s="1"/>
  <c r="FT30" i="26" s="1"/>
  <c r="DR30" i="26"/>
  <c r="DS30" i="26" s="1"/>
  <c r="DT30" i="26" s="1"/>
  <c r="FP30" i="26" s="1"/>
  <c r="CT30" i="26"/>
  <c r="CU30" i="26" s="1"/>
  <c r="CV30" i="26" s="1"/>
  <c r="FL30" i="26" s="1"/>
  <c r="AW25" i="26"/>
  <c r="EV24" i="26"/>
  <c r="EW24" i="26" s="1"/>
  <c r="EX24" i="26" s="1"/>
  <c r="FU24" i="26" s="1"/>
  <c r="EF42" i="26"/>
  <c r="FR42" i="26" s="1"/>
  <c r="FJ40" i="26"/>
  <c r="FW40" i="26" s="1"/>
  <c r="DZ40" i="26"/>
  <c r="FQ40" i="26" s="1"/>
  <c r="DR40" i="26"/>
  <c r="DS40" i="26" s="1"/>
  <c r="DT40" i="26" s="1"/>
  <c r="FP40" i="26" s="1"/>
  <c r="CC40" i="26"/>
  <c r="CP39" i="26"/>
  <c r="FG39" i="26" s="1"/>
  <c r="FH39" i="26" s="1"/>
  <c r="FI39" i="26" s="1"/>
  <c r="BP39" i="26"/>
  <c r="CP37" i="26"/>
  <c r="FG37" i="26" s="1"/>
  <c r="FH37" i="26" s="1"/>
  <c r="FI37" i="26" s="1"/>
  <c r="EV35" i="26"/>
  <c r="EW35" i="26" s="1"/>
  <c r="DX35" i="26"/>
  <c r="DY35" i="26" s="1"/>
  <c r="DZ35" i="26" s="1"/>
  <c r="FQ35" i="26" s="1"/>
  <c r="CZ35" i="26"/>
  <c r="DA35" i="26" s="1"/>
  <c r="EF34" i="26"/>
  <c r="FR34" i="26" s="1"/>
  <c r="DK28" i="26"/>
  <c r="CP28" i="26"/>
  <c r="FG28" i="26" s="1"/>
  <c r="FH28" i="26" s="1"/>
  <c r="FI28" i="26" s="1"/>
  <c r="DR26" i="26"/>
  <c r="DS26" i="26" s="1"/>
  <c r="DT26" i="26" s="1"/>
  <c r="FP26" i="26" s="1"/>
  <c r="AQ20" i="26"/>
  <c r="DE16" i="26"/>
  <c r="CP16" i="26"/>
  <c r="FG16" i="26" s="1"/>
  <c r="FH16" i="26" s="1"/>
  <c r="FI16" i="26" s="1"/>
  <c r="CZ28" i="26"/>
  <c r="DA28" i="26" s="1"/>
  <c r="DB28" i="26" s="1"/>
  <c r="FM28" i="26" s="1"/>
  <c r="BP27" i="26"/>
  <c r="DC27" i="26"/>
  <c r="ED26" i="26"/>
  <c r="EE26" i="26" s="1"/>
  <c r="EF26" i="26" s="1"/>
  <c r="FR26" i="26" s="1"/>
  <c r="CP25" i="26"/>
  <c r="FG25" i="26" s="1"/>
  <c r="FH25" i="26" s="1"/>
  <c r="FI25" i="26" s="1"/>
  <c r="FJ25" i="26" s="1"/>
  <c r="FW25" i="26" s="1"/>
  <c r="DE25" i="26"/>
  <c r="DK24" i="26"/>
  <c r="DL24" i="26" s="1"/>
  <c r="DM24" i="26" s="1"/>
  <c r="CP24" i="26"/>
  <c r="FG24" i="26" s="1"/>
  <c r="FH24" i="26" s="1"/>
  <c r="FI24" i="26" s="1"/>
  <c r="FJ24" i="26" s="1"/>
  <c r="FW24" i="26" s="1"/>
  <c r="DR21" i="26"/>
  <c r="DS21" i="26" s="1"/>
  <c r="DT21" i="26" s="1"/>
  <c r="FP21" i="26" s="1"/>
  <c r="AU20" i="26"/>
  <c r="AT20" i="26"/>
  <c r="EJ19" i="26"/>
  <c r="EK19" i="26" s="1"/>
  <c r="EL19" i="26" s="1"/>
  <c r="FS19" i="26" s="1"/>
  <c r="AR16" i="26"/>
  <c r="EV15" i="26"/>
  <c r="EW15" i="26" s="1"/>
  <c r="EX15" i="26" s="1"/>
  <c r="FU15" i="26" s="1"/>
  <c r="EV11" i="26"/>
  <c r="EW11" i="26" s="1"/>
  <c r="EX11" i="26" s="1"/>
  <c r="FU11" i="26" s="1"/>
  <c r="DX11" i="26"/>
  <c r="DY11" i="26" s="1"/>
  <c r="DZ11" i="26" s="1"/>
  <c r="FQ11" i="26" s="1"/>
  <c r="BP11" i="26"/>
  <c r="CW11" i="26"/>
  <c r="EP28" i="26"/>
  <c r="EQ28" i="26" s="1"/>
  <c r="ER28" i="26" s="1"/>
  <c r="FT28" i="26" s="1"/>
  <c r="ER41" i="26"/>
  <c r="FT41" i="26" s="1"/>
  <c r="EF41" i="26"/>
  <c r="FR41" i="26" s="1"/>
  <c r="DT41" i="26"/>
  <c r="FP41" i="26" s="1"/>
  <c r="CV41" i="26"/>
  <c r="FL41" i="26" s="1"/>
  <c r="EX39" i="26"/>
  <c r="FU39" i="26" s="1"/>
  <c r="DZ39" i="26"/>
  <c r="FQ39" i="26" s="1"/>
  <c r="DB39" i="26"/>
  <c r="FM39" i="26" s="1"/>
  <c r="ER37" i="26"/>
  <c r="FT37" i="26" s="1"/>
  <c r="DT37" i="26"/>
  <c r="FP37" i="26" s="1"/>
  <c r="DH37" i="26"/>
  <c r="FN37" i="26" s="1"/>
  <c r="CV37" i="26"/>
  <c r="FL37" i="26" s="1"/>
  <c r="EX35" i="26"/>
  <c r="FU35" i="26" s="1"/>
  <c r="DB35" i="26"/>
  <c r="FM35" i="26" s="1"/>
  <c r="FH33" i="26"/>
  <c r="FI33" i="26" s="1"/>
  <c r="FJ33" i="26" s="1"/>
  <c r="FW33" i="26" s="1"/>
  <c r="EV33" i="26"/>
  <c r="EW33" i="26" s="1"/>
  <c r="EX33" i="26" s="1"/>
  <c r="FU33" i="26" s="1"/>
  <c r="ER33" i="26"/>
  <c r="FT33" i="26" s="1"/>
  <c r="EJ33" i="26"/>
  <c r="EK33" i="26" s="1"/>
  <c r="EL33" i="26" s="1"/>
  <c r="FS33" i="26" s="1"/>
  <c r="EF33" i="26"/>
  <c r="FR33" i="26" s="1"/>
  <c r="DX33" i="26"/>
  <c r="DY33" i="26" s="1"/>
  <c r="DZ33" i="26" s="1"/>
  <c r="FQ33" i="26" s="1"/>
  <c r="DT33" i="26"/>
  <c r="FP33" i="26" s="1"/>
  <c r="DL33" i="26"/>
  <c r="DM33" i="26" s="1"/>
  <c r="DN33" i="26" s="1"/>
  <c r="FO33" i="26" s="1"/>
  <c r="DH33" i="26"/>
  <c r="FN33" i="26" s="1"/>
  <c r="CZ33" i="26"/>
  <c r="DA33" i="26" s="1"/>
  <c r="DB33" i="26" s="1"/>
  <c r="FM33" i="26" s="1"/>
  <c r="FB31" i="26"/>
  <c r="FC31" i="26" s="1"/>
  <c r="FD31" i="26" s="1"/>
  <c r="FV31" i="26" s="1"/>
  <c r="EP31" i="26"/>
  <c r="EQ31" i="26" s="1"/>
  <c r="ER31" i="26" s="1"/>
  <c r="FT31" i="26" s="1"/>
  <c r="ED31" i="26"/>
  <c r="EE31" i="26" s="1"/>
  <c r="EF31" i="26" s="1"/>
  <c r="FR31" i="26" s="1"/>
  <c r="DZ31" i="26"/>
  <c r="FQ31" i="26" s="1"/>
  <c r="DR31" i="26"/>
  <c r="DS31" i="26" s="1"/>
  <c r="DT31" i="26" s="1"/>
  <c r="FP31" i="26" s="1"/>
  <c r="DB31" i="26"/>
  <c r="FM31" i="26" s="1"/>
  <c r="CT31" i="26"/>
  <c r="CU31" i="26" s="1"/>
  <c r="CV31" i="26" s="1"/>
  <c r="FL31" i="26" s="1"/>
  <c r="FH29" i="26"/>
  <c r="FI29" i="26" s="1"/>
  <c r="FJ29" i="26" s="1"/>
  <c r="FW29" i="26" s="1"/>
  <c r="EV29" i="26"/>
  <c r="EW29" i="26" s="1"/>
  <c r="EX29" i="26" s="1"/>
  <c r="FU29" i="26" s="1"/>
  <c r="ER29" i="26"/>
  <c r="FT29" i="26" s="1"/>
  <c r="EJ29" i="26"/>
  <c r="EK29" i="26" s="1"/>
  <c r="EL29" i="26" s="1"/>
  <c r="FS29" i="26" s="1"/>
  <c r="EF29" i="26"/>
  <c r="FR29" i="26" s="1"/>
  <c r="DH29" i="26"/>
  <c r="FN29" i="26" s="1"/>
  <c r="CC29" i="26"/>
  <c r="FD27" i="26"/>
  <c r="FV27" i="26" s="1"/>
  <c r="CP26" i="26"/>
  <c r="FG26" i="26" s="1"/>
  <c r="ER25" i="26"/>
  <c r="FT25" i="26" s="1"/>
  <c r="EL25" i="26"/>
  <c r="FS25" i="26" s="1"/>
  <c r="DN25" i="26"/>
  <c r="FO25" i="26" s="1"/>
  <c r="CV25" i="26"/>
  <c r="FL25" i="26" s="1"/>
  <c r="EP24" i="26"/>
  <c r="EQ24" i="26" s="1"/>
  <c r="ER24" i="26" s="1"/>
  <c r="FT24" i="26" s="1"/>
  <c r="DR24" i="26"/>
  <c r="DS24" i="26" s="1"/>
  <c r="CT24" i="26"/>
  <c r="CU24" i="26" s="1"/>
  <c r="CV24" i="26" s="1"/>
  <c r="FL24" i="26" s="1"/>
  <c r="ER23" i="26"/>
  <c r="FT23" i="26" s="1"/>
  <c r="EL28" i="26"/>
  <c r="FS28" i="26" s="1"/>
  <c r="EJ28" i="26"/>
  <c r="EK28" i="26" s="1"/>
  <c r="DZ24" i="26"/>
  <c r="FQ24" i="26" s="1"/>
  <c r="DX24" i="26"/>
  <c r="DY24" i="26" s="1"/>
  <c r="EV28" i="26"/>
  <c r="EW28" i="26" s="1"/>
  <c r="EX28" i="26" s="1"/>
  <c r="FU28" i="26" s="1"/>
  <c r="FB26" i="26"/>
  <c r="FC26" i="26" s="1"/>
  <c r="FD26" i="26" s="1"/>
  <c r="FV26" i="26" s="1"/>
  <c r="FH26" i="26"/>
  <c r="FI26" i="26" s="1"/>
  <c r="FJ26" i="26" s="1"/>
  <c r="FW26" i="26" s="1"/>
  <c r="EJ26" i="26"/>
  <c r="EK26" i="26" s="1"/>
  <c r="EL26" i="26" s="1"/>
  <c r="FS26" i="26" s="1"/>
  <c r="DI26" i="26"/>
  <c r="BP26" i="26"/>
  <c r="FB24" i="26"/>
  <c r="FC24" i="26" s="1"/>
  <c r="FD24" i="26" s="1"/>
  <c r="FV24" i="26" s="1"/>
  <c r="ED24" i="26"/>
  <c r="EE24" i="26" s="1"/>
  <c r="EF24" i="26" s="1"/>
  <c r="FR24" i="26" s="1"/>
  <c r="DF24" i="26"/>
  <c r="DG24" i="26" s="1"/>
  <c r="DH24" i="26"/>
  <c r="FN24" i="26" s="1"/>
  <c r="CX23" i="26"/>
  <c r="CZ23" i="26" s="1"/>
  <c r="DA23" i="26" s="1"/>
  <c r="CC23" i="26"/>
  <c r="DX23" i="26"/>
  <c r="DY23" i="26" s="1"/>
  <c r="DZ23" i="26"/>
  <c r="FQ23" i="26" s="1"/>
  <c r="EV21" i="26"/>
  <c r="EW21" i="26" s="1"/>
  <c r="EX21" i="26" s="1"/>
  <c r="FU21" i="26" s="1"/>
  <c r="DX21" i="26"/>
  <c r="DY21" i="26" s="1"/>
  <c r="DZ21" i="26" s="1"/>
  <c r="FQ21" i="26" s="1"/>
  <c r="CZ19" i="26"/>
  <c r="DA19" i="26" s="1"/>
  <c r="DB19" i="26" s="1"/>
  <c r="FM19" i="26" s="1"/>
  <c r="FB19" i="26"/>
  <c r="FC19" i="26" s="1"/>
  <c r="FD19" i="26" s="1"/>
  <c r="FV19" i="26" s="1"/>
  <c r="ED19" i="26"/>
  <c r="EE19" i="26" s="1"/>
  <c r="EF19" i="26" s="1"/>
  <c r="FR19" i="26" s="1"/>
  <c r="DF19" i="26"/>
  <c r="DG19" i="26" s="1"/>
  <c r="DH19" i="26" s="1"/>
  <c r="FN19" i="26" s="1"/>
  <c r="FD30" i="26"/>
  <c r="FV30" i="26" s="1"/>
  <c r="DT23" i="26"/>
  <c r="FP23" i="26" s="1"/>
  <c r="DE34" i="26"/>
  <c r="DF34" i="26" s="1"/>
  <c r="DG34" i="26" s="1"/>
  <c r="DC32" i="26"/>
  <c r="DD31" i="26"/>
  <c r="DF31" i="26" s="1"/>
  <c r="DG31" i="26" s="1"/>
  <c r="DH31" i="26" s="1"/>
  <c r="FN31" i="26" s="1"/>
  <c r="DE30" i="26"/>
  <c r="DF30" i="26" s="1"/>
  <c r="DG30" i="26" s="1"/>
  <c r="DH30" i="26" s="1"/>
  <c r="FN30" i="26" s="1"/>
  <c r="FD28" i="26"/>
  <c r="FV28" i="26" s="1"/>
  <c r="BP28" i="26"/>
  <c r="EL27" i="26"/>
  <c r="FS27" i="26" s="1"/>
  <c r="DN27" i="26"/>
  <c r="FO27" i="26" s="1"/>
  <c r="ED25" i="26"/>
  <c r="EE25" i="26" s="1"/>
  <c r="EF25" i="26" s="1"/>
  <c r="FR25" i="26" s="1"/>
  <c r="DF25" i="26"/>
  <c r="DG25" i="26" s="1"/>
  <c r="FD23" i="26"/>
  <c r="FV23" i="26" s="1"/>
  <c r="EV23" i="26"/>
  <c r="EW23" i="26" s="1"/>
  <c r="EX23" i="26" s="1"/>
  <c r="FU23" i="26" s="1"/>
  <c r="BP23" i="26"/>
  <c r="DR22" i="26"/>
  <c r="DS22" i="26" s="1"/>
  <c r="CT22" i="26"/>
  <c r="CU22" i="26" s="1"/>
  <c r="CV22" i="26" s="1"/>
  <c r="FL22" i="26" s="1"/>
  <c r="CP21" i="26"/>
  <c r="FG21" i="26" s="1"/>
  <c r="EX18" i="26"/>
  <c r="FU18" i="26" s="1"/>
  <c r="CC26" i="26"/>
  <c r="DD26" i="26"/>
  <c r="DF26" i="26" s="1"/>
  <c r="DG26" i="26" s="1"/>
  <c r="DJ25" i="26"/>
  <c r="DL25" i="26" s="1"/>
  <c r="DM25" i="26" s="1"/>
  <c r="CC25" i="26"/>
  <c r="AP23" i="26"/>
  <c r="DB21" i="26"/>
  <c r="FM21" i="26" s="1"/>
  <c r="CZ21" i="26"/>
  <c r="DA21" i="26" s="1"/>
  <c r="EP17" i="26"/>
  <c r="EQ17" i="26" s="1"/>
  <c r="ER17" i="26" s="1"/>
  <c r="FT17" i="26" s="1"/>
  <c r="ED13" i="26"/>
  <c r="EE13" i="26" s="1"/>
  <c r="EF13" i="26" s="1"/>
  <c r="FR13" i="26" s="1"/>
  <c r="DX28" i="26"/>
  <c r="DY28" i="26" s="1"/>
  <c r="DZ28" i="26" s="1"/>
  <c r="FQ28" i="26" s="1"/>
  <c r="ED28" i="26"/>
  <c r="EE28" i="26" s="1"/>
  <c r="EF28" i="26" s="1"/>
  <c r="FR28" i="26" s="1"/>
  <c r="DF28" i="26"/>
  <c r="DG28" i="26" s="1"/>
  <c r="DH28" i="26" s="1"/>
  <c r="FN28" i="26" s="1"/>
  <c r="ER26" i="26"/>
  <c r="FT26" i="26" s="1"/>
  <c r="EP26" i="26"/>
  <c r="EQ26" i="26" s="1"/>
  <c r="CT26" i="26"/>
  <c r="CU26" i="26" s="1"/>
  <c r="CV26" i="26" s="1"/>
  <c r="FL26" i="26" s="1"/>
  <c r="EJ24" i="26"/>
  <c r="EK24" i="26" s="1"/>
  <c r="EL24" i="26" s="1"/>
  <c r="FS24" i="26" s="1"/>
  <c r="EV19" i="26"/>
  <c r="EW19" i="26" s="1"/>
  <c r="EX19" i="26" s="1"/>
  <c r="FU19" i="26" s="1"/>
  <c r="AT18" i="26"/>
  <c r="EF18" i="26"/>
  <c r="FR18" i="26" s="1"/>
  <c r="ED18" i="26"/>
  <c r="EE18" i="26" s="1"/>
  <c r="DF18" i="26"/>
  <c r="DG18" i="26" s="1"/>
  <c r="DH18" i="26" s="1"/>
  <c r="FN18" i="26" s="1"/>
  <c r="EJ17" i="26"/>
  <c r="EK17" i="26" s="1"/>
  <c r="EL17" i="26" s="1"/>
  <c r="FS17" i="26" s="1"/>
  <c r="DL17" i="26"/>
  <c r="DM17" i="26" s="1"/>
  <c r="DN17" i="26" s="1"/>
  <c r="FO17" i="26" s="1"/>
  <c r="EV10" i="26"/>
  <c r="EW10" i="26" s="1"/>
  <c r="EX10" i="26" s="1"/>
  <c r="FU10" i="26" s="1"/>
  <c r="AT10" i="26"/>
  <c r="EY29" i="26"/>
  <c r="ER27" i="26"/>
  <c r="FT27" i="26" s="1"/>
  <c r="ED27" i="26"/>
  <c r="EE27" i="26" s="1"/>
  <c r="EF27" i="26" s="1"/>
  <c r="FR27" i="26" s="1"/>
  <c r="DT27" i="26"/>
  <c r="FP27" i="26" s="1"/>
  <c r="CV27" i="26"/>
  <c r="FL27" i="26" s="1"/>
  <c r="CC27" i="26"/>
  <c r="AR27" i="26"/>
  <c r="EX26" i="26"/>
  <c r="FU26" i="26" s="1"/>
  <c r="DB26" i="26"/>
  <c r="FM26" i="26" s="1"/>
  <c r="DT24" i="26"/>
  <c r="FP24" i="26" s="1"/>
  <c r="CW24" i="26"/>
  <c r="FH23" i="26"/>
  <c r="FI23" i="26" s="1"/>
  <c r="FJ23" i="26" s="1"/>
  <c r="FW23" i="26" s="1"/>
  <c r="EL23" i="26"/>
  <c r="FS23" i="26" s="1"/>
  <c r="ED23" i="26"/>
  <c r="EE23" i="26" s="1"/>
  <c r="EF23" i="26" s="1"/>
  <c r="FR23" i="26" s="1"/>
  <c r="DT22" i="26"/>
  <c r="FP22" i="26" s="1"/>
  <c r="FD18" i="26"/>
  <c r="FV18" i="26" s="1"/>
  <c r="FB21" i="26"/>
  <c r="FC21" i="26" s="1"/>
  <c r="FD21" i="26" s="1"/>
  <c r="FV21" i="26" s="1"/>
  <c r="CT21" i="26"/>
  <c r="CU21" i="26" s="1"/>
  <c r="CV21" i="26" s="1"/>
  <c r="FL21" i="26" s="1"/>
  <c r="FB17" i="26"/>
  <c r="FC17" i="26" s="1"/>
  <c r="FD17" i="26"/>
  <c r="FV17" i="26" s="1"/>
  <c r="AN16" i="26"/>
  <c r="DN15" i="26"/>
  <c r="FO15" i="26" s="1"/>
  <c r="DL15" i="26"/>
  <c r="DM15" i="26" s="1"/>
  <c r="DX14" i="26"/>
  <c r="DY14" i="26" s="1"/>
  <c r="DZ14" i="26" s="1"/>
  <c r="FQ14" i="26" s="1"/>
  <c r="DE12" i="26"/>
  <c r="DF12" i="26" s="1"/>
  <c r="DG12" i="26" s="1"/>
  <c r="DH12" i="26" s="1"/>
  <c r="FN12" i="26" s="1"/>
  <c r="CP12" i="26"/>
  <c r="FG12" i="26" s="1"/>
  <c r="FH12" i="26" s="1"/>
  <c r="FI12" i="26" s="1"/>
  <c r="CV23" i="26"/>
  <c r="FL23" i="26" s="1"/>
  <c r="ER22" i="26"/>
  <c r="FT22" i="26" s="1"/>
  <c r="CZ22" i="26"/>
  <c r="DA22" i="26" s="1"/>
  <c r="DB22" i="26" s="1"/>
  <c r="FM22" i="26" s="1"/>
  <c r="EJ22" i="26"/>
  <c r="EK22" i="26" s="1"/>
  <c r="EL22" i="26" s="1"/>
  <c r="FS22" i="26" s="1"/>
  <c r="DL22" i="26"/>
  <c r="DM22" i="26" s="1"/>
  <c r="DN22" i="26" s="1"/>
  <c r="FO22" i="26" s="1"/>
  <c r="CP20" i="26"/>
  <c r="FG20" i="26" s="1"/>
  <c r="FH20" i="26" s="1"/>
  <c r="FI20" i="26" s="1"/>
  <c r="BP19" i="26"/>
  <c r="EV18" i="26"/>
  <c r="EW18" i="26" s="1"/>
  <c r="CV18" i="26"/>
  <c r="FL18" i="26" s="1"/>
  <c r="CC18" i="26"/>
  <c r="BP18" i="26"/>
  <c r="CP13" i="26"/>
  <c r="FG13" i="26" s="1"/>
  <c r="EP21" i="26"/>
  <c r="EQ21" i="26" s="1"/>
  <c r="ER21" i="26" s="1"/>
  <c r="FT21" i="26" s="1"/>
  <c r="DF21" i="26"/>
  <c r="DG21" i="26" s="1"/>
  <c r="DH21" i="26" s="1"/>
  <c r="FN21" i="26" s="1"/>
  <c r="DJ20" i="26"/>
  <c r="DL20" i="26" s="1"/>
  <c r="DM20" i="26" s="1"/>
  <c r="CC20" i="26"/>
  <c r="AU18" i="26"/>
  <c r="AV16" i="26"/>
  <c r="DX15" i="26"/>
  <c r="DY15" i="26" s="1"/>
  <c r="DZ15" i="26" s="1"/>
  <c r="FQ15" i="26" s="1"/>
  <c r="BP15" i="26"/>
  <c r="CW15" i="26"/>
  <c r="EV14" i="26"/>
  <c r="EW14" i="26" s="1"/>
  <c r="EX14" i="26"/>
  <c r="FU14" i="26" s="1"/>
  <c r="AV12" i="26"/>
  <c r="DX10" i="26"/>
  <c r="DY10" i="26" s="1"/>
  <c r="DZ10" i="26" s="1"/>
  <c r="FQ10" i="26" s="1"/>
  <c r="DH23" i="26"/>
  <c r="FN23" i="26" s="1"/>
  <c r="CC22" i="26"/>
  <c r="FB20" i="26"/>
  <c r="FC20" i="26" s="1"/>
  <c r="FD20" i="26" s="1"/>
  <c r="FV20" i="26" s="1"/>
  <c r="EX20" i="26"/>
  <c r="FU20" i="26" s="1"/>
  <c r="ED20" i="26"/>
  <c r="EE20" i="26" s="1"/>
  <c r="EF20" i="26" s="1"/>
  <c r="FR20" i="26" s="1"/>
  <c r="DZ20" i="26"/>
  <c r="FQ20" i="26" s="1"/>
  <c r="DF20" i="26"/>
  <c r="DG20" i="26" s="1"/>
  <c r="DH20" i="26" s="1"/>
  <c r="FN20" i="26" s="1"/>
  <c r="DB20" i="26"/>
  <c r="FM20" i="26" s="1"/>
  <c r="CT20" i="26"/>
  <c r="CU20" i="26" s="1"/>
  <c r="CV20" i="26" s="1"/>
  <c r="FL20" i="26" s="1"/>
  <c r="FH18" i="26"/>
  <c r="FI18" i="26" s="1"/>
  <c r="FJ18" i="26" s="1"/>
  <c r="FW18" i="26" s="1"/>
  <c r="DL18" i="26"/>
  <c r="DM18" i="26" s="1"/>
  <c r="DN18" i="26" s="1"/>
  <c r="FO18" i="26" s="1"/>
  <c r="CP9" i="26"/>
  <c r="FG9" i="26" s="1"/>
  <c r="FH9" i="26" s="1"/>
  <c r="FI9" i="26" s="1"/>
  <c r="ED21" i="26"/>
  <c r="EE21" i="26" s="1"/>
  <c r="EF21" i="26" s="1"/>
  <c r="FR21" i="26" s="1"/>
  <c r="FH21" i="26"/>
  <c r="FI21" i="26" s="1"/>
  <c r="EJ21" i="26"/>
  <c r="EK21" i="26" s="1"/>
  <c r="EL21" i="26" s="1"/>
  <c r="FS21" i="26" s="1"/>
  <c r="DI21" i="26"/>
  <c r="BP21" i="26"/>
  <c r="DX19" i="26"/>
  <c r="DY19" i="26" s="1"/>
  <c r="DZ19" i="26" s="1"/>
  <c r="FQ19" i="26" s="1"/>
  <c r="DK19" i="26"/>
  <c r="CP19" i="26"/>
  <c r="FG19" i="26" s="1"/>
  <c r="FH19" i="26" s="1"/>
  <c r="FI19" i="26" s="1"/>
  <c r="ER19" i="26"/>
  <c r="FT19" i="26" s="1"/>
  <c r="EP19" i="26"/>
  <c r="EQ19" i="26" s="1"/>
  <c r="DR19" i="26"/>
  <c r="DS19" i="26" s="1"/>
  <c r="DT19" i="26" s="1"/>
  <c r="FP19" i="26" s="1"/>
  <c r="CT19" i="26"/>
  <c r="CU19" i="26" s="1"/>
  <c r="CV19" i="26" s="1"/>
  <c r="FL19" i="26" s="1"/>
  <c r="EV17" i="26"/>
  <c r="EW17" i="26" s="1"/>
  <c r="EX17" i="26" s="1"/>
  <c r="FU17" i="26" s="1"/>
  <c r="AT14" i="26"/>
  <c r="DL11" i="26"/>
  <c r="DM11" i="26" s="1"/>
  <c r="DN11" i="26" s="1"/>
  <c r="FO11" i="26" s="1"/>
  <c r="ED9" i="26"/>
  <c r="EE9" i="26" s="1"/>
  <c r="EF9" i="26" s="1"/>
  <c r="FR9" i="26" s="1"/>
  <c r="EV22" i="26"/>
  <c r="EW22" i="26" s="1"/>
  <c r="EX22" i="26" s="1"/>
  <c r="FU22" i="26" s="1"/>
  <c r="DX22" i="26"/>
  <c r="DY22" i="26" s="1"/>
  <c r="DZ22" i="26" s="1"/>
  <c r="FQ22" i="26" s="1"/>
  <c r="EF22" i="26"/>
  <c r="FR22" i="26" s="1"/>
  <c r="DH22" i="26"/>
  <c r="FN22" i="26" s="1"/>
  <c r="DT18" i="26"/>
  <c r="FP18" i="26" s="1"/>
  <c r="CX18" i="26"/>
  <c r="EV13" i="26"/>
  <c r="EW13" i="26" s="1"/>
  <c r="EX13" i="26" s="1"/>
  <c r="FU13" i="26" s="1"/>
  <c r="CY13" i="26"/>
  <c r="EP13" i="26"/>
  <c r="EQ13" i="26" s="1"/>
  <c r="ER13" i="26" s="1"/>
  <c r="FT13" i="26" s="1"/>
  <c r="DD13" i="26"/>
  <c r="CC13" i="26"/>
  <c r="EP9" i="26"/>
  <c r="EQ9" i="26" s="1"/>
  <c r="ER9" i="26" s="1"/>
  <c r="FT9" i="26" s="1"/>
  <c r="DD9" i="26"/>
  <c r="DF9" i="26" s="1"/>
  <c r="DG9" i="26" s="1"/>
  <c r="DH9" i="26" s="1"/>
  <c r="FN9" i="26" s="1"/>
  <c r="CC9" i="26"/>
  <c r="EP16" i="26"/>
  <c r="EQ16" i="26" s="1"/>
  <c r="ER16" i="26" s="1"/>
  <c r="FT16" i="26" s="1"/>
  <c r="DR16" i="26"/>
  <c r="DS16" i="26" s="1"/>
  <c r="DT16" i="26" s="1"/>
  <c r="FP16" i="26" s="1"/>
  <c r="DX13" i="26"/>
  <c r="DY13" i="26" s="1"/>
  <c r="DZ13" i="26" s="1"/>
  <c r="FQ13" i="26" s="1"/>
  <c r="EL12" i="26"/>
  <c r="FS12" i="26" s="1"/>
  <c r="DN12" i="26"/>
  <c r="FO12" i="26" s="1"/>
  <c r="EP12" i="26"/>
  <c r="EQ12" i="26" s="1"/>
  <c r="ER12" i="26" s="1"/>
  <c r="FT12" i="26" s="1"/>
  <c r="DR12" i="26"/>
  <c r="DS12" i="26" s="1"/>
  <c r="DT12" i="26" s="1"/>
  <c r="FP12" i="26" s="1"/>
  <c r="CP11" i="26"/>
  <c r="FG11" i="26" s="1"/>
  <c r="ER10" i="26"/>
  <c r="FT10" i="26" s="1"/>
  <c r="CV10" i="26"/>
  <c r="FL10" i="26" s="1"/>
  <c r="DX9" i="26"/>
  <c r="DY9" i="26" s="1"/>
  <c r="DZ9" i="26" s="1"/>
  <c r="FQ9" i="26" s="1"/>
  <c r="CT17" i="26"/>
  <c r="CU17" i="26" s="1"/>
  <c r="CV17" i="26" s="1"/>
  <c r="FL17" i="26" s="1"/>
  <c r="FH15" i="26"/>
  <c r="FI15" i="26" s="1"/>
  <c r="FJ15" i="26" s="1"/>
  <c r="FW15" i="26" s="1"/>
  <c r="DR13" i="26"/>
  <c r="DS13" i="26" s="1"/>
  <c r="DT13" i="26" s="1"/>
  <c r="FP13" i="26" s="1"/>
  <c r="FH13" i="26"/>
  <c r="FI13" i="26" s="1"/>
  <c r="FJ13" i="26" s="1"/>
  <c r="FW13" i="26" s="1"/>
  <c r="EJ13" i="26"/>
  <c r="EK13" i="26" s="1"/>
  <c r="EL13" i="26" s="1"/>
  <c r="FS13" i="26" s="1"/>
  <c r="DL13" i="26"/>
  <c r="DM13" i="26" s="1"/>
  <c r="DN13" i="26" s="1"/>
  <c r="FO13" i="26" s="1"/>
  <c r="DR9" i="26"/>
  <c r="DS9" i="26" s="1"/>
  <c r="DT9" i="26" s="1"/>
  <c r="FP9" i="26" s="1"/>
  <c r="EJ9" i="26"/>
  <c r="EK9" i="26" s="1"/>
  <c r="EL9" i="26"/>
  <c r="FS9" i="26" s="1"/>
  <c r="DL9" i="26"/>
  <c r="DM9" i="26" s="1"/>
  <c r="DN9" i="26" s="1"/>
  <c r="FO9" i="26" s="1"/>
  <c r="DX17" i="26"/>
  <c r="DY17" i="26" s="1"/>
  <c r="DZ17" i="26" s="1"/>
  <c r="FQ17" i="26" s="1"/>
  <c r="DT17" i="26"/>
  <c r="FP17" i="26" s="1"/>
  <c r="BP17" i="26"/>
  <c r="EP15" i="26"/>
  <c r="EQ15" i="26" s="1"/>
  <c r="DF15" i="26"/>
  <c r="DG15" i="26" s="1"/>
  <c r="DH15" i="26" s="1"/>
  <c r="FN15" i="26" s="1"/>
  <c r="FH14" i="26"/>
  <c r="FI14" i="26" s="1"/>
  <c r="FJ14" i="26" s="1"/>
  <c r="FW14" i="26" s="1"/>
  <c r="EP14" i="26"/>
  <c r="EQ14" i="26" s="1"/>
  <c r="ER14" i="26" s="1"/>
  <c r="FT14" i="26" s="1"/>
  <c r="DR14" i="26"/>
  <c r="DS14" i="26" s="1"/>
  <c r="DT14" i="26" s="1"/>
  <c r="FP14" i="26" s="1"/>
  <c r="CC14" i="26"/>
  <c r="CZ13" i="26"/>
  <c r="DA13" i="26" s="1"/>
  <c r="DB13" i="26" s="1"/>
  <c r="FM13" i="26" s="1"/>
  <c r="EP11" i="26"/>
  <c r="EQ11" i="26" s="1"/>
  <c r="ER11" i="26" s="1"/>
  <c r="FT11" i="26" s="1"/>
  <c r="DF11" i="26"/>
  <c r="DG11" i="26" s="1"/>
  <c r="DH11" i="26" s="1"/>
  <c r="FN11" i="26" s="1"/>
  <c r="CC10" i="26"/>
  <c r="CZ9" i="26"/>
  <c r="DA9" i="26" s="1"/>
  <c r="EJ15" i="26"/>
  <c r="EK15" i="26" s="1"/>
  <c r="EL15" i="26" s="1"/>
  <c r="FS15" i="26" s="1"/>
  <c r="DC14" i="26"/>
  <c r="BP14" i="26"/>
  <c r="FB13" i="26"/>
  <c r="FC13" i="26" s="1"/>
  <c r="FD13" i="26" s="1"/>
  <c r="FV13" i="26" s="1"/>
  <c r="CT13" i="26"/>
  <c r="CU13" i="26" s="1"/>
  <c r="CV13" i="26" s="1"/>
  <c r="FL13" i="26" s="1"/>
  <c r="AR12" i="26"/>
  <c r="AM12" i="26"/>
  <c r="EJ11" i="26"/>
  <c r="EK11" i="26" s="1"/>
  <c r="EL11" i="26" s="1"/>
  <c r="FS11" i="26" s="1"/>
  <c r="DC10" i="26"/>
  <c r="BP10" i="26"/>
  <c r="FB9" i="26"/>
  <c r="FC9" i="26" s="1"/>
  <c r="FD9" i="26" s="1"/>
  <c r="FV9" i="26" s="1"/>
  <c r="CT9" i="26"/>
  <c r="CU9" i="26" s="1"/>
  <c r="CV9" i="26" s="1"/>
  <c r="FL9" i="26" s="1"/>
  <c r="EF17" i="26"/>
  <c r="FR17" i="26" s="1"/>
  <c r="DF17" i="26"/>
  <c r="DG17" i="26" s="1"/>
  <c r="DH17" i="26" s="1"/>
  <c r="FN17" i="26" s="1"/>
  <c r="CP17" i="26"/>
  <c r="FG17" i="26" s="1"/>
  <c r="FH17" i="26" s="1"/>
  <c r="FI17" i="26" s="1"/>
  <c r="EJ16" i="26"/>
  <c r="EK16" i="26" s="1"/>
  <c r="EL16" i="26" s="1"/>
  <c r="FS16" i="26" s="1"/>
  <c r="CC16" i="26"/>
  <c r="FB16" i="26"/>
  <c r="FC16" i="26" s="1"/>
  <c r="FD16" i="26" s="1"/>
  <c r="FV16" i="26" s="1"/>
  <c r="ED16" i="26"/>
  <c r="EE16" i="26" s="1"/>
  <c r="EF16" i="26" s="1"/>
  <c r="FR16" i="26" s="1"/>
  <c r="DF16" i="26"/>
  <c r="DG16" i="26" s="1"/>
  <c r="DH16" i="26" s="1"/>
  <c r="FN16" i="26" s="1"/>
  <c r="DR15" i="26"/>
  <c r="DS15" i="26" s="1"/>
  <c r="DL14" i="26"/>
  <c r="DM14" i="26" s="1"/>
  <c r="DN14" i="26" s="1"/>
  <c r="FO14" i="26" s="1"/>
  <c r="CT14" i="26"/>
  <c r="CU14" i="26" s="1"/>
  <c r="CV14" i="26" s="1"/>
  <c r="FL14" i="26" s="1"/>
  <c r="FD14" i="26"/>
  <c r="FV14" i="26" s="1"/>
  <c r="EF14" i="26"/>
  <c r="FR14" i="26" s="1"/>
  <c r="CC12" i="26"/>
  <c r="FB12" i="26"/>
  <c r="FC12" i="26" s="1"/>
  <c r="FD12" i="26" s="1"/>
  <c r="FV12" i="26" s="1"/>
  <c r="ED12" i="26"/>
  <c r="EE12" i="26" s="1"/>
  <c r="EF12" i="26" s="1"/>
  <c r="FR12" i="26" s="1"/>
  <c r="DR11" i="26"/>
  <c r="DS11" i="26" s="1"/>
  <c r="FJ10" i="26"/>
  <c r="FW10" i="26" s="1"/>
  <c r="DL10" i="26"/>
  <c r="DM10" i="26" s="1"/>
  <c r="DN10" i="26" s="1"/>
  <c r="FO10" i="26" s="1"/>
  <c r="FD10" i="26"/>
  <c r="FV10" i="26" s="1"/>
  <c r="EF10" i="26"/>
  <c r="FR10" i="26" s="1"/>
  <c r="FD15" i="26"/>
  <c r="FV15" i="26" s="1"/>
  <c r="ER15" i="26"/>
  <c r="FT15" i="26" s="1"/>
  <c r="EF15" i="26"/>
  <c r="FR15" i="26" s="1"/>
  <c r="DT15" i="26"/>
  <c r="FP15" i="26" s="1"/>
  <c r="FD11" i="26"/>
  <c r="FV11" i="26" s="1"/>
  <c r="EF11" i="26"/>
  <c r="FR11" i="26" s="1"/>
  <c r="DT11" i="26"/>
  <c r="FP11" i="26" s="1"/>
  <c r="CV11" i="26"/>
  <c r="FL11" i="26" s="1"/>
  <c r="DB9" i="26"/>
  <c r="FM9" i="26" s="1"/>
  <c r="FF35" i="25"/>
  <c r="FF40" i="25"/>
  <c r="FF39" i="25"/>
  <c r="FF17" i="25"/>
  <c r="FF38" i="25"/>
  <c r="FF36" i="25"/>
  <c r="FF29" i="25"/>
  <c r="FF27" i="25"/>
  <c r="FF22" i="25"/>
  <c r="FF13" i="25"/>
  <c r="FF33" i="25"/>
  <c r="FF32" i="25"/>
  <c r="FF31" i="25"/>
  <c r="FF26" i="25"/>
  <c r="FF15" i="25"/>
  <c r="FF11" i="25"/>
  <c r="FF30" i="25"/>
  <c r="FF24" i="25"/>
  <c r="FF21" i="25"/>
  <c r="FF19" i="25"/>
  <c r="FF16" i="25"/>
  <c r="FF14" i="25"/>
  <c r="FF12" i="25"/>
  <c r="FF10" i="25"/>
  <c r="FF34" i="25"/>
  <c r="FF28" i="25"/>
  <c r="FF23" i="25"/>
  <c r="FF18" i="25"/>
  <c r="ID41" i="25"/>
  <c r="IP41" i="25" s="1"/>
  <c r="ID39" i="25"/>
  <c r="IP39" i="25" s="1"/>
  <c r="EP39" i="25" s="1"/>
  <c r="ID37" i="25"/>
  <c r="IP37" i="25" s="1"/>
  <c r="EP37" i="25" s="1"/>
  <c r="ID35" i="25"/>
  <c r="IP35" i="25" s="1"/>
  <c r="EP35" i="25" s="1"/>
  <c r="ID33" i="25"/>
  <c r="IP33" i="25" s="1"/>
  <c r="EP33" i="25" s="1"/>
  <c r="ID29" i="25"/>
  <c r="IP29" i="25" s="1"/>
  <c r="EP29" i="25" s="1"/>
  <c r="ID25" i="25"/>
  <c r="IP25" i="25" s="1"/>
  <c r="EP25" i="25" s="1"/>
  <c r="ID21" i="25"/>
  <c r="IP21" i="25" s="1"/>
  <c r="EP21" i="25" s="1"/>
  <c r="ID17" i="25"/>
  <c r="IP17" i="25" s="1"/>
  <c r="EP17" i="25" s="1"/>
  <c r="ID13" i="25"/>
  <c r="IP13" i="25" s="1"/>
  <c r="EP13" i="25" s="1"/>
  <c r="ID9" i="25"/>
  <c r="IP9" i="25" s="1"/>
  <c r="EP9" i="25" s="1"/>
  <c r="EO7" i="25"/>
  <c r="HV8" i="25"/>
  <c r="HW8" i="25" s="1"/>
  <c r="HX8" i="25" s="1"/>
  <c r="IO8" i="25" s="1"/>
  <c r="EO8" i="25" s="1"/>
  <c r="IB8" i="25"/>
  <c r="IC8" i="25" s="1"/>
  <c r="ID8" i="25" s="1"/>
  <c r="IP8" i="25" s="1"/>
  <c r="EP8" i="25" s="1"/>
  <c r="EP7" i="25"/>
  <c r="EP41" i="25" l="1"/>
  <c r="FJ35" i="26"/>
  <c r="FW35" i="26" s="1"/>
  <c r="DF13" i="26"/>
  <c r="DG13" i="26" s="1"/>
  <c r="DH13" i="26" s="1"/>
  <c r="FN13" i="26" s="1"/>
  <c r="DL19" i="26"/>
  <c r="DM19" i="26" s="1"/>
  <c r="DN19" i="26" s="1"/>
  <c r="FO19" i="26" s="1"/>
  <c r="FJ21" i="26"/>
  <c r="FW21" i="26" s="1"/>
  <c r="EO41" i="25"/>
  <c r="FE39" i="27"/>
  <c r="HO39" i="27" s="1"/>
  <c r="IB39" i="27" s="1"/>
  <c r="FE15" i="27"/>
  <c r="HO15" i="27" s="1"/>
  <c r="HZ15" i="27" s="1"/>
  <c r="DK15" i="27" s="1"/>
  <c r="FE28" i="27"/>
  <c r="HO28" i="27" s="1"/>
  <c r="FC37" i="27"/>
  <c r="FD37" i="27" s="1"/>
  <c r="FE37" i="27" s="1"/>
  <c r="HO37" i="27" s="1"/>
  <c r="IA37" i="27" s="1"/>
  <c r="FI35" i="27"/>
  <c r="FJ35" i="27" s="1"/>
  <c r="FK35" i="27" s="1"/>
  <c r="HP35" i="27" s="1"/>
  <c r="FC26" i="27"/>
  <c r="FD26" i="27" s="1"/>
  <c r="FC12" i="27"/>
  <c r="FD12" i="27" s="1"/>
  <c r="FE12" i="27" s="1"/>
  <c r="HO12" i="27" s="1"/>
  <c r="FC14" i="27"/>
  <c r="FD14" i="27" s="1"/>
  <c r="FE14" i="27" s="1"/>
  <c r="HO14" i="27" s="1"/>
  <c r="IB14" i="27" s="1"/>
  <c r="FC25" i="27"/>
  <c r="FD25" i="27" s="1"/>
  <c r="FE25" i="27" s="1"/>
  <c r="HO25" i="27" s="1"/>
  <c r="FW32" i="27"/>
  <c r="HR32" i="27" s="1"/>
  <c r="HZ32" i="27" s="1"/>
  <c r="DK32" i="27" s="1"/>
  <c r="DL32" i="27" s="1"/>
  <c r="FC27" i="27"/>
  <c r="FD27" i="27" s="1"/>
  <c r="FE27" i="27" s="1"/>
  <c r="HO27" i="27" s="1"/>
  <c r="HZ42" i="27"/>
  <c r="DK42" i="27" s="1"/>
  <c r="DL42" i="27" s="1"/>
  <c r="IB42" i="27"/>
  <c r="IA42" i="27"/>
  <c r="IH42" i="27" s="1"/>
  <c r="IA22" i="27"/>
  <c r="IG22" i="27" s="1"/>
  <c r="HZ22" i="27"/>
  <c r="DK22" i="27" s="1"/>
  <c r="IB22" i="27"/>
  <c r="IT22" i="27" s="1"/>
  <c r="GA27" i="27"/>
  <c r="GB27" i="27" s="1"/>
  <c r="GC27" i="27" s="1"/>
  <c r="HS27" i="27" s="1"/>
  <c r="HZ23" i="27"/>
  <c r="DK23" i="27" s="1"/>
  <c r="DL23" i="27" s="1"/>
  <c r="IB23" i="27"/>
  <c r="IT23" i="27" s="1"/>
  <c r="IA23" i="27"/>
  <c r="IB17" i="27"/>
  <c r="IA17" i="27"/>
  <c r="IF17" i="27" s="1"/>
  <c r="HZ17" i="27"/>
  <c r="DK17" i="27" s="1"/>
  <c r="FC30" i="27"/>
  <c r="FD30" i="27" s="1"/>
  <c r="FE30" i="27" s="1"/>
  <c r="HO30" i="27" s="1"/>
  <c r="FC34" i="27"/>
  <c r="FD34" i="27" s="1"/>
  <c r="FE34" i="27" s="1"/>
  <c r="HO34" i="27" s="1"/>
  <c r="FI13" i="27"/>
  <c r="FJ13" i="27" s="1"/>
  <c r="FK13" i="27" s="1"/>
  <c r="HP13" i="27" s="1"/>
  <c r="IB20" i="27"/>
  <c r="IT20" i="27" s="1"/>
  <c r="HZ20" i="27"/>
  <c r="DK20" i="27" s="1"/>
  <c r="IA20" i="27"/>
  <c r="IK20" i="27" s="1"/>
  <c r="IA19" i="27"/>
  <c r="IH19" i="27" s="1"/>
  <c r="HZ19" i="27"/>
  <c r="DK19" i="27" s="1"/>
  <c r="IB19" i="27"/>
  <c r="IV19" i="27" s="1"/>
  <c r="II20" i="27"/>
  <c r="IK23" i="27"/>
  <c r="FO36" i="27"/>
  <c r="FP36" i="27" s="1"/>
  <c r="FQ36" i="27" s="1"/>
  <c r="HQ36" i="27" s="1"/>
  <c r="FC10" i="27"/>
  <c r="FD10" i="27" s="1"/>
  <c r="FE10" i="27" s="1"/>
  <c r="HO10" i="27" s="1"/>
  <c r="FC18" i="27"/>
  <c r="FD18" i="27" s="1"/>
  <c r="FE18" i="27" s="1"/>
  <c r="HO18" i="27" s="1"/>
  <c r="FE26" i="27"/>
  <c r="HO26" i="27" s="1"/>
  <c r="FO16" i="27"/>
  <c r="FP16" i="27" s="1"/>
  <c r="FQ16" i="27" s="1"/>
  <c r="HQ16" i="27" s="1"/>
  <c r="IA16" i="27" s="1"/>
  <c r="IE16" i="27" s="1"/>
  <c r="II23" i="27"/>
  <c r="IA31" i="27"/>
  <c r="IE31" i="27" s="1"/>
  <c r="HZ31" i="27"/>
  <c r="DK31" i="27" s="1"/>
  <c r="DL31" i="27" s="1"/>
  <c r="IB31" i="27"/>
  <c r="IU31" i="27" s="1"/>
  <c r="HZ28" i="27"/>
  <c r="DK28" i="27" s="1"/>
  <c r="DL28" i="27" s="1"/>
  <c r="IA28" i="27"/>
  <c r="IJ28" i="27" s="1"/>
  <c r="IB28" i="27"/>
  <c r="IY28" i="27" s="1"/>
  <c r="IB29" i="27"/>
  <c r="IZ29" i="27" s="1"/>
  <c r="IA29" i="27"/>
  <c r="IH29" i="27" s="1"/>
  <c r="HZ29" i="27"/>
  <c r="DK29" i="27" s="1"/>
  <c r="DL29" i="27" s="1"/>
  <c r="HZ40" i="27"/>
  <c r="DK40" i="27" s="1"/>
  <c r="DL40" i="27" s="1"/>
  <c r="IB40" i="27"/>
  <c r="IY40" i="27" s="1"/>
  <c r="IA40" i="27"/>
  <c r="IK40" i="27" s="1"/>
  <c r="IA11" i="27"/>
  <c r="II11" i="27" s="1"/>
  <c r="HZ11" i="27"/>
  <c r="DK11" i="27" s="1"/>
  <c r="IB11" i="27"/>
  <c r="IW11" i="27" s="1"/>
  <c r="IG23" i="27"/>
  <c r="IB24" i="27"/>
  <c r="IZ24" i="27" s="1"/>
  <c r="HZ24" i="27"/>
  <c r="DK24" i="27" s="1"/>
  <c r="DL24" i="27" s="1"/>
  <c r="IA24" i="27"/>
  <c r="IH24" i="27" s="1"/>
  <c r="IY20" i="27"/>
  <c r="IH31" i="27"/>
  <c r="FC38" i="27"/>
  <c r="FD38" i="27" s="1"/>
  <c r="FE38" i="27" s="1"/>
  <c r="HO38" i="27" s="1"/>
  <c r="IB33" i="27"/>
  <c r="IW33" i="27" s="1"/>
  <c r="HZ33" i="27"/>
  <c r="DK33" i="27" s="1"/>
  <c r="DL33" i="27" s="1"/>
  <c r="IA33" i="27"/>
  <c r="IH33" i="27" s="1"/>
  <c r="FI9" i="27"/>
  <c r="FJ9" i="27" s="1"/>
  <c r="FK9" i="27" s="1"/>
  <c r="HP9" i="27" s="1"/>
  <c r="FC21" i="27"/>
  <c r="FD21" i="27" s="1"/>
  <c r="FE21" i="27" s="1"/>
  <c r="HO21" i="27" s="1"/>
  <c r="FC41" i="27"/>
  <c r="FD41" i="27" s="1"/>
  <c r="FE41" i="27" s="1"/>
  <c r="HO41" i="27" s="1"/>
  <c r="AW13" i="26"/>
  <c r="AR15" i="26"/>
  <c r="AV10" i="26"/>
  <c r="AO19" i="26"/>
  <c r="AW31" i="26"/>
  <c r="AV15" i="26"/>
  <c r="AM30" i="26"/>
  <c r="FZ30" i="26"/>
  <c r="GS30" i="26" s="1"/>
  <c r="FY30" i="26"/>
  <c r="FX30" i="26"/>
  <c r="AY30" i="26" s="1"/>
  <c r="AZ30" i="26" s="1"/>
  <c r="AN37" i="26"/>
  <c r="AU9" i="26"/>
  <c r="AN22" i="26"/>
  <c r="AV19" i="26"/>
  <c r="AX29" i="26"/>
  <c r="AP33" i="26"/>
  <c r="AX33" i="26"/>
  <c r="GV30" i="26"/>
  <c r="GF30" i="26"/>
  <c r="AP30" i="26"/>
  <c r="AP39" i="26"/>
  <c r="AW16" i="26"/>
  <c r="AT15" i="26"/>
  <c r="AO11" i="26"/>
  <c r="AO15" i="26"/>
  <c r="AT13" i="26"/>
  <c r="AR9" i="26"/>
  <c r="AU16" i="26"/>
  <c r="AO9" i="26"/>
  <c r="AV17" i="26"/>
  <c r="AS21" i="26"/>
  <c r="AX21" i="26"/>
  <c r="AS25" i="26"/>
  <c r="AW19" i="26"/>
  <c r="AT26" i="26"/>
  <c r="AV28" i="26"/>
  <c r="AQ31" i="26"/>
  <c r="AU30" i="26"/>
  <c r="GK30" i="26"/>
  <c r="AX30" i="26"/>
  <c r="GN30" i="26"/>
  <c r="AT35" i="26"/>
  <c r="AR41" i="26"/>
  <c r="AQ39" i="26"/>
  <c r="AQ29" i="26"/>
  <c r="AW32" i="26"/>
  <c r="AV37" i="26"/>
  <c r="AQ9" i="26"/>
  <c r="AR22" i="26"/>
  <c r="AM39" i="26"/>
  <c r="AX14" i="26"/>
  <c r="AS9" i="26"/>
  <c r="AQ19" i="26"/>
  <c r="AX18" i="26"/>
  <c r="AU21" i="26"/>
  <c r="AR14" i="26"/>
  <c r="AS27" i="26"/>
  <c r="AT17" i="26"/>
  <c r="AR28" i="26"/>
  <c r="AO31" i="26"/>
  <c r="AS24" i="26"/>
  <c r="AW26" i="26"/>
  <c r="AM24" i="26"/>
  <c r="AN33" i="26"/>
  <c r="AR33" i="26"/>
  <c r="AV33" i="26"/>
  <c r="AT19" i="26"/>
  <c r="AX24" i="26"/>
  <c r="AP35" i="26"/>
  <c r="GE30" i="26"/>
  <c r="AO30" i="26"/>
  <c r="AQ32" i="26"/>
  <c r="AM34" i="26"/>
  <c r="AW37" i="26"/>
  <c r="AX35" i="26"/>
  <c r="AN29" i="26"/>
  <c r="AM29" i="26"/>
  <c r="AX15" i="26"/>
  <c r="AM21" i="26"/>
  <c r="AM26" i="26"/>
  <c r="AN19" i="26"/>
  <c r="AT33" i="26"/>
  <c r="AP10" i="26"/>
  <c r="AW12" i="26"/>
  <c r="AM14" i="26"/>
  <c r="AO16" i="26"/>
  <c r="AT16" i="26"/>
  <c r="AM9" i="26"/>
  <c r="AU14" i="26"/>
  <c r="AP9" i="26"/>
  <c r="AU12" i="26"/>
  <c r="AV13" i="26"/>
  <c r="AV22" i="26"/>
  <c r="AO20" i="26"/>
  <c r="AW20" i="26"/>
  <c r="AO21" i="26"/>
  <c r="AO12" i="26"/>
  <c r="AX23" i="26"/>
  <c r="AP17" i="26"/>
  <c r="AS28" i="26"/>
  <c r="AR21" i="26"/>
  <c r="AT29" i="26"/>
  <c r="AM31" i="26"/>
  <c r="FZ31" i="26"/>
  <c r="GW31" i="26" s="1"/>
  <c r="FY31" i="26"/>
  <c r="GC31" i="26" s="1"/>
  <c r="FX31" i="26"/>
  <c r="AY31" i="26" s="1"/>
  <c r="AZ31" i="26" s="1"/>
  <c r="GS31" i="26"/>
  <c r="AS31" i="26"/>
  <c r="AR11" i="26"/>
  <c r="AQ21" i="26"/>
  <c r="GJ31" i="26"/>
  <c r="AT31" i="26"/>
  <c r="GZ31" i="26"/>
  <c r="AX38" i="26"/>
  <c r="AT41" i="26"/>
  <c r="AQ42" i="26"/>
  <c r="AS39" i="26"/>
  <c r="AS11" i="26"/>
  <c r="AQ15" i="26"/>
  <c r="AX10" i="26"/>
  <c r="AQ17" i="26"/>
  <c r="AX13" i="26"/>
  <c r="AQ14" i="26"/>
  <c r="AN17" i="26"/>
  <c r="AO22" i="26"/>
  <c r="AR19" i="26"/>
  <c r="AR10" i="26"/>
  <c r="AP15" i="26"/>
  <c r="AW21" i="26"/>
  <c r="AQ27" i="26"/>
  <c r="AO18" i="26"/>
  <c r="AO28" i="26"/>
  <c r="AV23" i="26"/>
  <c r="DF32" i="26"/>
  <c r="DG32" i="26" s="1"/>
  <c r="DH32" i="26" s="1"/>
  <c r="FN32" i="26" s="1"/>
  <c r="AR23" i="26"/>
  <c r="AW24" i="26"/>
  <c r="AX26" i="26"/>
  <c r="AX25" i="26"/>
  <c r="AU37" i="26"/>
  <c r="AU41" i="26"/>
  <c r="AS34" i="26"/>
  <c r="AU38" i="26"/>
  <c r="AX40" i="26"/>
  <c r="GG30" i="26"/>
  <c r="AQ30" i="26"/>
  <c r="GW30" i="26"/>
  <c r="AU35" i="26"/>
  <c r="AP34" i="26"/>
  <c r="AU40" i="26"/>
  <c r="AP31" i="26"/>
  <c r="GV31" i="26"/>
  <c r="AO35" i="26"/>
  <c r="DL38" i="26"/>
  <c r="DM38" i="26" s="1"/>
  <c r="DN38" i="26" s="1"/>
  <c r="FO38" i="26" s="1"/>
  <c r="AP32" i="26"/>
  <c r="AU36" i="26"/>
  <c r="AT42" i="26"/>
  <c r="AM35" i="26"/>
  <c r="FZ35" i="26"/>
  <c r="GZ35" i="26" s="1"/>
  <c r="FY35" i="26"/>
  <c r="GK35" i="26" s="1"/>
  <c r="FX35" i="26"/>
  <c r="AY35" i="26" s="1"/>
  <c r="AZ35" i="26" s="1"/>
  <c r="AW39" i="26"/>
  <c r="AQ34" i="26"/>
  <c r="AN13" i="26"/>
  <c r="AW14" i="26"/>
  <c r="AW9" i="26"/>
  <c r="AM13" i="26"/>
  <c r="AM17" i="26"/>
  <c r="AP12" i="26"/>
  <c r="AO17" i="26"/>
  <c r="AU19" i="26"/>
  <c r="AT21" i="26"/>
  <c r="AN20" i="26"/>
  <c r="AO23" i="26"/>
  <c r="CZ15" i="26"/>
  <c r="DA15" i="26" s="1"/>
  <c r="DB15" i="26" s="1"/>
  <c r="FM15" i="26" s="1"/>
  <c r="AQ22" i="26"/>
  <c r="AN26" i="26"/>
  <c r="AX32" i="26"/>
  <c r="AU26" i="26"/>
  <c r="AS13" i="26"/>
  <c r="GM30" i="26"/>
  <c r="HC30" i="26"/>
  <c r="AW30" i="26"/>
  <c r="AV21" i="26"/>
  <c r="AM25" i="26"/>
  <c r="AW27" i="26"/>
  <c r="HB31" i="26"/>
  <c r="AV31" i="26"/>
  <c r="AS33" i="26"/>
  <c r="AV35" i="26"/>
  <c r="AV39" i="26"/>
  <c r="AP22" i="26"/>
  <c r="DF27" i="26"/>
  <c r="DG27" i="26" s="1"/>
  <c r="DH27" i="26" s="1"/>
  <c r="FN27" i="26" s="1"/>
  <c r="AP29" i="26"/>
  <c r="AR40" i="26"/>
  <c r="GZ30" i="26"/>
  <c r="AT30" i="26"/>
  <c r="GJ30" i="26"/>
  <c r="AS36" i="26"/>
  <c r="AT38" i="26"/>
  <c r="AM32" i="26"/>
  <c r="AV41" i="26"/>
  <c r="AU39" i="26"/>
  <c r="AX41" i="26"/>
  <c r="AP40" i="26"/>
  <c r="AU42" i="26"/>
  <c r="AM42" i="26"/>
  <c r="AR37" i="26"/>
  <c r="AN9" i="26"/>
  <c r="AW11" i="26"/>
  <c r="AM15" i="26"/>
  <c r="AU15" i="26"/>
  <c r="AN10" i="26"/>
  <c r="AS14" i="26"/>
  <c r="AP14" i="26"/>
  <c r="AQ12" i="26"/>
  <c r="AQ16" i="26"/>
  <c r="AQ10" i="26"/>
  <c r="AQ18" i="26"/>
  <c r="AW22" i="26"/>
  <c r="AM20" i="26"/>
  <c r="AM22" i="26"/>
  <c r="FZ22" i="26"/>
  <c r="FY22" i="26"/>
  <c r="GG22" i="26" s="1"/>
  <c r="FX22" i="26"/>
  <c r="AY22" i="26" s="1"/>
  <c r="AS23" i="26"/>
  <c r="AW18" i="26"/>
  <c r="AQ24" i="26"/>
  <c r="AU27" i="26"/>
  <c r="AS18" i="26"/>
  <c r="AU24" i="26"/>
  <c r="AT27" i="26"/>
  <c r="AQ23" i="26"/>
  <c r="AR24" i="26"/>
  <c r="AT25" i="26"/>
  <c r="AO29" i="26"/>
  <c r="GH35" i="26"/>
  <c r="GX35" i="26"/>
  <c r="AR35" i="26"/>
  <c r="AQ37" i="26"/>
  <c r="AR39" i="26"/>
  <c r="AQ41" i="26"/>
  <c r="CZ11" i="26"/>
  <c r="DA11" i="26" s="1"/>
  <c r="DB11" i="26" s="1"/>
  <c r="FM11" i="26" s="1"/>
  <c r="AS26" i="26"/>
  <c r="AN28" i="26"/>
  <c r="AQ35" i="26"/>
  <c r="GG35" i="26"/>
  <c r="GW35" i="26"/>
  <c r="AP37" i="26"/>
  <c r="GI30" i="26"/>
  <c r="GY30" i="26"/>
  <c r="AS30" i="26"/>
  <c r="AX34" i="26"/>
  <c r="AM40" i="26"/>
  <c r="GI35" i="26"/>
  <c r="AS35" i="26"/>
  <c r="AM36" i="26"/>
  <c r="AW40" i="26"/>
  <c r="FJ20" i="26"/>
  <c r="FW20" i="26" s="1"/>
  <c r="DH26" i="26"/>
  <c r="FN26" i="26" s="1"/>
  <c r="DH25" i="26"/>
  <c r="FN25" i="26" s="1"/>
  <c r="FZ25" i="26" s="1"/>
  <c r="FJ9" i="26"/>
  <c r="FW9" i="26" s="1"/>
  <c r="FY9" i="26" s="1"/>
  <c r="FH11" i="26"/>
  <c r="FI11" i="26" s="1"/>
  <c r="FJ11" i="26" s="1"/>
  <c r="FW11" i="26" s="1"/>
  <c r="FJ16" i="26"/>
  <c r="FW16" i="26" s="1"/>
  <c r="FX16" i="26" s="1"/>
  <c r="AY16" i="26" s="1"/>
  <c r="FJ19" i="26"/>
  <c r="FW19" i="26" s="1"/>
  <c r="FJ17" i="26"/>
  <c r="FW17" i="26" s="1"/>
  <c r="FY17" i="26" s="1"/>
  <c r="DL28" i="26"/>
  <c r="DM28" i="26" s="1"/>
  <c r="DN28" i="26" s="1"/>
  <c r="FO28" i="26" s="1"/>
  <c r="FJ28" i="26"/>
  <c r="FW28" i="26" s="1"/>
  <c r="DN24" i="26"/>
  <c r="FO24" i="26" s="1"/>
  <c r="FJ37" i="26"/>
  <c r="FW37" i="26" s="1"/>
  <c r="FY37" i="26" s="1"/>
  <c r="DH38" i="26"/>
  <c r="FN38" i="26" s="1"/>
  <c r="FJ39" i="26"/>
  <c r="FW39" i="26" s="1"/>
  <c r="FY39" i="26" s="1"/>
  <c r="AV9" i="26"/>
  <c r="AR13" i="26"/>
  <c r="AS10" i="26"/>
  <c r="AT9" i="26"/>
  <c r="AP13" i="26"/>
  <c r="AT12" i="26"/>
  <c r="AP16" i="26"/>
  <c r="AR17" i="26"/>
  <c r="AP11" i="26"/>
  <c r="AU22" i="26"/>
  <c r="GK22" i="26"/>
  <c r="AW17" i="26"/>
  <c r="AT22" i="26"/>
  <c r="AV26" i="26"/>
  <c r="AU17" i="26"/>
  <c r="AV18" i="26"/>
  <c r="AM28" i="26"/>
  <c r="AO24" i="26"/>
  <c r="AT28" i="26"/>
  <c r="AP25" i="26"/>
  <c r="AU28" i="26"/>
  <c r="GH31" i="26"/>
  <c r="GX31" i="26"/>
  <c r="AR31" i="26"/>
  <c r="FX37" i="26"/>
  <c r="AY37" i="26" s="1"/>
  <c r="AZ37" i="26" s="1"/>
  <c r="AM37" i="26"/>
  <c r="FX41" i="26"/>
  <c r="AY41" i="26" s="1"/>
  <c r="AZ41" i="26" s="1"/>
  <c r="FY41" i="26"/>
  <c r="GF41" i="26" s="1"/>
  <c r="AM41" i="26"/>
  <c r="FZ41" i="26"/>
  <c r="HA41" i="26" s="1"/>
  <c r="AQ26" i="26"/>
  <c r="AN36" i="26"/>
  <c r="AT37" i="26"/>
  <c r="AW36" i="26"/>
  <c r="AX31" i="26"/>
  <c r="HD31" i="26"/>
  <c r="GN31" i="26"/>
  <c r="HC35" i="26"/>
  <c r="GM35" i="26"/>
  <c r="AW35" i="26"/>
  <c r="AV29" i="26"/>
  <c r="AT39" i="26"/>
  <c r="AS38" i="26"/>
  <c r="AW41" i="26"/>
  <c r="GM41" i="26"/>
  <c r="HC41" i="26"/>
  <c r="AS32" i="26"/>
  <c r="AO39" i="26"/>
  <c r="DL42" i="26"/>
  <c r="DM42" i="26" s="1"/>
  <c r="DN42" i="26" s="1"/>
  <c r="FO42" i="26" s="1"/>
  <c r="AQ11" i="26"/>
  <c r="AW15" i="26"/>
  <c r="AS12" i="26"/>
  <c r="AS17" i="26"/>
  <c r="AT11" i="26"/>
  <c r="DF14" i="26"/>
  <c r="DG14" i="26" s="1"/>
  <c r="DH14" i="26" s="1"/>
  <c r="FN14" i="26" s="1"/>
  <c r="FX14" i="26" s="1"/>
  <c r="AY14" i="26" s="1"/>
  <c r="AQ13" i="26"/>
  <c r="AU10" i="26"/>
  <c r="AU13" i="26"/>
  <c r="AM19" i="26"/>
  <c r="AP18" i="26"/>
  <c r="AV20" i="26"/>
  <c r="AS20" i="26"/>
  <c r="AT23" i="26"/>
  <c r="AM27" i="26"/>
  <c r="FB29" i="26"/>
  <c r="FC29" i="26" s="1"/>
  <c r="FD29" i="26" s="1"/>
  <c r="FV29" i="26" s="1"/>
  <c r="AT24" i="26"/>
  <c r="AN21" i="26"/>
  <c r="AS16" i="26"/>
  <c r="AS19" i="26"/>
  <c r="AU23" i="26"/>
  <c r="AU25" i="26"/>
  <c r="AS29" i="26"/>
  <c r="AO33" i="26"/>
  <c r="AW33" i="26"/>
  <c r="AS37" i="26"/>
  <c r="AS41" i="26"/>
  <c r="GY41" i="26"/>
  <c r="AV11" i="26"/>
  <c r="AV24" i="26"/>
  <c r="AU34" i="26"/>
  <c r="AQ40" i="26"/>
  <c r="AU32" i="26"/>
  <c r="AN41" i="26"/>
  <c r="GT41" i="26"/>
  <c r="GD41" i="26"/>
  <c r="AU31" i="26"/>
  <c r="HA31" i="26"/>
  <c r="GK31" i="26"/>
  <c r="AR29" i="26"/>
  <c r="GV41" i="26"/>
  <c r="AP41" i="26"/>
  <c r="AQ36" i="26"/>
  <c r="AM11" i="26"/>
  <c r="AU11" i="26"/>
  <c r="AS15" i="26"/>
  <c r="AW10" i="26"/>
  <c r="AN14" i="26"/>
  <c r="DF10" i="26"/>
  <c r="DG10" i="26" s="1"/>
  <c r="DH10" i="26" s="1"/>
  <c r="FN10" i="26" s="1"/>
  <c r="AM10" i="26"/>
  <c r="AS22" i="26"/>
  <c r="GI22" i="26"/>
  <c r="DL21" i="26"/>
  <c r="DM21" i="26" s="1"/>
  <c r="DN21" i="26" s="1"/>
  <c r="FO21" i="26" s="1"/>
  <c r="FZ21" i="26" s="1"/>
  <c r="HD21" i="26" s="1"/>
  <c r="AR20" i="26"/>
  <c r="AV14" i="26"/>
  <c r="AM18" i="26"/>
  <c r="AM23" i="26"/>
  <c r="CZ24" i="26"/>
  <c r="DA24" i="26" s="1"/>
  <c r="DB24" i="26" s="1"/>
  <c r="FM24" i="26" s="1"/>
  <c r="FX24" i="26" s="1"/>
  <c r="AY24" i="26" s="1"/>
  <c r="AZ24" i="26" s="1"/>
  <c r="AR26" i="26"/>
  <c r="AW23" i="26"/>
  <c r="AP27" i="26"/>
  <c r="AW28" i="26"/>
  <c r="DL26" i="26"/>
  <c r="DM26" i="26" s="1"/>
  <c r="DN26" i="26" s="1"/>
  <c r="FO26" i="26" s="1"/>
  <c r="AQ25" i="26"/>
  <c r="AU29" i="26"/>
  <c r="GD31" i="26"/>
  <c r="GT31" i="26"/>
  <c r="AN31" i="26"/>
  <c r="FX33" i="26"/>
  <c r="AY33" i="26" s="1"/>
  <c r="AZ33" i="26" s="1"/>
  <c r="AM33" i="26"/>
  <c r="FY33" i="26"/>
  <c r="GJ33" i="26" s="1"/>
  <c r="FZ33" i="26"/>
  <c r="GX33" i="26" s="1"/>
  <c r="GG33" i="26"/>
  <c r="AQ33" i="26"/>
  <c r="AU33" i="26"/>
  <c r="GD35" i="26"/>
  <c r="GT35" i="26"/>
  <c r="AN35" i="26"/>
  <c r="AO37" i="26"/>
  <c r="AN39" i="26"/>
  <c r="AO41" i="26"/>
  <c r="GU41" i="26"/>
  <c r="AV36" i="26"/>
  <c r="AS42" i="26"/>
  <c r="AT34" i="26"/>
  <c r="DF36" i="26"/>
  <c r="DG36" i="26" s="1"/>
  <c r="DH36" i="26" s="1"/>
  <c r="FN36" i="26" s="1"/>
  <c r="FY36" i="26" s="1"/>
  <c r="AT36" i="26"/>
  <c r="AS40" i="26"/>
  <c r="DF40" i="26"/>
  <c r="DG40" i="26" s="1"/>
  <c r="DH40" i="26" s="1"/>
  <c r="FN40" i="26" s="1"/>
  <c r="DB23" i="26"/>
  <c r="FM23" i="26" s="1"/>
  <c r="FJ12" i="26"/>
  <c r="FW12" i="26" s="1"/>
  <c r="FX12" i="26" s="1"/>
  <c r="AY12" i="26" s="1"/>
  <c r="CZ18" i="26"/>
  <c r="DA18" i="26" s="1"/>
  <c r="DB18" i="26" s="1"/>
  <c r="FM18" i="26" s="1"/>
  <c r="FZ18" i="26" s="1"/>
  <c r="DN20" i="26"/>
  <c r="FO20" i="26" s="1"/>
  <c r="DH34" i="26"/>
  <c r="FN34" i="26" s="1"/>
  <c r="FY34" i="26" s="1"/>
  <c r="DH42" i="26"/>
  <c r="FN42" i="26" s="1"/>
  <c r="FJ42" i="26"/>
  <c r="FW42" i="26" s="1"/>
  <c r="FX15" i="26" l="1"/>
  <c r="AY15" i="26" s="1"/>
  <c r="FY15" i="26"/>
  <c r="GH15" i="26" s="1"/>
  <c r="GJ22" i="26"/>
  <c r="GY35" i="26"/>
  <c r="GL31" i="26"/>
  <c r="FY25" i="26"/>
  <c r="GS35" i="26"/>
  <c r="GF31" i="26"/>
  <c r="GU30" i="26"/>
  <c r="HD30" i="26"/>
  <c r="HA30" i="26"/>
  <c r="IT33" i="27"/>
  <c r="IY29" i="27"/>
  <c r="IE28" i="27"/>
  <c r="IA32" i="27"/>
  <c r="IK32" i="27" s="1"/>
  <c r="AO13" i="26"/>
  <c r="FY13" i="26"/>
  <c r="GD13" i="26" s="1"/>
  <c r="FZ13" i="26"/>
  <c r="FX13" i="26"/>
  <c r="AY13" i="26" s="1"/>
  <c r="HD13" i="26"/>
  <c r="IJ20" i="27"/>
  <c r="IJ22" i="27"/>
  <c r="IK17" i="27"/>
  <c r="IY19" i="27"/>
  <c r="IH22" i="27"/>
  <c r="IG20" i="27"/>
  <c r="IE20" i="27"/>
  <c r="IB15" i="27"/>
  <c r="IU15" i="27" s="1"/>
  <c r="GL37" i="26"/>
  <c r="GJ37" i="26"/>
  <c r="GI37" i="26"/>
  <c r="GD37" i="26"/>
  <c r="GE37" i="26"/>
  <c r="GY25" i="26"/>
  <c r="GZ25" i="26"/>
  <c r="FY19" i="26"/>
  <c r="GI19" i="26" s="1"/>
  <c r="AP19" i="26"/>
  <c r="FX19" i="26"/>
  <c r="AY19" i="26" s="1"/>
  <c r="FZ19" i="26"/>
  <c r="GK33" i="26"/>
  <c r="FZ37" i="26"/>
  <c r="GM22" i="26"/>
  <c r="GL35" i="26"/>
  <c r="FZ17" i="26"/>
  <c r="HC17" i="26" s="1"/>
  <c r="GC35" i="26"/>
  <c r="GE35" i="26"/>
  <c r="GI31" i="26"/>
  <c r="FY16" i="26"/>
  <c r="GI16" i="26" s="1"/>
  <c r="FX34" i="26"/>
  <c r="AY34" i="26" s="1"/>
  <c r="AZ34" i="26" s="1"/>
  <c r="GD22" i="26"/>
  <c r="IV28" i="27"/>
  <c r="IT24" i="27"/>
  <c r="IZ19" i="27"/>
  <c r="IX20" i="27"/>
  <c r="IB32" i="27"/>
  <c r="IW32" i="27" s="1"/>
  <c r="IX19" i="27"/>
  <c r="GM33" i="26"/>
  <c r="GE33" i="26"/>
  <c r="GI33" i="26"/>
  <c r="GL22" i="26"/>
  <c r="HD35" i="26"/>
  <c r="GN33" i="26"/>
  <c r="IZ28" i="27"/>
  <c r="IE32" i="27"/>
  <c r="IH40" i="27"/>
  <c r="IZ39" i="27"/>
  <c r="IU39" i="27"/>
  <c r="HZ25" i="27"/>
  <c r="DK25" i="27" s="1"/>
  <c r="DL25" i="27" s="1"/>
  <c r="IB25" i="27"/>
  <c r="IX25" i="27" s="1"/>
  <c r="II19" i="27"/>
  <c r="IV20" i="27"/>
  <c r="IE19" i="27"/>
  <c r="IJ19" i="27"/>
  <c r="IF31" i="27"/>
  <c r="IA15" i="27"/>
  <c r="IH15" i="27" s="1"/>
  <c r="HZ39" i="27"/>
  <c r="DK39" i="27" s="1"/>
  <c r="DL39" i="27" s="1"/>
  <c r="IG19" i="27"/>
  <c r="IH20" i="27"/>
  <c r="IK19" i="27"/>
  <c r="II29" i="27"/>
  <c r="IA39" i="27"/>
  <c r="IE29" i="27"/>
  <c r="IT29" i="27"/>
  <c r="II42" i="27"/>
  <c r="IK28" i="27"/>
  <c r="IK42" i="27"/>
  <c r="IA14" i="27"/>
  <c r="II14" i="27" s="1"/>
  <c r="IA35" i="27"/>
  <c r="IB35" i="27"/>
  <c r="HZ35" i="27"/>
  <c r="DK35" i="27" s="1"/>
  <c r="DL35" i="27" s="1"/>
  <c r="HZ12" i="27"/>
  <c r="DK12" i="27" s="1"/>
  <c r="IB12" i="27"/>
  <c r="IT12" i="27" s="1"/>
  <c r="IA12" i="27"/>
  <c r="IH12" i="27" s="1"/>
  <c r="IX14" i="27"/>
  <c r="IY14" i="27"/>
  <c r="IW14" i="27"/>
  <c r="IT14" i="27"/>
  <c r="IU14" i="27"/>
  <c r="IG37" i="27"/>
  <c r="IF37" i="27"/>
  <c r="II37" i="27"/>
  <c r="IJ37" i="27"/>
  <c r="IK37" i="27"/>
  <c r="IH37" i="27"/>
  <c r="IX15" i="27"/>
  <c r="II31" i="27"/>
  <c r="IU25" i="27"/>
  <c r="IF33" i="27"/>
  <c r="HZ37" i="27"/>
  <c r="DK37" i="27" s="1"/>
  <c r="DL37" i="27" s="1"/>
  <c r="IX40" i="27"/>
  <c r="IY31" i="27"/>
  <c r="IV31" i="27"/>
  <c r="IG24" i="27"/>
  <c r="IW31" i="27"/>
  <c r="IG40" i="27"/>
  <c r="IA25" i="27"/>
  <c r="II25" i="27" s="1"/>
  <c r="IG28" i="27"/>
  <c r="IJ29" i="27"/>
  <c r="IE24" i="27"/>
  <c r="IG11" i="27"/>
  <c r="IE11" i="27"/>
  <c r="IY24" i="27"/>
  <c r="IW29" i="27"/>
  <c r="IG29" i="27"/>
  <c r="IF29" i="27"/>
  <c r="IX32" i="27"/>
  <c r="IG32" i="27"/>
  <c r="IW22" i="27"/>
  <c r="II40" i="27"/>
  <c r="IK24" i="27"/>
  <c r="IH28" i="27"/>
  <c r="HZ14" i="27"/>
  <c r="DK14" i="27" s="1"/>
  <c r="IW15" i="27"/>
  <c r="IF22" i="27"/>
  <c r="II33" i="27"/>
  <c r="IZ11" i="27"/>
  <c r="IX11" i="27"/>
  <c r="IV11" i="27"/>
  <c r="IB37" i="27"/>
  <c r="IT37" i="27" s="1"/>
  <c r="IE33" i="27"/>
  <c r="IE40" i="27"/>
  <c r="IX29" i="27"/>
  <c r="IZ40" i="27"/>
  <c r="IW19" i="27"/>
  <c r="IZ22" i="27"/>
  <c r="IW28" i="27"/>
  <c r="II22" i="27"/>
  <c r="IJ40" i="27"/>
  <c r="IA36" i="27"/>
  <c r="IG36" i="27" s="1"/>
  <c r="IB36" i="27"/>
  <c r="IV36" i="27" s="1"/>
  <c r="HZ36" i="27"/>
  <c r="DK36" i="27" s="1"/>
  <c r="DL36" i="27" s="1"/>
  <c r="HZ27" i="27"/>
  <c r="DK27" i="27" s="1"/>
  <c r="DL27" i="27" s="1"/>
  <c r="IB27" i="27"/>
  <c r="IA27" i="27"/>
  <c r="IB10" i="27"/>
  <c r="IT10" i="27" s="1"/>
  <c r="IA10" i="27"/>
  <c r="IE10" i="27" s="1"/>
  <c r="HZ10" i="27"/>
  <c r="DK10" i="27" s="1"/>
  <c r="IB21" i="27"/>
  <c r="IT21" i="27" s="1"/>
  <c r="IA21" i="27"/>
  <c r="HZ21" i="27"/>
  <c r="DK21" i="27" s="1"/>
  <c r="IB38" i="27"/>
  <c r="IT38" i="27" s="1"/>
  <c r="IA38" i="27"/>
  <c r="HZ38" i="27"/>
  <c r="DK38" i="27" s="1"/>
  <c r="DL38" i="27" s="1"/>
  <c r="IA13" i="27"/>
  <c r="IF13" i="27" s="1"/>
  <c r="IB13" i="27"/>
  <c r="IU13" i="27" s="1"/>
  <c r="HZ13" i="27"/>
  <c r="DK13" i="27" s="1"/>
  <c r="IB9" i="27"/>
  <c r="IU9" i="27" s="1"/>
  <c r="IA9" i="27"/>
  <c r="IF9" i="27" s="1"/>
  <c r="HZ9" i="27"/>
  <c r="DK9" i="27" s="1"/>
  <c r="IB30" i="27"/>
  <c r="IT30" i="27" s="1"/>
  <c r="IA30" i="27"/>
  <c r="IE30" i="27" s="1"/>
  <c r="HZ30" i="27"/>
  <c r="DK30" i="27" s="1"/>
  <c r="DL30" i="27" s="1"/>
  <c r="IB41" i="27"/>
  <c r="IT41" i="27" s="1"/>
  <c r="IA41" i="27"/>
  <c r="IE41" i="27" s="1"/>
  <c r="HZ41" i="27"/>
  <c r="DK41" i="27" s="1"/>
  <c r="DL41" i="27" s="1"/>
  <c r="IB34" i="27"/>
  <c r="IT34" i="27" s="1"/>
  <c r="IA34" i="27"/>
  <c r="HZ34" i="27"/>
  <c r="DK34" i="27" s="1"/>
  <c r="DL34" i="27" s="1"/>
  <c r="IU35" i="27"/>
  <c r="IB18" i="27"/>
  <c r="IT18" i="27" s="1"/>
  <c r="IA18" i="27"/>
  <c r="IE18" i="27" s="1"/>
  <c r="HZ18" i="27"/>
  <c r="DK18" i="27" s="1"/>
  <c r="IY25" i="27"/>
  <c r="IF28" i="27"/>
  <c r="IH23" i="27"/>
  <c r="IU42" i="27"/>
  <c r="IY42" i="27"/>
  <c r="IV42" i="27"/>
  <c r="IT42" i="27"/>
  <c r="IX24" i="27"/>
  <c r="IF11" i="27"/>
  <c r="HZ26" i="27"/>
  <c r="DK26" i="27" s="1"/>
  <c r="DL26" i="27" s="1"/>
  <c r="IB26" i="27"/>
  <c r="IT26" i="27" s="1"/>
  <c r="IA26" i="27"/>
  <c r="IU20" i="27"/>
  <c r="IV14" i="27"/>
  <c r="IE37" i="27"/>
  <c r="IX17" i="27"/>
  <c r="IY17" i="27"/>
  <c r="IF16" i="27"/>
  <c r="IH35" i="27"/>
  <c r="IX35" i="27"/>
  <c r="IU17" i="27"/>
  <c r="II17" i="27"/>
  <c r="IJ23" i="27"/>
  <c r="IH17" i="27"/>
  <c r="IX22" i="27"/>
  <c r="IE14" i="27"/>
  <c r="IY39" i="27"/>
  <c r="IY32" i="27"/>
  <c r="IF23" i="27"/>
  <c r="IV40" i="27"/>
  <c r="IT25" i="27"/>
  <c r="IZ25" i="27"/>
  <c r="IT11" i="27"/>
  <c r="IV25" i="27"/>
  <c r="IZ35" i="27"/>
  <c r="IT28" i="27"/>
  <c r="IT31" i="27"/>
  <c r="IJ24" i="27"/>
  <c r="IX23" i="27"/>
  <c r="IX33" i="27"/>
  <c r="IV39" i="27"/>
  <c r="IX37" i="27"/>
  <c r="IU29" i="27"/>
  <c r="IU24" i="27"/>
  <c r="IJ11" i="27"/>
  <c r="IT19" i="27"/>
  <c r="IZ42" i="27"/>
  <c r="IY35" i="27"/>
  <c r="IT32" i="27"/>
  <c r="IE17" i="27"/>
  <c r="IT17" i="27"/>
  <c r="IF19" i="27"/>
  <c r="IJ17" i="27"/>
  <c r="IV35" i="27"/>
  <c r="IY22" i="27"/>
  <c r="IT35" i="27"/>
  <c r="IK31" i="27"/>
  <c r="IV33" i="27"/>
  <c r="II28" i="27"/>
  <c r="IQ28" i="27" s="1"/>
  <c r="IV17" i="27"/>
  <c r="IZ33" i="27"/>
  <c r="IY33" i="27"/>
  <c r="IZ14" i="27"/>
  <c r="IW20" i="27"/>
  <c r="IU22" i="27"/>
  <c r="IW23" i="27"/>
  <c r="IU40" i="27"/>
  <c r="IU32" i="27"/>
  <c r="II24" i="27"/>
  <c r="IU11" i="27"/>
  <c r="IF40" i="27"/>
  <c r="IU28" i="27"/>
  <c r="IG16" i="27"/>
  <c r="IF20" i="27"/>
  <c r="IF32" i="27"/>
  <c r="IG42" i="27"/>
  <c r="IE42" i="27"/>
  <c r="IF42" i="27"/>
  <c r="IJ42" i="27"/>
  <c r="IY23" i="27"/>
  <c r="IW17" i="27"/>
  <c r="IV23" i="27"/>
  <c r="IW37" i="27"/>
  <c r="II16" i="27"/>
  <c r="IZ23" i="27"/>
  <c r="IH16" i="27"/>
  <c r="IZ37" i="27"/>
  <c r="IW35" i="27"/>
  <c r="IU23" i="27"/>
  <c r="IZ17" i="27"/>
  <c r="IX39" i="27"/>
  <c r="IT40" i="27"/>
  <c r="IW25" i="27"/>
  <c r="IW39" i="27"/>
  <c r="IU37" i="27"/>
  <c r="IX31" i="27"/>
  <c r="IV22" i="27"/>
  <c r="IK16" i="27"/>
  <c r="IX42" i="27"/>
  <c r="IV29" i="27"/>
  <c r="IZ32" i="27"/>
  <c r="IT39" i="27"/>
  <c r="IF24" i="27"/>
  <c r="IY11" i="27"/>
  <c r="IV37" i="27"/>
  <c r="IU33" i="27"/>
  <c r="IE23" i="27"/>
  <c r="IU19" i="27"/>
  <c r="IK11" i="27"/>
  <c r="IV32" i="27"/>
  <c r="IK22" i="27"/>
  <c r="IZ20" i="27"/>
  <c r="IZ31" i="27"/>
  <c r="IH11" i="27"/>
  <c r="IE22" i="27"/>
  <c r="IW42" i="27"/>
  <c r="IH32" i="27"/>
  <c r="IB16" i="27"/>
  <c r="HZ16" i="27"/>
  <c r="DK16" i="27" s="1"/>
  <c r="IG33" i="27"/>
  <c r="IX28" i="27"/>
  <c r="IG17" i="27"/>
  <c r="IK33" i="27"/>
  <c r="IK29" i="27"/>
  <c r="IJ33" i="27"/>
  <c r="IJ31" i="27"/>
  <c r="IJ16" i="27"/>
  <c r="IG31" i="27"/>
  <c r="IJ39" i="27"/>
  <c r="IV24" i="27"/>
  <c r="IW40" i="27"/>
  <c r="IW24" i="27"/>
  <c r="IY37" i="27"/>
  <c r="GH34" i="26"/>
  <c r="GD34" i="26"/>
  <c r="GM34" i="26"/>
  <c r="GL34" i="26"/>
  <c r="GN34" i="26"/>
  <c r="GG34" i="26"/>
  <c r="GC34" i="26"/>
  <c r="GI34" i="26"/>
  <c r="GF34" i="26"/>
  <c r="GK34" i="26"/>
  <c r="GJ34" i="26"/>
  <c r="AW29" i="26"/>
  <c r="FX29" i="26"/>
  <c r="AY29" i="26" s="1"/>
  <c r="AZ29" i="26" s="1"/>
  <c r="FZ29" i="26"/>
  <c r="FY29" i="26"/>
  <c r="GZ18" i="26"/>
  <c r="GX18" i="26"/>
  <c r="HA18" i="26"/>
  <c r="GW18" i="26"/>
  <c r="GY18" i="26"/>
  <c r="HB18" i="26"/>
  <c r="HC18" i="26"/>
  <c r="HD18" i="26"/>
  <c r="GS18" i="26"/>
  <c r="GU18" i="26"/>
  <c r="GV18" i="26"/>
  <c r="GN36" i="26"/>
  <c r="GF36" i="26"/>
  <c r="GH36" i="26"/>
  <c r="GC36" i="26"/>
  <c r="GD36" i="26"/>
  <c r="GL36" i="26"/>
  <c r="GK36" i="26"/>
  <c r="GM36" i="26"/>
  <c r="GJ36" i="26"/>
  <c r="GG36" i="26"/>
  <c r="GI36" i="26"/>
  <c r="GG17" i="26"/>
  <c r="GE17" i="26"/>
  <c r="GJ17" i="26"/>
  <c r="GF17" i="26"/>
  <c r="GC17" i="26"/>
  <c r="GI17" i="26"/>
  <c r="GL17" i="26"/>
  <c r="GD17" i="26"/>
  <c r="GK17" i="26"/>
  <c r="GH17" i="26"/>
  <c r="GM17" i="26"/>
  <c r="GK9" i="26"/>
  <c r="GF9" i="26"/>
  <c r="GJ9" i="26"/>
  <c r="GD9" i="26"/>
  <c r="GE9" i="26"/>
  <c r="GC9" i="26"/>
  <c r="GM9" i="26"/>
  <c r="GH9" i="26"/>
  <c r="GG9" i="26"/>
  <c r="GI9" i="26"/>
  <c r="GL9" i="26"/>
  <c r="AO32" i="26"/>
  <c r="FZ32" i="26"/>
  <c r="GU32" i="26" s="1"/>
  <c r="FY32" i="26"/>
  <c r="GE32" i="26" s="1"/>
  <c r="FX32" i="26"/>
  <c r="AY32" i="26" s="1"/>
  <c r="AZ32" i="26" s="1"/>
  <c r="AP26" i="26"/>
  <c r="AO10" i="26"/>
  <c r="FX10" i="26"/>
  <c r="AY10" i="26" s="1"/>
  <c r="FY10" i="26"/>
  <c r="FZ10" i="26"/>
  <c r="AP28" i="26"/>
  <c r="FY28" i="26"/>
  <c r="GF28" i="26" s="1"/>
  <c r="FX28" i="26"/>
  <c r="AY28" i="26" s="1"/>
  <c r="AZ28" i="26" s="1"/>
  <c r="FZ28" i="26"/>
  <c r="GV28" i="26" s="1"/>
  <c r="AX11" i="26"/>
  <c r="FY11" i="26"/>
  <c r="GN11" i="26" s="1"/>
  <c r="FX11" i="26"/>
  <c r="AY11" i="26" s="1"/>
  <c r="FZ11" i="26"/>
  <c r="HD11" i="26" s="1"/>
  <c r="AO27" i="26"/>
  <c r="FZ27" i="26"/>
  <c r="GU27" i="26" s="1"/>
  <c r="FY27" i="26"/>
  <c r="GE27" i="26" s="1"/>
  <c r="FX27" i="26"/>
  <c r="AY27" i="26" s="1"/>
  <c r="AZ27" i="26" s="1"/>
  <c r="GI39" i="26"/>
  <c r="GL39" i="26"/>
  <c r="GD39" i="26"/>
  <c r="GF39" i="26"/>
  <c r="GM39" i="26"/>
  <c r="GH39" i="26"/>
  <c r="GC39" i="26"/>
  <c r="GJ39" i="26"/>
  <c r="GG39" i="26"/>
  <c r="GK39" i="26"/>
  <c r="GE39" i="26"/>
  <c r="FY26" i="26"/>
  <c r="AO42" i="26"/>
  <c r="AO40" i="26"/>
  <c r="AP42" i="26"/>
  <c r="AX20" i="26"/>
  <c r="HD22" i="26"/>
  <c r="GD25" i="26"/>
  <c r="GM25" i="26"/>
  <c r="GH25" i="26"/>
  <c r="GL25" i="26"/>
  <c r="AN24" i="26"/>
  <c r="GV21" i="26"/>
  <c r="AP21" i="26"/>
  <c r="AP24" i="26"/>
  <c r="AX19" i="26"/>
  <c r="HD19" i="26"/>
  <c r="GE25" i="26"/>
  <c r="GU25" i="26"/>
  <c r="AO25" i="26"/>
  <c r="AN11" i="26"/>
  <c r="AP38" i="26"/>
  <c r="GH30" i="26"/>
  <c r="GL30" i="26"/>
  <c r="GD30" i="26"/>
  <c r="HA33" i="26"/>
  <c r="GG41" i="26"/>
  <c r="GN41" i="26"/>
  <c r="GW22" i="26"/>
  <c r="GK19" i="26"/>
  <c r="GU22" i="26"/>
  <c r="GS21" i="26"/>
  <c r="GH41" i="26"/>
  <c r="FX18" i="26"/>
  <c r="AY18" i="26" s="1"/>
  <c r="GI15" i="26"/>
  <c r="HA25" i="26"/>
  <c r="FY40" i="26"/>
  <c r="GV37" i="26"/>
  <c r="GG37" i="26"/>
  <c r="GC22" i="26"/>
  <c r="HC22" i="26"/>
  <c r="GK15" i="26"/>
  <c r="FZ42" i="26"/>
  <c r="GV42" i="26" s="1"/>
  <c r="GV22" i="26"/>
  <c r="GS25" i="26"/>
  <c r="HB21" i="26"/>
  <c r="GK37" i="26"/>
  <c r="HD25" i="26"/>
  <c r="GE22" i="26"/>
  <c r="GG15" i="26"/>
  <c r="GJ41" i="26"/>
  <c r="GV17" i="26"/>
  <c r="GU21" i="26"/>
  <c r="FX9" i="26"/>
  <c r="AY9" i="26" s="1"/>
  <c r="FZ14" i="26"/>
  <c r="FX26" i="26"/>
  <c r="AY26" i="26" s="1"/>
  <c r="AZ26" i="26" s="1"/>
  <c r="FZ26" i="26"/>
  <c r="GN15" i="26"/>
  <c r="HC37" i="26"/>
  <c r="GV35" i="26"/>
  <c r="HB33" i="26"/>
  <c r="FY24" i="26"/>
  <c r="HA21" i="26"/>
  <c r="GU13" i="26"/>
  <c r="GX22" i="26"/>
  <c r="GM19" i="26"/>
  <c r="GI25" i="26"/>
  <c r="GZ13" i="26"/>
  <c r="GE15" i="26"/>
  <c r="GJ15" i="26"/>
  <c r="GV33" i="26"/>
  <c r="HC31" i="26"/>
  <c r="GM13" i="26"/>
  <c r="AP20" i="26"/>
  <c r="AN23" i="26"/>
  <c r="GE34" i="26"/>
  <c r="AO34" i="26"/>
  <c r="AX12" i="26"/>
  <c r="GN37" i="26"/>
  <c r="HD37" i="26"/>
  <c r="AX37" i="26"/>
  <c r="AX17" i="26"/>
  <c r="HD17" i="26"/>
  <c r="GN17" i="26"/>
  <c r="AX9" i="26"/>
  <c r="GN9" i="26"/>
  <c r="GC33" i="26"/>
  <c r="GW25" i="26"/>
  <c r="FX23" i="26"/>
  <c r="AY23" i="26" s="1"/>
  <c r="AZ23" i="26" s="1"/>
  <c r="GY22" i="26"/>
  <c r="GY37" i="26"/>
  <c r="HC33" i="26"/>
  <c r="GK25" i="26"/>
  <c r="GT21" i="26"/>
  <c r="GS19" i="26"/>
  <c r="GZ37" i="26"/>
  <c r="GS41" i="26"/>
  <c r="GC37" i="26"/>
  <c r="GV25" i="26"/>
  <c r="HA17" i="26"/>
  <c r="HA22" i="26"/>
  <c r="FZ40" i="26"/>
  <c r="GU40" i="26" s="1"/>
  <c r="GW41" i="26"/>
  <c r="FX42" i="26"/>
  <c r="AY42" i="26" s="1"/>
  <c r="AZ42" i="26" s="1"/>
  <c r="HB41" i="26"/>
  <c r="HB35" i="26"/>
  <c r="GC25" i="26"/>
  <c r="GY13" i="26"/>
  <c r="GZ21" i="26"/>
  <c r="GU17" i="26"/>
  <c r="GS13" i="26"/>
  <c r="GC13" i="26"/>
  <c r="GU35" i="26"/>
  <c r="GN25" i="26"/>
  <c r="GF15" i="26"/>
  <c r="GX19" i="26"/>
  <c r="GT17" i="26"/>
  <c r="GZ41" i="26"/>
  <c r="GW21" i="26"/>
  <c r="GY31" i="26"/>
  <c r="FY12" i="26"/>
  <c r="FY14" i="26"/>
  <c r="GE14" i="26" s="1"/>
  <c r="GZ33" i="26"/>
  <c r="GT19" i="26"/>
  <c r="FX21" i="26"/>
  <c r="AY21" i="26" s="1"/>
  <c r="FZ34" i="26"/>
  <c r="GF35" i="26"/>
  <c r="GD33" i="26"/>
  <c r="GU31" i="26"/>
  <c r="GG19" i="26"/>
  <c r="HB37" i="26"/>
  <c r="GX41" i="26"/>
  <c r="GG31" i="26"/>
  <c r="HC19" i="26"/>
  <c r="GJ13" i="26"/>
  <c r="GL15" i="26"/>
  <c r="GM31" i="26"/>
  <c r="GT18" i="26"/>
  <c r="AN18" i="26"/>
  <c r="AO36" i="26"/>
  <c r="GE36" i="26"/>
  <c r="AO38" i="26"/>
  <c r="FX38" i="26"/>
  <c r="AY38" i="26" s="1"/>
  <c r="AZ38" i="26" s="1"/>
  <c r="FY38" i="26"/>
  <c r="GE38" i="26" s="1"/>
  <c r="FZ38" i="26"/>
  <c r="HC25" i="26"/>
  <c r="GX25" i="26"/>
  <c r="HB25" i="26"/>
  <c r="GT25" i="26"/>
  <c r="AN15" i="26"/>
  <c r="GD15" i="26"/>
  <c r="GC16" i="26"/>
  <c r="AX42" i="26"/>
  <c r="AO14" i="26"/>
  <c r="AX39" i="26"/>
  <c r="GN39" i="26"/>
  <c r="GN28" i="26"/>
  <c r="AX28" i="26"/>
  <c r="HD28" i="26"/>
  <c r="GN16" i="26"/>
  <c r="AX16" i="26"/>
  <c r="GU26" i="26"/>
  <c r="GE26" i="26"/>
  <c r="AO26" i="26"/>
  <c r="GN22" i="26"/>
  <c r="GT30" i="26"/>
  <c r="HB30" i="26"/>
  <c r="GX30" i="26"/>
  <c r="HE30" i="26" s="1"/>
  <c r="GS33" i="26"/>
  <c r="FY18" i="26"/>
  <c r="FZ36" i="26"/>
  <c r="GU36" i="26" s="1"/>
  <c r="FX40" i="26"/>
  <c r="AY40" i="26" s="1"/>
  <c r="AZ40" i="26" s="1"/>
  <c r="GS22" i="26"/>
  <c r="FZ20" i="26"/>
  <c r="GL41" i="26"/>
  <c r="GJ19" i="26"/>
  <c r="GT33" i="26"/>
  <c r="GE41" i="26"/>
  <c r="GW33" i="26"/>
  <c r="FZ23" i="26"/>
  <c r="GT23" i="26" s="1"/>
  <c r="FY23" i="26"/>
  <c r="GI41" i="26"/>
  <c r="GU33" i="26"/>
  <c r="GC19" i="26"/>
  <c r="GM15" i="26"/>
  <c r="GC41" i="26"/>
  <c r="GS37" i="26"/>
  <c r="GZ22" i="26"/>
  <c r="GX17" i="26"/>
  <c r="FX36" i="26"/>
  <c r="AY36" i="26" s="1"/>
  <c r="AZ36" i="26" s="1"/>
  <c r="GF37" i="26"/>
  <c r="GW37" i="26"/>
  <c r="GJ25" i="26"/>
  <c r="FY20" i="26"/>
  <c r="GN20" i="26" s="1"/>
  <c r="FX20" i="26"/>
  <c r="AY20" i="26" s="1"/>
  <c r="FZ15" i="26"/>
  <c r="GC15" i="26"/>
  <c r="GH37" i="26"/>
  <c r="FY42" i="26"/>
  <c r="HD41" i="26"/>
  <c r="GF22" i="26"/>
  <c r="GY33" i="26"/>
  <c r="FX25" i="26"/>
  <c r="AY25" i="26" s="1"/>
  <c r="AZ25" i="26" s="1"/>
  <c r="HA19" i="26"/>
  <c r="FX17" i="26"/>
  <c r="AY17" i="26" s="1"/>
  <c r="GT13" i="26"/>
  <c r="HA35" i="26"/>
  <c r="GK41" i="26"/>
  <c r="HA37" i="26"/>
  <c r="HC21" i="26"/>
  <c r="GX21" i="26"/>
  <c r="FZ12" i="26"/>
  <c r="HD12" i="26" s="1"/>
  <c r="HB22" i="26"/>
  <c r="HB13" i="26"/>
  <c r="FZ9" i="26"/>
  <c r="FZ16" i="26"/>
  <c r="HD16" i="26" s="1"/>
  <c r="GD19" i="26"/>
  <c r="FY21" i="26"/>
  <c r="GF21" i="26" s="1"/>
  <c r="GN35" i="26"/>
  <c r="GM37" i="26"/>
  <c r="GZ19" i="26"/>
  <c r="GL33" i="26"/>
  <c r="GH33" i="26"/>
  <c r="FZ24" i="26"/>
  <c r="GT24" i="26" s="1"/>
  <c r="GE31" i="26"/>
  <c r="FX39" i="26"/>
  <c r="AY39" i="26" s="1"/>
  <c r="AZ39" i="26" s="1"/>
  <c r="FZ39" i="26"/>
  <c r="HD39" i="26" s="1"/>
  <c r="GH22" i="26"/>
  <c r="GJ35" i="26"/>
  <c r="GP35" i="26" s="1"/>
  <c r="GY21" i="26"/>
  <c r="GK16" i="26"/>
  <c r="HD33" i="26"/>
  <c r="GF33" i="26"/>
  <c r="GT22" i="26"/>
  <c r="GC30" i="26"/>
  <c r="GO30" i="26" s="1"/>
  <c r="GB30" i="26" s="1"/>
  <c r="GU19" i="26"/>
  <c r="GT11" i="26" l="1"/>
  <c r="GP39" i="26"/>
  <c r="GG25" i="26"/>
  <c r="GF25" i="26"/>
  <c r="II32" i="27"/>
  <c r="IJ32" i="27"/>
  <c r="IQ32" i="27" s="1"/>
  <c r="GL19" i="26"/>
  <c r="GH19" i="26"/>
  <c r="GF19" i="26"/>
  <c r="GE19" i="26"/>
  <c r="GN19" i="26"/>
  <c r="GE13" i="26"/>
  <c r="GN13" i="26"/>
  <c r="GL13" i="26"/>
  <c r="GL16" i="26"/>
  <c r="GJ16" i="26"/>
  <c r="GH13" i="26"/>
  <c r="GG13" i="26"/>
  <c r="GK13" i="26"/>
  <c r="GI13" i="26"/>
  <c r="GF13" i="26"/>
  <c r="HC13" i="26"/>
  <c r="GX13" i="26"/>
  <c r="GV13" i="26"/>
  <c r="GW13" i="26"/>
  <c r="HA13" i="26"/>
  <c r="HB17" i="26"/>
  <c r="GZ17" i="26"/>
  <c r="GW17" i="26"/>
  <c r="GH16" i="26"/>
  <c r="GD16" i="26"/>
  <c r="GE16" i="26"/>
  <c r="GG16" i="26"/>
  <c r="GD11" i="26"/>
  <c r="IY15" i="27"/>
  <c r="IJ15" i="27"/>
  <c r="II15" i="27"/>
  <c r="IE15" i="27"/>
  <c r="IV15" i="27"/>
  <c r="IT15" i="27"/>
  <c r="IK15" i="27"/>
  <c r="IZ15" i="27"/>
  <c r="GP41" i="26"/>
  <c r="HE33" i="26"/>
  <c r="GO31" i="26"/>
  <c r="GB31" i="26" s="1"/>
  <c r="GP33" i="26"/>
  <c r="GO35" i="26"/>
  <c r="GB35" i="26" s="1"/>
  <c r="HE35" i="26"/>
  <c r="GO15" i="26"/>
  <c r="GB15" i="26" s="1"/>
  <c r="GP25" i="26"/>
  <c r="HD42" i="26"/>
  <c r="HE25" i="26"/>
  <c r="GP31" i="26"/>
  <c r="HE31" i="26"/>
  <c r="GP37" i="26"/>
  <c r="GF20" i="26"/>
  <c r="JE29" i="27"/>
  <c r="GT37" i="26"/>
  <c r="GX37" i="26"/>
  <c r="GU37" i="26"/>
  <c r="HB19" i="26"/>
  <c r="GW19" i="26"/>
  <c r="GY19" i="26"/>
  <c r="GV19" i="26"/>
  <c r="HE41" i="26"/>
  <c r="HE37" i="26"/>
  <c r="GP30" i="26"/>
  <c r="GV24" i="26"/>
  <c r="GP36" i="26"/>
  <c r="GP34" i="26"/>
  <c r="JE28" i="27"/>
  <c r="GM16" i="26"/>
  <c r="GF16" i="26"/>
  <c r="GY17" i="26"/>
  <c r="GS17" i="26"/>
  <c r="JE40" i="27"/>
  <c r="IQ31" i="27"/>
  <c r="IP22" i="27"/>
  <c r="ID22" i="27" s="1"/>
  <c r="JE23" i="27"/>
  <c r="IP19" i="27"/>
  <c r="ID19" i="27" s="1"/>
  <c r="IQ24" i="27"/>
  <c r="IH14" i="27"/>
  <c r="IK14" i="27"/>
  <c r="IF14" i="27"/>
  <c r="IE39" i="27"/>
  <c r="IK39" i="27"/>
  <c r="IH39" i="27"/>
  <c r="II39" i="27"/>
  <c r="IG39" i="27"/>
  <c r="IF39" i="27"/>
  <c r="JE24" i="27"/>
  <c r="JE39" i="27"/>
  <c r="IP32" i="27"/>
  <c r="ID32" i="27" s="1"/>
  <c r="IP20" i="27"/>
  <c r="ID20" i="27" s="1"/>
  <c r="IG14" i="27"/>
  <c r="IF15" i="27"/>
  <c r="IJ14" i="27"/>
  <c r="IG15" i="27"/>
  <c r="IP24" i="27"/>
  <c r="ID24" i="27" s="1"/>
  <c r="IQ40" i="27"/>
  <c r="IQ37" i="27"/>
  <c r="IG25" i="27"/>
  <c r="IK25" i="27"/>
  <c r="IE35" i="27"/>
  <c r="IG35" i="27"/>
  <c r="IJ35" i="27"/>
  <c r="IK35" i="27"/>
  <c r="II35" i="27"/>
  <c r="IX12" i="27"/>
  <c r="IY12" i="27"/>
  <c r="IW12" i="27"/>
  <c r="IV12" i="27"/>
  <c r="IZ12" i="27"/>
  <c r="IU12" i="27"/>
  <c r="JE33" i="27"/>
  <c r="JE42" i="27"/>
  <c r="IE12" i="27"/>
  <c r="IQ42" i="27"/>
  <c r="II12" i="27"/>
  <c r="JE25" i="27"/>
  <c r="IE25" i="27"/>
  <c r="IP31" i="27"/>
  <c r="ID31" i="27" s="1"/>
  <c r="IP29" i="27"/>
  <c r="ID29" i="27" s="1"/>
  <c r="IP33" i="27"/>
  <c r="ID33" i="27" s="1"/>
  <c r="JE32" i="27"/>
  <c r="JE35" i="27"/>
  <c r="IH25" i="27"/>
  <c r="IQ23" i="27"/>
  <c r="IF12" i="27"/>
  <c r="IJ12" i="27"/>
  <c r="IG12" i="27"/>
  <c r="IK12" i="27"/>
  <c r="JE37" i="27"/>
  <c r="IQ33" i="27"/>
  <c r="JE31" i="27"/>
  <c r="IP42" i="27"/>
  <c r="ID42" i="27" s="1"/>
  <c r="IP40" i="27"/>
  <c r="ID40" i="27" s="1"/>
  <c r="IF35" i="27"/>
  <c r="IF25" i="27"/>
  <c r="IP16" i="27"/>
  <c r="ID16" i="27" s="1"/>
  <c r="IP37" i="27"/>
  <c r="ID37" i="27" s="1"/>
  <c r="IJ25" i="27"/>
  <c r="IP28" i="27"/>
  <c r="ID28" i="27" s="1"/>
  <c r="IF26" i="27"/>
  <c r="IG26" i="27"/>
  <c r="IK26" i="27"/>
  <c r="IJ26" i="27"/>
  <c r="IH26" i="27"/>
  <c r="II26" i="27"/>
  <c r="IK34" i="27"/>
  <c r="IG34" i="27"/>
  <c r="IJ34" i="27"/>
  <c r="II34" i="27"/>
  <c r="IH34" i="27"/>
  <c r="IF34" i="27"/>
  <c r="IW38" i="27"/>
  <c r="IV38" i="27"/>
  <c r="IU38" i="27"/>
  <c r="IX38" i="27"/>
  <c r="IY38" i="27"/>
  <c r="IZ38" i="27"/>
  <c r="IG21" i="27"/>
  <c r="IH21" i="27"/>
  <c r="IJ21" i="27"/>
  <c r="IF21" i="27"/>
  <c r="IK21" i="27"/>
  <c r="II21" i="27"/>
  <c r="IY27" i="27"/>
  <c r="IT27" i="27"/>
  <c r="IV27" i="27"/>
  <c r="IZ27" i="27"/>
  <c r="IU27" i="27"/>
  <c r="IW27" i="27"/>
  <c r="IW16" i="27"/>
  <c r="IU16" i="27"/>
  <c r="IT16" i="27"/>
  <c r="IZ16" i="27"/>
  <c r="IY16" i="27"/>
  <c r="IX16" i="27"/>
  <c r="IY18" i="27"/>
  <c r="IW18" i="27"/>
  <c r="IV18" i="27"/>
  <c r="IZ18" i="27"/>
  <c r="IX18" i="27"/>
  <c r="IU18" i="27"/>
  <c r="IZ30" i="27"/>
  <c r="IW30" i="27"/>
  <c r="IY30" i="27"/>
  <c r="IV30" i="27"/>
  <c r="IX30" i="27"/>
  <c r="IU30" i="27"/>
  <c r="IG13" i="27"/>
  <c r="IH13" i="27"/>
  <c r="IE13" i="27"/>
  <c r="II13" i="27"/>
  <c r="IJ13" i="27"/>
  <c r="IK13" i="27"/>
  <c r="IK38" i="27"/>
  <c r="II38" i="27"/>
  <c r="IJ38" i="27"/>
  <c r="IG38" i="27"/>
  <c r="IH38" i="27"/>
  <c r="IF38" i="27"/>
  <c r="IJ27" i="27"/>
  <c r="IG27" i="27"/>
  <c r="IH27" i="27"/>
  <c r="IE27" i="27"/>
  <c r="IF27" i="27"/>
  <c r="IK27" i="27"/>
  <c r="IK18" i="27"/>
  <c r="IJ18" i="27"/>
  <c r="IG18" i="27"/>
  <c r="IH18" i="27"/>
  <c r="II18" i="27"/>
  <c r="IF18" i="27"/>
  <c r="IY41" i="27"/>
  <c r="IW41" i="27"/>
  <c r="IV41" i="27"/>
  <c r="IX41" i="27"/>
  <c r="IZ41" i="27"/>
  <c r="IU41" i="27"/>
  <c r="IK30" i="27"/>
  <c r="IJ30" i="27"/>
  <c r="II30" i="27"/>
  <c r="IF30" i="27"/>
  <c r="IH30" i="27"/>
  <c r="IG30" i="27"/>
  <c r="IY9" i="27"/>
  <c r="IX9" i="27"/>
  <c r="IW9" i="27"/>
  <c r="IZ9" i="27"/>
  <c r="IV9" i="27"/>
  <c r="IT9" i="27"/>
  <c r="IZ13" i="27"/>
  <c r="IT13" i="27"/>
  <c r="IW13" i="27"/>
  <c r="IX13" i="27"/>
  <c r="IV13" i="27"/>
  <c r="IY13" i="27"/>
  <c r="IY10" i="27"/>
  <c r="IX10" i="27"/>
  <c r="IW10" i="27"/>
  <c r="IV10" i="27"/>
  <c r="IZ10" i="27"/>
  <c r="IU10" i="27"/>
  <c r="IJ36" i="27"/>
  <c r="IH36" i="27"/>
  <c r="IF36" i="27"/>
  <c r="IK36" i="27"/>
  <c r="IE36" i="27"/>
  <c r="II36" i="27"/>
  <c r="IQ39" i="27"/>
  <c r="IP11" i="27"/>
  <c r="ID11" i="27" s="1"/>
  <c r="IP17" i="27"/>
  <c r="ID17" i="27" s="1"/>
  <c r="IE26" i="27"/>
  <c r="IQ29" i="27"/>
  <c r="IE34" i="27"/>
  <c r="IE21" i="27"/>
  <c r="II27" i="27"/>
  <c r="IP23" i="27"/>
  <c r="ID23" i="27" s="1"/>
  <c r="IV16" i="27"/>
  <c r="IE38" i="27"/>
  <c r="IX27" i="27"/>
  <c r="IU26" i="27"/>
  <c r="IW26" i="27"/>
  <c r="IY26" i="27"/>
  <c r="IV26" i="27"/>
  <c r="IX26" i="27"/>
  <c r="IZ26" i="27"/>
  <c r="IZ34" i="27"/>
  <c r="IV34" i="27"/>
  <c r="IW34" i="27"/>
  <c r="IY34" i="27"/>
  <c r="IX34" i="27"/>
  <c r="IU34" i="27"/>
  <c r="IH41" i="27"/>
  <c r="IG41" i="27"/>
  <c r="IJ41" i="27"/>
  <c r="IK41" i="27"/>
  <c r="IF41" i="27"/>
  <c r="II41" i="27"/>
  <c r="IG9" i="27"/>
  <c r="II9" i="27"/>
  <c r="IH9" i="27"/>
  <c r="IK9" i="27"/>
  <c r="IJ9" i="27"/>
  <c r="IE9" i="27"/>
  <c r="IV21" i="27"/>
  <c r="IZ21" i="27"/>
  <c r="IY21" i="27"/>
  <c r="IX21" i="27"/>
  <c r="IU21" i="27"/>
  <c r="IW21" i="27"/>
  <c r="IJ10" i="27"/>
  <c r="IF10" i="27"/>
  <c r="II10" i="27"/>
  <c r="IK10" i="27"/>
  <c r="IH10" i="27"/>
  <c r="IG10" i="27"/>
  <c r="IW36" i="27"/>
  <c r="IY36" i="27"/>
  <c r="IT36" i="27"/>
  <c r="IZ36" i="27"/>
  <c r="IU36" i="27"/>
  <c r="IX36" i="27"/>
  <c r="GH42" i="26"/>
  <c r="GM42" i="26"/>
  <c r="GD42" i="26"/>
  <c r="GL42" i="26"/>
  <c r="GG42" i="26"/>
  <c r="GJ42" i="26"/>
  <c r="GI42" i="26"/>
  <c r="GC42" i="26"/>
  <c r="GK42" i="26"/>
  <c r="GJ14" i="26"/>
  <c r="GG14" i="26"/>
  <c r="GH14" i="26"/>
  <c r="GF14" i="26"/>
  <c r="GL14" i="26"/>
  <c r="GN14" i="26"/>
  <c r="GK14" i="26"/>
  <c r="GM14" i="26"/>
  <c r="GI14" i="26"/>
  <c r="GC14" i="26"/>
  <c r="GD14" i="26"/>
  <c r="GY9" i="26"/>
  <c r="GX9" i="26"/>
  <c r="GU9" i="26"/>
  <c r="GV9" i="26"/>
  <c r="HC9" i="26"/>
  <c r="HA9" i="26"/>
  <c r="GS9" i="26"/>
  <c r="GT9" i="26"/>
  <c r="HB9" i="26"/>
  <c r="GW9" i="26"/>
  <c r="GZ9" i="26"/>
  <c r="GC38" i="26"/>
  <c r="GM38" i="26"/>
  <c r="GG38" i="26"/>
  <c r="GH38" i="26"/>
  <c r="GL38" i="26"/>
  <c r="GD38" i="26"/>
  <c r="GN38" i="26"/>
  <c r="GK38" i="26"/>
  <c r="GI38" i="26"/>
  <c r="GJ38" i="26"/>
  <c r="HB34" i="26"/>
  <c r="GX34" i="26"/>
  <c r="GT34" i="26"/>
  <c r="HC34" i="26"/>
  <c r="GS34" i="26"/>
  <c r="GZ34" i="26"/>
  <c r="GY34" i="26"/>
  <c r="GW34" i="26"/>
  <c r="HD34" i="26"/>
  <c r="GV34" i="26"/>
  <c r="HA34" i="26"/>
  <c r="GC12" i="26"/>
  <c r="GH12" i="26"/>
  <c r="GL12" i="26"/>
  <c r="GD12" i="26"/>
  <c r="GJ12" i="26"/>
  <c r="GM12" i="26"/>
  <c r="GE12" i="26"/>
  <c r="GF12" i="26"/>
  <c r="GI12" i="26"/>
  <c r="GK12" i="26"/>
  <c r="GG12" i="26"/>
  <c r="GZ26" i="26"/>
  <c r="HC26" i="26"/>
  <c r="GS26" i="26"/>
  <c r="HA26" i="26"/>
  <c r="GX26" i="26"/>
  <c r="HD26" i="26"/>
  <c r="GY26" i="26"/>
  <c r="HB26" i="26"/>
  <c r="GT26" i="26"/>
  <c r="GW26" i="26"/>
  <c r="GJ10" i="26"/>
  <c r="GF10" i="26"/>
  <c r="GN10" i="26"/>
  <c r="GD10" i="26"/>
  <c r="GL10" i="26"/>
  <c r="GK10" i="26"/>
  <c r="GM10" i="26"/>
  <c r="GH10" i="26"/>
  <c r="GG10" i="26"/>
  <c r="GI10" i="26"/>
  <c r="GC10" i="26"/>
  <c r="GN21" i="26"/>
  <c r="GK21" i="26"/>
  <c r="GE21" i="26"/>
  <c r="GJ21" i="26"/>
  <c r="GL21" i="26"/>
  <c r="GI21" i="26"/>
  <c r="GH21" i="26"/>
  <c r="GM21" i="26"/>
  <c r="GC21" i="26"/>
  <c r="GG21" i="26"/>
  <c r="GD21" i="26"/>
  <c r="GV15" i="26"/>
  <c r="GZ15" i="26"/>
  <c r="GU15" i="26"/>
  <c r="HD15" i="26"/>
  <c r="GY15" i="26"/>
  <c r="GW15" i="26"/>
  <c r="GS15" i="26"/>
  <c r="HA15" i="26"/>
  <c r="HC15" i="26"/>
  <c r="GX15" i="26"/>
  <c r="HB15" i="26"/>
  <c r="GV23" i="26"/>
  <c r="HB23" i="26"/>
  <c r="GZ23" i="26"/>
  <c r="HD23" i="26"/>
  <c r="GS23" i="26"/>
  <c r="GW23" i="26"/>
  <c r="HA23" i="26"/>
  <c r="GX23" i="26"/>
  <c r="GU23" i="26"/>
  <c r="GY23" i="26"/>
  <c r="HC23" i="26"/>
  <c r="GT38" i="26"/>
  <c r="GW38" i="26"/>
  <c r="HB38" i="26"/>
  <c r="GX38" i="26"/>
  <c r="GS38" i="26"/>
  <c r="HC38" i="26"/>
  <c r="GZ38" i="26"/>
  <c r="GY38" i="26"/>
  <c r="HD38" i="26"/>
  <c r="HA38" i="26"/>
  <c r="GM24" i="26"/>
  <c r="GK24" i="26"/>
  <c r="GL24" i="26"/>
  <c r="GI24" i="26"/>
  <c r="GC24" i="26"/>
  <c r="GH24" i="26"/>
  <c r="GN24" i="26"/>
  <c r="GE24" i="26"/>
  <c r="GJ24" i="26"/>
  <c r="GG24" i="26"/>
  <c r="GX42" i="26"/>
  <c r="GT42" i="26"/>
  <c r="HB42" i="26"/>
  <c r="HC42" i="26"/>
  <c r="GS42" i="26"/>
  <c r="HA42" i="26"/>
  <c r="GY42" i="26"/>
  <c r="GW42" i="26"/>
  <c r="GZ42" i="26"/>
  <c r="GN26" i="26"/>
  <c r="GD26" i="26"/>
  <c r="GI26" i="26"/>
  <c r="GG26" i="26"/>
  <c r="GH26" i="26"/>
  <c r="GJ26" i="26"/>
  <c r="GM26" i="26"/>
  <c r="GL26" i="26"/>
  <c r="GC26" i="26"/>
  <c r="GK26" i="26"/>
  <c r="HD27" i="26"/>
  <c r="HB27" i="26"/>
  <c r="GT27" i="26"/>
  <c r="GX27" i="26"/>
  <c r="GZ27" i="26"/>
  <c r="GS27" i="26"/>
  <c r="GW27" i="26"/>
  <c r="GV27" i="26"/>
  <c r="GY27" i="26"/>
  <c r="HA27" i="26"/>
  <c r="HC27" i="26"/>
  <c r="GU11" i="26"/>
  <c r="GY11" i="26"/>
  <c r="GX11" i="26"/>
  <c r="HC11" i="26"/>
  <c r="GW11" i="26"/>
  <c r="GV11" i="26"/>
  <c r="GZ11" i="26"/>
  <c r="HB11" i="26"/>
  <c r="GS11" i="26"/>
  <c r="HA11" i="26"/>
  <c r="GG28" i="26"/>
  <c r="GL28" i="26"/>
  <c r="GD28" i="26"/>
  <c r="GJ28" i="26"/>
  <c r="GK28" i="26"/>
  <c r="GM28" i="26"/>
  <c r="GH28" i="26"/>
  <c r="GI28" i="26"/>
  <c r="GE28" i="26"/>
  <c r="GC28" i="26"/>
  <c r="GZ10" i="26"/>
  <c r="HB10" i="26"/>
  <c r="GY10" i="26"/>
  <c r="GW10" i="26"/>
  <c r="GV10" i="26"/>
  <c r="HD10" i="26"/>
  <c r="GX10" i="26"/>
  <c r="GT10" i="26"/>
  <c r="HA10" i="26"/>
  <c r="HC10" i="26"/>
  <c r="GS10" i="26"/>
  <c r="GU29" i="26"/>
  <c r="GY29" i="26"/>
  <c r="HA29" i="26"/>
  <c r="GW29" i="26"/>
  <c r="GT29" i="26"/>
  <c r="GZ29" i="26"/>
  <c r="HB29" i="26"/>
  <c r="HD29" i="26"/>
  <c r="GS29" i="26"/>
  <c r="GV29" i="26"/>
  <c r="GX29" i="26"/>
  <c r="GO33" i="26"/>
  <c r="GB33" i="26" s="1"/>
  <c r="GF38" i="26"/>
  <c r="GO39" i="26"/>
  <c r="GB39" i="26" s="1"/>
  <c r="GO34" i="26"/>
  <c r="GB34" i="26" s="1"/>
  <c r="GO19" i="26"/>
  <c r="GB19" i="26" s="1"/>
  <c r="GU38" i="26"/>
  <c r="GO25" i="26"/>
  <c r="GB25" i="26" s="1"/>
  <c r="HD9" i="26"/>
  <c r="GN12" i="26"/>
  <c r="GD24" i="26"/>
  <c r="GU10" i="26"/>
  <c r="GO9" i="26"/>
  <c r="GB9" i="26" s="1"/>
  <c r="GO36" i="26"/>
  <c r="GB36" i="26" s="1"/>
  <c r="GF23" i="26"/>
  <c r="GM23" i="26"/>
  <c r="GN23" i="26"/>
  <c r="GH23" i="26"/>
  <c r="GE23" i="26"/>
  <c r="GI23" i="26"/>
  <c r="GL23" i="26"/>
  <c r="GG23" i="26"/>
  <c r="GK23" i="26"/>
  <c r="GC23" i="26"/>
  <c r="GJ23" i="26"/>
  <c r="GW20" i="26"/>
  <c r="HA20" i="26"/>
  <c r="GZ20" i="26"/>
  <c r="GU20" i="26"/>
  <c r="GT20" i="26"/>
  <c r="HB20" i="26"/>
  <c r="GS20" i="26"/>
  <c r="GY20" i="26"/>
  <c r="GX20" i="26"/>
  <c r="HC20" i="26"/>
  <c r="GJ18" i="26"/>
  <c r="GK18" i="26"/>
  <c r="GH18" i="26"/>
  <c r="GC18" i="26"/>
  <c r="GI18" i="26"/>
  <c r="GF18" i="26"/>
  <c r="GN18" i="26"/>
  <c r="GM18" i="26"/>
  <c r="GE18" i="26"/>
  <c r="GG18" i="26"/>
  <c r="GL18" i="26"/>
  <c r="GZ14" i="26"/>
  <c r="HC14" i="26"/>
  <c r="GY14" i="26"/>
  <c r="GV14" i="26"/>
  <c r="GT14" i="26"/>
  <c r="HD14" i="26"/>
  <c r="GX14" i="26"/>
  <c r="HA14" i="26"/>
  <c r="HB14" i="26"/>
  <c r="GW14" i="26"/>
  <c r="GS14" i="26"/>
  <c r="GH27" i="26"/>
  <c r="GN27" i="26"/>
  <c r="GD27" i="26"/>
  <c r="GL27" i="26"/>
  <c r="GI27" i="26"/>
  <c r="GG27" i="26"/>
  <c r="GM27" i="26"/>
  <c r="GC27" i="26"/>
  <c r="GF27" i="26"/>
  <c r="GK27" i="26"/>
  <c r="GJ27" i="26"/>
  <c r="HB32" i="26"/>
  <c r="GT32" i="26"/>
  <c r="GX32" i="26"/>
  <c r="GZ32" i="26"/>
  <c r="GS32" i="26"/>
  <c r="GV32" i="26"/>
  <c r="HD32" i="26"/>
  <c r="HC32" i="26"/>
  <c r="GW32" i="26"/>
  <c r="GY32" i="26"/>
  <c r="HA32" i="26"/>
  <c r="GC29" i="26"/>
  <c r="GF29" i="26"/>
  <c r="GH29" i="26"/>
  <c r="GE29" i="26"/>
  <c r="GD29" i="26"/>
  <c r="GJ29" i="26"/>
  <c r="GL29" i="26"/>
  <c r="GK29" i="26"/>
  <c r="GN29" i="26"/>
  <c r="GG29" i="26"/>
  <c r="GI29" i="26"/>
  <c r="GX39" i="26"/>
  <c r="GU39" i="26"/>
  <c r="GS39" i="26"/>
  <c r="GY39" i="26"/>
  <c r="GV39" i="26"/>
  <c r="GW39" i="26"/>
  <c r="HC39" i="26"/>
  <c r="HA39" i="26"/>
  <c r="GT39" i="26"/>
  <c r="HB39" i="26"/>
  <c r="GZ39" i="26"/>
  <c r="GS24" i="26"/>
  <c r="HD24" i="26"/>
  <c r="GW24" i="26"/>
  <c r="GU24" i="26"/>
  <c r="GZ24" i="26"/>
  <c r="HB24" i="26"/>
  <c r="HC24" i="26"/>
  <c r="GX24" i="26"/>
  <c r="GY24" i="26"/>
  <c r="HA24" i="26"/>
  <c r="GT16" i="26"/>
  <c r="HB16" i="26"/>
  <c r="GX16" i="26"/>
  <c r="GS16" i="26"/>
  <c r="HC16" i="26"/>
  <c r="GU16" i="26"/>
  <c r="GZ16" i="26"/>
  <c r="GV16" i="26"/>
  <c r="HA16" i="26"/>
  <c r="GW16" i="26"/>
  <c r="GY16" i="26"/>
  <c r="GX12" i="26"/>
  <c r="HB12" i="26"/>
  <c r="GT12" i="26"/>
  <c r="GS12" i="26"/>
  <c r="HA12" i="26"/>
  <c r="GV12" i="26"/>
  <c r="GW12" i="26"/>
  <c r="GZ12" i="26"/>
  <c r="HC12" i="26"/>
  <c r="GU12" i="26"/>
  <c r="GY12" i="26"/>
  <c r="GJ20" i="26"/>
  <c r="GG20" i="26"/>
  <c r="GK20" i="26"/>
  <c r="GI20" i="26"/>
  <c r="GH20" i="26"/>
  <c r="GM20" i="26"/>
  <c r="GD20" i="26"/>
  <c r="GC20" i="26"/>
  <c r="GL20" i="26"/>
  <c r="GE20" i="26"/>
  <c r="GV36" i="26"/>
  <c r="GX36" i="26"/>
  <c r="HD36" i="26"/>
  <c r="GY36" i="26"/>
  <c r="GT36" i="26"/>
  <c r="GW36" i="26"/>
  <c r="HB36" i="26"/>
  <c r="GS36" i="26"/>
  <c r="HC36" i="26"/>
  <c r="HA36" i="26"/>
  <c r="GZ36" i="26"/>
  <c r="GZ40" i="26"/>
  <c r="GT40" i="26"/>
  <c r="HB40" i="26"/>
  <c r="GV40" i="26"/>
  <c r="GS40" i="26"/>
  <c r="GW40" i="26"/>
  <c r="GX40" i="26"/>
  <c r="HD40" i="26"/>
  <c r="GY40" i="26"/>
  <c r="HA40" i="26"/>
  <c r="HC40" i="26"/>
  <c r="GJ40" i="26"/>
  <c r="GD40" i="26"/>
  <c r="GL40" i="26"/>
  <c r="GK40" i="26"/>
  <c r="GH40" i="26"/>
  <c r="GF40" i="26"/>
  <c r="GC40" i="26"/>
  <c r="GM40" i="26"/>
  <c r="GI40" i="26"/>
  <c r="GN40" i="26"/>
  <c r="GG40" i="26"/>
  <c r="GM11" i="26"/>
  <c r="GL11" i="26"/>
  <c r="GE11" i="26"/>
  <c r="GI11" i="26"/>
  <c r="GK11" i="26"/>
  <c r="GG11" i="26"/>
  <c r="GC11" i="26"/>
  <c r="GH11" i="26"/>
  <c r="GF11" i="26"/>
  <c r="GJ11" i="26"/>
  <c r="GW28" i="26"/>
  <c r="GX28" i="26"/>
  <c r="GY28" i="26"/>
  <c r="HB28" i="26"/>
  <c r="GU28" i="26"/>
  <c r="HC28" i="26"/>
  <c r="GZ28" i="26"/>
  <c r="HA28" i="26"/>
  <c r="GT28" i="26"/>
  <c r="GS28" i="26"/>
  <c r="GJ32" i="26"/>
  <c r="GD32" i="26"/>
  <c r="GL32" i="26"/>
  <c r="GH32" i="26"/>
  <c r="GM32" i="26"/>
  <c r="GF32" i="26"/>
  <c r="GN32" i="26"/>
  <c r="GC32" i="26"/>
  <c r="GG32" i="26"/>
  <c r="GK32" i="26"/>
  <c r="GI32" i="26"/>
  <c r="GN42" i="26"/>
  <c r="GD18" i="26"/>
  <c r="GO22" i="26"/>
  <c r="GB22" i="26" s="1"/>
  <c r="HD20" i="26"/>
  <c r="GE42" i="26"/>
  <c r="GE10" i="26"/>
  <c r="GV26" i="26"/>
  <c r="GM29" i="26"/>
  <c r="GO41" i="26"/>
  <c r="GB41" i="26" s="1"/>
  <c r="GU14" i="26"/>
  <c r="GT15" i="26"/>
  <c r="GO37" i="26"/>
  <c r="GB37" i="26" s="1"/>
  <c r="GU34" i="26"/>
  <c r="GD23" i="26"/>
  <c r="GV20" i="26"/>
  <c r="GV38" i="26"/>
  <c r="GF24" i="26"/>
  <c r="GF42" i="26"/>
  <c r="GE40" i="26"/>
  <c r="GU42" i="26"/>
  <c r="GF26" i="26"/>
  <c r="GO17" i="26"/>
  <c r="GB17" i="26" s="1"/>
  <c r="HC29" i="26"/>
  <c r="IP41" i="27" l="1"/>
  <c r="ID41" i="27" s="1"/>
  <c r="IQ25" i="27"/>
  <c r="GO13" i="26"/>
  <c r="GB13" i="26" s="1"/>
  <c r="GO16" i="26"/>
  <c r="GB16" i="26" s="1"/>
  <c r="IP14" i="27"/>
  <c r="ID14" i="27" s="1"/>
  <c r="IP15" i="27"/>
  <c r="ID15" i="27" s="1"/>
  <c r="GP32" i="26"/>
  <c r="HE28" i="26"/>
  <c r="GP40" i="26"/>
  <c r="HE40" i="26"/>
  <c r="HE24" i="26"/>
  <c r="HE39" i="26"/>
  <c r="GP29" i="26"/>
  <c r="HE32" i="26"/>
  <c r="GP27" i="26"/>
  <c r="GP23" i="26"/>
  <c r="GP28" i="26"/>
  <c r="HE27" i="26"/>
  <c r="HE42" i="26"/>
  <c r="HE23" i="26"/>
  <c r="GP42" i="26"/>
  <c r="IP18" i="27"/>
  <c r="ID18" i="27" s="1"/>
  <c r="HE36" i="26"/>
  <c r="HE29" i="26"/>
  <c r="GO26" i="26"/>
  <c r="GB26" i="26" s="1"/>
  <c r="GP26" i="26"/>
  <c r="GP24" i="26"/>
  <c r="HE38" i="26"/>
  <c r="HE26" i="26"/>
  <c r="HE34" i="26"/>
  <c r="GP38" i="26"/>
  <c r="IP39" i="27"/>
  <c r="ID39" i="27" s="1"/>
  <c r="JE34" i="27"/>
  <c r="IQ35" i="27"/>
  <c r="JE41" i="27"/>
  <c r="IQ27" i="27"/>
  <c r="JE30" i="27"/>
  <c r="JE27" i="27"/>
  <c r="JE38" i="27"/>
  <c r="JE26" i="27"/>
  <c r="IP12" i="27"/>
  <c r="ID12" i="27" s="1"/>
  <c r="IQ41" i="27"/>
  <c r="IP35" i="27"/>
  <c r="ID35" i="27" s="1"/>
  <c r="JE36" i="27"/>
  <c r="IP38" i="27"/>
  <c r="ID38" i="27" s="1"/>
  <c r="IP30" i="27"/>
  <c r="ID30" i="27" s="1"/>
  <c r="IP10" i="27"/>
  <c r="ID10" i="27" s="1"/>
  <c r="IP27" i="27"/>
  <c r="ID27" i="27" s="1"/>
  <c r="IQ38" i="27"/>
  <c r="IQ26" i="27"/>
  <c r="IP25" i="27"/>
  <c r="ID25" i="27" s="1"/>
  <c r="IQ36" i="27"/>
  <c r="IQ30" i="27"/>
  <c r="IQ34" i="27"/>
  <c r="IP9" i="27"/>
  <c r="ID9" i="27" s="1"/>
  <c r="IP21" i="27"/>
  <c r="ID21" i="27" s="1"/>
  <c r="IP34" i="27"/>
  <c r="ID34" i="27" s="1"/>
  <c r="IP36" i="27"/>
  <c r="ID36" i="27" s="1"/>
  <c r="IP26" i="27"/>
  <c r="ID26" i="27" s="1"/>
  <c r="IP13" i="27"/>
  <c r="ID13" i="27" s="1"/>
  <c r="GO32" i="26"/>
  <c r="GB32" i="26" s="1"/>
  <c r="GO21" i="26"/>
  <c r="GB21" i="26" s="1"/>
  <c r="GO29" i="26"/>
  <c r="GB29" i="26" s="1"/>
  <c r="GO28" i="26"/>
  <c r="GB28" i="26" s="1"/>
  <c r="GO20" i="26"/>
  <c r="GB20" i="26" s="1"/>
  <c r="GO18" i="26"/>
  <c r="GB18" i="26" s="1"/>
  <c r="GO10" i="26"/>
  <c r="GB10" i="26" s="1"/>
  <c r="GO38" i="26"/>
  <c r="GB38" i="26" s="1"/>
  <c r="GO40" i="26"/>
  <c r="GB40" i="26" s="1"/>
  <c r="GO23" i="26"/>
  <c r="GB23" i="26" s="1"/>
  <c r="GO12" i="26"/>
  <c r="GB12" i="26" s="1"/>
  <c r="GO42" i="26"/>
  <c r="GB42" i="26" s="1"/>
  <c r="GO11" i="26"/>
  <c r="GB11" i="26" s="1"/>
  <c r="GO27" i="26"/>
  <c r="GB27" i="26" s="1"/>
  <c r="GO24" i="26"/>
  <c r="GB24" i="26" s="1"/>
  <c r="GO14" i="26"/>
  <c r="GB14" i="26" s="1"/>
  <c r="ET9" i="21" l="1"/>
  <c r="ET10" i="21"/>
  <c r="ET11" i="21"/>
  <c r="ET12" i="21"/>
  <c r="ET13" i="21"/>
  <c r="ET14" i="21"/>
  <c r="ET15" i="21"/>
  <c r="ET16" i="21"/>
  <c r="ET17" i="21"/>
  <c r="ET18" i="21"/>
  <c r="ET19" i="21"/>
  <c r="ET20" i="21"/>
  <c r="ET21" i="21"/>
  <c r="ET22" i="21"/>
  <c r="ET23" i="21"/>
  <c r="ET24" i="21"/>
  <c r="ET25" i="21"/>
  <c r="ET26" i="21"/>
  <c r="ET27" i="21"/>
  <c r="ET28" i="21"/>
  <c r="ET29" i="21"/>
  <c r="ET30" i="21"/>
  <c r="ET31" i="21"/>
  <c r="ET32" i="21"/>
  <c r="ET33" i="21"/>
  <c r="ET34" i="21"/>
  <c r="ET35" i="21"/>
  <c r="ET36" i="21"/>
  <c r="ET37" i="21"/>
  <c r="ET38" i="21"/>
  <c r="ET39" i="21"/>
  <c r="ET40" i="21"/>
  <c r="ET41" i="21"/>
  <c r="ET42" i="21"/>
  <c r="ET8" i="21"/>
  <c r="BZ9" i="22"/>
  <c r="BZ10" i="22"/>
  <c r="BZ11" i="22"/>
  <c r="BZ12" i="22"/>
  <c r="BZ13" i="22"/>
  <c r="BZ14" i="22"/>
  <c r="BZ15" i="22"/>
  <c r="BZ16" i="22"/>
  <c r="BZ17" i="22"/>
  <c r="BZ18" i="22"/>
  <c r="BZ19" i="22"/>
  <c r="BZ20" i="22"/>
  <c r="BZ21" i="22"/>
  <c r="BZ22" i="22"/>
  <c r="BZ23" i="22"/>
  <c r="BZ24" i="22"/>
  <c r="BZ25" i="22"/>
  <c r="BZ26" i="22"/>
  <c r="BZ27" i="22"/>
  <c r="BZ28" i="22"/>
  <c r="BZ29" i="22"/>
  <c r="BZ30" i="22"/>
  <c r="BZ31" i="22"/>
  <c r="BZ32" i="22"/>
  <c r="BZ33" i="22"/>
  <c r="BZ34" i="22"/>
  <c r="BZ35" i="22"/>
  <c r="BZ36" i="22"/>
  <c r="BZ37" i="22"/>
  <c r="BZ38" i="22"/>
  <c r="BZ39" i="22"/>
  <c r="BZ40" i="22"/>
  <c r="BZ41" i="22"/>
  <c r="BZ42" i="22"/>
  <c r="BZ8" i="22"/>
  <c r="BJ7" i="22"/>
  <c r="BV7" i="22" s="1"/>
  <c r="AC8" i="22"/>
  <c r="V8" i="22"/>
  <c r="W8" i="22"/>
  <c r="X8" i="22"/>
  <c r="Y8" i="22"/>
  <c r="Z8" i="22"/>
  <c r="AA8" i="22"/>
  <c r="AB8" i="22"/>
  <c r="U8" i="22"/>
  <c r="ET9" i="35"/>
  <c r="ET10" i="35"/>
  <c r="ET11" i="35"/>
  <c r="ET12" i="35"/>
  <c r="ET13" i="35"/>
  <c r="ET14" i="35"/>
  <c r="ET15" i="35"/>
  <c r="ET16" i="35"/>
  <c r="ET17" i="35"/>
  <c r="ET18" i="35"/>
  <c r="ET19" i="35"/>
  <c r="ET20" i="35"/>
  <c r="ET21" i="35"/>
  <c r="ET22" i="35"/>
  <c r="ET23" i="35"/>
  <c r="ET24" i="35"/>
  <c r="ET25" i="35"/>
  <c r="ET26" i="35"/>
  <c r="ET27" i="35"/>
  <c r="ET28" i="35"/>
  <c r="ET29" i="35"/>
  <c r="ET30" i="35"/>
  <c r="ET31" i="35"/>
  <c r="ET32" i="35"/>
  <c r="ET33" i="35"/>
  <c r="ET34" i="35"/>
  <c r="ET35" i="35"/>
  <c r="ET36" i="35"/>
  <c r="ET37" i="35"/>
  <c r="ET38" i="35"/>
  <c r="ET39" i="35"/>
  <c r="ET40" i="35"/>
  <c r="ET41" i="35"/>
  <c r="ET42" i="35"/>
  <c r="ET8" i="35"/>
  <c r="ET9" i="33"/>
  <c r="ET10" i="33"/>
  <c r="ET11" i="33"/>
  <c r="ET12" i="33"/>
  <c r="ET13" i="33"/>
  <c r="ET14" i="33"/>
  <c r="ET15" i="33"/>
  <c r="ET16" i="33"/>
  <c r="ET17" i="33"/>
  <c r="ET18" i="33"/>
  <c r="ET19" i="33"/>
  <c r="ET20" i="33"/>
  <c r="ET21" i="33"/>
  <c r="ET22" i="33"/>
  <c r="ET23" i="33"/>
  <c r="ET24" i="33"/>
  <c r="ET25" i="33"/>
  <c r="ET26" i="33"/>
  <c r="ET27" i="33"/>
  <c r="ET28" i="33"/>
  <c r="ET29" i="33"/>
  <c r="ET30" i="33"/>
  <c r="ET31" i="33"/>
  <c r="ET32" i="33"/>
  <c r="ET33" i="33"/>
  <c r="ET34" i="33"/>
  <c r="ET35" i="33"/>
  <c r="ET36" i="33"/>
  <c r="ET37" i="33"/>
  <c r="ET38" i="33"/>
  <c r="ET39" i="33"/>
  <c r="ET40" i="33"/>
  <c r="ET41" i="33"/>
  <c r="ET42" i="33"/>
  <c r="ET43" i="33"/>
  <c r="ET8" i="33"/>
  <c r="GZ9" i="20"/>
  <c r="GZ10" i="20"/>
  <c r="GZ11" i="20"/>
  <c r="GZ12" i="20"/>
  <c r="GZ13" i="20"/>
  <c r="GZ14" i="20"/>
  <c r="GZ15" i="20"/>
  <c r="GZ16" i="20"/>
  <c r="GZ17" i="20"/>
  <c r="GZ18" i="20"/>
  <c r="GZ19" i="20"/>
  <c r="GZ20" i="20"/>
  <c r="GZ21" i="20"/>
  <c r="GZ22" i="20"/>
  <c r="GZ23" i="20"/>
  <c r="GZ24" i="20"/>
  <c r="GZ25" i="20"/>
  <c r="GZ26" i="20"/>
  <c r="GZ27" i="20"/>
  <c r="GZ28" i="20"/>
  <c r="GZ29" i="20"/>
  <c r="GZ30" i="20"/>
  <c r="GZ31" i="20"/>
  <c r="GZ32" i="20"/>
  <c r="GZ33" i="20"/>
  <c r="GZ34" i="20"/>
  <c r="GZ35" i="20"/>
  <c r="GZ36" i="20"/>
  <c r="GZ37" i="20"/>
  <c r="GZ38" i="20"/>
  <c r="GZ39" i="20"/>
  <c r="GZ40" i="20"/>
  <c r="GZ41" i="20"/>
  <c r="GZ42" i="20"/>
  <c r="GZ8" i="20"/>
  <c r="ET9" i="19"/>
  <c r="ET10" i="19"/>
  <c r="ET11" i="19"/>
  <c r="ET12" i="19"/>
  <c r="ET13" i="19"/>
  <c r="ET14" i="19"/>
  <c r="ET15" i="19"/>
  <c r="ET16" i="19"/>
  <c r="ET17" i="19"/>
  <c r="ET18" i="19"/>
  <c r="ET19" i="19"/>
  <c r="ET20" i="19"/>
  <c r="ET21" i="19"/>
  <c r="ET22" i="19"/>
  <c r="ET23" i="19"/>
  <c r="ET24" i="19"/>
  <c r="ET25" i="19"/>
  <c r="ET26" i="19"/>
  <c r="ET27" i="19"/>
  <c r="ET28" i="19"/>
  <c r="ET29" i="19"/>
  <c r="ET30" i="19"/>
  <c r="ET31" i="19"/>
  <c r="ET32" i="19"/>
  <c r="ET33" i="19"/>
  <c r="ET34" i="19"/>
  <c r="ET35" i="19"/>
  <c r="ET36" i="19"/>
  <c r="ET37" i="19"/>
  <c r="ET38" i="19"/>
  <c r="ET39" i="19"/>
  <c r="ET40" i="19"/>
  <c r="ET41" i="19"/>
  <c r="ET42" i="19"/>
  <c r="A52" i="19"/>
  <c r="EB7" i="19" s="1"/>
  <c r="B52" i="19"/>
  <c r="A53" i="19"/>
  <c r="EC7" i="19" s="1"/>
  <c r="B53" i="19"/>
  <c r="ET8" i="19" l="1"/>
  <c r="DG9" i="8"/>
  <c r="DG10" i="8"/>
  <c r="DG11" i="8"/>
  <c r="DG12" i="8"/>
  <c r="DG13" i="8"/>
  <c r="DG14" i="8"/>
  <c r="DG15" i="8"/>
  <c r="DG16" i="8"/>
  <c r="DG17" i="8"/>
  <c r="DG18" i="8"/>
  <c r="DG19" i="8"/>
  <c r="DG20" i="8"/>
  <c r="DG21" i="8"/>
  <c r="DG22" i="8"/>
  <c r="DG23" i="8"/>
  <c r="DG24" i="8"/>
  <c r="DG25" i="8"/>
  <c r="DG26" i="8"/>
  <c r="DG27" i="8"/>
  <c r="DG28" i="8"/>
  <c r="DG29" i="8"/>
  <c r="DG30" i="8"/>
  <c r="DG31" i="8"/>
  <c r="DG32" i="8"/>
  <c r="DG33" i="8"/>
  <c r="DG34" i="8"/>
  <c r="DG35" i="8"/>
  <c r="DG36" i="8"/>
  <c r="DG37" i="8"/>
  <c r="DG38" i="8"/>
  <c r="DG39" i="8"/>
  <c r="DG40" i="8"/>
  <c r="DG41" i="8"/>
  <c r="DG42" i="8"/>
  <c r="DG8" i="8" l="1"/>
  <c r="H51" i="37"/>
  <c r="F51" i="37"/>
  <c r="C51" i="37"/>
  <c r="H50" i="37"/>
  <c r="F50" i="37"/>
  <c r="C50" i="37"/>
  <c r="H49" i="37"/>
  <c r="F49" i="37"/>
  <c r="C49" i="37"/>
  <c r="H48" i="37"/>
  <c r="F48" i="37"/>
  <c r="C48" i="37"/>
  <c r="H47" i="37"/>
  <c r="H46" i="37"/>
  <c r="F47" i="37"/>
  <c r="C47" i="37"/>
  <c r="F46" i="37"/>
  <c r="C46" i="37"/>
  <c r="C45" i="37"/>
  <c r="H45" i="37"/>
  <c r="F45" i="37"/>
  <c r="B41" i="13"/>
  <c r="B42" i="13"/>
  <c r="B43" i="13"/>
  <c r="B44" i="13"/>
  <c r="B45" i="13"/>
  <c r="AX9" i="4"/>
  <c r="AY9" i="4"/>
  <c r="AZ9" i="4"/>
  <c r="BA9" i="4"/>
  <c r="BE9" i="4"/>
  <c r="BJ9" i="4"/>
  <c r="AX10" i="4"/>
  <c r="AY10" i="4"/>
  <c r="AZ10" i="4"/>
  <c r="BA10" i="4"/>
  <c r="BF10" i="4" s="1"/>
  <c r="BC10" i="4"/>
  <c r="BJ10" i="4"/>
  <c r="AX11" i="4"/>
  <c r="AY11" i="4"/>
  <c r="AZ11" i="4"/>
  <c r="BA11" i="4"/>
  <c r="BF11" i="4" s="1"/>
  <c r="BC11" i="4"/>
  <c r="BJ11" i="4"/>
  <c r="AX12" i="4"/>
  <c r="BC12" i="4" s="1"/>
  <c r="AY12" i="4"/>
  <c r="AZ12" i="4"/>
  <c r="BA12" i="4"/>
  <c r="BF12" i="4"/>
  <c r="BJ12" i="4"/>
  <c r="AX13" i="4"/>
  <c r="AY13" i="4"/>
  <c r="AZ13" i="4"/>
  <c r="BA13" i="4"/>
  <c r="BF13" i="4" s="1"/>
  <c r="BC13" i="4"/>
  <c r="BJ13" i="4"/>
  <c r="AX14" i="4"/>
  <c r="BC14" i="4" s="1"/>
  <c r="AY14" i="4"/>
  <c r="AZ14" i="4"/>
  <c r="BA14" i="4"/>
  <c r="BF14" i="4" s="1"/>
  <c r="BJ14" i="4"/>
  <c r="AX15" i="4"/>
  <c r="AY15" i="4"/>
  <c r="AZ15" i="4"/>
  <c r="BA15" i="4"/>
  <c r="BF15" i="4" s="1"/>
  <c r="BC15" i="4"/>
  <c r="BJ15" i="4"/>
  <c r="AX16" i="4"/>
  <c r="BC16" i="4" s="1"/>
  <c r="AY16" i="4"/>
  <c r="AZ16" i="4"/>
  <c r="BA16" i="4"/>
  <c r="BF16" i="4" s="1"/>
  <c r="BJ16" i="4"/>
  <c r="AX17" i="4"/>
  <c r="AY17" i="4"/>
  <c r="AZ17" i="4"/>
  <c r="BA17" i="4"/>
  <c r="BF17" i="4" s="1"/>
  <c r="BC17" i="4"/>
  <c r="BJ17" i="4"/>
  <c r="AX18" i="4"/>
  <c r="BC18" i="4" s="1"/>
  <c r="AY18" i="4"/>
  <c r="AZ18" i="4"/>
  <c r="BA18" i="4"/>
  <c r="BF18" i="4" s="1"/>
  <c r="BJ18" i="4"/>
  <c r="AX19" i="4"/>
  <c r="BC19" i="4" s="1"/>
  <c r="AY19" i="4"/>
  <c r="AZ19" i="4"/>
  <c r="BA19" i="4"/>
  <c r="BF19" i="4" s="1"/>
  <c r="BJ19" i="4"/>
  <c r="AX20" i="4"/>
  <c r="BC20" i="4" s="1"/>
  <c r="AY20" i="4"/>
  <c r="AZ20" i="4"/>
  <c r="BE20" i="4" s="1"/>
  <c r="BA20" i="4"/>
  <c r="BF20" i="4" s="1"/>
  <c r="BJ20" i="4"/>
  <c r="AX21" i="4"/>
  <c r="AY21" i="4"/>
  <c r="AZ21" i="4"/>
  <c r="BA21" i="4"/>
  <c r="BF21" i="4" s="1"/>
  <c r="BC21" i="4"/>
  <c r="BJ21" i="4"/>
  <c r="AX22" i="4"/>
  <c r="BC22" i="4" s="1"/>
  <c r="AY22" i="4"/>
  <c r="AZ22" i="4"/>
  <c r="BA22" i="4"/>
  <c r="BF22" i="4" s="1"/>
  <c r="BJ22" i="4"/>
  <c r="AX23" i="4"/>
  <c r="AY23" i="4"/>
  <c r="AZ23" i="4"/>
  <c r="BE23" i="4" s="1"/>
  <c r="BA23" i="4"/>
  <c r="BF23" i="4" s="1"/>
  <c r="BC23" i="4"/>
  <c r="BJ23" i="4"/>
  <c r="AX24" i="4"/>
  <c r="BC24" i="4" s="1"/>
  <c r="AY24" i="4"/>
  <c r="AZ24" i="4"/>
  <c r="BE24" i="4" s="1"/>
  <c r="BA24" i="4"/>
  <c r="BF24" i="4" s="1"/>
  <c r="BJ24" i="4"/>
  <c r="AX25" i="4"/>
  <c r="AY25" i="4"/>
  <c r="BD25" i="4" s="1"/>
  <c r="AZ25" i="4"/>
  <c r="BE25" i="4" s="1"/>
  <c r="BA25" i="4"/>
  <c r="BF25" i="4" s="1"/>
  <c r="BC25" i="4"/>
  <c r="BJ25" i="4"/>
  <c r="AX26" i="4"/>
  <c r="BC26" i="4" s="1"/>
  <c r="AY26" i="4"/>
  <c r="BD26" i="4" s="1"/>
  <c r="AZ26" i="4"/>
  <c r="BA26" i="4"/>
  <c r="BF26" i="4"/>
  <c r="BJ26" i="4"/>
  <c r="AX27" i="4"/>
  <c r="AY27" i="4"/>
  <c r="AZ27" i="4"/>
  <c r="BE27" i="4" s="1"/>
  <c r="BA27" i="4"/>
  <c r="BF27" i="4" s="1"/>
  <c r="BC27" i="4"/>
  <c r="BJ27" i="4"/>
  <c r="AX28" i="4"/>
  <c r="BC28" i="4" s="1"/>
  <c r="AY28" i="4"/>
  <c r="AZ28" i="4"/>
  <c r="BE28" i="4" s="1"/>
  <c r="BA28" i="4"/>
  <c r="BB28" i="4"/>
  <c r="AW28" i="4" s="1"/>
  <c r="BD28" i="4"/>
  <c r="BF28" i="4"/>
  <c r="BJ28" i="4"/>
  <c r="AX29" i="4"/>
  <c r="AY29" i="4"/>
  <c r="BD29" i="4" s="1"/>
  <c r="AZ29" i="4"/>
  <c r="BE29" i="4" s="1"/>
  <c r="BA29" i="4"/>
  <c r="BF29" i="4" s="1"/>
  <c r="BC29" i="4"/>
  <c r="BJ29" i="4"/>
  <c r="AX30" i="4"/>
  <c r="BC30" i="4" s="1"/>
  <c r="AY30" i="4"/>
  <c r="BD30" i="4" s="1"/>
  <c r="AZ30" i="4"/>
  <c r="BA30" i="4"/>
  <c r="BF30" i="4" s="1"/>
  <c r="BJ30" i="4"/>
  <c r="AX31" i="4"/>
  <c r="AY31" i="4"/>
  <c r="AZ31" i="4"/>
  <c r="BA31" i="4"/>
  <c r="BF31" i="4" s="1"/>
  <c r="BC31" i="4"/>
  <c r="BE31" i="4"/>
  <c r="BJ31" i="4"/>
  <c r="AX32" i="4"/>
  <c r="BC32" i="4" s="1"/>
  <c r="AY32" i="4"/>
  <c r="AZ32" i="4"/>
  <c r="BE32" i="4" s="1"/>
  <c r="BA32" i="4"/>
  <c r="BF32" i="4" s="1"/>
  <c r="BD32" i="4"/>
  <c r="BJ32" i="4"/>
  <c r="AX33" i="4"/>
  <c r="AY33" i="4"/>
  <c r="BD33" i="4" s="1"/>
  <c r="AZ33" i="4"/>
  <c r="BE33" i="4" s="1"/>
  <c r="BA33" i="4"/>
  <c r="BF33" i="4" s="1"/>
  <c r="BC33" i="4"/>
  <c r="BJ33" i="4"/>
  <c r="AX34" i="4"/>
  <c r="BC34" i="4" s="1"/>
  <c r="AY34" i="4"/>
  <c r="AZ34" i="4"/>
  <c r="BB34" i="4" s="1"/>
  <c r="AW34" i="4" s="1"/>
  <c r="BA34" i="4"/>
  <c r="BD34" i="4"/>
  <c r="BF34" i="4"/>
  <c r="BJ34" i="4"/>
  <c r="AX35" i="4"/>
  <c r="AY35" i="4"/>
  <c r="AZ35" i="4"/>
  <c r="BE35" i="4" s="1"/>
  <c r="BA35" i="4"/>
  <c r="BF35" i="4" s="1"/>
  <c r="BC35" i="4"/>
  <c r="BJ35" i="4"/>
  <c r="AX36" i="4"/>
  <c r="AY36" i="4"/>
  <c r="BD36" i="4" s="1"/>
  <c r="AZ36" i="4"/>
  <c r="BE36" i="4" s="1"/>
  <c r="BA36" i="4"/>
  <c r="BF36" i="4"/>
  <c r="BJ36" i="4"/>
  <c r="AX37" i="4"/>
  <c r="AY37" i="4"/>
  <c r="BD37" i="4" s="1"/>
  <c r="AZ37" i="4"/>
  <c r="BE37" i="4" s="1"/>
  <c r="BA37" i="4"/>
  <c r="BF37" i="4" s="1"/>
  <c r="BC37" i="4"/>
  <c r="BJ37" i="4"/>
  <c r="AX38" i="4"/>
  <c r="BC38" i="4" s="1"/>
  <c r="AY38" i="4"/>
  <c r="AZ38" i="4"/>
  <c r="BB38" i="4" s="1"/>
  <c r="AW38" i="4" s="1"/>
  <c r="BA38" i="4"/>
  <c r="BD38" i="4"/>
  <c r="BF38" i="4"/>
  <c r="BJ38" i="4"/>
  <c r="AX39" i="4"/>
  <c r="AY39" i="4"/>
  <c r="AZ39" i="4"/>
  <c r="BE39" i="4" s="1"/>
  <c r="BA39" i="4"/>
  <c r="BF39" i="4" s="1"/>
  <c r="BC39" i="4"/>
  <c r="BJ39" i="4"/>
  <c r="AX40" i="4"/>
  <c r="AY40" i="4"/>
  <c r="BD40" i="4" s="1"/>
  <c r="AZ40" i="4"/>
  <c r="BE40" i="4" s="1"/>
  <c r="BA40" i="4"/>
  <c r="BF40" i="4"/>
  <c r="BJ40" i="4"/>
  <c r="AX41" i="4"/>
  <c r="AY41" i="4"/>
  <c r="BD41" i="4" s="1"/>
  <c r="AZ41" i="4"/>
  <c r="BE41" i="4" s="1"/>
  <c r="BA41" i="4"/>
  <c r="BF41" i="4" s="1"/>
  <c r="BC41" i="4"/>
  <c r="BJ41" i="4"/>
  <c r="AX42" i="4"/>
  <c r="BC42" i="4" s="1"/>
  <c r="AY42" i="4"/>
  <c r="AZ42" i="4"/>
  <c r="BE42" i="4" s="1"/>
  <c r="BA42" i="4"/>
  <c r="BD42" i="4"/>
  <c r="BF42" i="4"/>
  <c r="BJ42" i="4"/>
  <c r="BJ8" i="4"/>
  <c r="BH10" i="3"/>
  <c r="BH11" i="3"/>
  <c r="BH12" i="3"/>
  <c r="BH13" i="3"/>
  <c r="BH14" i="3"/>
  <c r="BH15" i="3"/>
  <c r="BH16" i="3"/>
  <c r="BH17" i="3"/>
  <c r="BH18" i="3"/>
  <c r="BH19" i="3"/>
  <c r="BH20" i="3"/>
  <c r="BH21" i="3"/>
  <c r="BH22" i="3"/>
  <c r="BH23" i="3"/>
  <c r="BH24" i="3"/>
  <c r="BH25" i="3"/>
  <c r="BH26" i="3"/>
  <c r="BH27" i="3"/>
  <c r="BH28" i="3"/>
  <c r="BH29" i="3"/>
  <c r="BH30" i="3"/>
  <c r="BH31" i="3"/>
  <c r="BH32" i="3"/>
  <c r="BH33" i="3"/>
  <c r="BH34" i="3"/>
  <c r="BH35" i="3"/>
  <c r="BH36" i="3"/>
  <c r="BH37" i="3"/>
  <c r="BH38" i="3"/>
  <c r="BH39" i="3"/>
  <c r="BH40" i="3"/>
  <c r="BH41" i="3"/>
  <c r="BH42" i="3"/>
  <c r="BH8" i="3"/>
  <c r="BH9" i="3"/>
  <c r="J9" i="3"/>
  <c r="K9" i="3"/>
  <c r="L9" i="3"/>
  <c r="M9" i="3"/>
  <c r="Z9" i="3"/>
  <c r="AA9" i="3"/>
  <c r="AB9" i="3"/>
  <c r="AC9" i="3"/>
  <c r="AH9" i="3"/>
  <c r="AI9" i="3"/>
  <c r="AJ9" i="3"/>
  <c r="AK9" i="3"/>
  <c r="AV9" i="3"/>
  <c r="BA9" i="3" s="1"/>
  <c r="AW9" i="3"/>
  <c r="AX9" i="3"/>
  <c r="BC9" i="3" s="1"/>
  <c r="AY9" i="3"/>
  <c r="BD9" i="3" s="1"/>
  <c r="J10" i="3"/>
  <c r="K10" i="3"/>
  <c r="L10" i="3"/>
  <c r="M10" i="3"/>
  <c r="Z10" i="3"/>
  <c r="AA10" i="3"/>
  <c r="AB10" i="3"/>
  <c r="AC10" i="3"/>
  <c r="AH10" i="3"/>
  <c r="AI10" i="3"/>
  <c r="AJ10" i="3"/>
  <c r="AK10" i="3"/>
  <c r="AV10" i="3"/>
  <c r="BA10" i="3" s="1"/>
  <c r="AW10" i="3"/>
  <c r="AX10" i="3"/>
  <c r="BC10" i="3" s="1"/>
  <c r="AY10" i="3"/>
  <c r="BD10" i="3" s="1"/>
  <c r="J11" i="3"/>
  <c r="K11" i="3"/>
  <c r="L11" i="3"/>
  <c r="M11" i="3"/>
  <c r="Z11" i="3"/>
  <c r="AA11" i="3"/>
  <c r="AB11" i="3"/>
  <c r="AC11" i="3"/>
  <c r="AH11" i="3"/>
  <c r="AI11" i="3"/>
  <c r="AJ11" i="3"/>
  <c r="AK11" i="3"/>
  <c r="AV11" i="3"/>
  <c r="BA11" i="3" s="1"/>
  <c r="AW11" i="3"/>
  <c r="AX11" i="3"/>
  <c r="BC11" i="3" s="1"/>
  <c r="AY11" i="3"/>
  <c r="BD11" i="3" s="1"/>
  <c r="J12" i="3"/>
  <c r="K12" i="3"/>
  <c r="L12" i="3"/>
  <c r="M12" i="3"/>
  <c r="Z12" i="3"/>
  <c r="AA12" i="3"/>
  <c r="AB12" i="3"/>
  <c r="AC12" i="3"/>
  <c r="AH12" i="3"/>
  <c r="AI12" i="3"/>
  <c r="AJ12" i="3"/>
  <c r="AK12" i="3"/>
  <c r="AV12" i="3"/>
  <c r="BA12" i="3" s="1"/>
  <c r="AW12" i="3"/>
  <c r="AX12" i="3"/>
  <c r="BC12" i="3" s="1"/>
  <c r="AY12" i="3"/>
  <c r="BD12" i="3" s="1"/>
  <c r="J13" i="3"/>
  <c r="K13" i="3"/>
  <c r="L13" i="3"/>
  <c r="M13" i="3"/>
  <c r="Z13" i="3"/>
  <c r="AA13" i="3"/>
  <c r="AB13" i="3"/>
  <c r="AC13" i="3"/>
  <c r="AH13" i="3"/>
  <c r="AI13" i="3"/>
  <c r="AJ13" i="3"/>
  <c r="AK13" i="3"/>
  <c r="AV13" i="3"/>
  <c r="BA13" i="3" s="1"/>
  <c r="AW13" i="3"/>
  <c r="AX13" i="3"/>
  <c r="BC13" i="3" s="1"/>
  <c r="AY13" i="3"/>
  <c r="BD13" i="3" s="1"/>
  <c r="J14" i="3"/>
  <c r="K14" i="3"/>
  <c r="L14" i="3"/>
  <c r="M14" i="3"/>
  <c r="Z14" i="3"/>
  <c r="AA14" i="3"/>
  <c r="AB14" i="3"/>
  <c r="AC14" i="3"/>
  <c r="AH14" i="3"/>
  <c r="AI14" i="3"/>
  <c r="AJ14" i="3"/>
  <c r="AK14" i="3"/>
  <c r="AV14" i="3"/>
  <c r="BA14" i="3" s="1"/>
  <c r="AW14" i="3"/>
  <c r="AX14" i="3"/>
  <c r="BC14" i="3" s="1"/>
  <c r="AY14" i="3"/>
  <c r="BD14" i="3" s="1"/>
  <c r="J15" i="3"/>
  <c r="K15" i="3"/>
  <c r="L15" i="3"/>
  <c r="M15" i="3"/>
  <c r="Z15" i="3"/>
  <c r="AA15" i="3"/>
  <c r="AB15" i="3"/>
  <c r="AC15" i="3"/>
  <c r="AH15" i="3"/>
  <c r="AI15" i="3"/>
  <c r="AJ15" i="3"/>
  <c r="AK15" i="3"/>
  <c r="AV15" i="3"/>
  <c r="BA15" i="3" s="1"/>
  <c r="AW15" i="3"/>
  <c r="AX15" i="3"/>
  <c r="BC15" i="3" s="1"/>
  <c r="AY15" i="3"/>
  <c r="BD15" i="3" s="1"/>
  <c r="J16" i="3"/>
  <c r="K16" i="3"/>
  <c r="L16" i="3"/>
  <c r="M16" i="3"/>
  <c r="Z16" i="3"/>
  <c r="AA16" i="3"/>
  <c r="AB16" i="3"/>
  <c r="AC16" i="3"/>
  <c r="AH16" i="3"/>
  <c r="AI16" i="3"/>
  <c r="AJ16" i="3"/>
  <c r="AK16" i="3"/>
  <c r="AV16" i="3"/>
  <c r="BA16" i="3" s="1"/>
  <c r="AW16" i="3"/>
  <c r="AX16" i="3"/>
  <c r="BC16" i="3" s="1"/>
  <c r="AY16" i="3"/>
  <c r="BD16" i="3" s="1"/>
  <c r="J17" i="3"/>
  <c r="K17" i="3"/>
  <c r="L17" i="3"/>
  <c r="M17" i="3"/>
  <c r="Z17" i="3"/>
  <c r="AA17" i="3"/>
  <c r="AB17" i="3"/>
  <c r="AC17" i="3"/>
  <c r="AH17" i="3"/>
  <c r="AI17" i="3"/>
  <c r="AJ17" i="3"/>
  <c r="AK17" i="3"/>
  <c r="AV17" i="3"/>
  <c r="BA17" i="3" s="1"/>
  <c r="AW17" i="3"/>
  <c r="AX17" i="3"/>
  <c r="BC17" i="3" s="1"/>
  <c r="AY17" i="3"/>
  <c r="BD17" i="3" s="1"/>
  <c r="J18" i="3"/>
  <c r="K18" i="3"/>
  <c r="L18" i="3"/>
  <c r="M18" i="3"/>
  <c r="Z18" i="3"/>
  <c r="AA18" i="3"/>
  <c r="AB18" i="3"/>
  <c r="AC18" i="3"/>
  <c r="AH18" i="3"/>
  <c r="AI18" i="3"/>
  <c r="AJ18" i="3"/>
  <c r="AK18" i="3"/>
  <c r="AV18" i="3"/>
  <c r="BA18" i="3" s="1"/>
  <c r="AW18" i="3"/>
  <c r="AX18" i="3"/>
  <c r="BC18" i="3" s="1"/>
  <c r="AY18" i="3"/>
  <c r="BD18" i="3"/>
  <c r="J19" i="3"/>
  <c r="K19" i="3"/>
  <c r="L19" i="3"/>
  <c r="M19" i="3"/>
  <c r="S19" i="3"/>
  <c r="U19" i="3"/>
  <c r="Z19" i="3"/>
  <c r="AA19" i="3"/>
  <c r="AB19" i="3"/>
  <c r="AC19" i="3"/>
  <c r="AH19" i="3"/>
  <c r="AI19" i="3"/>
  <c r="AJ19" i="3"/>
  <c r="AK19" i="3"/>
  <c r="AV19" i="3"/>
  <c r="BA19" i="3" s="1"/>
  <c r="AW19" i="3"/>
  <c r="AX19" i="3"/>
  <c r="BC19" i="3" s="1"/>
  <c r="AY19" i="3"/>
  <c r="BD19" i="3" s="1"/>
  <c r="J20" i="3"/>
  <c r="K20" i="3"/>
  <c r="L20" i="3"/>
  <c r="M20" i="3"/>
  <c r="S20" i="3"/>
  <c r="U20" i="3"/>
  <c r="Z20" i="3"/>
  <c r="AA20" i="3"/>
  <c r="AB20" i="3"/>
  <c r="AC20" i="3"/>
  <c r="AH20" i="3"/>
  <c r="AI20" i="3"/>
  <c r="AJ20" i="3"/>
  <c r="AK20" i="3"/>
  <c r="AV20" i="3"/>
  <c r="BA20" i="3" s="1"/>
  <c r="AW20" i="3"/>
  <c r="AX20" i="3"/>
  <c r="BC20" i="3" s="1"/>
  <c r="AY20" i="3"/>
  <c r="BD20" i="3" s="1"/>
  <c r="J21" i="3"/>
  <c r="K21" i="3"/>
  <c r="L21" i="3"/>
  <c r="M21" i="3"/>
  <c r="S21" i="3"/>
  <c r="U21" i="3"/>
  <c r="Z21" i="3"/>
  <c r="AA21" i="3"/>
  <c r="AB21" i="3"/>
  <c r="AC21" i="3"/>
  <c r="AH21" i="3"/>
  <c r="AI21" i="3"/>
  <c r="AJ21" i="3"/>
  <c r="AK21" i="3"/>
  <c r="AV21" i="3"/>
  <c r="BA21" i="3" s="1"/>
  <c r="AW21" i="3"/>
  <c r="AX21" i="3"/>
  <c r="BC21" i="3" s="1"/>
  <c r="AY21" i="3"/>
  <c r="BD21" i="3" s="1"/>
  <c r="J22" i="3"/>
  <c r="K22" i="3"/>
  <c r="L22" i="3"/>
  <c r="M22" i="3"/>
  <c r="S22" i="3"/>
  <c r="U22" i="3"/>
  <c r="Z22" i="3"/>
  <c r="AA22" i="3"/>
  <c r="AB22" i="3"/>
  <c r="AC22" i="3"/>
  <c r="AH22" i="3"/>
  <c r="AI22" i="3"/>
  <c r="AJ22" i="3"/>
  <c r="AK22" i="3"/>
  <c r="AV22" i="3"/>
  <c r="BA22" i="3" s="1"/>
  <c r="AW22" i="3"/>
  <c r="AX22" i="3"/>
  <c r="BC22" i="3" s="1"/>
  <c r="AY22" i="3"/>
  <c r="BD22" i="3" s="1"/>
  <c r="J23" i="3"/>
  <c r="K23" i="3"/>
  <c r="L23" i="3"/>
  <c r="M23" i="3"/>
  <c r="R23" i="3"/>
  <c r="S23" i="3"/>
  <c r="T23" i="3"/>
  <c r="U23" i="3"/>
  <c r="Z23" i="3"/>
  <c r="AA23" i="3"/>
  <c r="AB23" i="3"/>
  <c r="AC23" i="3"/>
  <c r="AH23" i="3"/>
  <c r="AI23" i="3"/>
  <c r="AJ23" i="3"/>
  <c r="AK23" i="3"/>
  <c r="AV23" i="3"/>
  <c r="BA23" i="3" s="1"/>
  <c r="AW23" i="3"/>
  <c r="BB23" i="3" s="1"/>
  <c r="AX23" i="3"/>
  <c r="BC23" i="3" s="1"/>
  <c r="AY23" i="3"/>
  <c r="BD23" i="3" s="1"/>
  <c r="J24" i="3"/>
  <c r="K24" i="3"/>
  <c r="L24" i="3"/>
  <c r="M24" i="3"/>
  <c r="R24" i="3"/>
  <c r="S24" i="3"/>
  <c r="AQ24" i="3" s="1"/>
  <c r="T24" i="3"/>
  <c r="U24" i="3"/>
  <c r="Z24" i="3"/>
  <c r="AA24" i="3"/>
  <c r="AB24" i="3"/>
  <c r="AC24" i="3"/>
  <c r="AH24" i="3"/>
  <c r="AI24" i="3"/>
  <c r="AJ24" i="3"/>
  <c r="AK24" i="3"/>
  <c r="AV24" i="3"/>
  <c r="BA24" i="3" s="1"/>
  <c r="AW24" i="3"/>
  <c r="BB24" i="3" s="1"/>
  <c r="AX24" i="3"/>
  <c r="BC24" i="3" s="1"/>
  <c r="AY24" i="3"/>
  <c r="BD24" i="3"/>
  <c r="J25" i="3"/>
  <c r="K25" i="3"/>
  <c r="L25" i="3"/>
  <c r="M25" i="3"/>
  <c r="R25" i="3"/>
  <c r="S25" i="3"/>
  <c r="T25" i="3"/>
  <c r="U25" i="3"/>
  <c r="Z25" i="3"/>
  <c r="AA25" i="3"/>
  <c r="AB25" i="3"/>
  <c r="AC25" i="3"/>
  <c r="AH25" i="3"/>
  <c r="AI25" i="3"/>
  <c r="AJ25" i="3"/>
  <c r="AK25" i="3"/>
  <c r="AV25" i="3"/>
  <c r="BA25" i="3" s="1"/>
  <c r="AW25" i="3"/>
  <c r="BB25" i="3" s="1"/>
  <c r="AX25" i="3"/>
  <c r="BC25" i="3" s="1"/>
  <c r="AY25" i="3"/>
  <c r="BD25" i="3" s="1"/>
  <c r="J26" i="3"/>
  <c r="K26" i="3"/>
  <c r="L26" i="3"/>
  <c r="M26" i="3"/>
  <c r="R26" i="3"/>
  <c r="S26" i="3"/>
  <c r="AQ26" i="3" s="1"/>
  <c r="T26" i="3"/>
  <c r="U26" i="3"/>
  <c r="Z26" i="3"/>
  <c r="AA26" i="3"/>
  <c r="AB26" i="3"/>
  <c r="AC26" i="3"/>
  <c r="AH26" i="3"/>
  <c r="AI26" i="3"/>
  <c r="AJ26" i="3"/>
  <c r="AK26" i="3"/>
  <c r="AV26" i="3"/>
  <c r="BA26" i="3" s="1"/>
  <c r="AW26" i="3"/>
  <c r="BB26" i="3" s="1"/>
  <c r="AX26" i="3"/>
  <c r="BC26" i="3" s="1"/>
  <c r="AY26" i="3"/>
  <c r="BD26" i="3"/>
  <c r="J27" i="3"/>
  <c r="K27" i="3"/>
  <c r="L27" i="3"/>
  <c r="M27" i="3"/>
  <c r="R27" i="3"/>
  <c r="S27" i="3"/>
  <c r="AQ27" i="3" s="1"/>
  <c r="T27" i="3"/>
  <c r="U27" i="3"/>
  <c r="Z27" i="3"/>
  <c r="AA27" i="3"/>
  <c r="AB27" i="3"/>
  <c r="AC27" i="3"/>
  <c r="AH27" i="3"/>
  <c r="AI27" i="3"/>
  <c r="AJ27" i="3"/>
  <c r="AK27" i="3"/>
  <c r="AV27" i="3"/>
  <c r="BA27" i="3" s="1"/>
  <c r="AW27" i="3"/>
  <c r="BB27" i="3" s="1"/>
  <c r="AX27" i="3"/>
  <c r="BC27" i="3" s="1"/>
  <c r="AY27" i="3"/>
  <c r="BD27" i="3" s="1"/>
  <c r="J28" i="3"/>
  <c r="K28" i="3"/>
  <c r="L28" i="3"/>
  <c r="M28" i="3"/>
  <c r="R28" i="3"/>
  <c r="S28" i="3"/>
  <c r="AQ28" i="3" s="1"/>
  <c r="T28" i="3"/>
  <c r="U28" i="3"/>
  <c r="Z28" i="3"/>
  <c r="AA28" i="3"/>
  <c r="AB28" i="3"/>
  <c r="AC28" i="3"/>
  <c r="AH28" i="3"/>
  <c r="AI28" i="3"/>
  <c r="AJ28" i="3"/>
  <c r="AK28" i="3"/>
  <c r="AV28" i="3"/>
  <c r="BA28" i="3" s="1"/>
  <c r="AW28" i="3"/>
  <c r="BB28" i="3" s="1"/>
  <c r="AX28" i="3"/>
  <c r="BC28" i="3" s="1"/>
  <c r="AY28" i="3"/>
  <c r="BD28" i="3"/>
  <c r="J29" i="3"/>
  <c r="K29" i="3"/>
  <c r="L29" i="3"/>
  <c r="M29" i="3"/>
  <c r="R29" i="3"/>
  <c r="S29" i="3"/>
  <c r="AQ29" i="3" s="1"/>
  <c r="T29" i="3"/>
  <c r="U29" i="3"/>
  <c r="Z29" i="3"/>
  <c r="AA29" i="3"/>
  <c r="AB29" i="3"/>
  <c r="AC29" i="3"/>
  <c r="AH29" i="3"/>
  <c r="AI29" i="3"/>
  <c r="AJ29" i="3"/>
  <c r="AK29" i="3"/>
  <c r="AV29" i="3"/>
  <c r="BA29" i="3" s="1"/>
  <c r="AW29" i="3"/>
  <c r="BB29" i="3" s="1"/>
  <c r="AX29" i="3"/>
  <c r="BC29" i="3" s="1"/>
  <c r="AY29" i="3"/>
  <c r="BD29" i="3" s="1"/>
  <c r="J30" i="3"/>
  <c r="K30" i="3"/>
  <c r="L30" i="3"/>
  <c r="M30" i="3"/>
  <c r="R30" i="3"/>
  <c r="S30" i="3"/>
  <c r="AQ30" i="3" s="1"/>
  <c r="T30" i="3"/>
  <c r="U30" i="3"/>
  <c r="Z30" i="3"/>
  <c r="AA30" i="3"/>
  <c r="AB30" i="3"/>
  <c r="AC30" i="3"/>
  <c r="AH30" i="3"/>
  <c r="AI30" i="3"/>
  <c r="AJ30" i="3"/>
  <c r="AK30" i="3"/>
  <c r="AV30" i="3"/>
  <c r="BA30" i="3" s="1"/>
  <c r="AW30" i="3"/>
  <c r="BB30" i="3" s="1"/>
  <c r="AX30" i="3"/>
  <c r="BC30" i="3" s="1"/>
  <c r="AY30" i="3"/>
  <c r="BD30" i="3"/>
  <c r="J31" i="3"/>
  <c r="K31" i="3"/>
  <c r="L31" i="3"/>
  <c r="M31" i="3"/>
  <c r="R31" i="3"/>
  <c r="S31" i="3"/>
  <c r="T31" i="3"/>
  <c r="U31" i="3"/>
  <c r="Z31" i="3"/>
  <c r="AA31" i="3"/>
  <c r="AB31" i="3"/>
  <c r="AC31" i="3"/>
  <c r="AH31" i="3"/>
  <c r="AI31" i="3"/>
  <c r="AJ31" i="3"/>
  <c r="AK31" i="3"/>
  <c r="AV31" i="3"/>
  <c r="BA31" i="3" s="1"/>
  <c r="AW31" i="3"/>
  <c r="BB31" i="3" s="1"/>
  <c r="AX31" i="3"/>
  <c r="BC31" i="3" s="1"/>
  <c r="AY31" i="3"/>
  <c r="BD31" i="3"/>
  <c r="J32" i="3"/>
  <c r="K32" i="3"/>
  <c r="L32" i="3"/>
  <c r="M32" i="3"/>
  <c r="R32" i="3"/>
  <c r="S32" i="3"/>
  <c r="AQ32" i="3" s="1"/>
  <c r="T32" i="3"/>
  <c r="U32" i="3"/>
  <c r="Z32" i="3"/>
  <c r="AA32" i="3"/>
  <c r="AB32" i="3"/>
  <c r="AC32" i="3"/>
  <c r="AH32" i="3"/>
  <c r="AI32" i="3"/>
  <c r="AJ32" i="3"/>
  <c r="AK32" i="3"/>
  <c r="AV32" i="3"/>
  <c r="BA32" i="3" s="1"/>
  <c r="AW32" i="3"/>
  <c r="BB32" i="3" s="1"/>
  <c r="AX32" i="3"/>
  <c r="BC32" i="3" s="1"/>
  <c r="AY32" i="3"/>
  <c r="BD32" i="3"/>
  <c r="J33" i="3"/>
  <c r="K33" i="3"/>
  <c r="L33" i="3"/>
  <c r="M33" i="3"/>
  <c r="R33" i="3"/>
  <c r="S33" i="3"/>
  <c r="T33" i="3"/>
  <c r="U33" i="3"/>
  <c r="Z33" i="3"/>
  <c r="AA33" i="3"/>
  <c r="AB33" i="3"/>
  <c r="AC33" i="3"/>
  <c r="AH33" i="3"/>
  <c r="AI33" i="3"/>
  <c r="AJ33" i="3"/>
  <c r="AK33" i="3"/>
  <c r="AV33" i="3"/>
  <c r="BA33" i="3" s="1"/>
  <c r="AW33" i="3"/>
  <c r="BB33" i="3" s="1"/>
  <c r="AX33" i="3"/>
  <c r="BC33" i="3" s="1"/>
  <c r="AY33" i="3"/>
  <c r="BD33" i="3"/>
  <c r="J34" i="3"/>
  <c r="K34" i="3"/>
  <c r="L34" i="3"/>
  <c r="M34" i="3"/>
  <c r="R34" i="3"/>
  <c r="S34" i="3"/>
  <c r="AQ34" i="3" s="1"/>
  <c r="T34" i="3"/>
  <c r="U34" i="3"/>
  <c r="Z34" i="3"/>
  <c r="AA34" i="3"/>
  <c r="AB34" i="3"/>
  <c r="AC34" i="3"/>
  <c r="AH34" i="3"/>
  <c r="AI34" i="3"/>
  <c r="AJ34" i="3"/>
  <c r="AK34" i="3"/>
  <c r="AV34" i="3"/>
  <c r="BA34" i="3" s="1"/>
  <c r="AW34" i="3"/>
  <c r="BB34" i="3" s="1"/>
  <c r="AX34" i="3"/>
  <c r="BC34" i="3" s="1"/>
  <c r="AY34" i="3"/>
  <c r="BD34" i="3"/>
  <c r="J35" i="3"/>
  <c r="K35" i="3"/>
  <c r="L35" i="3"/>
  <c r="M35" i="3"/>
  <c r="R35" i="3"/>
  <c r="S35" i="3"/>
  <c r="T35" i="3"/>
  <c r="U35" i="3"/>
  <c r="Z35" i="3"/>
  <c r="AA35" i="3"/>
  <c r="AB35" i="3"/>
  <c r="AC35" i="3"/>
  <c r="AH35" i="3"/>
  <c r="AI35" i="3"/>
  <c r="AJ35" i="3"/>
  <c r="AK35" i="3"/>
  <c r="AV35" i="3"/>
  <c r="BA35" i="3" s="1"/>
  <c r="AW35" i="3"/>
  <c r="BB35" i="3" s="1"/>
  <c r="AX35" i="3"/>
  <c r="BC35" i="3" s="1"/>
  <c r="AY35" i="3"/>
  <c r="BD35" i="3"/>
  <c r="J36" i="3"/>
  <c r="K36" i="3"/>
  <c r="L36" i="3"/>
  <c r="M36" i="3"/>
  <c r="R36" i="3"/>
  <c r="S36" i="3"/>
  <c r="AQ36" i="3" s="1"/>
  <c r="T36" i="3"/>
  <c r="U36" i="3"/>
  <c r="Z36" i="3"/>
  <c r="AA36" i="3"/>
  <c r="AB36" i="3"/>
  <c r="AC36" i="3"/>
  <c r="AH36" i="3"/>
  <c r="AI36" i="3"/>
  <c r="AJ36" i="3"/>
  <c r="AK36" i="3"/>
  <c r="AV36" i="3"/>
  <c r="BA36" i="3" s="1"/>
  <c r="AW36" i="3"/>
  <c r="BB36" i="3" s="1"/>
  <c r="AX36" i="3"/>
  <c r="BC36" i="3" s="1"/>
  <c r="AY36" i="3"/>
  <c r="BD36" i="3" s="1"/>
  <c r="J37" i="3"/>
  <c r="K37" i="3"/>
  <c r="L37" i="3"/>
  <c r="M37" i="3"/>
  <c r="R37" i="3"/>
  <c r="S37" i="3"/>
  <c r="T37" i="3"/>
  <c r="U37" i="3"/>
  <c r="Z37" i="3"/>
  <c r="AA37" i="3"/>
  <c r="AB37" i="3"/>
  <c r="AC37" i="3"/>
  <c r="AH37" i="3"/>
  <c r="AI37" i="3"/>
  <c r="AJ37" i="3"/>
  <c r="AK37" i="3"/>
  <c r="AV37" i="3"/>
  <c r="BA37" i="3" s="1"/>
  <c r="AW37" i="3"/>
  <c r="BB37" i="3" s="1"/>
  <c r="AX37" i="3"/>
  <c r="BC37" i="3" s="1"/>
  <c r="AY37" i="3"/>
  <c r="AZ37" i="3"/>
  <c r="AU37" i="3" s="1"/>
  <c r="BF37" i="3" s="1"/>
  <c r="BD37" i="3"/>
  <c r="J38" i="3"/>
  <c r="K38" i="3"/>
  <c r="L38" i="3"/>
  <c r="M38" i="3"/>
  <c r="R38" i="3"/>
  <c r="S38" i="3"/>
  <c r="T38" i="3"/>
  <c r="U38" i="3"/>
  <c r="Z38" i="3"/>
  <c r="AA38" i="3"/>
  <c r="AB38" i="3"/>
  <c r="AC38" i="3"/>
  <c r="AH38" i="3"/>
  <c r="AI38" i="3"/>
  <c r="AJ38" i="3"/>
  <c r="AK38" i="3"/>
  <c r="AQ38" i="3"/>
  <c r="AV38" i="3"/>
  <c r="BA38" i="3" s="1"/>
  <c r="AW38" i="3"/>
  <c r="BB38" i="3" s="1"/>
  <c r="AX38" i="3"/>
  <c r="BC38" i="3" s="1"/>
  <c r="AY38" i="3"/>
  <c r="BD38" i="3" s="1"/>
  <c r="J39" i="3"/>
  <c r="K39" i="3"/>
  <c r="L39" i="3"/>
  <c r="M39" i="3"/>
  <c r="R39" i="3"/>
  <c r="S39" i="3"/>
  <c r="T39" i="3"/>
  <c r="U39" i="3"/>
  <c r="Z39" i="3"/>
  <c r="AA39" i="3"/>
  <c r="AB39" i="3"/>
  <c r="AC39" i="3"/>
  <c r="AH39" i="3"/>
  <c r="AI39" i="3"/>
  <c r="AJ39" i="3"/>
  <c r="AK39" i="3"/>
  <c r="AV39" i="3"/>
  <c r="BA39" i="3" s="1"/>
  <c r="AW39" i="3"/>
  <c r="BB39" i="3" s="1"/>
  <c r="AX39" i="3"/>
  <c r="BC39" i="3" s="1"/>
  <c r="AY39" i="3"/>
  <c r="AZ39" i="3"/>
  <c r="AU39" i="3" s="1"/>
  <c r="BF39" i="3" s="1"/>
  <c r="BD39" i="3"/>
  <c r="J40" i="3"/>
  <c r="K40" i="3"/>
  <c r="L40" i="3"/>
  <c r="M40" i="3"/>
  <c r="R40" i="3"/>
  <c r="S40" i="3"/>
  <c r="T40" i="3"/>
  <c r="U40" i="3"/>
  <c r="Z40" i="3"/>
  <c r="AA40" i="3"/>
  <c r="AB40" i="3"/>
  <c r="AC40" i="3"/>
  <c r="AH40" i="3"/>
  <c r="AI40" i="3"/>
  <c r="AJ40" i="3"/>
  <c r="AK40" i="3"/>
  <c r="AQ40" i="3"/>
  <c r="AV40" i="3"/>
  <c r="BA40" i="3" s="1"/>
  <c r="AW40" i="3"/>
  <c r="BB40" i="3" s="1"/>
  <c r="AX40" i="3"/>
  <c r="BC40" i="3" s="1"/>
  <c r="AY40" i="3"/>
  <c r="BD40" i="3" s="1"/>
  <c r="J41" i="3"/>
  <c r="K41" i="3"/>
  <c r="L41" i="3"/>
  <c r="M41" i="3"/>
  <c r="R41" i="3"/>
  <c r="S41" i="3"/>
  <c r="T41" i="3"/>
  <c r="U41" i="3"/>
  <c r="Z41" i="3"/>
  <c r="AA41" i="3"/>
  <c r="AB41" i="3"/>
  <c r="AC41" i="3"/>
  <c r="AH41" i="3"/>
  <c r="AI41" i="3"/>
  <c r="AJ41" i="3"/>
  <c r="AK41" i="3"/>
  <c r="AV41" i="3"/>
  <c r="BA41" i="3" s="1"/>
  <c r="AW41" i="3"/>
  <c r="BB41" i="3" s="1"/>
  <c r="AX41" i="3"/>
  <c r="BC41" i="3" s="1"/>
  <c r="AY41" i="3"/>
  <c r="BD41" i="3" s="1"/>
  <c r="J42" i="3"/>
  <c r="K42" i="3"/>
  <c r="L42" i="3"/>
  <c r="M42" i="3"/>
  <c r="R42" i="3"/>
  <c r="S42" i="3"/>
  <c r="T42" i="3"/>
  <c r="U42" i="3"/>
  <c r="Z42" i="3"/>
  <c r="AA42" i="3"/>
  <c r="AB42" i="3"/>
  <c r="AC42" i="3"/>
  <c r="AH42" i="3"/>
  <c r="AI42" i="3"/>
  <c r="AJ42" i="3"/>
  <c r="AK42" i="3"/>
  <c r="AV42" i="3"/>
  <c r="BA42" i="3" s="1"/>
  <c r="AW42" i="3"/>
  <c r="BB42" i="3" s="1"/>
  <c r="AX42" i="3"/>
  <c r="BC42" i="3" s="1"/>
  <c r="AY42" i="3"/>
  <c r="BD42" i="3"/>
  <c r="AK8" i="3"/>
  <c r="AJ8" i="3"/>
  <c r="AI8" i="3"/>
  <c r="AH8" i="3"/>
  <c r="AC8" i="3"/>
  <c r="AB8" i="3"/>
  <c r="AA8" i="3"/>
  <c r="Z8" i="3"/>
  <c r="M8" i="3"/>
  <c r="L8" i="3"/>
  <c r="K8" i="3"/>
  <c r="M7" i="3"/>
  <c r="L7" i="3"/>
  <c r="T7" i="3" s="1"/>
  <c r="AB7" i="3" s="1"/>
  <c r="AJ7" i="3" s="1"/>
  <c r="K7" i="3"/>
  <c r="S7" i="3" s="1"/>
  <c r="AA7" i="3" s="1"/>
  <c r="AI7" i="3" s="1"/>
  <c r="J7" i="3"/>
  <c r="R7" i="3" s="1"/>
  <c r="Z7" i="3" s="1"/>
  <c r="AH7" i="3" s="1"/>
  <c r="AY8" i="3"/>
  <c r="BD8" i="3" s="1"/>
  <c r="AX8" i="3"/>
  <c r="BC8" i="3" s="1"/>
  <c r="AW8" i="3"/>
  <c r="AV8" i="3"/>
  <c r="U7" i="3"/>
  <c r="AC7" i="3" s="1"/>
  <c r="AK7" i="3" s="1"/>
  <c r="AP41" i="3" l="1"/>
  <c r="T18" i="3"/>
  <c r="R18" i="3"/>
  <c r="U17" i="3"/>
  <c r="S17" i="3"/>
  <c r="U16" i="3"/>
  <c r="S16" i="3"/>
  <c r="U15" i="3"/>
  <c r="S15" i="3"/>
  <c r="U14" i="3"/>
  <c r="S14" i="3"/>
  <c r="U13" i="3"/>
  <c r="S13" i="3"/>
  <c r="U12" i="3"/>
  <c r="S12" i="3"/>
  <c r="U11" i="3"/>
  <c r="S11" i="3"/>
  <c r="U10" i="3"/>
  <c r="S10" i="3"/>
  <c r="BB24" i="4"/>
  <c r="AW24" i="4" s="1"/>
  <c r="AQ35" i="3"/>
  <c r="AQ33" i="3"/>
  <c r="AQ31" i="3"/>
  <c r="AQ25" i="3"/>
  <c r="AQ23" i="3"/>
  <c r="R8" i="3"/>
  <c r="AS42" i="3"/>
  <c r="AQ42" i="3"/>
  <c r="AP42" i="3"/>
  <c r="AR39" i="3"/>
  <c r="AQ39" i="3"/>
  <c r="AQ37" i="3"/>
  <c r="AZ35" i="3"/>
  <c r="AU35" i="3" s="1"/>
  <c r="BF35" i="3" s="1"/>
  <c r="AZ33" i="3"/>
  <c r="AU33" i="3" s="1"/>
  <c r="BF33" i="3" s="1"/>
  <c r="AZ31" i="3"/>
  <c r="AU31" i="3" s="1"/>
  <c r="BF31" i="3" s="1"/>
  <c r="AZ29" i="3"/>
  <c r="AU29" i="3" s="1"/>
  <c r="BF29" i="3" s="1"/>
  <c r="AZ27" i="3"/>
  <c r="AU27" i="3" s="1"/>
  <c r="BF27" i="3" s="1"/>
  <c r="AZ25" i="3"/>
  <c r="AU25" i="3" s="1"/>
  <c r="BF25" i="3" s="1"/>
  <c r="AZ23" i="3"/>
  <c r="AU23" i="3" s="1"/>
  <c r="BF23" i="3" s="1"/>
  <c r="T22" i="3"/>
  <c r="R22" i="3"/>
  <c r="T21" i="3"/>
  <c r="R21" i="3"/>
  <c r="T20" i="3"/>
  <c r="R20" i="3"/>
  <c r="T19" i="3"/>
  <c r="R19" i="3"/>
  <c r="U18" i="3"/>
  <c r="S18" i="3"/>
  <c r="T17" i="3"/>
  <c r="R17" i="3"/>
  <c r="T16" i="3"/>
  <c r="R16" i="3"/>
  <c r="T15" i="3"/>
  <c r="R15" i="3"/>
  <c r="T14" i="3"/>
  <c r="R14" i="3"/>
  <c r="T13" i="3"/>
  <c r="R13" i="3"/>
  <c r="T12" i="3"/>
  <c r="R12" i="3"/>
  <c r="T11" i="3"/>
  <c r="R11" i="3"/>
  <c r="T10" i="3"/>
  <c r="R10" i="3"/>
  <c r="BB32" i="4"/>
  <c r="AW32" i="4" s="1"/>
  <c r="BB26" i="4"/>
  <c r="AW26" i="4" s="1"/>
  <c r="BD24" i="4"/>
  <c r="BB12" i="4"/>
  <c r="AW12" i="4" s="1"/>
  <c r="BB20" i="4"/>
  <c r="AW20" i="4" s="1"/>
  <c r="BB18" i="4"/>
  <c r="AW18" i="4" s="1"/>
  <c r="BB16" i="4"/>
  <c r="AW16" i="4" s="1"/>
  <c r="BB10" i="4"/>
  <c r="AW10" i="4" s="1"/>
  <c r="AQ22" i="3"/>
  <c r="BB22" i="3" s="1"/>
  <c r="AZ21" i="3"/>
  <c r="AU21" i="3" s="1"/>
  <c r="AQ21" i="3"/>
  <c r="BB21" i="3" s="1"/>
  <c r="AQ20" i="3"/>
  <c r="BB20" i="3" s="1"/>
  <c r="AQ19" i="3"/>
  <c r="BB19" i="3" s="1"/>
  <c r="AZ19" i="3"/>
  <c r="AU19" i="3" s="1"/>
  <c r="AQ18" i="3"/>
  <c r="BB18" i="3" s="1"/>
  <c r="AZ17" i="3"/>
  <c r="AU17" i="3" s="1"/>
  <c r="AQ17" i="3"/>
  <c r="BB17" i="3" s="1"/>
  <c r="AQ16" i="3"/>
  <c r="BB16" i="3" s="1"/>
  <c r="AZ15" i="3"/>
  <c r="AU15" i="3" s="1"/>
  <c r="AQ15" i="3"/>
  <c r="BB15" i="3" s="1"/>
  <c r="AQ14" i="3"/>
  <c r="BB14" i="3" s="1"/>
  <c r="AZ13" i="3"/>
  <c r="AU13" i="3" s="1"/>
  <c r="AQ13" i="3"/>
  <c r="BB13" i="3" s="1"/>
  <c r="AQ12" i="3"/>
  <c r="BB12" i="3" s="1"/>
  <c r="AZ11" i="3"/>
  <c r="AU11" i="3" s="1"/>
  <c r="AQ11" i="3"/>
  <c r="BB11" i="3" s="1"/>
  <c r="BF11" i="3" s="1"/>
  <c r="AQ10" i="3"/>
  <c r="BB10" i="3" s="1"/>
  <c r="S8" i="3"/>
  <c r="U8" i="3"/>
  <c r="AZ42" i="3"/>
  <c r="AU42" i="3" s="1"/>
  <c r="AR42" i="3"/>
  <c r="AS41" i="3"/>
  <c r="AR41" i="3"/>
  <c r="AQ41" i="3"/>
  <c r="AP39" i="3"/>
  <c r="AS35" i="3"/>
  <c r="AZ8" i="3"/>
  <c r="J8" i="3"/>
  <c r="T8" i="3"/>
  <c r="AZ41" i="3"/>
  <c r="AU41" i="3" s="1"/>
  <c r="AZ40" i="3"/>
  <c r="AU40" i="3" s="1"/>
  <c r="AS40" i="3"/>
  <c r="AR40" i="3"/>
  <c r="AP40" i="3"/>
  <c r="AZ38" i="3"/>
  <c r="AU38" i="3" s="1"/>
  <c r="BF38" i="3" s="1"/>
  <c r="AS38" i="3"/>
  <c r="AR38" i="3"/>
  <c r="AP38" i="3"/>
  <c r="AZ36" i="3"/>
  <c r="AU36" i="3" s="1"/>
  <c r="BF36" i="3" s="1"/>
  <c r="AS36" i="3"/>
  <c r="AR36" i="3"/>
  <c r="AP36" i="3"/>
  <c r="AZ34" i="3"/>
  <c r="AU34" i="3" s="1"/>
  <c r="BF34" i="3" s="1"/>
  <c r="AS34" i="3"/>
  <c r="AR34" i="3"/>
  <c r="AP34" i="3"/>
  <c r="AZ32" i="3"/>
  <c r="AU32" i="3" s="1"/>
  <c r="BF32" i="3" s="1"/>
  <c r="AS32" i="3"/>
  <c r="AR32" i="3"/>
  <c r="AP32" i="3"/>
  <c r="AZ30" i="3"/>
  <c r="AU30" i="3" s="1"/>
  <c r="BF30" i="3" s="1"/>
  <c r="AS30" i="3"/>
  <c r="AR30" i="3"/>
  <c r="AP30" i="3"/>
  <c r="AZ28" i="3"/>
  <c r="AU28" i="3" s="1"/>
  <c r="BF28" i="3" s="1"/>
  <c r="AS28" i="3"/>
  <c r="AR28" i="3"/>
  <c r="AP28" i="3"/>
  <c r="AZ26" i="3"/>
  <c r="AU26" i="3" s="1"/>
  <c r="BF26" i="3" s="1"/>
  <c r="AS26" i="3"/>
  <c r="AR26" i="3"/>
  <c r="AP26" i="3"/>
  <c r="AZ24" i="3"/>
  <c r="AU24" i="3" s="1"/>
  <c r="BF24" i="3" s="1"/>
  <c r="AS24" i="3"/>
  <c r="AR24" i="3"/>
  <c r="AP24" i="3"/>
  <c r="AZ22" i="3"/>
  <c r="AU22" i="3" s="1"/>
  <c r="AS22" i="3"/>
  <c r="AR22" i="3"/>
  <c r="AP22" i="3"/>
  <c r="AZ20" i="3"/>
  <c r="AU20" i="3" s="1"/>
  <c r="AS20" i="3"/>
  <c r="AR20" i="3"/>
  <c r="AP20" i="3"/>
  <c r="AZ18" i="3"/>
  <c r="AU18" i="3" s="1"/>
  <c r="AS18" i="3"/>
  <c r="AR18" i="3"/>
  <c r="AP18" i="3"/>
  <c r="AZ16" i="3"/>
  <c r="AU16" i="3" s="1"/>
  <c r="AS16" i="3"/>
  <c r="AR16" i="3"/>
  <c r="AP16" i="3"/>
  <c r="AZ14" i="3"/>
  <c r="AU14" i="3" s="1"/>
  <c r="AS14" i="3"/>
  <c r="AR14" i="3"/>
  <c r="AP14" i="3"/>
  <c r="AZ12" i="3"/>
  <c r="AU12" i="3" s="1"/>
  <c r="AS12" i="3"/>
  <c r="AR12" i="3"/>
  <c r="AP12" i="3"/>
  <c r="AZ10" i="3"/>
  <c r="AU10" i="3" s="1"/>
  <c r="AS10" i="3"/>
  <c r="AR10" i="3"/>
  <c r="AP10" i="3"/>
  <c r="AS9" i="3"/>
  <c r="AR9" i="3"/>
  <c r="U9" i="3"/>
  <c r="S9" i="3"/>
  <c r="AP9" i="3"/>
  <c r="BB39" i="4"/>
  <c r="AW39" i="4" s="1"/>
  <c r="BB35" i="4"/>
  <c r="AW35" i="4" s="1"/>
  <c r="BB30" i="4"/>
  <c r="AW30" i="4" s="1"/>
  <c r="BB27" i="4"/>
  <c r="AW27" i="4" s="1"/>
  <c r="BB22" i="4"/>
  <c r="AW22" i="4" s="1"/>
  <c r="BB19" i="4"/>
  <c r="AW19" i="4" s="1"/>
  <c r="BB14" i="4"/>
  <c r="AW14" i="4" s="1"/>
  <c r="AS39" i="3"/>
  <c r="AS37" i="3"/>
  <c r="AR37" i="3"/>
  <c r="AP37" i="3"/>
  <c r="AR35" i="3"/>
  <c r="AP35" i="3"/>
  <c r="AS33" i="3"/>
  <c r="AR33" i="3"/>
  <c r="AP33" i="3"/>
  <c r="AS31" i="3"/>
  <c r="AR31" i="3"/>
  <c r="AP31" i="3"/>
  <c r="AS29" i="3"/>
  <c r="AR29" i="3"/>
  <c r="AP29" i="3"/>
  <c r="AS27" i="3"/>
  <c r="AR27" i="3"/>
  <c r="AP27" i="3"/>
  <c r="AS25" i="3"/>
  <c r="AR25" i="3"/>
  <c r="AP25" i="3"/>
  <c r="AS23" i="3"/>
  <c r="AR23" i="3"/>
  <c r="AP23" i="3"/>
  <c r="AS21" i="3"/>
  <c r="AR21" i="3"/>
  <c r="AP21" i="3"/>
  <c r="AS19" i="3"/>
  <c r="AR19" i="3"/>
  <c r="AP19" i="3"/>
  <c r="AS17" i="3"/>
  <c r="AR17" i="3"/>
  <c r="AP17" i="3"/>
  <c r="AS15" i="3"/>
  <c r="AR15" i="3"/>
  <c r="AP15" i="3"/>
  <c r="AS13" i="3"/>
  <c r="AR13" i="3"/>
  <c r="AP13" i="3"/>
  <c r="AS11" i="3"/>
  <c r="AR11" i="3"/>
  <c r="AP11" i="3"/>
  <c r="T9" i="3"/>
  <c r="R9" i="3"/>
  <c r="BB40" i="4"/>
  <c r="AW40" i="4" s="1"/>
  <c r="BB36" i="4"/>
  <c r="AW36" i="4" s="1"/>
  <c r="BB31" i="4"/>
  <c r="AW31" i="4" s="1"/>
  <c r="BB23" i="4"/>
  <c r="AW23" i="4" s="1"/>
  <c r="BB15" i="4"/>
  <c r="AW15" i="4" s="1"/>
  <c r="BB11" i="4"/>
  <c r="AW11" i="4" s="1"/>
  <c r="BB9" i="4"/>
  <c r="AW9" i="4" s="1"/>
  <c r="BH24" i="4"/>
  <c r="BH32" i="4"/>
  <c r="BH38" i="4"/>
  <c r="BH34" i="4"/>
  <c r="BH28" i="4"/>
  <c r="BH26" i="4"/>
  <c r="BH30" i="4"/>
  <c r="BB41" i="4"/>
  <c r="AW41" i="4" s="1"/>
  <c r="BH41" i="4" s="1"/>
  <c r="BC40" i="4"/>
  <c r="BD39" i="4"/>
  <c r="BH39" i="4" s="1"/>
  <c r="BE38" i="4"/>
  <c r="BB37" i="4"/>
  <c r="AW37" i="4" s="1"/>
  <c r="BH37" i="4" s="1"/>
  <c r="BC36" i="4"/>
  <c r="BH36" i="4" s="1"/>
  <c r="BD35" i="4"/>
  <c r="BH35" i="4" s="1"/>
  <c r="BE34" i="4"/>
  <c r="BB33" i="4"/>
  <c r="AW33" i="4" s="1"/>
  <c r="BH33" i="4" s="1"/>
  <c r="BD31" i="4"/>
  <c r="BH31" i="4" s="1"/>
  <c r="BE30" i="4"/>
  <c r="BB29" i="4"/>
  <c r="AW29" i="4" s="1"/>
  <c r="BH29" i="4" s="1"/>
  <c r="BD27" i="4"/>
  <c r="BH27" i="4" s="1"/>
  <c r="BE26" i="4"/>
  <c r="BB25" i="4"/>
  <c r="AW25" i="4" s="1"/>
  <c r="BH25" i="4" s="1"/>
  <c r="BD23" i="4"/>
  <c r="BH23" i="4" s="1"/>
  <c r="BB21" i="4"/>
  <c r="AW21" i="4" s="1"/>
  <c r="BB17" i="4"/>
  <c r="AW17" i="4" s="1"/>
  <c r="BB13" i="4"/>
  <c r="AW13" i="4" s="1"/>
  <c r="BB42" i="4"/>
  <c r="AW42" i="4" s="1"/>
  <c r="BH42" i="4" s="1"/>
  <c r="BF42" i="3"/>
  <c r="BF41" i="3"/>
  <c r="BF40" i="3"/>
  <c r="AZ9" i="3"/>
  <c r="AU9" i="3" s="1"/>
  <c r="AS8" i="3"/>
  <c r="AR8" i="3"/>
  <c r="AP8" i="3"/>
  <c r="BA8" i="3" s="1"/>
  <c r="AQ8" i="3" l="1"/>
  <c r="BB8" i="3" s="1"/>
  <c r="BF21" i="3"/>
  <c r="BF22" i="3"/>
  <c r="BF20" i="3"/>
  <c r="BF19" i="3"/>
  <c r="BF18" i="3"/>
  <c r="BF17" i="3"/>
  <c r="BF16" i="3"/>
  <c r="BF15" i="3"/>
  <c r="BF14" i="3"/>
  <c r="BF13" i="3"/>
  <c r="BF12" i="3"/>
  <c r="BF10" i="3"/>
  <c r="BH40" i="4"/>
  <c r="AQ9" i="3"/>
  <c r="BB9" i="3" s="1"/>
  <c r="BF9" i="3" s="1"/>
  <c r="G32" i="39"/>
  <c r="H32" i="39" s="1"/>
  <c r="J33" i="39" s="1"/>
  <c r="I31" i="39" s="1"/>
  <c r="D32" i="39"/>
  <c r="D31" i="39"/>
  <c r="J32" i="39" l="1"/>
  <c r="I30" i="39" s="1"/>
  <c r="I29" i="39" l="1"/>
  <c r="D29" i="39" s="1"/>
  <c r="L29" i="39"/>
  <c r="O29" i="39"/>
  <c r="D30" i="39" l="1"/>
  <c r="F106" i="40"/>
  <c r="F105" i="40"/>
  <c r="F104" i="40"/>
  <c r="F102" i="40"/>
  <c r="F101" i="40"/>
  <c r="F100" i="40"/>
  <c r="F99" i="40"/>
  <c r="F98" i="40"/>
  <c r="F96" i="40"/>
  <c r="F95" i="40"/>
  <c r="F93" i="40"/>
  <c r="F92" i="40"/>
  <c r="F89" i="40"/>
  <c r="F88" i="40"/>
  <c r="F87" i="40"/>
  <c r="F86" i="40"/>
  <c r="F85" i="40"/>
  <c r="H18" i="37" l="1"/>
  <c r="C6" i="5"/>
  <c r="D6" i="5"/>
  <c r="E6" i="5"/>
  <c r="F6" i="5"/>
  <c r="G6" i="5"/>
  <c r="H6" i="5"/>
  <c r="I6" i="5"/>
  <c r="J6" i="5"/>
  <c r="K6" i="5"/>
  <c r="L6" i="5"/>
  <c r="M6" i="5"/>
  <c r="N6" i="5"/>
  <c r="O6" i="5"/>
  <c r="P6" i="5"/>
  <c r="AC6" i="5"/>
  <c r="AD6" i="5"/>
  <c r="C7" i="5"/>
  <c r="D7" i="5"/>
  <c r="E7" i="5"/>
  <c r="F7" i="5"/>
  <c r="G7" i="5"/>
  <c r="H7" i="5"/>
  <c r="I7" i="5"/>
  <c r="J7" i="5"/>
  <c r="K7" i="5"/>
  <c r="L7" i="5"/>
  <c r="M7" i="5"/>
  <c r="N7" i="5"/>
  <c r="O7" i="5"/>
  <c r="P7" i="5"/>
  <c r="AC7" i="5"/>
  <c r="AD7" i="5"/>
  <c r="C8" i="5"/>
  <c r="D8" i="5"/>
  <c r="E8" i="5"/>
  <c r="F8" i="5"/>
  <c r="G8" i="5"/>
  <c r="H8" i="5"/>
  <c r="I8" i="5"/>
  <c r="J8" i="5"/>
  <c r="K8" i="5"/>
  <c r="L8" i="5"/>
  <c r="M8" i="5"/>
  <c r="N8" i="5"/>
  <c r="O8" i="5"/>
  <c r="P8" i="5"/>
  <c r="AC8" i="5"/>
  <c r="AD8" i="5"/>
  <c r="C9" i="5"/>
  <c r="D9" i="5"/>
  <c r="E9" i="5"/>
  <c r="F9" i="5"/>
  <c r="G9" i="5"/>
  <c r="H9" i="5"/>
  <c r="I9" i="5"/>
  <c r="J9" i="5"/>
  <c r="K9" i="5"/>
  <c r="L9" i="5"/>
  <c r="M9" i="5"/>
  <c r="N9" i="5"/>
  <c r="O9" i="5"/>
  <c r="P9" i="5"/>
  <c r="AC9" i="5"/>
  <c r="AD9" i="5"/>
  <c r="C10" i="5"/>
  <c r="D10" i="5"/>
  <c r="E10" i="5"/>
  <c r="F10" i="5"/>
  <c r="G10" i="5"/>
  <c r="H10" i="5"/>
  <c r="I10" i="5"/>
  <c r="J10" i="5"/>
  <c r="K10" i="5"/>
  <c r="L10" i="5"/>
  <c r="M10" i="5"/>
  <c r="N10" i="5"/>
  <c r="O10" i="5"/>
  <c r="P10" i="5"/>
  <c r="AC10" i="5"/>
  <c r="AD10" i="5"/>
  <c r="C11" i="5"/>
  <c r="D11" i="5"/>
  <c r="E11" i="5"/>
  <c r="F11" i="5"/>
  <c r="G11" i="5"/>
  <c r="H11" i="5"/>
  <c r="I11" i="5"/>
  <c r="J11" i="5"/>
  <c r="K11" i="5"/>
  <c r="L11" i="5"/>
  <c r="M11" i="5"/>
  <c r="N11" i="5"/>
  <c r="O11" i="5"/>
  <c r="P11" i="5"/>
  <c r="AC11" i="5"/>
  <c r="AD11" i="5"/>
  <c r="C12" i="5"/>
  <c r="D12" i="5"/>
  <c r="E12" i="5"/>
  <c r="F12" i="5"/>
  <c r="G12" i="5"/>
  <c r="H12" i="5"/>
  <c r="I12" i="5"/>
  <c r="J12" i="5"/>
  <c r="K12" i="5"/>
  <c r="L12" i="5"/>
  <c r="M12" i="5"/>
  <c r="N12" i="5"/>
  <c r="O12" i="5"/>
  <c r="P12" i="5"/>
  <c r="AC12" i="5"/>
  <c r="AD12" i="5"/>
  <c r="C13" i="5"/>
  <c r="D13" i="5"/>
  <c r="E13" i="5"/>
  <c r="F13" i="5"/>
  <c r="G13" i="5"/>
  <c r="H13" i="5"/>
  <c r="I13" i="5"/>
  <c r="J13" i="5"/>
  <c r="K13" i="5"/>
  <c r="L13" i="5"/>
  <c r="M13" i="5"/>
  <c r="N13" i="5"/>
  <c r="O13" i="5"/>
  <c r="P13" i="5"/>
  <c r="AC13" i="5"/>
  <c r="AD13" i="5"/>
  <c r="C14" i="5"/>
  <c r="D14" i="5"/>
  <c r="E14" i="5"/>
  <c r="F14" i="5"/>
  <c r="G14" i="5"/>
  <c r="H14" i="5"/>
  <c r="I14" i="5"/>
  <c r="J14" i="5"/>
  <c r="K14" i="5"/>
  <c r="L14" i="5"/>
  <c r="M14" i="5"/>
  <c r="N14" i="5"/>
  <c r="O14" i="5"/>
  <c r="P14" i="5"/>
  <c r="AC14" i="5"/>
  <c r="AD14" i="5"/>
  <c r="C15" i="5"/>
  <c r="D15" i="5"/>
  <c r="E15" i="5"/>
  <c r="F15" i="5"/>
  <c r="G15" i="5"/>
  <c r="H15" i="5"/>
  <c r="I15" i="5"/>
  <c r="J15" i="5"/>
  <c r="K15" i="5"/>
  <c r="L15" i="5"/>
  <c r="M15" i="5"/>
  <c r="N15" i="5"/>
  <c r="O15" i="5"/>
  <c r="P15" i="5"/>
  <c r="AC15" i="5"/>
  <c r="AD15" i="5"/>
  <c r="C16" i="5"/>
  <c r="D16" i="5"/>
  <c r="E16" i="5"/>
  <c r="F16" i="5"/>
  <c r="G16" i="5"/>
  <c r="H16" i="5"/>
  <c r="I16" i="5"/>
  <c r="J16" i="5"/>
  <c r="K16" i="5"/>
  <c r="L16" i="5"/>
  <c r="M16" i="5"/>
  <c r="N16" i="5"/>
  <c r="O16" i="5"/>
  <c r="P16" i="5"/>
  <c r="AC16" i="5"/>
  <c r="AD16" i="5"/>
  <c r="C17" i="5"/>
  <c r="D17" i="5"/>
  <c r="E17" i="5"/>
  <c r="F17" i="5"/>
  <c r="G17" i="5"/>
  <c r="H17" i="5"/>
  <c r="I17" i="5"/>
  <c r="J17" i="5"/>
  <c r="K17" i="5"/>
  <c r="L17" i="5"/>
  <c r="M17" i="5"/>
  <c r="N17" i="5"/>
  <c r="O17" i="5"/>
  <c r="P17" i="5"/>
  <c r="AC17" i="5"/>
  <c r="AD17" i="5"/>
  <c r="C18" i="5"/>
  <c r="D18" i="5"/>
  <c r="E18" i="5"/>
  <c r="F18" i="5"/>
  <c r="G18" i="5"/>
  <c r="H18" i="5"/>
  <c r="I18" i="5"/>
  <c r="J18" i="5"/>
  <c r="K18" i="5"/>
  <c r="L18" i="5"/>
  <c r="M18" i="5"/>
  <c r="N18" i="5"/>
  <c r="O18" i="5"/>
  <c r="P18" i="5"/>
  <c r="AC18" i="5"/>
  <c r="AD18" i="5"/>
  <c r="C19" i="5"/>
  <c r="D19" i="5"/>
  <c r="E19" i="5"/>
  <c r="F19" i="5"/>
  <c r="G19" i="5"/>
  <c r="H19" i="5"/>
  <c r="I19" i="5"/>
  <c r="J19" i="5"/>
  <c r="K19" i="5"/>
  <c r="L19" i="5"/>
  <c r="M19" i="5"/>
  <c r="N19" i="5"/>
  <c r="O19" i="5"/>
  <c r="P19" i="5"/>
  <c r="AC19" i="5"/>
  <c r="AD19" i="5"/>
  <c r="C20" i="5"/>
  <c r="D20" i="5"/>
  <c r="E20" i="5"/>
  <c r="F20" i="5"/>
  <c r="G20" i="5"/>
  <c r="H20" i="5"/>
  <c r="I20" i="5"/>
  <c r="J20" i="5"/>
  <c r="K20" i="5"/>
  <c r="L20" i="5"/>
  <c r="M20" i="5"/>
  <c r="N20" i="5"/>
  <c r="O20" i="5"/>
  <c r="P20" i="5"/>
  <c r="AC20" i="5"/>
  <c r="AD20" i="5"/>
  <c r="C21" i="5"/>
  <c r="D21" i="5"/>
  <c r="E21" i="5"/>
  <c r="F21" i="5"/>
  <c r="G21" i="5"/>
  <c r="H21" i="5"/>
  <c r="I21" i="5"/>
  <c r="J21" i="5"/>
  <c r="K21" i="5"/>
  <c r="L21" i="5"/>
  <c r="M21" i="5"/>
  <c r="N21" i="5"/>
  <c r="O21" i="5"/>
  <c r="P21" i="5"/>
  <c r="AC21" i="5"/>
  <c r="AD21" i="5"/>
  <c r="C22" i="5"/>
  <c r="D22" i="5"/>
  <c r="E22" i="5"/>
  <c r="F22" i="5"/>
  <c r="G22" i="5"/>
  <c r="H22" i="5"/>
  <c r="I22" i="5"/>
  <c r="J22" i="5"/>
  <c r="K22" i="5"/>
  <c r="L22" i="5"/>
  <c r="M22" i="5"/>
  <c r="N22" i="5"/>
  <c r="O22" i="5"/>
  <c r="P22" i="5"/>
  <c r="AC22" i="5"/>
  <c r="AD22" i="5"/>
  <c r="C23" i="5"/>
  <c r="D23" i="5"/>
  <c r="E23" i="5"/>
  <c r="F23" i="5"/>
  <c r="G23" i="5"/>
  <c r="H23" i="5"/>
  <c r="I23" i="5"/>
  <c r="J23" i="5"/>
  <c r="K23" i="5"/>
  <c r="L23" i="5"/>
  <c r="M23" i="5"/>
  <c r="N23" i="5"/>
  <c r="O23" i="5"/>
  <c r="P23" i="5"/>
  <c r="AC23" i="5"/>
  <c r="AD23" i="5"/>
  <c r="C24" i="5"/>
  <c r="D24" i="5"/>
  <c r="E24" i="5"/>
  <c r="F24" i="5"/>
  <c r="G24" i="5"/>
  <c r="H24" i="5"/>
  <c r="I24" i="5"/>
  <c r="J24" i="5"/>
  <c r="K24" i="5"/>
  <c r="L24" i="5"/>
  <c r="M24" i="5"/>
  <c r="N24" i="5"/>
  <c r="O24" i="5"/>
  <c r="P24" i="5"/>
  <c r="AC24" i="5"/>
  <c r="AD24" i="5"/>
  <c r="C25" i="5"/>
  <c r="D25" i="5"/>
  <c r="E25" i="5"/>
  <c r="F25" i="5"/>
  <c r="G25" i="5"/>
  <c r="H25" i="5"/>
  <c r="I25" i="5"/>
  <c r="J25" i="5"/>
  <c r="K25" i="5"/>
  <c r="L25" i="5"/>
  <c r="M25" i="5"/>
  <c r="N25" i="5"/>
  <c r="O25" i="5"/>
  <c r="P25" i="5"/>
  <c r="AC25" i="5"/>
  <c r="AD25" i="5"/>
  <c r="C26" i="5"/>
  <c r="D26" i="5"/>
  <c r="E26" i="5"/>
  <c r="F26" i="5"/>
  <c r="G26" i="5"/>
  <c r="H26" i="5"/>
  <c r="I26" i="5"/>
  <c r="J26" i="5"/>
  <c r="K26" i="5"/>
  <c r="L26" i="5"/>
  <c r="M26" i="5"/>
  <c r="N26" i="5"/>
  <c r="O26" i="5"/>
  <c r="P26" i="5"/>
  <c r="AC26" i="5"/>
  <c r="AD26" i="5"/>
  <c r="C27" i="5"/>
  <c r="D27" i="5"/>
  <c r="E27" i="5"/>
  <c r="F27" i="5"/>
  <c r="G27" i="5"/>
  <c r="H27" i="5"/>
  <c r="I27" i="5"/>
  <c r="J27" i="5"/>
  <c r="K27" i="5"/>
  <c r="L27" i="5"/>
  <c r="M27" i="5"/>
  <c r="N27" i="5"/>
  <c r="O27" i="5"/>
  <c r="P27" i="5"/>
  <c r="AC27" i="5"/>
  <c r="AD27" i="5"/>
  <c r="C28" i="5"/>
  <c r="D28" i="5"/>
  <c r="E28" i="5"/>
  <c r="F28" i="5"/>
  <c r="G28" i="5"/>
  <c r="H28" i="5"/>
  <c r="I28" i="5"/>
  <c r="J28" i="5"/>
  <c r="K28" i="5"/>
  <c r="L28" i="5"/>
  <c r="M28" i="5"/>
  <c r="N28" i="5"/>
  <c r="O28" i="5"/>
  <c r="P28" i="5"/>
  <c r="AC28" i="5"/>
  <c r="AD28" i="5"/>
  <c r="C29" i="5"/>
  <c r="D29" i="5"/>
  <c r="E29" i="5"/>
  <c r="F29" i="5"/>
  <c r="G29" i="5"/>
  <c r="H29" i="5"/>
  <c r="I29" i="5"/>
  <c r="J29" i="5"/>
  <c r="K29" i="5"/>
  <c r="L29" i="5"/>
  <c r="M29" i="5"/>
  <c r="N29" i="5"/>
  <c r="O29" i="5"/>
  <c r="P29" i="5"/>
  <c r="AC29" i="5"/>
  <c r="AD29" i="5"/>
  <c r="C30" i="5"/>
  <c r="D30" i="5"/>
  <c r="E30" i="5"/>
  <c r="F30" i="5"/>
  <c r="G30" i="5"/>
  <c r="H30" i="5"/>
  <c r="I30" i="5"/>
  <c r="J30" i="5"/>
  <c r="K30" i="5"/>
  <c r="L30" i="5"/>
  <c r="M30" i="5"/>
  <c r="N30" i="5"/>
  <c r="O30" i="5"/>
  <c r="P30" i="5"/>
  <c r="AC30" i="5"/>
  <c r="AD30" i="5"/>
  <c r="C31" i="5"/>
  <c r="D31" i="5"/>
  <c r="E31" i="5"/>
  <c r="F31" i="5"/>
  <c r="G31" i="5"/>
  <c r="H31" i="5"/>
  <c r="I31" i="5"/>
  <c r="J31" i="5"/>
  <c r="K31" i="5"/>
  <c r="L31" i="5"/>
  <c r="M31" i="5"/>
  <c r="N31" i="5"/>
  <c r="O31" i="5"/>
  <c r="P31" i="5"/>
  <c r="AC31" i="5"/>
  <c r="AD31" i="5"/>
  <c r="C32" i="5"/>
  <c r="D32" i="5"/>
  <c r="E32" i="5"/>
  <c r="F32" i="5"/>
  <c r="G32" i="5"/>
  <c r="H32" i="5"/>
  <c r="I32" i="5"/>
  <c r="J32" i="5"/>
  <c r="K32" i="5"/>
  <c r="L32" i="5"/>
  <c r="M32" i="5"/>
  <c r="N32" i="5"/>
  <c r="O32" i="5"/>
  <c r="P32" i="5"/>
  <c r="AC32" i="5"/>
  <c r="AD32" i="5"/>
  <c r="C33" i="5"/>
  <c r="D33" i="5"/>
  <c r="E33" i="5"/>
  <c r="F33" i="5"/>
  <c r="G33" i="5"/>
  <c r="H33" i="5"/>
  <c r="I33" i="5"/>
  <c r="J33" i="5"/>
  <c r="K33" i="5"/>
  <c r="L33" i="5"/>
  <c r="M33" i="5"/>
  <c r="N33" i="5"/>
  <c r="O33" i="5"/>
  <c r="P33" i="5"/>
  <c r="AC33" i="5"/>
  <c r="AD33" i="5"/>
  <c r="C34" i="5"/>
  <c r="D34" i="5"/>
  <c r="E34" i="5"/>
  <c r="F34" i="5"/>
  <c r="G34" i="5"/>
  <c r="H34" i="5"/>
  <c r="I34" i="5"/>
  <c r="J34" i="5"/>
  <c r="K34" i="5"/>
  <c r="L34" i="5"/>
  <c r="M34" i="5"/>
  <c r="N34" i="5"/>
  <c r="O34" i="5"/>
  <c r="P34" i="5"/>
  <c r="AC34" i="5"/>
  <c r="AD34" i="5"/>
  <c r="C35" i="5"/>
  <c r="D35" i="5"/>
  <c r="E35" i="5"/>
  <c r="F35" i="5"/>
  <c r="G35" i="5"/>
  <c r="H35" i="5"/>
  <c r="I35" i="5"/>
  <c r="J35" i="5"/>
  <c r="K35" i="5"/>
  <c r="L35" i="5"/>
  <c r="M35" i="5"/>
  <c r="N35" i="5"/>
  <c r="O35" i="5"/>
  <c r="P35" i="5"/>
  <c r="AC35" i="5"/>
  <c r="AD35" i="5"/>
  <c r="C36" i="5"/>
  <c r="D36" i="5"/>
  <c r="E36" i="5"/>
  <c r="F36" i="5"/>
  <c r="G36" i="5"/>
  <c r="H36" i="5"/>
  <c r="I36" i="5"/>
  <c r="J36" i="5"/>
  <c r="K36" i="5"/>
  <c r="L36" i="5"/>
  <c r="M36" i="5"/>
  <c r="N36" i="5"/>
  <c r="O36" i="5"/>
  <c r="P36" i="5"/>
  <c r="AC36" i="5"/>
  <c r="AD36" i="5"/>
  <c r="C37" i="5"/>
  <c r="D37" i="5"/>
  <c r="E37" i="5"/>
  <c r="F37" i="5"/>
  <c r="G37" i="5"/>
  <c r="H37" i="5"/>
  <c r="I37" i="5"/>
  <c r="J37" i="5"/>
  <c r="K37" i="5"/>
  <c r="L37" i="5"/>
  <c r="M37" i="5"/>
  <c r="N37" i="5"/>
  <c r="O37" i="5"/>
  <c r="P37" i="5"/>
  <c r="AC37" i="5"/>
  <c r="AD37" i="5"/>
  <c r="C38" i="5"/>
  <c r="D38" i="5"/>
  <c r="E38" i="5"/>
  <c r="F38" i="5"/>
  <c r="G38" i="5"/>
  <c r="H38" i="5"/>
  <c r="I38" i="5"/>
  <c r="J38" i="5"/>
  <c r="K38" i="5"/>
  <c r="L38" i="5"/>
  <c r="M38" i="5"/>
  <c r="N38" i="5"/>
  <c r="O38" i="5"/>
  <c r="P38" i="5"/>
  <c r="AC38" i="5"/>
  <c r="AD38" i="5"/>
  <c r="C39" i="5"/>
  <c r="D39" i="5"/>
  <c r="E39" i="5"/>
  <c r="F39" i="5"/>
  <c r="G39" i="5"/>
  <c r="H39" i="5"/>
  <c r="I39" i="5"/>
  <c r="J39" i="5"/>
  <c r="K39" i="5"/>
  <c r="L39" i="5"/>
  <c r="M39" i="5"/>
  <c r="N39" i="5"/>
  <c r="O39" i="5"/>
  <c r="P39" i="5"/>
  <c r="AC39" i="5"/>
  <c r="AD39" i="5"/>
  <c r="AD5" i="5"/>
  <c r="P5" i="5"/>
  <c r="N5" i="5"/>
  <c r="L5" i="5"/>
  <c r="J5" i="5"/>
  <c r="H5" i="5"/>
  <c r="F5" i="5"/>
  <c r="D5" i="5"/>
  <c r="H3" i="4"/>
  <c r="N9" i="4"/>
  <c r="O9" i="4"/>
  <c r="P9" i="4"/>
  <c r="AB9" i="4"/>
  <c r="AC9" i="4"/>
  <c r="AD9" i="4"/>
  <c r="AE9" i="4"/>
  <c r="AF9" i="4"/>
  <c r="AG9" i="4"/>
  <c r="AJ9" i="4"/>
  <c r="AK9" i="4"/>
  <c r="AL9" i="4"/>
  <c r="AM9" i="4"/>
  <c r="AO9" i="4"/>
  <c r="L10" i="4"/>
  <c r="M10" i="4"/>
  <c r="N10" i="4"/>
  <c r="O10" i="4"/>
  <c r="P10" i="4"/>
  <c r="Q10" i="4"/>
  <c r="V10" i="4"/>
  <c r="AB10" i="4"/>
  <c r="AC10" i="4"/>
  <c r="AE10" i="4"/>
  <c r="AF10" i="4"/>
  <c r="AG10" i="4"/>
  <c r="AJ10" i="4"/>
  <c r="AK10" i="4"/>
  <c r="AL10" i="4"/>
  <c r="AM10" i="4"/>
  <c r="AN10" i="4"/>
  <c r="AO10" i="4"/>
  <c r="L11" i="4"/>
  <c r="M11" i="4"/>
  <c r="N11" i="4"/>
  <c r="O11" i="4"/>
  <c r="P11" i="4"/>
  <c r="Q11" i="4"/>
  <c r="T11" i="4"/>
  <c r="V11" i="4"/>
  <c r="AC11" i="4"/>
  <c r="AE11" i="4"/>
  <c r="AF11" i="4"/>
  <c r="AG11" i="4"/>
  <c r="AJ11" i="4"/>
  <c r="AK11" i="4"/>
  <c r="AL11" i="4"/>
  <c r="AM11" i="4"/>
  <c r="AN11" i="4"/>
  <c r="AO11" i="4"/>
  <c r="L12" i="4"/>
  <c r="M12" i="4"/>
  <c r="N12" i="4"/>
  <c r="O12" i="4"/>
  <c r="P12" i="4"/>
  <c r="Q12" i="4"/>
  <c r="V12" i="4"/>
  <c r="AB12" i="4"/>
  <c r="AC12" i="4"/>
  <c r="AE12" i="4"/>
  <c r="AF12" i="4"/>
  <c r="AG12" i="4"/>
  <c r="AJ12" i="4"/>
  <c r="AK12" i="4"/>
  <c r="AL12" i="4"/>
  <c r="AM12" i="4"/>
  <c r="AN12" i="4"/>
  <c r="AO12" i="4"/>
  <c r="L13" i="4"/>
  <c r="M13" i="4"/>
  <c r="N13" i="4"/>
  <c r="O13" i="4"/>
  <c r="P13" i="4"/>
  <c r="Q13" i="4"/>
  <c r="V13" i="4"/>
  <c r="AB13" i="4"/>
  <c r="AC13" i="4"/>
  <c r="AE13" i="4"/>
  <c r="AF13" i="4"/>
  <c r="AG13" i="4"/>
  <c r="AJ13" i="4"/>
  <c r="AK13" i="4"/>
  <c r="AL13" i="4"/>
  <c r="AM13" i="4"/>
  <c r="AN13" i="4"/>
  <c r="AO13" i="4"/>
  <c r="L14" i="4"/>
  <c r="M14" i="4"/>
  <c r="N14" i="4"/>
  <c r="O14" i="4"/>
  <c r="P14" i="4"/>
  <c r="Q14" i="4"/>
  <c r="V14" i="4"/>
  <c r="AB14" i="4"/>
  <c r="AC14" i="4"/>
  <c r="AE14" i="4"/>
  <c r="AF14" i="4"/>
  <c r="AG14" i="4"/>
  <c r="AJ14" i="4"/>
  <c r="AK14" i="4"/>
  <c r="AL14" i="4"/>
  <c r="AM14" i="4"/>
  <c r="AN14" i="4"/>
  <c r="AO14" i="4"/>
  <c r="L15" i="4"/>
  <c r="M15" i="4"/>
  <c r="N15" i="4"/>
  <c r="O15" i="4"/>
  <c r="P15" i="4"/>
  <c r="Q15" i="4"/>
  <c r="V15" i="4"/>
  <c r="AB15" i="4"/>
  <c r="AC15" i="4"/>
  <c r="AE15" i="4"/>
  <c r="AF15" i="4"/>
  <c r="AG15" i="4"/>
  <c r="AJ15" i="4"/>
  <c r="AK15" i="4"/>
  <c r="AL15" i="4"/>
  <c r="AM15" i="4"/>
  <c r="AN15" i="4"/>
  <c r="AO15" i="4"/>
  <c r="L16" i="4"/>
  <c r="M16" i="4"/>
  <c r="N16" i="4"/>
  <c r="O16" i="4"/>
  <c r="P16" i="4"/>
  <c r="Q16" i="4"/>
  <c r="U16" i="4"/>
  <c r="V16" i="4"/>
  <c r="AB16" i="4"/>
  <c r="AE16" i="4"/>
  <c r="AF16" i="4"/>
  <c r="AG16" i="4"/>
  <c r="AJ16" i="4"/>
  <c r="AK16" i="4"/>
  <c r="AL16" i="4"/>
  <c r="AM16" i="4"/>
  <c r="AN16" i="4"/>
  <c r="AO16" i="4"/>
  <c r="L17" i="4"/>
  <c r="M17" i="4"/>
  <c r="N17" i="4"/>
  <c r="O17" i="4"/>
  <c r="P17" i="4"/>
  <c r="Q17" i="4"/>
  <c r="U17" i="4"/>
  <c r="X17" i="4"/>
  <c r="AB17" i="4"/>
  <c r="AD17" i="4"/>
  <c r="AE17" i="4"/>
  <c r="AG17" i="4"/>
  <c r="AJ17" i="4"/>
  <c r="AK17" i="4"/>
  <c r="AL17" i="4"/>
  <c r="AM17" i="4"/>
  <c r="AN17" i="4"/>
  <c r="AO17" i="4"/>
  <c r="L18" i="4"/>
  <c r="M18" i="4"/>
  <c r="N18" i="4"/>
  <c r="O18" i="4"/>
  <c r="P18" i="4"/>
  <c r="Q18" i="4"/>
  <c r="V18" i="4"/>
  <c r="X18" i="4"/>
  <c r="AB18" i="4"/>
  <c r="AC18" i="4"/>
  <c r="AE18" i="4"/>
  <c r="AG18" i="4"/>
  <c r="AJ18" i="4"/>
  <c r="AK18" i="4"/>
  <c r="AL18" i="4"/>
  <c r="AM18" i="4"/>
  <c r="AN18" i="4"/>
  <c r="AO18" i="4"/>
  <c r="L19" i="4"/>
  <c r="M19" i="4"/>
  <c r="N19" i="4"/>
  <c r="O19" i="4"/>
  <c r="P19" i="4"/>
  <c r="Q19" i="4"/>
  <c r="V19" i="4"/>
  <c r="AB19" i="4"/>
  <c r="AC19" i="4"/>
  <c r="AE19" i="4"/>
  <c r="AF19" i="4"/>
  <c r="AG19" i="4"/>
  <c r="AJ19" i="4"/>
  <c r="AK19" i="4"/>
  <c r="AL19" i="4"/>
  <c r="AM19" i="4"/>
  <c r="AN19" i="4"/>
  <c r="AO19" i="4"/>
  <c r="L20" i="4"/>
  <c r="M20" i="4"/>
  <c r="N20" i="4"/>
  <c r="O20" i="4"/>
  <c r="P20" i="4"/>
  <c r="Q20" i="4"/>
  <c r="AB20" i="4"/>
  <c r="AC20" i="4"/>
  <c r="AD20" i="4"/>
  <c r="AE20" i="4"/>
  <c r="AF20" i="4"/>
  <c r="AG20" i="4"/>
  <c r="AJ20" i="4"/>
  <c r="AK20" i="4"/>
  <c r="AL20" i="4"/>
  <c r="AM20" i="4"/>
  <c r="AN20" i="4"/>
  <c r="AO20" i="4"/>
  <c r="L21" i="4"/>
  <c r="M21" i="4"/>
  <c r="N21" i="4"/>
  <c r="O21" i="4"/>
  <c r="P21" i="4"/>
  <c r="Q21" i="4"/>
  <c r="V21" i="4"/>
  <c r="AB21" i="4"/>
  <c r="AC21" i="4"/>
  <c r="AE21" i="4"/>
  <c r="AF21" i="4"/>
  <c r="AG21" i="4"/>
  <c r="AJ21" i="4"/>
  <c r="AK21" i="4"/>
  <c r="AL21" i="4"/>
  <c r="AM21" i="4"/>
  <c r="AN21" i="4"/>
  <c r="AO21" i="4"/>
  <c r="L22" i="4"/>
  <c r="M22" i="4"/>
  <c r="N22" i="4"/>
  <c r="O22" i="4"/>
  <c r="P22" i="4"/>
  <c r="Q22" i="4"/>
  <c r="V22" i="4"/>
  <c r="AB22" i="4"/>
  <c r="AC22" i="4"/>
  <c r="AE22" i="4"/>
  <c r="AF22" i="4"/>
  <c r="AG22" i="4"/>
  <c r="AJ22" i="4"/>
  <c r="AK22" i="4"/>
  <c r="AL22" i="4"/>
  <c r="AM22" i="4"/>
  <c r="AN22" i="4"/>
  <c r="AO22" i="4"/>
  <c r="L23" i="4"/>
  <c r="M23" i="4"/>
  <c r="N23" i="4"/>
  <c r="O23" i="4"/>
  <c r="P23" i="4"/>
  <c r="Q23" i="4"/>
  <c r="T23" i="4"/>
  <c r="U23" i="4"/>
  <c r="V23" i="4"/>
  <c r="W23" i="4"/>
  <c r="X23" i="4"/>
  <c r="Y23" i="4"/>
  <c r="AB23" i="4"/>
  <c r="AC23" i="4"/>
  <c r="AD23" i="4"/>
  <c r="AE23" i="4"/>
  <c r="AF23" i="4"/>
  <c r="AG23" i="4"/>
  <c r="AJ23" i="4"/>
  <c r="AK23" i="4"/>
  <c r="AL23" i="4"/>
  <c r="AM23" i="4"/>
  <c r="AN23" i="4"/>
  <c r="AO23" i="4"/>
  <c r="I23" i="4"/>
  <c r="L24" i="4"/>
  <c r="M24" i="4"/>
  <c r="N24" i="4"/>
  <c r="O24" i="4"/>
  <c r="P24" i="4"/>
  <c r="Q24" i="4"/>
  <c r="T24" i="4"/>
  <c r="U24" i="4"/>
  <c r="V24" i="4"/>
  <c r="W24" i="4"/>
  <c r="X24" i="4"/>
  <c r="Y24" i="4"/>
  <c r="AB24" i="4"/>
  <c r="AC24" i="4"/>
  <c r="AD24" i="4"/>
  <c r="AE24" i="4"/>
  <c r="AF24" i="4"/>
  <c r="AG24" i="4"/>
  <c r="AJ24" i="4"/>
  <c r="AK24" i="4"/>
  <c r="AL24" i="4"/>
  <c r="AM24" i="4"/>
  <c r="AN24" i="4"/>
  <c r="AO24" i="4"/>
  <c r="I24" i="4"/>
  <c r="L25" i="4"/>
  <c r="M25" i="4"/>
  <c r="N25" i="4"/>
  <c r="O25" i="4"/>
  <c r="P25" i="4"/>
  <c r="Q25" i="4"/>
  <c r="T25" i="4"/>
  <c r="U25" i="4"/>
  <c r="V25" i="4"/>
  <c r="W25" i="4"/>
  <c r="X25" i="4"/>
  <c r="Y25" i="4"/>
  <c r="AB25" i="4"/>
  <c r="AC25" i="4"/>
  <c r="AD25" i="4"/>
  <c r="AE25" i="4"/>
  <c r="AF25" i="4"/>
  <c r="AG25" i="4"/>
  <c r="AJ25" i="4"/>
  <c r="AK25" i="4"/>
  <c r="AL25" i="4"/>
  <c r="AM25" i="4"/>
  <c r="AN25" i="4"/>
  <c r="AO25" i="4"/>
  <c r="I25" i="4"/>
  <c r="L26" i="4"/>
  <c r="M26" i="4"/>
  <c r="N26" i="4"/>
  <c r="O26" i="4"/>
  <c r="P26" i="4"/>
  <c r="Q26" i="4"/>
  <c r="T26" i="4"/>
  <c r="U26" i="4"/>
  <c r="V26" i="4"/>
  <c r="W26" i="4"/>
  <c r="X26" i="4"/>
  <c r="Y26" i="4"/>
  <c r="AB26" i="4"/>
  <c r="AC26" i="4"/>
  <c r="AD26" i="4"/>
  <c r="AE26" i="4"/>
  <c r="AF26" i="4"/>
  <c r="AG26" i="4"/>
  <c r="AJ26" i="4"/>
  <c r="AK26" i="4"/>
  <c r="AL26" i="4"/>
  <c r="AM26" i="4"/>
  <c r="AN26" i="4"/>
  <c r="AO26" i="4"/>
  <c r="I26" i="4"/>
  <c r="L27" i="4"/>
  <c r="M27" i="4"/>
  <c r="N27" i="4"/>
  <c r="O27" i="4"/>
  <c r="P27" i="4"/>
  <c r="Q27" i="4"/>
  <c r="T27" i="4"/>
  <c r="U27" i="4"/>
  <c r="V27" i="4"/>
  <c r="W27" i="4"/>
  <c r="X27" i="4"/>
  <c r="Y27" i="4"/>
  <c r="AB27" i="4"/>
  <c r="AC27" i="4"/>
  <c r="AD27" i="4"/>
  <c r="AE27" i="4"/>
  <c r="AF27" i="4"/>
  <c r="AG27" i="4"/>
  <c r="AJ27" i="4"/>
  <c r="AK27" i="4"/>
  <c r="AL27" i="4"/>
  <c r="AM27" i="4"/>
  <c r="AN27" i="4"/>
  <c r="AO27" i="4"/>
  <c r="I27" i="4"/>
  <c r="L28" i="4"/>
  <c r="M28" i="4"/>
  <c r="N28" i="4"/>
  <c r="O28" i="4"/>
  <c r="P28" i="4"/>
  <c r="Q28" i="4"/>
  <c r="T28" i="4"/>
  <c r="U28" i="4"/>
  <c r="V28" i="4"/>
  <c r="W28" i="4"/>
  <c r="X28" i="4"/>
  <c r="Y28" i="4"/>
  <c r="AB28" i="4"/>
  <c r="AC28" i="4"/>
  <c r="AD28" i="4"/>
  <c r="AE28" i="4"/>
  <c r="AF28" i="4"/>
  <c r="AG28" i="4"/>
  <c r="AJ28" i="4"/>
  <c r="AK28" i="4"/>
  <c r="AL28" i="4"/>
  <c r="AM28" i="4"/>
  <c r="AN28" i="4"/>
  <c r="AO28" i="4"/>
  <c r="I28" i="4"/>
  <c r="L29" i="4"/>
  <c r="M29" i="4"/>
  <c r="N29" i="4"/>
  <c r="O29" i="4"/>
  <c r="P29" i="4"/>
  <c r="Q29" i="4"/>
  <c r="T29" i="4"/>
  <c r="U29" i="4"/>
  <c r="V29" i="4"/>
  <c r="W29" i="4"/>
  <c r="X29" i="4"/>
  <c r="Y29" i="4"/>
  <c r="AB29" i="4"/>
  <c r="AC29" i="4"/>
  <c r="AD29" i="4"/>
  <c r="AE29" i="4"/>
  <c r="AF29" i="4"/>
  <c r="AG29" i="4"/>
  <c r="AJ29" i="4"/>
  <c r="AK29" i="4"/>
  <c r="AL29" i="4"/>
  <c r="AM29" i="4"/>
  <c r="AN29" i="4"/>
  <c r="AO29" i="4"/>
  <c r="I29" i="4"/>
  <c r="L30" i="4"/>
  <c r="M30" i="4"/>
  <c r="N30" i="4"/>
  <c r="O30" i="4"/>
  <c r="P30" i="4"/>
  <c r="Q30" i="4"/>
  <c r="T30" i="4"/>
  <c r="U30" i="4"/>
  <c r="V30" i="4"/>
  <c r="W30" i="4"/>
  <c r="X30" i="4"/>
  <c r="Y30" i="4"/>
  <c r="AB30" i="4"/>
  <c r="AC30" i="4"/>
  <c r="AD30" i="4"/>
  <c r="AE30" i="4"/>
  <c r="AF30" i="4"/>
  <c r="AG30" i="4"/>
  <c r="AJ30" i="4"/>
  <c r="AK30" i="4"/>
  <c r="AL30" i="4"/>
  <c r="AM30" i="4"/>
  <c r="AN30" i="4"/>
  <c r="AO30" i="4"/>
  <c r="I30" i="4"/>
  <c r="L31" i="4"/>
  <c r="M31" i="4"/>
  <c r="N31" i="4"/>
  <c r="O31" i="4"/>
  <c r="P31" i="4"/>
  <c r="Q31" i="4"/>
  <c r="T31" i="4"/>
  <c r="U31" i="4"/>
  <c r="V31" i="4"/>
  <c r="W31" i="4"/>
  <c r="X31" i="4"/>
  <c r="Y31" i="4"/>
  <c r="AB31" i="4"/>
  <c r="AC31" i="4"/>
  <c r="AD31" i="4"/>
  <c r="AE31" i="4"/>
  <c r="AF31" i="4"/>
  <c r="AG31" i="4"/>
  <c r="AJ31" i="4"/>
  <c r="AK31" i="4"/>
  <c r="AL31" i="4"/>
  <c r="AM31" i="4"/>
  <c r="AN31" i="4"/>
  <c r="AO31" i="4"/>
  <c r="I31" i="4"/>
  <c r="L32" i="4"/>
  <c r="M32" i="4"/>
  <c r="N32" i="4"/>
  <c r="O32" i="4"/>
  <c r="P32" i="4"/>
  <c r="Q32" i="4"/>
  <c r="T32" i="4"/>
  <c r="U32" i="4"/>
  <c r="V32" i="4"/>
  <c r="W32" i="4"/>
  <c r="X32" i="4"/>
  <c r="Y32" i="4"/>
  <c r="AB32" i="4"/>
  <c r="AC32" i="4"/>
  <c r="AD32" i="4"/>
  <c r="AE32" i="4"/>
  <c r="AF32" i="4"/>
  <c r="AG32" i="4"/>
  <c r="AJ32" i="4"/>
  <c r="AK32" i="4"/>
  <c r="AL32" i="4"/>
  <c r="AM32" i="4"/>
  <c r="AN32" i="4"/>
  <c r="AO32" i="4"/>
  <c r="I32" i="4"/>
  <c r="L33" i="4"/>
  <c r="M33" i="4"/>
  <c r="N33" i="4"/>
  <c r="O33" i="4"/>
  <c r="P33" i="4"/>
  <c r="Q33" i="4"/>
  <c r="T33" i="4"/>
  <c r="U33" i="4"/>
  <c r="V33" i="4"/>
  <c r="W33" i="4"/>
  <c r="X33" i="4"/>
  <c r="Y33" i="4"/>
  <c r="AB33" i="4"/>
  <c r="AC33" i="4"/>
  <c r="AD33" i="4"/>
  <c r="AE33" i="4"/>
  <c r="AF33" i="4"/>
  <c r="AG33" i="4"/>
  <c r="AJ33" i="4"/>
  <c r="AK33" i="4"/>
  <c r="AL33" i="4"/>
  <c r="AM33" i="4"/>
  <c r="AN33" i="4"/>
  <c r="AO33" i="4"/>
  <c r="I33" i="4"/>
  <c r="L34" i="4"/>
  <c r="M34" i="4"/>
  <c r="N34" i="4"/>
  <c r="O34" i="4"/>
  <c r="P34" i="4"/>
  <c r="Q34" i="4"/>
  <c r="T34" i="4"/>
  <c r="U34" i="4"/>
  <c r="V34" i="4"/>
  <c r="W34" i="4"/>
  <c r="X34" i="4"/>
  <c r="Y34" i="4"/>
  <c r="AB34" i="4"/>
  <c r="AC34" i="4"/>
  <c r="AD34" i="4"/>
  <c r="AE34" i="4"/>
  <c r="AF34" i="4"/>
  <c r="AG34" i="4"/>
  <c r="AJ34" i="4"/>
  <c r="AK34" i="4"/>
  <c r="AL34" i="4"/>
  <c r="AM34" i="4"/>
  <c r="AN34" i="4"/>
  <c r="AO34" i="4"/>
  <c r="I34" i="4"/>
  <c r="L35" i="4"/>
  <c r="M35" i="4"/>
  <c r="N35" i="4"/>
  <c r="O35" i="4"/>
  <c r="P35" i="4"/>
  <c r="Q35" i="4"/>
  <c r="T35" i="4"/>
  <c r="U35" i="4"/>
  <c r="V35" i="4"/>
  <c r="W35" i="4"/>
  <c r="X35" i="4"/>
  <c r="Y35" i="4"/>
  <c r="AB35" i="4"/>
  <c r="AC35" i="4"/>
  <c r="AD35" i="4"/>
  <c r="AE35" i="4"/>
  <c r="AF35" i="4"/>
  <c r="AG35" i="4"/>
  <c r="AJ35" i="4"/>
  <c r="AK35" i="4"/>
  <c r="AL35" i="4"/>
  <c r="AM35" i="4"/>
  <c r="AN35" i="4"/>
  <c r="AO35" i="4"/>
  <c r="I35" i="4"/>
  <c r="L36" i="4"/>
  <c r="M36" i="4"/>
  <c r="N36" i="4"/>
  <c r="O36" i="4"/>
  <c r="P36" i="4"/>
  <c r="Q36" i="4"/>
  <c r="T36" i="4"/>
  <c r="U36" i="4"/>
  <c r="V36" i="4"/>
  <c r="W36" i="4"/>
  <c r="X36" i="4"/>
  <c r="Y36" i="4"/>
  <c r="AB36" i="4"/>
  <c r="AC36" i="4"/>
  <c r="AD36" i="4"/>
  <c r="AE36" i="4"/>
  <c r="AF36" i="4"/>
  <c r="AG36" i="4"/>
  <c r="AJ36" i="4"/>
  <c r="AK36" i="4"/>
  <c r="AL36" i="4"/>
  <c r="AM36" i="4"/>
  <c r="AN36" i="4"/>
  <c r="AO36" i="4"/>
  <c r="I36" i="4"/>
  <c r="L37" i="4"/>
  <c r="M37" i="4"/>
  <c r="N37" i="4"/>
  <c r="O37" i="4"/>
  <c r="P37" i="4"/>
  <c r="Q37" i="4"/>
  <c r="T37" i="4"/>
  <c r="U37" i="4"/>
  <c r="V37" i="4"/>
  <c r="W37" i="4"/>
  <c r="X37" i="4"/>
  <c r="Y37" i="4"/>
  <c r="AB37" i="4"/>
  <c r="AC37" i="4"/>
  <c r="AD37" i="4"/>
  <c r="AE37" i="4"/>
  <c r="AF37" i="4"/>
  <c r="AG37" i="4"/>
  <c r="AJ37" i="4"/>
  <c r="AK37" i="4"/>
  <c r="AL37" i="4"/>
  <c r="AM37" i="4"/>
  <c r="AN37" i="4"/>
  <c r="AO37" i="4"/>
  <c r="I37" i="4"/>
  <c r="L38" i="4"/>
  <c r="M38" i="4"/>
  <c r="N38" i="4"/>
  <c r="O38" i="4"/>
  <c r="P38" i="4"/>
  <c r="Q38" i="4"/>
  <c r="T38" i="4"/>
  <c r="U38" i="4"/>
  <c r="V38" i="4"/>
  <c r="W38" i="4"/>
  <c r="X38" i="4"/>
  <c r="Y38" i="4"/>
  <c r="AB38" i="4"/>
  <c r="AC38" i="4"/>
  <c r="AD38" i="4"/>
  <c r="AE38" i="4"/>
  <c r="AF38" i="4"/>
  <c r="AG38" i="4"/>
  <c r="AJ38" i="4"/>
  <c r="AK38" i="4"/>
  <c r="AL38" i="4"/>
  <c r="AM38" i="4"/>
  <c r="AN38" i="4"/>
  <c r="AO38" i="4"/>
  <c r="L39" i="4"/>
  <c r="M39" i="4"/>
  <c r="N39" i="4"/>
  <c r="O39" i="4"/>
  <c r="P39" i="4"/>
  <c r="Q39" i="4"/>
  <c r="T39" i="4"/>
  <c r="U39" i="4"/>
  <c r="V39" i="4"/>
  <c r="W39" i="4"/>
  <c r="X39" i="4"/>
  <c r="Y39" i="4"/>
  <c r="AB39" i="4"/>
  <c r="AC39" i="4"/>
  <c r="AD39" i="4"/>
  <c r="AE39" i="4"/>
  <c r="AF39" i="4"/>
  <c r="AG39" i="4"/>
  <c r="AJ39" i="4"/>
  <c r="AK39" i="4"/>
  <c r="AL39" i="4"/>
  <c r="AM39" i="4"/>
  <c r="AN39" i="4"/>
  <c r="AO39" i="4"/>
  <c r="I39" i="4"/>
  <c r="L40" i="4"/>
  <c r="M40" i="4"/>
  <c r="N40" i="4"/>
  <c r="O40" i="4"/>
  <c r="P40" i="4"/>
  <c r="Q40" i="4"/>
  <c r="T40" i="4"/>
  <c r="U40" i="4"/>
  <c r="V40" i="4"/>
  <c r="W40" i="4"/>
  <c r="X40" i="4"/>
  <c r="Y40" i="4"/>
  <c r="AB40" i="4"/>
  <c r="AC40" i="4"/>
  <c r="AD40" i="4"/>
  <c r="AE40" i="4"/>
  <c r="AF40" i="4"/>
  <c r="AG40" i="4"/>
  <c r="AJ40" i="4"/>
  <c r="AK40" i="4"/>
  <c r="AL40" i="4"/>
  <c r="AM40" i="4"/>
  <c r="AN40" i="4"/>
  <c r="AO40" i="4"/>
  <c r="L41" i="4"/>
  <c r="M41" i="4"/>
  <c r="N41" i="4"/>
  <c r="O41" i="4"/>
  <c r="P41" i="4"/>
  <c r="Q41" i="4"/>
  <c r="T41" i="4"/>
  <c r="U41" i="4"/>
  <c r="V41" i="4"/>
  <c r="W41" i="4"/>
  <c r="X41" i="4"/>
  <c r="Y41" i="4"/>
  <c r="AB41" i="4"/>
  <c r="AC41" i="4"/>
  <c r="AD41" i="4"/>
  <c r="AE41" i="4"/>
  <c r="AF41" i="4"/>
  <c r="AG41" i="4"/>
  <c r="AJ41" i="4"/>
  <c r="AK41" i="4"/>
  <c r="AL41" i="4"/>
  <c r="AM41" i="4"/>
  <c r="AN41" i="4"/>
  <c r="AO41" i="4"/>
  <c r="I41" i="4"/>
  <c r="L42" i="4"/>
  <c r="M42" i="4"/>
  <c r="N42" i="4"/>
  <c r="O42" i="4"/>
  <c r="P42" i="4"/>
  <c r="Q42" i="4"/>
  <c r="T42" i="4"/>
  <c r="U42" i="4"/>
  <c r="V42" i="4"/>
  <c r="W42" i="4"/>
  <c r="X42" i="4"/>
  <c r="Y42" i="4"/>
  <c r="AB42" i="4"/>
  <c r="AC42" i="4"/>
  <c r="AD42" i="4"/>
  <c r="AE42" i="4"/>
  <c r="AF42" i="4"/>
  <c r="AG42" i="4"/>
  <c r="AJ42" i="4"/>
  <c r="AK42" i="4"/>
  <c r="AL42" i="4"/>
  <c r="AM42" i="4"/>
  <c r="AN42" i="4"/>
  <c r="AO42" i="4"/>
  <c r="BA8" i="4"/>
  <c r="BF8" i="4" s="1"/>
  <c r="AZ8" i="4"/>
  <c r="AY8" i="4"/>
  <c r="AX8" i="4"/>
  <c r="AO8" i="4"/>
  <c r="AN8" i="4"/>
  <c r="AM8" i="4"/>
  <c r="AL8" i="4"/>
  <c r="AK8" i="4"/>
  <c r="AJ8" i="4"/>
  <c r="AG8" i="4"/>
  <c r="AF8" i="4"/>
  <c r="AE8" i="4"/>
  <c r="AC8" i="4"/>
  <c r="AB8" i="4"/>
  <c r="Q8" i="4"/>
  <c r="P8" i="4"/>
  <c r="O8" i="4"/>
  <c r="N8" i="4"/>
  <c r="M8" i="4"/>
  <c r="L8" i="4"/>
  <c r="BA7" i="4"/>
  <c r="BF7" i="4" s="1"/>
  <c r="AZ7" i="4"/>
  <c r="BE7" i="4" s="1"/>
  <c r="AY7" i="4"/>
  <c r="BD7" i="4" s="1"/>
  <c r="AX7" i="4"/>
  <c r="BC7" i="4" s="1"/>
  <c r="AO7" i="4"/>
  <c r="AN7" i="4"/>
  <c r="AM7" i="4"/>
  <c r="AL7" i="4"/>
  <c r="AK7" i="4"/>
  <c r="AJ7" i="4"/>
  <c r="AU7" i="4" s="1"/>
  <c r="AG7" i="4"/>
  <c r="AF7" i="4"/>
  <c r="AE7" i="4"/>
  <c r="AD7" i="4"/>
  <c r="AC7" i="4"/>
  <c r="AB7" i="4"/>
  <c r="Y7" i="4"/>
  <c r="X7" i="4"/>
  <c r="W7" i="4"/>
  <c r="V7" i="4"/>
  <c r="U7" i="4"/>
  <c r="T7" i="4"/>
  <c r="AS7" i="4" s="1"/>
  <c r="Q7" i="4"/>
  <c r="P7" i="4"/>
  <c r="O7" i="4"/>
  <c r="N7" i="4"/>
  <c r="M7" i="4"/>
  <c r="L7" i="4"/>
  <c r="AR7" i="4" s="1"/>
  <c r="AP6" i="4"/>
  <c r="Z6" i="4"/>
  <c r="Q6" i="4"/>
  <c r="Y6" i="4" s="1"/>
  <c r="Y9" i="4" s="1"/>
  <c r="P6" i="4"/>
  <c r="X6" i="4" s="1"/>
  <c r="AF6" i="4" s="1"/>
  <c r="AN6" i="4" s="1"/>
  <c r="AN9" i="4" s="1"/>
  <c r="O6" i="4"/>
  <c r="W6" i="4" s="1"/>
  <c r="AE6" i="4" s="1"/>
  <c r="AM6" i="4" s="1"/>
  <c r="N6" i="4"/>
  <c r="V6" i="4" s="1"/>
  <c r="M6" i="4"/>
  <c r="U6" i="4" s="1"/>
  <c r="U9" i="4" s="1"/>
  <c r="L6" i="4"/>
  <c r="T6" i="4" s="1"/>
  <c r="AB6" i="4" s="1"/>
  <c r="AJ6" i="4" s="1"/>
  <c r="G3" i="3"/>
  <c r="G12" i="3"/>
  <c r="AD6" i="4" l="1"/>
  <c r="V17" i="4"/>
  <c r="V20" i="4"/>
  <c r="X8" i="4"/>
  <c r="Y22" i="4"/>
  <c r="W22" i="4"/>
  <c r="U22" i="4"/>
  <c r="Y21" i="4"/>
  <c r="W21" i="4"/>
  <c r="U21" i="4"/>
  <c r="Y20" i="4"/>
  <c r="W20" i="4"/>
  <c r="U20" i="4"/>
  <c r="Y19" i="4"/>
  <c r="W19" i="4"/>
  <c r="U19" i="4"/>
  <c r="Y18" i="4"/>
  <c r="W18" i="4"/>
  <c r="U18" i="4"/>
  <c r="Y17" i="4"/>
  <c r="W17" i="4"/>
  <c r="Y16" i="4"/>
  <c r="W16" i="4"/>
  <c r="Y15" i="4"/>
  <c r="W15" i="4"/>
  <c r="U15" i="4"/>
  <c r="Y14" i="4"/>
  <c r="W14" i="4"/>
  <c r="U14" i="4"/>
  <c r="Y13" i="4"/>
  <c r="W13" i="4"/>
  <c r="U13" i="4"/>
  <c r="Y12" i="4"/>
  <c r="W12" i="4"/>
  <c r="U12" i="4"/>
  <c r="Y11" i="4"/>
  <c r="W11" i="4"/>
  <c r="U11" i="4"/>
  <c r="Y10" i="4"/>
  <c r="W10" i="4"/>
  <c r="U10" i="4"/>
  <c r="X9" i="4"/>
  <c r="T9" i="4"/>
  <c r="T8" i="4"/>
  <c r="AR41" i="4"/>
  <c r="X22" i="4"/>
  <c r="T22" i="4"/>
  <c r="X21" i="4"/>
  <c r="T21" i="4"/>
  <c r="X20" i="4"/>
  <c r="T20" i="4"/>
  <c r="X19" i="4"/>
  <c r="T19" i="4"/>
  <c r="AF18" i="4"/>
  <c r="T18" i="4"/>
  <c r="AF17" i="4"/>
  <c r="T17" i="4"/>
  <c r="X16" i="4"/>
  <c r="T16" i="4"/>
  <c r="X15" i="4"/>
  <c r="T15" i="4"/>
  <c r="X14" i="4"/>
  <c r="T14" i="4"/>
  <c r="X13" i="4"/>
  <c r="T13" i="4"/>
  <c r="X12" i="4"/>
  <c r="T12" i="4"/>
  <c r="AB11" i="4"/>
  <c r="X11" i="4"/>
  <c r="X10" i="4"/>
  <c r="T10" i="4"/>
  <c r="AR8" i="4"/>
  <c r="AG6" i="4"/>
  <c r="AO6" i="4" s="1"/>
  <c r="Y8" i="4"/>
  <c r="AC6" i="4"/>
  <c r="U8" i="4"/>
  <c r="AT7" i="4"/>
  <c r="AU41" i="4"/>
  <c r="AT41" i="4"/>
  <c r="AS41" i="4"/>
  <c r="AU40" i="4"/>
  <c r="AT40" i="4"/>
  <c r="AS40" i="4"/>
  <c r="AR40" i="4"/>
  <c r="AU37" i="4"/>
  <c r="AT37" i="4"/>
  <c r="AS37" i="4"/>
  <c r="AR37" i="4"/>
  <c r="AU35" i="4"/>
  <c r="AT35" i="4"/>
  <c r="AS35" i="4"/>
  <c r="AR35" i="4"/>
  <c r="AU33" i="4"/>
  <c r="AT33" i="4"/>
  <c r="AS33" i="4"/>
  <c r="AR33" i="4"/>
  <c r="AU31" i="4"/>
  <c r="AT31" i="4"/>
  <c r="AS31" i="4"/>
  <c r="AR31" i="4"/>
  <c r="AU29" i="4"/>
  <c r="AT29" i="4"/>
  <c r="AS29" i="4"/>
  <c r="AR29" i="4"/>
  <c r="AU27" i="4"/>
  <c r="AT27" i="4"/>
  <c r="AS27" i="4"/>
  <c r="AR27" i="4"/>
  <c r="AU25" i="4"/>
  <c r="AT25" i="4"/>
  <c r="AS25" i="4"/>
  <c r="AR25" i="4"/>
  <c r="AU23" i="4"/>
  <c r="AT23" i="4"/>
  <c r="AS23" i="4"/>
  <c r="AR23" i="4"/>
  <c r="AU21" i="4"/>
  <c r="AS21" i="4"/>
  <c r="BD21" i="4" s="1"/>
  <c r="BH21" i="4" s="1"/>
  <c r="I21" i="4" s="1"/>
  <c r="AR21" i="4"/>
  <c r="AU19" i="4"/>
  <c r="AS19" i="4"/>
  <c r="BD19" i="4" s="1"/>
  <c r="BH19" i="4" s="1"/>
  <c r="I19" i="4" s="1"/>
  <c r="AR19" i="4"/>
  <c r="AU17" i="4"/>
  <c r="AS17" i="4"/>
  <c r="BD17" i="4" s="1"/>
  <c r="BH17" i="4" s="1"/>
  <c r="I17" i="4" s="1"/>
  <c r="AR17" i="4"/>
  <c r="AU15" i="4"/>
  <c r="AS15" i="4"/>
  <c r="BD15" i="4" s="1"/>
  <c r="BH15" i="4" s="1"/>
  <c r="I15" i="4" s="1"/>
  <c r="AR15" i="4"/>
  <c r="AU13" i="4"/>
  <c r="AS13" i="4"/>
  <c r="BD13" i="4" s="1"/>
  <c r="BH13" i="4" s="1"/>
  <c r="I13" i="4" s="1"/>
  <c r="AR13" i="4"/>
  <c r="AU11" i="4"/>
  <c r="AS11" i="4"/>
  <c r="BD11" i="4" s="1"/>
  <c r="BH11" i="4" s="1"/>
  <c r="I11" i="4" s="1"/>
  <c r="AR11" i="4"/>
  <c r="AU9" i="4"/>
  <c r="BF9" i="4" s="1"/>
  <c r="AT9" i="4"/>
  <c r="W9" i="4"/>
  <c r="Q9" i="4"/>
  <c r="M9" i="4"/>
  <c r="V8" i="4"/>
  <c r="BB8" i="4"/>
  <c r="AW8" i="4" s="1"/>
  <c r="W8" i="4"/>
  <c r="AS8" i="4" s="1"/>
  <c r="BD8" i="4" s="1"/>
  <c r="AU42" i="4"/>
  <c r="AT42" i="4"/>
  <c r="AS42" i="4"/>
  <c r="AR42" i="4"/>
  <c r="AU39" i="4"/>
  <c r="AT39" i="4"/>
  <c r="AS39" i="4"/>
  <c r="AR39" i="4"/>
  <c r="AU38" i="4"/>
  <c r="AT38" i="4"/>
  <c r="AS38" i="4"/>
  <c r="AR38" i="4"/>
  <c r="AU36" i="4"/>
  <c r="AT36" i="4"/>
  <c r="AS36" i="4"/>
  <c r="AR36" i="4"/>
  <c r="AU34" i="4"/>
  <c r="AT34" i="4"/>
  <c r="AS34" i="4"/>
  <c r="AR34" i="4"/>
  <c r="AU32" i="4"/>
  <c r="AT32" i="4"/>
  <c r="AS32" i="4"/>
  <c r="AR32" i="4"/>
  <c r="AU30" i="4"/>
  <c r="AT30" i="4"/>
  <c r="AS30" i="4"/>
  <c r="AR30" i="4"/>
  <c r="AU28" i="4"/>
  <c r="AT28" i="4"/>
  <c r="AS28" i="4"/>
  <c r="AR28" i="4"/>
  <c r="AU26" i="4"/>
  <c r="AT26" i="4"/>
  <c r="AS26" i="4"/>
  <c r="AR26" i="4"/>
  <c r="AU24" i="4"/>
  <c r="AT24" i="4"/>
  <c r="AS24" i="4"/>
  <c r="AR24" i="4"/>
  <c r="AU22" i="4"/>
  <c r="AS22" i="4"/>
  <c r="BD22" i="4" s="1"/>
  <c r="BH22" i="4" s="1"/>
  <c r="I22" i="4" s="1"/>
  <c r="AR22" i="4"/>
  <c r="AU20" i="4"/>
  <c r="AT20" i="4"/>
  <c r="AS20" i="4"/>
  <c r="BD20" i="4" s="1"/>
  <c r="BH20" i="4" s="1"/>
  <c r="I20" i="4" s="1"/>
  <c r="AR20" i="4"/>
  <c r="AU18" i="4"/>
  <c r="AS18" i="4"/>
  <c r="BD18" i="4" s="1"/>
  <c r="BH18" i="4" s="1"/>
  <c r="I18" i="4" s="1"/>
  <c r="AR18" i="4"/>
  <c r="AU16" i="4"/>
  <c r="AS16" i="4"/>
  <c r="BD16" i="4" s="1"/>
  <c r="BH16" i="4" s="1"/>
  <c r="I16" i="4" s="1"/>
  <c r="AR16" i="4"/>
  <c r="AU14" i="4"/>
  <c r="AS14" i="4"/>
  <c r="BD14" i="4" s="1"/>
  <c r="BH14" i="4" s="1"/>
  <c r="I14" i="4" s="1"/>
  <c r="AR14" i="4"/>
  <c r="AU12" i="4"/>
  <c r="AS12" i="4"/>
  <c r="BD12" i="4" s="1"/>
  <c r="BH12" i="4" s="1"/>
  <c r="I12" i="4" s="1"/>
  <c r="AR12" i="4"/>
  <c r="AU10" i="4"/>
  <c r="AS10" i="4"/>
  <c r="BD10" i="4" s="1"/>
  <c r="BH10" i="4" s="1"/>
  <c r="I10" i="4" s="1"/>
  <c r="AR10" i="4"/>
  <c r="V9" i="4"/>
  <c r="L9" i="4"/>
  <c r="G42" i="3"/>
  <c r="G30" i="3"/>
  <c r="G38" i="3"/>
  <c r="G34" i="3"/>
  <c r="G26" i="3"/>
  <c r="G22" i="3"/>
  <c r="G40" i="3"/>
  <c r="G36" i="3"/>
  <c r="G32" i="3"/>
  <c r="G28" i="3"/>
  <c r="G18" i="3"/>
  <c r="G14" i="3"/>
  <c r="G10" i="3"/>
  <c r="G16" i="3"/>
  <c r="G24" i="3"/>
  <c r="G20" i="3"/>
  <c r="G39" i="3"/>
  <c r="G35" i="3"/>
  <c r="G31" i="3"/>
  <c r="G27" i="3"/>
  <c r="G23" i="3"/>
  <c r="G19" i="3"/>
  <c r="G15" i="3"/>
  <c r="G11" i="3"/>
  <c r="G9" i="3"/>
  <c r="G41" i="3"/>
  <c r="G13" i="3"/>
  <c r="AU8" i="4"/>
  <c r="BC8" i="4"/>
  <c r="I42" i="4"/>
  <c r="I40" i="4"/>
  <c r="I38" i="4"/>
  <c r="BH7" i="4"/>
  <c r="G37" i="3"/>
  <c r="G33" i="3"/>
  <c r="G29" i="3"/>
  <c r="G25" i="3"/>
  <c r="G21" i="3"/>
  <c r="G17" i="3"/>
  <c r="AR9" i="4" l="1"/>
  <c r="BC9" i="4" s="1"/>
  <c r="AK6" i="4"/>
  <c r="AC16" i="4"/>
  <c r="AT16" i="4" s="1"/>
  <c r="BE16" i="4" s="1"/>
  <c r="AC17" i="4"/>
  <c r="AT17" i="4" s="1"/>
  <c r="BE17" i="4" s="1"/>
  <c r="AL6" i="4"/>
  <c r="AD10" i="4"/>
  <c r="AT10" i="4" s="1"/>
  <c r="BE10" i="4" s="1"/>
  <c r="AD11" i="4"/>
  <c r="AT11" i="4" s="1"/>
  <c r="BE11" i="4" s="1"/>
  <c r="AD12" i="4"/>
  <c r="AT12" i="4" s="1"/>
  <c r="BE12" i="4" s="1"/>
  <c r="AD13" i="4"/>
  <c r="AT13" i="4" s="1"/>
  <c r="BE13" i="4" s="1"/>
  <c r="AD14" i="4"/>
  <c r="AT14" i="4" s="1"/>
  <c r="BE14" i="4" s="1"/>
  <c r="AD15" i="4"/>
  <c r="AT15" i="4" s="1"/>
  <c r="BE15" i="4" s="1"/>
  <c r="AD16" i="4"/>
  <c r="AD18" i="4"/>
  <c r="AT18" i="4" s="1"/>
  <c r="BE18" i="4" s="1"/>
  <c r="AD19" i="4"/>
  <c r="AT19" i="4" s="1"/>
  <c r="BE19" i="4" s="1"/>
  <c r="AD21" i="4"/>
  <c r="AT21" i="4" s="1"/>
  <c r="BE21" i="4" s="1"/>
  <c r="AD22" i="4"/>
  <c r="AT22" i="4" s="1"/>
  <c r="BE22" i="4" s="1"/>
  <c r="AD8" i="4"/>
  <c r="AT8" i="4" s="1"/>
  <c r="BE8" i="4" s="1"/>
  <c r="BH8" i="4"/>
  <c r="I8" i="4" s="1"/>
  <c r="AS9" i="4"/>
  <c r="BD9" i="4" s="1"/>
  <c r="BH9" i="4" s="1"/>
  <c r="I9" i="4" s="1"/>
  <c r="J82" i="37" l="1"/>
  <c r="G109" i="40" l="1"/>
  <c r="F71" i="40"/>
  <c r="F69" i="40"/>
  <c r="G59" i="40"/>
  <c r="G58" i="40"/>
  <c r="F56" i="40"/>
  <c r="F54" i="40"/>
  <c r="F52" i="40"/>
  <c r="A29" i="39" l="1"/>
  <c r="C47" i="6"/>
  <c r="W47" i="6"/>
  <c r="W46" i="6"/>
  <c r="E7" i="6"/>
  <c r="F7" i="6"/>
  <c r="G7" i="6"/>
  <c r="H7" i="6"/>
  <c r="I7" i="6"/>
  <c r="J7" i="6"/>
  <c r="K7" i="6"/>
  <c r="L7" i="6"/>
  <c r="M7" i="6"/>
  <c r="N7" i="6"/>
  <c r="O7" i="6"/>
  <c r="P7" i="6"/>
  <c r="E11" i="6"/>
  <c r="F11" i="6"/>
  <c r="G11" i="6"/>
  <c r="H11" i="6"/>
  <c r="I11" i="6"/>
  <c r="J11" i="6"/>
  <c r="K11" i="6"/>
  <c r="L11" i="6"/>
  <c r="M11" i="6"/>
  <c r="N11" i="6"/>
  <c r="O11" i="6"/>
  <c r="P11" i="6"/>
  <c r="E12" i="6"/>
  <c r="F12" i="6"/>
  <c r="G12" i="6"/>
  <c r="H12" i="6"/>
  <c r="I12" i="6"/>
  <c r="J12" i="6"/>
  <c r="K12" i="6"/>
  <c r="L12" i="6"/>
  <c r="M12" i="6"/>
  <c r="N12" i="6"/>
  <c r="O12" i="6"/>
  <c r="P12" i="6"/>
  <c r="E13" i="6"/>
  <c r="F13" i="6"/>
  <c r="G13" i="6"/>
  <c r="H13" i="6"/>
  <c r="I13" i="6"/>
  <c r="J13" i="6"/>
  <c r="K13" i="6"/>
  <c r="L13" i="6"/>
  <c r="M13" i="6"/>
  <c r="N13" i="6"/>
  <c r="O13" i="6"/>
  <c r="P13" i="6"/>
  <c r="E14" i="6"/>
  <c r="F14" i="6"/>
  <c r="G14" i="6"/>
  <c r="H14" i="6"/>
  <c r="I14" i="6"/>
  <c r="J14" i="6"/>
  <c r="K14" i="6"/>
  <c r="L14" i="6"/>
  <c r="M14" i="6"/>
  <c r="N14" i="6"/>
  <c r="O14" i="6"/>
  <c r="P14" i="6"/>
  <c r="E15" i="6"/>
  <c r="F15" i="6"/>
  <c r="G15" i="6"/>
  <c r="H15" i="6"/>
  <c r="I15" i="6"/>
  <c r="J15" i="6"/>
  <c r="K15" i="6"/>
  <c r="L15" i="6"/>
  <c r="M15" i="6"/>
  <c r="N15" i="6"/>
  <c r="O15" i="6"/>
  <c r="P15" i="6"/>
  <c r="E16" i="6"/>
  <c r="F16" i="6"/>
  <c r="G16" i="6"/>
  <c r="H16" i="6"/>
  <c r="I16" i="6"/>
  <c r="J16" i="6"/>
  <c r="K16" i="6"/>
  <c r="L16" i="6"/>
  <c r="M16" i="6"/>
  <c r="N16" i="6"/>
  <c r="O16" i="6"/>
  <c r="P16" i="6"/>
  <c r="E17" i="6"/>
  <c r="F17" i="6"/>
  <c r="G17" i="6"/>
  <c r="H17" i="6"/>
  <c r="I17" i="6"/>
  <c r="J17" i="6"/>
  <c r="K17" i="6"/>
  <c r="L17" i="6"/>
  <c r="M17" i="6"/>
  <c r="N17" i="6"/>
  <c r="O17" i="6"/>
  <c r="P17" i="6"/>
  <c r="E18" i="6"/>
  <c r="F18" i="6"/>
  <c r="G18" i="6"/>
  <c r="H18" i="6"/>
  <c r="I18" i="6"/>
  <c r="J18" i="6"/>
  <c r="K18" i="6"/>
  <c r="L18" i="6"/>
  <c r="M18" i="6"/>
  <c r="N18" i="6"/>
  <c r="O18" i="6"/>
  <c r="P18" i="6"/>
  <c r="E19" i="6"/>
  <c r="F19" i="6"/>
  <c r="G19" i="6"/>
  <c r="H19" i="6"/>
  <c r="I19" i="6"/>
  <c r="J19" i="6"/>
  <c r="K19" i="6"/>
  <c r="L19" i="6"/>
  <c r="M19" i="6"/>
  <c r="N19" i="6"/>
  <c r="O19" i="6"/>
  <c r="P19" i="6"/>
  <c r="E20" i="6"/>
  <c r="F20" i="6"/>
  <c r="G20" i="6"/>
  <c r="H20" i="6"/>
  <c r="I20" i="6"/>
  <c r="J20" i="6"/>
  <c r="K20" i="6"/>
  <c r="L20" i="6"/>
  <c r="M20" i="6"/>
  <c r="N20" i="6"/>
  <c r="O20" i="6"/>
  <c r="P20" i="6"/>
  <c r="E21" i="6"/>
  <c r="F21" i="6"/>
  <c r="G21" i="6"/>
  <c r="H21" i="6"/>
  <c r="I21" i="6"/>
  <c r="J21" i="6"/>
  <c r="K21" i="6"/>
  <c r="L21" i="6"/>
  <c r="M21" i="6"/>
  <c r="N21" i="6"/>
  <c r="O21" i="6"/>
  <c r="P21" i="6"/>
  <c r="E22" i="6"/>
  <c r="F22" i="6"/>
  <c r="G22" i="6"/>
  <c r="H22" i="6"/>
  <c r="I22" i="6"/>
  <c r="J22" i="6"/>
  <c r="K22" i="6"/>
  <c r="L22" i="6"/>
  <c r="M22" i="6"/>
  <c r="N22" i="6"/>
  <c r="O22" i="6"/>
  <c r="P22" i="6"/>
  <c r="E23" i="6"/>
  <c r="F23" i="6"/>
  <c r="G23" i="6"/>
  <c r="H23" i="6"/>
  <c r="I23" i="6"/>
  <c r="J23" i="6"/>
  <c r="K23" i="6"/>
  <c r="L23" i="6"/>
  <c r="M23" i="6"/>
  <c r="N23" i="6"/>
  <c r="O23" i="6"/>
  <c r="P23" i="6"/>
  <c r="E24" i="6"/>
  <c r="F24" i="6"/>
  <c r="G24" i="6"/>
  <c r="H24" i="6"/>
  <c r="I24" i="6"/>
  <c r="J24" i="6"/>
  <c r="K24" i="6"/>
  <c r="L24" i="6"/>
  <c r="M24" i="6"/>
  <c r="N24" i="6"/>
  <c r="O24" i="6"/>
  <c r="P24" i="6"/>
  <c r="E25" i="6"/>
  <c r="F25" i="6"/>
  <c r="G25" i="6"/>
  <c r="H25" i="6"/>
  <c r="I25" i="6"/>
  <c r="J25" i="6"/>
  <c r="K25" i="6"/>
  <c r="L25" i="6"/>
  <c r="M25" i="6"/>
  <c r="N25" i="6"/>
  <c r="O25" i="6"/>
  <c r="P25" i="6"/>
  <c r="E26" i="6"/>
  <c r="F26" i="6"/>
  <c r="G26" i="6"/>
  <c r="H26" i="6"/>
  <c r="I26" i="6"/>
  <c r="J26" i="6"/>
  <c r="K26" i="6"/>
  <c r="L26" i="6"/>
  <c r="M26" i="6"/>
  <c r="N26" i="6"/>
  <c r="O26" i="6"/>
  <c r="P26" i="6"/>
  <c r="E27" i="6"/>
  <c r="F27" i="6"/>
  <c r="G27" i="6"/>
  <c r="H27" i="6"/>
  <c r="I27" i="6"/>
  <c r="J27" i="6"/>
  <c r="K27" i="6"/>
  <c r="L27" i="6"/>
  <c r="M27" i="6"/>
  <c r="N27" i="6"/>
  <c r="O27" i="6"/>
  <c r="P27" i="6"/>
  <c r="E28" i="6"/>
  <c r="F28" i="6"/>
  <c r="G28" i="6"/>
  <c r="H28" i="6"/>
  <c r="I28" i="6"/>
  <c r="J28" i="6"/>
  <c r="K28" i="6"/>
  <c r="L28" i="6"/>
  <c r="M28" i="6"/>
  <c r="N28" i="6"/>
  <c r="O28" i="6"/>
  <c r="P28" i="6"/>
  <c r="E29" i="6"/>
  <c r="F29" i="6"/>
  <c r="G29" i="6"/>
  <c r="H29" i="6"/>
  <c r="I29" i="6"/>
  <c r="J29" i="6"/>
  <c r="K29" i="6"/>
  <c r="L29" i="6"/>
  <c r="M29" i="6"/>
  <c r="N29" i="6"/>
  <c r="O29" i="6"/>
  <c r="P29" i="6"/>
  <c r="E30" i="6"/>
  <c r="F30" i="6"/>
  <c r="G30" i="6"/>
  <c r="H30" i="6"/>
  <c r="I30" i="6"/>
  <c r="J30" i="6"/>
  <c r="K30" i="6"/>
  <c r="L30" i="6"/>
  <c r="M30" i="6"/>
  <c r="N30" i="6"/>
  <c r="O30" i="6"/>
  <c r="P30" i="6"/>
  <c r="E31" i="6"/>
  <c r="F31" i="6"/>
  <c r="G31" i="6"/>
  <c r="H31" i="6"/>
  <c r="I31" i="6"/>
  <c r="J31" i="6"/>
  <c r="K31" i="6"/>
  <c r="L31" i="6"/>
  <c r="M31" i="6"/>
  <c r="N31" i="6"/>
  <c r="O31" i="6"/>
  <c r="P31" i="6"/>
  <c r="E32" i="6"/>
  <c r="F32" i="6"/>
  <c r="G32" i="6"/>
  <c r="H32" i="6"/>
  <c r="I32" i="6"/>
  <c r="J32" i="6"/>
  <c r="K32" i="6"/>
  <c r="L32" i="6"/>
  <c r="M32" i="6"/>
  <c r="N32" i="6"/>
  <c r="O32" i="6"/>
  <c r="P32" i="6"/>
  <c r="E33" i="6"/>
  <c r="F33" i="6"/>
  <c r="G33" i="6"/>
  <c r="H33" i="6"/>
  <c r="I33" i="6"/>
  <c r="J33" i="6"/>
  <c r="K33" i="6"/>
  <c r="L33" i="6"/>
  <c r="M33" i="6"/>
  <c r="N33" i="6"/>
  <c r="O33" i="6"/>
  <c r="P33" i="6"/>
  <c r="E34" i="6"/>
  <c r="F34" i="6"/>
  <c r="G34" i="6"/>
  <c r="H34" i="6"/>
  <c r="I34" i="6"/>
  <c r="J34" i="6"/>
  <c r="K34" i="6"/>
  <c r="L34" i="6"/>
  <c r="M34" i="6"/>
  <c r="N34" i="6"/>
  <c r="O34" i="6"/>
  <c r="P34" i="6"/>
  <c r="E35" i="6"/>
  <c r="F35" i="6"/>
  <c r="G35" i="6"/>
  <c r="H35" i="6"/>
  <c r="I35" i="6"/>
  <c r="J35" i="6"/>
  <c r="K35" i="6"/>
  <c r="L35" i="6"/>
  <c r="M35" i="6"/>
  <c r="N35" i="6"/>
  <c r="O35" i="6"/>
  <c r="P35" i="6"/>
  <c r="E36" i="6"/>
  <c r="F36" i="6"/>
  <c r="G36" i="6"/>
  <c r="H36" i="6"/>
  <c r="I36" i="6"/>
  <c r="J36" i="6"/>
  <c r="K36" i="6"/>
  <c r="L36" i="6"/>
  <c r="M36" i="6"/>
  <c r="N36" i="6"/>
  <c r="O36" i="6"/>
  <c r="P36" i="6"/>
  <c r="E37" i="6"/>
  <c r="F37" i="6"/>
  <c r="G37" i="6"/>
  <c r="H37" i="6"/>
  <c r="I37" i="6"/>
  <c r="J37" i="6"/>
  <c r="K37" i="6"/>
  <c r="L37" i="6"/>
  <c r="M37" i="6"/>
  <c r="N37" i="6"/>
  <c r="O37" i="6"/>
  <c r="P37" i="6"/>
  <c r="E38" i="6"/>
  <c r="F38" i="6"/>
  <c r="G38" i="6"/>
  <c r="H38" i="6"/>
  <c r="I38" i="6"/>
  <c r="J38" i="6"/>
  <c r="K38" i="6"/>
  <c r="L38" i="6"/>
  <c r="M38" i="6"/>
  <c r="N38" i="6"/>
  <c r="O38" i="6"/>
  <c r="P38" i="6"/>
  <c r="E39" i="6"/>
  <c r="F39" i="6"/>
  <c r="G39" i="6"/>
  <c r="H39" i="6"/>
  <c r="I39" i="6"/>
  <c r="J39" i="6"/>
  <c r="K39" i="6"/>
  <c r="L39" i="6"/>
  <c r="M39" i="6"/>
  <c r="N39" i="6"/>
  <c r="O39" i="6"/>
  <c r="P39" i="6"/>
  <c r="E40" i="6"/>
  <c r="F40" i="6"/>
  <c r="G40" i="6"/>
  <c r="H40" i="6"/>
  <c r="I40" i="6"/>
  <c r="J40" i="6"/>
  <c r="K40" i="6"/>
  <c r="L40" i="6"/>
  <c r="M40" i="6"/>
  <c r="N40" i="6"/>
  <c r="O40" i="6"/>
  <c r="P40" i="6"/>
  <c r="P6" i="6"/>
  <c r="O6" i="6"/>
  <c r="N6" i="6"/>
  <c r="M6" i="6"/>
  <c r="L6" i="6"/>
  <c r="K6" i="6"/>
  <c r="J6" i="6"/>
  <c r="I6" i="6"/>
  <c r="H6" i="6"/>
  <c r="G6" i="6"/>
  <c r="F6" i="6"/>
  <c r="E6" i="6"/>
  <c r="W11" i="10"/>
  <c r="X11" i="10"/>
  <c r="Y11" i="10"/>
  <c r="Z11" i="10"/>
  <c r="AA11" i="10"/>
  <c r="AB11" i="10"/>
  <c r="W12" i="10"/>
  <c r="X12" i="10"/>
  <c r="Y12" i="10"/>
  <c r="Z12" i="10"/>
  <c r="AA12" i="10"/>
  <c r="AB12" i="10"/>
  <c r="W13" i="10"/>
  <c r="X13" i="10"/>
  <c r="Y13" i="10"/>
  <c r="Z13" i="10"/>
  <c r="AA13" i="10"/>
  <c r="AB13" i="10"/>
  <c r="W14" i="10"/>
  <c r="X14" i="10"/>
  <c r="Y14" i="10"/>
  <c r="Z14" i="10"/>
  <c r="AA14" i="10"/>
  <c r="AB14" i="10"/>
  <c r="W15" i="10"/>
  <c r="X15" i="10"/>
  <c r="Y15" i="10"/>
  <c r="Z15" i="10"/>
  <c r="AA15" i="10"/>
  <c r="AB15" i="10"/>
  <c r="W16" i="10"/>
  <c r="X16" i="10"/>
  <c r="Y16" i="10"/>
  <c r="Z16" i="10"/>
  <c r="AA16" i="10"/>
  <c r="AB16" i="10"/>
  <c r="W17" i="10"/>
  <c r="X17" i="10"/>
  <c r="Y17" i="10"/>
  <c r="Z17" i="10"/>
  <c r="AA17" i="10"/>
  <c r="AB17" i="10"/>
  <c r="W18" i="10"/>
  <c r="X18" i="10"/>
  <c r="Y18" i="10"/>
  <c r="Z18" i="10"/>
  <c r="AA18" i="10"/>
  <c r="AB18" i="10"/>
  <c r="W19" i="10"/>
  <c r="X19" i="10"/>
  <c r="Y19" i="10"/>
  <c r="Z19" i="10"/>
  <c r="AA19" i="10"/>
  <c r="AB19" i="10"/>
  <c r="W20" i="10"/>
  <c r="X20" i="10"/>
  <c r="Y20" i="10"/>
  <c r="Z20" i="10"/>
  <c r="AA20" i="10"/>
  <c r="AB20" i="10"/>
  <c r="W21" i="10"/>
  <c r="X21" i="10"/>
  <c r="Y21" i="10"/>
  <c r="Z21" i="10"/>
  <c r="AA21" i="10"/>
  <c r="AB21" i="10"/>
  <c r="W22" i="10"/>
  <c r="X22" i="10"/>
  <c r="Y22" i="10"/>
  <c r="Z22" i="10"/>
  <c r="AA22" i="10"/>
  <c r="AB22" i="10"/>
  <c r="W23" i="10"/>
  <c r="X23" i="10"/>
  <c r="Y23" i="10"/>
  <c r="Z23" i="10"/>
  <c r="AA23" i="10"/>
  <c r="AB23" i="10"/>
  <c r="W24" i="10"/>
  <c r="X24" i="10"/>
  <c r="Y24" i="10"/>
  <c r="Z24" i="10"/>
  <c r="K27" i="37" s="1"/>
  <c r="AA24" i="10"/>
  <c r="AB24" i="10"/>
  <c r="K29" i="37" s="1"/>
  <c r="W25" i="10"/>
  <c r="X25" i="10"/>
  <c r="Y25" i="10"/>
  <c r="Z25" i="10"/>
  <c r="AA25" i="10"/>
  <c r="AB25" i="10"/>
  <c r="W26" i="10"/>
  <c r="X26" i="10"/>
  <c r="Y26" i="10"/>
  <c r="Z26" i="10"/>
  <c r="AA26" i="10"/>
  <c r="AB26" i="10"/>
  <c r="W27" i="10"/>
  <c r="X27" i="10"/>
  <c r="Y27" i="10"/>
  <c r="Z27" i="10"/>
  <c r="AA27" i="10"/>
  <c r="AB27" i="10"/>
  <c r="W28" i="10"/>
  <c r="X28" i="10"/>
  <c r="Y28" i="10"/>
  <c r="Z28" i="10"/>
  <c r="AA28" i="10"/>
  <c r="AB28" i="10"/>
  <c r="W29" i="10"/>
  <c r="X29" i="10"/>
  <c r="Y29" i="10"/>
  <c r="Z29" i="10"/>
  <c r="AA29" i="10"/>
  <c r="AB29" i="10"/>
  <c r="W30" i="10"/>
  <c r="X30" i="10"/>
  <c r="Y30" i="10"/>
  <c r="Z30" i="10"/>
  <c r="AA30" i="10"/>
  <c r="AB30" i="10"/>
  <c r="W31" i="10"/>
  <c r="X31" i="10"/>
  <c r="Y31" i="10"/>
  <c r="Z31" i="10"/>
  <c r="AA31" i="10"/>
  <c r="AB31" i="10"/>
  <c r="W32" i="10"/>
  <c r="X32" i="10"/>
  <c r="Y32" i="10"/>
  <c r="Z32" i="10"/>
  <c r="AA32" i="10"/>
  <c r="AB32" i="10"/>
  <c r="W33" i="10"/>
  <c r="X33" i="10"/>
  <c r="Y33" i="10"/>
  <c r="Z33" i="10"/>
  <c r="AA33" i="10"/>
  <c r="AB33" i="10"/>
  <c r="W34" i="10"/>
  <c r="X34" i="10"/>
  <c r="Y34" i="10"/>
  <c r="Z34" i="10"/>
  <c r="AA34" i="10"/>
  <c r="AB34" i="10"/>
  <c r="W35" i="10"/>
  <c r="X35" i="10"/>
  <c r="Y35" i="10"/>
  <c r="Z35" i="10"/>
  <c r="AA35" i="10"/>
  <c r="AB35" i="10"/>
  <c r="W36" i="10"/>
  <c r="X36" i="10"/>
  <c r="Y36" i="10"/>
  <c r="Z36" i="10"/>
  <c r="AA36" i="10"/>
  <c r="AB36" i="10"/>
  <c r="W37" i="10"/>
  <c r="X37" i="10"/>
  <c r="Y37" i="10"/>
  <c r="Z37" i="10"/>
  <c r="AA37" i="10"/>
  <c r="AB37" i="10"/>
  <c r="W38" i="10"/>
  <c r="X38" i="10"/>
  <c r="Y38" i="10"/>
  <c r="Z38" i="10"/>
  <c r="AA38" i="10"/>
  <c r="AB38" i="10"/>
  <c r="W39" i="10"/>
  <c r="X39" i="10"/>
  <c r="Y39" i="10"/>
  <c r="Z39" i="10"/>
  <c r="AA39" i="10"/>
  <c r="AB39" i="10"/>
  <c r="W40" i="10"/>
  <c r="X40" i="10"/>
  <c r="Y40" i="10"/>
  <c r="Z40" i="10"/>
  <c r="AA40" i="10"/>
  <c r="AB40" i="10"/>
  <c r="W41" i="10"/>
  <c r="X41" i="10"/>
  <c r="Y41" i="10"/>
  <c r="Z41" i="10"/>
  <c r="AA41" i="10"/>
  <c r="AB41" i="10"/>
  <c r="W42" i="10"/>
  <c r="X42" i="10"/>
  <c r="Y42" i="10"/>
  <c r="Z42" i="10"/>
  <c r="AA42" i="10"/>
  <c r="AB42" i="10"/>
  <c r="W43" i="10"/>
  <c r="X43" i="10"/>
  <c r="Y43" i="10"/>
  <c r="Z43" i="10"/>
  <c r="AA43" i="10"/>
  <c r="AB43" i="10"/>
  <c r="W44" i="10"/>
  <c r="X44" i="10"/>
  <c r="Y44" i="10"/>
  <c r="Z44" i="10"/>
  <c r="AA44" i="10"/>
  <c r="AB44" i="10"/>
  <c r="AB10" i="10"/>
  <c r="AA10" i="10"/>
  <c r="K28" i="37" s="1"/>
  <c r="Z10" i="10"/>
  <c r="Y10" i="10"/>
  <c r="K26" i="37" s="1"/>
  <c r="X10" i="10"/>
  <c r="W10" i="10"/>
  <c r="K24" i="37" s="1"/>
  <c r="H11" i="10"/>
  <c r="I11" i="10"/>
  <c r="J11" i="10"/>
  <c r="K11" i="10"/>
  <c r="L11" i="10"/>
  <c r="M11" i="10"/>
  <c r="H12" i="10"/>
  <c r="I12" i="10"/>
  <c r="J12" i="10"/>
  <c r="K12" i="10"/>
  <c r="L12" i="10"/>
  <c r="M12" i="10"/>
  <c r="H13" i="10"/>
  <c r="I13" i="10"/>
  <c r="J13" i="10"/>
  <c r="K13" i="10"/>
  <c r="L13" i="10"/>
  <c r="M13" i="10"/>
  <c r="H14" i="10"/>
  <c r="I14" i="10"/>
  <c r="J14" i="10"/>
  <c r="K14" i="10"/>
  <c r="L14" i="10"/>
  <c r="M14" i="10"/>
  <c r="H15" i="10"/>
  <c r="I15" i="10"/>
  <c r="J15" i="10"/>
  <c r="K15" i="10"/>
  <c r="L15" i="10"/>
  <c r="M15" i="10"/>
  <c r="H16" i="10"/>
  <c r="I16" i="10"/>
  <c r="J16" i="10"/>
  <c r="K16" i="10"/>
  <c r="L16" i="10"/>
  <c r="M16" i="10"/>
  <c r="H17" i="10"/>
  <c r="I17" i="10"/>
  <c r="J17" i="10"/>
  <c r="K17" i="10"/>
  <c r="L17" i="10"/>
  <c r="M17" i="10"/>
  <c r="H18" i="10"/>
  <c r="I18" i="10"/>
  <c r="J18" i="10"/>
  <c r="K18" i="10"/>
  <c r="L18" i="10"/>
  <c r="M18" i="10"/>
  <c r="H19" i="10"/>
  <c r="I19" i="10"/>
  <c r="J19" i="10"/>
  <c r="K19" i="10"/>
  <c r="L19" i="10"/>
  <c r="M19" i="10"/>
  <c r="H20" i="10"/>
  <c r="I20" i="10"/>
  <c r="J20" i="10"/>
  <c r="K20" i="10"/>
  <c r="L20" i="10"/>
  <c r="M20" i="10"/>
  <c r="H21" i="10"/>
  <c r="I21" i="10"/>
  <c r="J21" i="10"/>
  <c r="K21" i="10"/>
  <c r="L21" i="10"/>
  <c r="M21" i="10"/>
  <c r="H22" i="10"/>
  <c r="I22" i="10"/>
  <c r="J22" i="10"/>
  <c r="K22" i="10"/>
  <c r="L22" i="10"/>
  <c r="M22" i="10"/>
  <c r="H23" i="10"/>
  <c r="I23" i="10"/>
  <c r="J23" i="10"/>
  <c r="K23" i="10"/>
  <c r="L23" i="10"/>
  <c r="M23" i="10"/>
  <c r="H24" i="10"/>
  <c r="I24" i="10"/>
  <c r="J24" i="10"/>
  <c r="K24" i="10"/>
  <c r="L24" i="10"/>
  <c r="H28" i="37" s="1"/>
  <c r="M24" i="10"/>
  <c r="H25" i="10"/>
  <c r="I25" i="10"/>
  <c r="J25" i="10"/>
  <c r="K25" i="10"/>
  <c r="L25" i="10"/>
  <c r="M25" i="10"/>
  <c r="H26" i="10"/>
  <c r="I26" i="10"/>
  <c r="J26" i="10"/>
  <c r="K26" i="10"/>
  <c r="L26" i="10"/>
  <c r="M26" i="10"/>
  <c r="H27" i="10"/>
  <c r="I27" i="10"/>
  <c r="J27" i="10"/>
  <c r="K27" i="10"/>
  <c r="L27" i="10"/>
  <c r="M27" i="10"/>
  <c r="H28" i="10"/>
  <c r="I28" i="10"/>
  <c r="J28" i="10"/>
  <c r="K28" i="10"/>
  <c r="L28" i="10"/>
  <c r="M28" i="10"/>
  <c r="H29" i="10"/>
  <c r="I29" i="10"/>
  <c r="J29" i="10"/>
  <c r="K29" i="10"/>
  <c r="L29" i="10"/>
  <c r="M29" i="10"/>
  <c r="H30" i="10"/>
  <c r="I30" i="10"/>
  <c r="J30" i="10"/>
  <c r="K30" i="10"/>
  <c r="L30" i="10"/>
  <c r="M30" i="10"/>
  <c r="H31" i="10"/>
  <c r="I31" i="10"/>
  <c r="J31" i="10"/>
  <c r="K31" i="10"/>
  <c r="L31" i="10"/>
  <c r="M31" i="10"/>
  <c r="H32" i="10"/>
  <c r="I32" i="10"/>
  <c r="J32" i="10"/>
  <c r="K32" i="10"/>
  <c r="L32" i="10"/>
  <c r="M32" i="10"/>
  <c r="H33" i="10"/>
  <c r="I33" i="10"/>
  <c r="J33" i="10"/>
  <c r="K33" i="10"/>
  <c r="L33" i="10"/>
  <c r="M33" i="10"/>
  <c r="H34" i="10"/>
  <c r="I34" i="10"/>
  <c r="J34" i="10"/>
  <c r="K34" i="10"/>
  <c r="L34" i="10"/>
  <c r="M34" i="10"/>
  <c r="H35" i="10"/>
  <c r="I35" i="10"/>
  <c r="J35" i="10"/>
  <c r="K35" i="10"/>
  <c r="L35" i="10"/>
  <c r="M35" i="10"/>
  <c r="H36" i="10"/>
  <c r="I36" i="10"/>
  <c r="J36" i="10"/>
  <c r="K36" i="10"/>
  <c r="L36" i="10"/>
  <c r="M36" i="10"/>
  <c r="H37" i="10"/>
  <c r="I37" i="10"/>
  <c r="J37" i="10"/>
  <c r="K37" i="10"/>
  <c r="L37" i="10"/>
  <c r="M37" i="10"/>
  <c r="H38" i="10"/>
  <c r="I38" i="10"/>
  <c r="J38" i="10"/>
  <c r="K38" i="10"/>
  <c r="L38" i="10"/>
  <c r="M38" i="10"/>
  <c r="H39" i="10"/>
  <c r="I39" i="10"/>
  <c r="J39" i="10"/>
  <c r="K39" i="10"/>
  <c r="L39" i="10"/>
  <c r="M39" i="10"/>
  <c r="H40" i="10"/>
  <c r="I40" i="10"/>
  <c r="J40" i="10"/>
  <c r="K40" i="10"/>
  <c r="L40" i="10"/>
  <c r="M40" i="10"/>
  <c r="H41" i="10"/>
  <c r="I41" i="10"/>
  <c r="J41" i="10"/>
  <c r="K41" i="10"/>
  <c r="L41" i="10"/>
  <c r="M41" i="10"/>
  <c r="H42" i="10"/>
  <c r="I42" i="10"/>
  <c r="J42" i="10"/>
  <c r="K42" i="10"/>
  <c r="L42" i="10"/>
  <c r="M42" i="10"/>
  <c r="H43" i="10"/>
  <c r="I43" i="10"/>
  <c r="J43" i="10"/>
  <c r="K43" i="10"/>
  <c r="L43" i="10"/>
  <c r="M43" i="10"/>
  <c r="H44" i="10"/>
  <c r="I44" i="10"/>
  <c r="J44" i="10"/>
  <c r="K44" i="10"/>
  <c r="L44" i="10"/>
  <c r="M44" i="10"/>
  <c r="M10" i="10"/>
  <c r="H29" i="37" s="1"/>
  <c r="L10" i="10"/>
  <c r="K10" i="10"/>
  <c r="J10" i="10"/>
  <c r="I10" i="10"/>
  <c r="H25" i="37" s="1"/>
  <c r="H10" i="10"/>
  <c r="H27" i="37"/>
  <c r="E11" i="38"/>
  <c r="F11" i="38"/>
  <c r="G11" i="38"/>
  <c r="H11" i="38"/>
  <c r="I11" i="38"/>
  <c r="J11" i="38"/>
  <c r="K11" i="38"/>
  <c r="L11" i="38"/>
  <c r="M11" i="38"/>
  <c r="N11" i="38"/>
  <c r="O11" i="38"/>
  <c r="P11" i="38"/>
  <c r="Q11" i="38"/>
  <c r="R11" i="38"/>
  <c r="E12" i="38"/>
  <c r="F12" i="38"/>
  <c r="G12" i="38"/>
  <c r="H12" i="38"/>
  <c r="I12" i="38"/>
  <c r="J12" i="38"/>
  <c r="K12" i="38"/>
  <c r="L12" i="38"/>
  <c r="M12" i="38"/>
  <c r="N12" i="38"/>
  <c r="O12" i="38"/>
  <c r="P12" i="38"/>
  <c r="Q12" i="38"/>
  <c r="R12" i="38"/>
  <c r="E13" i="38"/>
  <c r="F13" i="38"/>
  <c r="G13" i="38"/>
  <c r="H13" i="38"/>
  <c r="I13" i="38"/>
  <c r="J13" i="38"/>
  <c r="K13" i="38"/>
  <c r="L13" i="38"/>
  <c r="M13" i="38"/>
  <c r="N13" i="38"/>
  <c r="O13" i="38"/>
  <c r="P13" i="38"/>
  <c r="Q13" i="38"/>
  <c r="R13" i="38"/>
  <c r="E14" i="38"/>
  <c r="F14" i="38"/>
  <c r="G14" i="38"/>
  <c r="H14" i="38"/>
  <c r="I14" i="38"/>
  <c r="J14" i="38"/>
  <c r="K14" i="38"/>
  <c r="L14" i="38"/>
  <c r="M14" i="38"/>
  <c r="N14" i="38"/>
  <c r="O14" i="38"/>
  <c r="P14" i="38"/>
  <c r="Q14" i="38"/>
  <c r="R14" i="38"/>
  <c r="E15" i="38"/>
  <c r="F15" i="38"/>
  <c r="G15" i="38"/>
  <c r="H15" i="38"/>
  <c r="I15" i="38"/>
  <c r="J15" i="38"/>
  <c r="K15" i="38"/>
  <c r="L15" i="38"/>
  <c r="M15" i="38"/>
  <c r="N15" i="38"/>
  <c r="O15" i="38"/>
  <c r="P15" i="38"/>
  <c r="Q15" i="38"/>
  <c r="R15" i="38"/>
  <c r="E16" i="38"/>
  <c r="F16" i="38"/>
  <c r="G16" i="38"/>
  <c r="H16" i="38"/>
  <c r="I16" i="38"/>
  <c r="J16" i="38"/>
  <c r="K16" i="38"/>
  <c r="L16" i="38"/>
  <c r="M16" i="38"/>
  <c r="N16" i="38"/>
  <c r="O16" i="38"/>
  <c r="P16" i="38"/>
  <c r="Q16" i="38"/>
  <c r="R16" i="38"/>
  <c r="E17" i="38"/>
  <c r="F17" i="38"/>
  <c r="G17" i="38"/>
  <c r="H17" i="38"/>
  <c r="I17" i="38"/>
  <c r="J17" i="38"/>
  <c r="K17" i="38"/>
  <c r="L17" i="38"/>
  <c r="M17" i="38"/>
  <c r="N17" i="38"/>
  <c r="O17" i="38"/>
  <c r="P17" i="38"/>
  <c r="Q17" i="38"/>
  <c r="R17" i="38"/>
  <c r="E18" i="38"/>
  <c r="F18" i="38"/>
  <c r="G18" i="38"/>
  <c r="H18" i="38"/>
  <c r="I18" i="38"/>
  <c r="J18" i="38"/>
  <c r="K18" i="38"/>
  <c r="L18" i="38"/>
  <c r="M18" i="38"/>
  <c r="N18" i="38"/>
  <c r="O18" i="38"/>
  <c r="P18" i="38"/>
  <c r="Q18" i="38"/>
  <c r="R18" i="38"/>
  <c r="E19" i="38"/>
  <c r="F19" i="38"/>
  <c r="G19" i="38"/>
  <c r="H19" i="38"/>
  <c r="I19" i="38"/>
  <c r="J19" i="38"/>
  <c r="K19" i="38"/>
  <c r="L19" i="38"/>
  <c r="M19" i="38"/>
  <c r="N19" i="38"/>
  <c r="O19" i="38"/>
  <c r="P19" i="38"/>
  <c r="Q19" i="38"/>
  <c r="R19" i="38"/>
  <c r="E20" i="38"/>
  <c r="F20" i="38"/>
  <c r="G20" i="38"/>
  <c r="H20" i="38"/>
  <c r="I20" i="38"/>
  <c r="J20" i="38"/>
  <c r="K20" i="38"/>
  <c r="L20" i="38"/>
  <c r="M20" i="38"/>
  <c r="N20" i="38"/>
  <c r="O20" i="38"/>
  <c r="P20" i="38"/>
  <c r="Q20" i="38"/>
  <c r="R20" i="38"/>
  <c r="E21" i="38"/>
  <c r="F21" i="38"/>
  <c r="G21" i="38"/>
  <c r="H21" i="38"/>
  <c r="I21" i="38"/>
  <c r="J21" i="38"/>
  <c r="K21" i="38"/>
  <c r="L21" i="38"/>
  <c r="M21" i="38"/>
  <c r="N21" i="38"/>
  <c r="O21" i="38"/>
  <c r="P21" i="38"/>
  <c r="Q21" i="38"/>
  <c r="R21" i="38"/>
  <c r="E22" i="38"/>
  <c r="F22" i="38"/>
  <c r="G22" i="38"/>
  <c r="H22" i="38"/>
  <c r="I22" i="38"/>
  <c r="J22" i="38"/>
  <c r="K22" i="38"/>
  <c r="L22" i="38"/>
  <c r="M22" i="38"/>
  <c r="N22" i="38"/>
  <c r="O22" i="38"/>
  <c r="P22" i="38"/>
  <c r="Q22" i="38"/>
  <c r="R22" i="38"/>
  <c r="E23" i="38"/>
  <c r="F23" i="38"/>
  <c r="G23" i="38"/>
  <c r="H23" i="38"/>
  <c r="I23" i="38"/>
  <c r="J23" i="38"/>
  <c r="K23" i="38"/>
  <c r="L23" i="38"/>
  <c r="M23" i="38"/>
  <c r="N23" i="38"/>
  <c r="O23" i="38"/>
  <c r="P23" i="38"/>
  <c r="Q23" i="38"/>
  <c r="R23" i="38"/>
  <c r="E24" i="38"/>
  <c r="F24" i="38"/>
  <c r="G24" i="38"/>
  <c r="H24" i="38"/>
  <c r="I24" i="38"/>
  <c r="J24" i="38"/>
  <c r="K24" i="38"/>
  <c r="E26" i="37" s="1"/>
  <c r="L24" i="38"/>
  <c r="M24" i="38"/>
  <c r="E27" i="37" s="1"/>
  <c r="N24" i="38"/>
  <c r="O24" i="38"/>
  <c r="P24" i="38"/>
  <c r="Q24" i="38"/>
  <c r="R24" i="38"/>
  <c r="E25" i="38"/>
  <c r="F25" i="38"/>
  <c r="G25" i="38"/>
  <c r="H25" i="38"/>
  <c r="I25" i="38"/>
  <c r="J25" i="38"/>
  <c r="K25" i="38"/>
  <c r="L25" i="38"/>
  <c r="M25" i="38"/>
  <c r="N25" i="38"/>
  <c r="O25" i="38"/>
  <c r="P25" i="38"/>
  <c r="Q25" i="38"/>
  <c r="R25" i="38"/>
  <c r="E26" i="38"/>
  <c r="F26" i="38"/>
  <c r="G26" i="38"/>
  <c r="H26" i="38"/>
  <c r="I26" i="38"/>
  <c r="J26" i="38"/>
  <c r="K26" i="38"/>
  <c r="L26" i="38"/>
  <c r="M26" i="38"/>
  <c r="N26" i="38"/>
  <c r="O26" i="38"/>
  <c r="P26" i="38"/>
  <c r="Q26" i="38"/>
  <c r="R26" i="38"/>
  <c r="E27" i="38"/>
  <c r="F27" i="38"/>
  <c r="G27" i="38"/>
  <c r="H27" i="38"/>
  <c r="I27" i="38"/>
  <c r="J27" i="38"/>
  <c r="K27" i="38"/>
  <c r="L27" i="38"/>
  <c r="M27" i="38"/>
  <c r="N27" i="38"/>
  <c r="O27" i="38"/>
  <c r="P27" i="38"/>
  <c r="Q27" i="38"/>
  <c r="R27" i="38"/>
  <c r="E28" i="38"/>
  <c r="F28" i="38"/>
  <c r="G28" i="38"/>
  <c r="H28" i="38"/>
  <c r="I28" i="38"/>
  <c r="J28" i="38"/>
  <c r="K28" i="38"/>
  <c r="L28" i="38"/>
  <c r="M28" i="38"/>
  <c r="N28" i="38"/>
  <c r="O28" i="38"/>
  <c r="P28" i="38"/>
  <c r="Q28" i="38"/>
  <c r="R28" i="38"/>
  <c r="E29" i="38"/>
  <c r="F29" i="38"/>
  <c r="G29" i="38"/>
  <c r="H29" i="38"/>
  <c r="I29" i="38"/>
  <c r="J29" i="38"/>
  <c r="K29" i="38"/>
  <c r="L29" i="38"/>
  <c r="M29" i="38"/>
  <c r="N29" i="38"/>
  <c r="O29" i="38"/>
  <c r="P29" i="38"/>
  <c r="Q29" i="38"/>
  <c r="R29" i="38"/>
  <c r="E30" i="38"/>
  <c r="F30" i="38"/>
  <c r="G30" i="38"/>
  <c r="H30" i="38"/>
  <c r="I30" i="38"/>
  <c r="J30" i="38"/>
  <c r="K30" i="38"/>
  <c r="L30" i="38"/>
  <c r="M30" i="38"/>
  <c r="N30" i="38"/>
  <c r="O30" i="38"/>
  <c r="P30" i="38"/>
  <c r="Q30" i="38"/>
  <c r="R30" i="38"/>
  <c r="E31" i="38"/>
  <c r="F31" i="38"/>
  <c r="G31" i="38"/>
  <c r="H31" i="38"/>
  <c r="I31" i="38"/>
  <c r="J31" i="38"/>
  <c r="K31" i="38"/>
  <c r="L31" i="38"/>
  <c r="M31" i="38"/>
  <c r="N31" i="38"/>
  <c r="O31" i="38"/>
  <c r="P31" i="38"/>
  <c r="Q31" i="38"/>
  <c r="R31" i="38"/>
  <c r="E32" i="38"/>
  <c r="F32" i="38"/>
  <c r="G32" i="38"/>
  <c r="H32" i="38"/>
  <c r="I32" i="38"/>
  <c r="J32" i="38"/>
  <c r="K32" i="38"/>
  <c r="L32" i="38"/>
  <c r="M32" i="38"/>
  <c r="N32" i="38"/>
  <c r="O32" i="38"/>
  <c r="P32" i="38"/>
  <c r="Q32" i="38"/>
  <c r="R32" i="38"/>
  <c r="E33" i="38"/>
  <c r="F33" i="38"/>
  <c r="G33" i="38"/>
  <c r="H33" i="38"/>
  <c r="I33" i="38"/>
  <c r="J33" i="38"/>
  <c r="K33" i="38"/>
  <c r="L33" i="38"/>
  <c r="M33" i="38"/>
  <c r="N33" i="38"/>
  <c r="O33" i="38"/>
  <c r="P33" i="38"/>
  <c r="Q33" i="38"/>
  <c r="R33" i="38"/>
  <c r="E34" i="38"/>
  <c r="F34" i="38"/>
  <c r="G34" i="38"/>
  <c r="H34" i="38"/>
  <c r="I34" i="38"/>
  <c r="J34" i="38"/>
  <c r="K34" i="38"/>
  <c r="L34" i="38"/>
  <c r="M34" i="38"/>
  <c r="N34" i="38"/>
  <c r="O34" i="38"/>
  <c r="P34" i="38"/>
  <c r="Q34" i="38"/>
  <c r="R34" i="38"/>
  <c r="E35" i="38"/>
  <c r="F35" i="38"/>
  <c r="G35" i="38"/>
  <c r="H35" i="38"/>
  <c r="I35" i="38"/>
  <c r="J35" i="38"/>
  <c r="K35" i="38"/>
  <c r="L35" i="38"/>
  <c r="M35" i="38"/>
  <c r="N35" i="38"/>
  <c r="O35" i="38"/>
  <c r="P35" i="38"/>
  <c r="Q35" i="38"/>
  <c r="R35" i="38"/>
  <c r="E36" i="38"/>
  <c r="F36" i="38"/>
  <c r="G36" i="38"/>
  <c r="H36" i="38"/>
  <c r="I36" i="38"/>
  <c r="J36" i="38"/>
  <c r="K36" i="38"/>
  <c r="L36" i="38"/>
  <c r="M36" i="38"/>
  <c r="N36" i="38"/>
  <c r="O36" i="38"/>
  <c r="P36" i="38"/>
  <c r="Q36" i="38"/>
  <c r="R36" i="38"/>
  <c r="E37" i="38"/>
  <c r="F37" i="38"/>
  <c r="G37" i="38"/>
  <c r="H37" i="38"/>
  <c r="I37" i="38"/>
  <c r="J37" i="38"/>
  <c r="K37" i="38"/>
  <c r="L37" i="38"/>
  <c r="M37" i="38"/>
  <c r="N37" i="38"/>
  <c r="O37" i="38"/>
  <c r="P37" i="38"/>
  <c r="Q37" i="38"/>
  <c r="R37" i="38"/>
  <c r="E38" i="38"/>
  <c r="F38" i="38"/>
  <c r="G38" i="38"/>
  <c r="H38" i="38"/>
  <c r="I38" i="38"/>
  <c r="J38" i="38"/>
  <c r="K38" i="38"/>
  <c r="L38" i="38"/>
  <c r="M38" i="38"/>
  <c r="N38" i="38"/>
  <c r="O38" i="38"/>
  <c r="P38" i="38"/>
  <c r="Q38" i="38"/>
  <c r="R38" i="38"/>
  <c r="E39" i="38"/>
  <c r="F39" i="38"/>
  <c r="G39" i="38"/>
  <c r="H39" i="38"/>
  <c r="I39" i="38"/>
  <c r="J39" i="38"/>
  <c r="K39" i="38"/>
  <c r="L39" i="38"/>
  <c r="M39" i="38"/>
  <c r="N39" i="38"/>
  <c r="O39" i="38"/>
  <c r="P39" i="38"/>
  <c r="Q39" i="38"/>
  <c r="R39" i="38"/>
  <c r="E40" i="38"/>
  <c r="F40" i="38"/>
  <c r="G40" i="38"/>
  <c r="H40" i="38"/>
  <c r="I40" i="38"/>
  <c r="J40" i="38"/>
  <c r="K40" i="38"/>
  <c r="L40" i="38"/>
  <c r="M40" i="38"/>
  <c r="N40" i="38"/>
  <c r="O40" i="38"/>
  <c r="P40" i="38"/>
  <c r="Q40" i="38"/>
  <c r="R40" i="38"/>
  <c r="E41" i="38"/>
  <c r="F41" i="38"/>
  <c r="G41" i="38"/>
  <c r="H41" i="38"/>
  <c r="I41" i="38"/>
  <c r="J41" i="38"/>
  <c r="K41" i="38"/>
  <c r="L41" i="38"/>
  <c r="M41" i="38"/>
  <c r="N41" i="38"/>
  <c r="O41" i="38"/>
  <c r="P41" i="38"/>
  <c r="Q41" i="38"/>
  <c r="R41" i="38"/>
  <c r="E42" i="38"/>
  <c r="F42" i="38"/>
  <c r="G42" i="38"/>
  <c r="H42" i="38"/>
  <c r="I42" i="38"/>
  <c r="J42" i="38"/>
  <c r="K42" i="38"/>
  <c r="L42" i="38"/>
  <c r="M42" i="38"/>
  <c r="N42" i="38"/>
  <c r="O42" i="38"/>
  <c r="P42" i="38"/>
  <c r="Q42" i="38"/>
  <c r="R42" i="38"/>
  <c r="E43" i="38"/>
  <c r="F43" i="38"/>
  <c r="G43" i="38"/>
  <c r="H43" i="38"/>
  <c r="I43" i="38"/>
  <c r="J43" i="38"/>
  <c r="K43" i="38"/>
  <c r="L43" i="38"/>
  <c r="M43" i="38"/>
  <c r="N43" i="38"/>
  <c r="O43" i="38"/>
  <c r="P43" i="38"/>
  <c r="Q43" i="38"/>
  <c r="R43" i="38"/>
  <c r="E44" i="38"/>
  <c r="F44" i="38"/>
  <c r="G44" i="38"/>
  <c r="H44" i="38"/>
  <c r="I44" i="38"/>
  <c r="J44" i="38"/>
  <c r="K44" i="38"/>
  <c r="L44" i="38"/>
  <c r="M44" i="38"/>
  <c r="N44" i="38"/>
  <c r="O44" i="38"/>
  <c r="P44" i="38"/>
  <c r="Q44" i="38"/>
  <c r="R44" i="38"/>
  <c r="E45" i="38"/>
  <c r="F45" i="38"/>
  <c r="G45" i="38"/>
  <c r="H45" i="38"/>
  <c r="I45" i="38"/>
  <c r="J45" i="38"/>
  <c r="K45" i="38"/>
  <c r="L45" i="38"/>
  <c r="M45" i="38"/>
  <c r="N45" i="38"/>
  <c r="O45" i="38"/>
  <c r="P45" i="38"/>
  <c r="Q45" i="38"/>
  <c r="R45" i="38"/>
  <c r="E46" i="38"/>
  <c r="F46" i="38"/>
  <c r="G46" i="38"/>
  <c r="H46" i="38"/>
  <c r="I46" i="38"/>
  <c r="J46" i="38"/>
  <c r="K46" i="38"/>
  <c r="L46" i="38"/>
  <c r="M46" i="38"/>
  <c r="N46" i="38"/>
  <c r="O46" i="38"/>
  <c r="P46" i="38"/>
  <c r="Q46" i="38"/>
  <c r="R46" i="38"/>
  <c r="E47" i="38"/>
  <c r="F47" i="38"/>
  <c r="G47" i="38"/>
  <c r="H47" i="38"/>
  <c r="I47" i="38"/>
  <c r="J47" i="38"/>
  <c r="K47" i="38"/>
  <c r="L47" i="38"/>
  <c r="M47" i="38"/>
  <c r="N47" i="38"/>
  <c r="O47" i="38"/>
  <c r="P47" i="38"/>
  <c r="Q47" i="38"/>
  <c r="R47" i="38"/>
  <c r="E48" i="38"/>
  <c r="F48" i="38"/>
  <c r="G48" i="38"/>
  <c r="H48" i="38"/>
  <c r="I48" i="38"/>
  <c r="J48" i="38"/>
  <c r="K48" i="38"/>
  <c r="L48" i="38"/>
  <c r="M48" i="38"/>
  <c r="N48" i="38"/>
  <c r="O48" i="38"/>
  <c r="P48" i="38"/>
  <c r="Q48" i="38"/>
  <c r="R48" i="38"/>
  <c r="E49" i="38"/>
  <c r="F49" i="38"/>
  <c r="G49" i="38"/>
  <c r="H49" i="38"/>
  <c r="I49" i="38"/>
  <c r="J49" i="38"/>
  <c r="K49" i="38"/>
  <c r="L49" i="38"/>
  <c r="M49" i="38"/>
  <c r="N49" i="38"/>
  <c r="O49" i="38"/>
  <c r="P49" i="38"/>
  <c r="Q49" i="38"/>
  <c r="R49" i="38"/>
  <c r="R10" i="38"/>
  <c r="F29" i="37" s="1"/>
  <c r="Q10" i="38"/>
  <c r="P10" i="38"/>
  <c r="F28" i="37" s="1"/>
  <c r="O10" i="38"/>
  <c r="N10" i="38"/>
  <c r="M10" i="38"/>
  <c r="L10" i="38"/>
  <c r="F26" i="37" s="1"/>
  <c r="K10" i="38"/>
  <c r="J10" i="38"/>
  <c r="F25" i="37" s="1"/>
  <c r="I10" i="38"/>
  <c r="H10" i="38"/>
  <c r="F24" i="37" s="1"/>
  <c r="G10" i="38"/>
  <c r="F10" i="38"/>
  <c r="E10" i="38"/>
  <c r="AL11" i="38"/>
  <c r="AM11" i="38"/>
  <c r="AN11" i="38"/>
  <c r="AO11" i="38"/>
  <c r="AP11" i="38"/>
  <c r="AQ11" i="38"/>
  <c r="AR11" i="38"/>
  <c r="AS11" i="38"/>
  <c r="AT11" i="38"/>
  <c r="AU11" i="38"/>
  <c r="AV11" i="38"/>
  <c r="AW11" i="38"/>
  <c r="AX11" i="38"/>
  <c r="AY11" i="38"/>
  <c r="AL12" i="38"/>
  <c r="AM12" i="38"/>
  <c r="AN12" i="38"/>
  <c r="AO12" i="38"/>
  <c r="AP12" i="38"/>
  <c r="AQ12" i="38"/>
  <c r="AR12" i="38"/>
  <c r="AS12" i="38"/>
  <c r="AT12" i="38"/>
  <c r="AU12" i="38"/>
  <c r="AV12" i="38"/>
  <c r="AW12" i="38"/>
  <c r="AX12" i="38"/>
  <c r="AY12" i="38"/>
  <c r="AL13" i="38"/>
  <c r="AM13" i="38"/>
  <c r="AN13" i="38"/>
  <c r="AO13" i="38"/>
  <c r="AP13" i="38"/>
  <c r="AQ13" i="38"/>
  <c r="AR13" i="38"/>
  <c r="AS13" i="38"/>
  <c r="AT13" i="38"/>
  <c r="AU13" i="38"/>
  <c r="AV13" i="38"/>
  <c r="AW13" i="38"/>
  <c r="AX13" i="38"/>
  <c r="AY13" i="38"/>
  <c r="AL14" i="38"/>
  <c r="AM14" i="38"/>
  <c r="AN14" i="38"/>
  <c r="AO14" i="38"/>
  <c r="AP14" i="38"/>
  <c r="AQ14" i="38"/>
  <c r="AR14" i="38"/>
  <c r="AS14" i="38"/>
  <c r="AT14" i="38"/>
  <c r="AU14" i="38"/>
  <c r="AV14" i="38"/>
  <c r="AW14" i="38"/>
  <c r="AX14" i="38"/>
  <c r="AY14" i="38"/>
  <c r="AL15" i="38"/>
  <c r="AM15" i="38"/>
  <c r="AN15" i="38"/>
  <c r="AO15" i="38"/>
  <c r="AP15" i="38"/>
  <c r="AQ15" i="38"/>
  <c r="AR15" i="38"/>
  <c r="AS15" i="38"/>
  <c r="AT15" i="38"/>
  <c r="AU15" i="38"/>
  <c r="AV15" i="38"/>
  <c r="AW15" i="38"/>
  <c r="AX15" i="38"/>
  <c r="AY15" i="38"/>
  <c r="AL16" i="38"/>
  <c r="AM16" i="38"/>
  <c r="AN16" i="38"/>
  <c r="AO16" i="38"/>
  <c r="AP16" i="38"/>
  <c r="AQ16" i="38"/>
  <c r="AR16" i="38"/>
  <c r="AS16" i="38"/>
  <c r="AT16" i="38"/>
  <c r="AU16" i="38"/>
  <c r="AV16" i="38"/>
  <c r="AW16" i="38"/>
  <c r="AX16" i="38"/>
  <c r="AY16" i="38"/>
  <c r="AL17" i="38"/>
  <c r="AM17" i="38"/>
  <c r="AN17" i="38"/>
  <c r="AO17" i="38"/>
  <c r="AP17" i="38"/>
  <c r="AQ17" i="38"/>
  <c r="AR17" i="38"/>
  <c r="AS17" i="38"/>
  <c r="AT17" i="38"/>
  <c r="AU17" i="38"/>
  <c r="AV17" i="38"/>
  <c r="AW17" i="38"/>
  <c r="AX17" i="38"/>
  <c r="AY17" i="38"/>
  <c r="AL18" i="38"/>
  <c r="AM18" i="38"/>
  <c r="AN18" i="38"/>
  <c r="AO18" i="38"/>
  <c r="AP18" i="38"/>
  <c r="AQ18" i="38"/>
  <c r="AR18" i="38"/>
  <c r="AS18" i="38"/>
  <c r="AT18" i="38"/>
  <c r="AU18" i="38"/>
  <c r="AV18" i="38"/>
  <c r="AW18" i="38"/>
  <c r="AX18" i="38"/>
  <c r="AY18" i="38"/>
  <c r="AL19" i="38"/>
  <c r="AM19" i="38"/>
  <c r="AN19" i="38"/>
  <c r="AO19" i="38"/>
  <c r="AP19" i="38"/>
  <c r="AQ19" i="38"/>
  <c r="AR19" i="38"/>
  <c r="AS19" i="38"/>
  <c r="AT19" i="38"/>
  <c r="AU19" i="38"/>
  <c r="AV19" i="38"/>
  <c r="AW19" i="38"/>
  <c r="AX19" i="38"/>
  <c r="AY19" i="38"/>
  <c r="AL20" i="38"/>
  <c r="AM20" i="38"/>
  <c r="AN20" i="38"/>
  <c r="AO20" i="38"/>
  <c r="AP20" i="38"/>
  <c r="AQ20" i="38"/>
  <c r="AR20" i="38"/>
  <c r="AS20" i="38"/>
  <c r="AT20" i="38"/>
  <c r="AU20" i="38"/>
  <c r="AV20" i="38"/>
  <c r="AW20" i="38"/>
  <c r="AX20" i="38"/>
  <c r="AY20" i="38"/>
  <c r="AL21" i="38"/>
  <c r="AM21" i="38"/>
  <c r="AN21" i="38"/>
  <c r="AO21" i="38"/>
  <c r="AP21" i="38"/>
  <c r="AQ21" i="38"/>
  <c r="AR21" i="38"/>
  <c r="AS21" i="38"/>
  <c r="AT21" i="38"/>
  <c r="AU21" i="38"/>
  <c r="AV21" i="38"/>
  <c r="AW21" i="38"/>
  <c r="AX21" i="38"/>
  <c r="AY21" i="38"/>
  <c r="AL22" i="38"/>
  <c r="AM22" i="38"/>
  <c r="AN22" i="38"/>
  <c r="AO22" i="38"/>
  <c r="AP22" i="38"/>
  <c r="AQ22" i="38"/>
  <c r="AR22" i="38"/>
  <c r="AS22" i="38"/>
  <c r="AT22" i="38"/>
  <c r="AU22" i="38"/>
  <c r="AV22" i="38"/>
  <c r="AW22" i="38"/>
  <c r="AX22" i="38"/>
  <c r="AY22" i="38"/>
  <c r="AL23" i="38"/>
  <c r="AM23" i="38"/>
  <c r="AN23" i="38"/>
  <c r="AO23" i="38"/>
  <c r="AP23" i="38"/>
  <c r="AQ23" i="38"/>
  <c r="AR23" i="38"/>
  <c r="AS23" i="38"/>
  <c r="AT23" i="38"/>
  <c r="AU23" i="38"/>
  <c r="AV23" i="38"/>
  <c r="AW23" i="38"/>
  <c r="AX23" i="38"/>
  <c r="AY23" i="38"/>
  <c r="AL24" i="38"/>
  <c r="AM24" i="38"/>
  <c r="AN24" i="38"/>
  <c r="AO24" i="38"/>
  <c r="AP24" i="38"/>
  <c r="AQ24" i="38"/>
  <c r="AR24" i="38"/>
  <c r="AS24" i="38"/>
  <c r="AT24" i="38"/>
  <c r="AU24" i="38"/>
  <c r="AV24" i="38"/>
  <c r="AW24" i="38"/>
  <c r="AX24" i="38"/>
  <c r="AY24" i="38"/>
  <c r="AL25" i="38"/>
  <c r="AM25" i="38"/>
  <c r="AN25" i="38"/>
  <c r="AO25" i="38"/>
  <c r="AP25" i="38"/>
  <c r="AQ25" i="38"/>
  <c r="AR25" i="38"/>
  <c r="AS25" i="38"/>
  <c r="AT25" i="38"/>
  <c r="AU25" i="38"/>
  <c r="AV25" i="38"/>
  <c r="AW25" i="38"/>
  <c r="AX25" i="38"/>
  <c r="AY25" i="38"/>
  <c r="AL26" i="38"/>
  <c r="AM26" i="38"/>
  <c r="AN26" i="38"/>
  <c r="AO26" i="38"/>
  <c r="AP26" i="38"/>
  <c r="AQ26" i="38"/>
  <c r="AR26" i="38"/>
  <c r="AS26" i="38"/>
  <c r="AT26" i="38"/>
  <c r="AU26" i="38"/>
  <c r="AV26" i="38"/>
  <c r="AW26" i="38"/>
  <c r="AX26" i="38"/>
  <c r="AY26" i="38"/>
  <c r="AL27" i="38"/>
  <c r="AM27" i="38"/>
  <c r="AN27" i="38"/>
  <c r="AO27" i="38"/>
  <c r="AP27" i="38"/>
  <c r="AQ27" i="38"/>
  <c r="AR27" i="38"/>
  <c r="AS27" i="38"/>
  <c r="AT27" i="38"/>
  <c r="AU27" i="38"/>
  <c r="AV27" i="38"/>
  <c r="AW27" i="38"/>
  <c r="AX27" i="38"/>
  <c r="AY27" i="38"/>
  <c r="AL28" i="38"/>
  <c r="AM28" i="38"/>
  <c r="AN28" i="38"/>
  <c r="AO28" i="38"/>
  <c r="AP28" i="38"/>
  <c r="AQ28" i="38"/>
  <c r="AR28" i="38"/>
  <c r="AS28" i="38"/>
  <c r="AT28" i="38"/>
  <c r="AU28" i="38"/>
  <c r="AV28" i="38"/>
  <c r="AW28" i="38"/>
  <c r="AX28" i="38"/>
  <c r="AY28" i="38"/>
  <c r="AL29" i="38"/>
  <c r="AM29" i="38"/>
  <c r="AN29" i="38"/>
  <c r="AO29" i="38"/>
  <c r="AP29" i="38"/>
  <c r="AQ29" i="38"/>
  <c r="AR29" i="38"/>
  <c r="AS29" i="38"/>
  <c r="AT29" i="38"/>
  <c r="AU29" i="38"/>
  <c r="AV29" i="38"/>
  <c r="AW29" i="38"/>
  <c r="AX29" i="38"/>
  <c r="AY29" i="38"/>
  <c r="AL30" i="38"/>
  <c r="AM30" i="38"/>
  <c r="AN30" i="38"/>
  <c r="AO30" i="38"/>
  <c r="AP30" i="38"/>
  <c r="AQ30" i="38"/>
  <c r="AR30" i="38"/>
  <c r="AS30" i="38"/>
  <c r="AT30" i="38"/>
  <c r="AU30" i="38"/>
  <c r="AV30" i="38"/>
  <c r="AW30" i="38"/>
  <c r="AX30" i="38"/>
  <c r="AY30" i="38"/>
  <c r="AL31" i="38"/>
  <c r="AM31" i="38"/>
  <c r="AN31" i="38"/>
  <c r="AO31" i="38"/>
  <c r="AP31" i="38"/>
  <c r="AQ31" i="38"/>
  <c r="AR31" i="38"/>
  <c r="AS31" i="38"/>
  <c r="AT31" i="38"/>
  <c r="AU31" i="38"/>
  <c r="AV31" i="38"/>
  <c r="AW31" i="38"/>
  <c r="AX31" i="38"/>
  <c r="AY31" i="38"/>
  <c r="AL32" i="38"/>
  <c r="AM32" i="38"/>
  <c r="AN32" i="38"/>
  <c r="AO32" i="38"/>
  <c r="AP32" i="38"/>
  <c r="AQ32" i="38"/>
  <c r="AR32" i="38"/>
  <c r="AS32" i="38"/>
  <c r="AT32" i="38"/>
  <c r="AU32" i="38"/>
  <c r="AV32" i="38"/>
  <c r="AW32" i="38"/>
  <c r="AX32" i="38"/>
  <c r="AY32" i="38"/>
  <c r="AL33" i="38"/>
  <c r="AM33" i="38"/>
  <c r="AN33" i="38"/>
  <c r="AO33" i="38"/>
  <c r="AP33" i="38"/>
  <c r="AQ33" i="38"/>
  <c r="AR33" i="38"/>
  <c r="AS33" i="38"/>
  <c r="AT33" i="38"/>
  <c r="AU33" i="38"/>
  <c r="AV33" i="38"/>
  <c r="AW33" i="38"/>
  <c r="AX33" i="38"/>
  <c r="AY33" i="38"/>
  <c r="AL34" i="38"/>
  <c r="AM34" i="38"/>
  <c r="AN34" i="38"/>
  <c r="AO34" i="38"/>
  <c r="AP34" i="38"/>
  <c r="AQ34" i="38"/>
  <c r="AR34" i="38"/>
  <c r="AS34" i="38"/>
  <c r="AT34" i="38"/>
  <c r="AU34" i="38"/>
  <c r="AV34" i="38"/>
  <c r="AW34" i="38"/>
  <c r="AX34" i="38"/>
  <c r="AY34" i="38"/>
  <c r="AL35" i="38"/>
  <c r="AM35" i="38"/>
  <c r="AN35" i="38"/>
  <c r="AO35" i="38"/>
  <c r="AP35" i="38"/>
  <c r="AQ35" i="38"/>
  <c r="AR35" i="38"/>
  <c r="AS35" i="38"/>
  <c r="AT35" i="38"/>
  <c r="AU35" i="38"/>
  <c r="AV35" i="38"/>
  <c r="AW35" i="38"/>
  <c r="AX35" i="38"/>
  <c r="AY35" i="38"/>
  <c r="AL36" i="38"/>
  <c r="AM36" i="38"/>
  <c r="AN36" i="38"/>
  <c r="AO36" i="38"/>
  <c r="AP36" i="38"/>
  <c r="AQ36" i="38"/>
  <c r="AR36" i="38"/>
  <c r="AS36" i="38"/>
  <c r="AT36" i="38"/>
  <c r="AU36" i="38"/>
  <c r="AV36" i="38"/>
  <c r="AW36" i="38"/>
  <c r="AX36" i="38"/>
  <c r="AY36" i="38"/>
  <c r="AL37" i="38"/>
  <c r="AM37" i="38"/>
  <c r="AN37" i="38"/>
  <c r="AO37" i="38"/>
  <c r="AP37" i="38"/>
  <c r="AQ37" i="38"/>
  <c r="AR37" i="38"/>
  <c r="AS37" i="38"/>
  <c r="AT37" i="38"/>
  <c r="AU37" i="38"/>
  <c r="AV37" i="38"/>
  <c r="AW37" i="38"/>
  <c r="AX37" i="38"/>
  <c r="AY37" i="38"/>
  <c r="AL38" i="38"/>
  <c r="AM38" i="38"/>
  <c r="AN38" i="38"/>
  <c r="AO38" i="38"/>
  <c r="AP38" i="38"/>
  <c r="AQ38" i="38"/>
  <c r="AR38" i="38"/>
  <c r="AS38" i="38"/>
  <c r="AT38" i="38"/>
  <c r="AU38" i="38"/>
  <c r="AV38" i="38"/>
  <c r="AW38" i="38"/>
  <c r="AX38" i="38"/>
  <c r="AY38" i="38"/>
  <c r="AL39" i="38"/>
  <c r="AM39" i="38"/>
  <c r="AN39" i="38"/>
  <c r="AO39" i="38"/>
  <c r="AP39" i="38"/>
  <c r="AQ39" i="38"/>
  <c r="AR39" i="38"/>
  <c r="AS39" i="38"/>
  <c r="AT39" i="38"/>
  <c r="AU39" i="38"/>
  <c r="AV39" i="38"/>
  <c r="AW39" i="38"/>
  <c r="AX39" i="38"/>
  <c r="AY39" i="38"/>
  <c r="AL40" i="38"/>
  <c r="AM40" i="38"/>
  <c r="AN40" i="38"/>
  <c r="AO40" i="38"/>
  <c r="AP40" i="38"/>
  <c r="AQ40" i="38"/>
  <c r="AR40" i="38"/>
  <c r="AS40" i="38"/>
  <c r="AT40" i="38"/>
  <c r="AU40" i="38"/>
  <c r="AV40" i="38"/>
  <c r="AW40" i="38"/>
  <c r="AX40" i="38"/>
  <c r="AY40" i="38"/>
  <c r="AL41" i="38"/>
  <c r="AM41" i="38"/>
  <c r="AN41" i="38"/>
  <c r="AO41" i="38"/>
  <c r="AP41" i="38"/>
  <c r="AQ41" i="38"/>
  <c r="AR41" i="38"/>
  <c r="AS41" i="38"/>
  <c r="AT41" i="38"/>
  <c r="AU41" i="38"/>
  <c r="AV41" i="38"/>
  <c r="AW41" i="38"/>
  <c r="AX41" i="38"/>
  <c r="AY41" i="38"/>
  <c r="AL42" i="38"/>
  <c r="AM42" i="38"/>
  <c r="AN42" i="38"/>
  <c r="AO42" i="38"/>
  <c r="AP42" i="38"/>
  <c r="AQ42" i="38"/>
  <c r="AR42" i="38"/>
  <c r="AS42" i="38"/>
  <c r="AT42" i="38"/>
  <c r="AU42" i="38"/>
  <c r="AV42" i="38"/>
  <c r="AW42" i="38"/>
  <c r="AX42" i="38"/>
  <c r="AY42" i="38"/>
  <c r="AL43" i="38"/>
  <c r="AM43" i="38"/>
  <c r="AN43" i="38"/>
  <c r="AO43" i="38"/>
  <c r="AP43" i="38"/>
  <c r="AQ43" i="38"/>
  <c r="AR43" i="38"/>
  <c r="AS43" i="38"/>
  <c r="AT43" i="38"/>
  <c r="AU43" i="38"/>
  <c r="AV43" i="38"/>
  <c r="AW43" i="38"/>
  <c r="AX43" i="38"/>
  <c r="AY43" i="38"/>
  <c r="AL44" i="38"/>
  <c r="AM44" i="38"/>
  <c r="AN44" i="38"/>
  <c r="AO44" i="38"/>
  <c r="AP44" i="38"/>
  <c r="AQ44" i="38"/>
  <c r="AR44" i="38"/>
  <c r="AS44" i="38"/>
  <c r="AT44" i="38"/>
  <c r="AU44" i="38"/>
  <c r="AV44" i="38"/>
  <c r="AW44" i="38"/>
  <c r="AX44" i="38"/>
  <c r="AY44" i="38"/>
  <c r="AL45" i="38"/>
  <c r="AM45" i="38"/>
  <c r="AN45" i="38"/>
  <c r="AO45" i="38"/>
  <c r="AP45" i="38"/>
  <c r="AQ45" i="38"/>
  <c r="AR45" i="38"/>
  <c r="AS45" i="38"/>
  <c r="AT45" i="38"/>
  <c r="AU45" i="38"/>
  <c r="AV45" i="38"/>
  <c r="AW45" i="38"/>
  <c r="AX45" i="38"/>
  <c r="AY45" i="38"/>
  <c r="AL46" i="38"/>
  <c r="AM46" i="38"/>
  <c r="AN46" i="38"/>
  <c r="AO46" i="38"/>
  <c r="AP46" i="38"/>
  <c r="AQ46" i="38"/>
  <c r="AR46" i="38"/>
  <c r="AS46" i="38"/>
  <c r="AT46" i="38"/>
  <c r="AU46" i="38"/>
  <c r="AV46" i="38"/>
  <c r="AW46" i="38"/>
  <c r="AX46" i="38"/>
  <c r="AY46" i="38"/>
  <c r="AL47" i="38"/>
  <c r="AM47" i="38"/>
  <c r="AN47" i="38"/>
  <c r="AO47" i="38"/>
  <c r="AP47" i="38"/>
  <c r="AQ47" i="38"/>
  <c r="AR47" i="38"/>
  <c r="AS47" i="38"/>
  <c r="AT47" i="38"/>
  <c r="AU47" i="38"/>
  <c r="AV47" i="38"/>
  <c r="AW47" i="38"/>
  <c r="AX47" i="38"/>
  <c r="AY47" i="38"/>
  <c r="AL48" i="38"/>
  <c r="AM48" i="38"/>
  <c r="AN48" i="38"/>
  <c r="AO48" i="38"/>
  <c r="AP48" i="38"/>
  <c r="AQ48" i="38"/>
  <c r="AR48" i="38"/>
  <c r="AS48" i="38"/>
  <c r="AT48" i="38"/>
  <c r="AU48" i="38"/>
  <c r="AV48" i="38"/>
  <c r="AW48" i="38"/>
  <c r="AX48" i="38"/>
  <c r="AY48" i="38"/>
  <c r="AL49" i="38"/>
  <c r="AM49" i="38"/>
  <c r="AN49" i="38"/>
  <c r="AO49" i="38"/>
  <c r="AP49" i="38"/>
  <c r="AQ49" i="38"/>
  <c r="AR49" i="38"/>
  <c r="AS49" i="38"/>
  <c r="AT49" i="38"/>
  <c r="AU49" i="38"/>
  <c r="AV49" i="38"/>
  <c r="AW49" i="38"/>
  <c r="AX49" i="38"/>
  <c r="AY49" i="38"/>
  <c r="AY10" i="38"/>
  <c r="AX10" i="38"/>
  <c r="AW10" i="38"/>
  <c r="AV10" i="38"/>
  <c r="AU10" i="38"/>
  <c r="AT10" i="38"/>
  <c r="AS10" i="38"/>
  <c r="AR10" i="38"/>
  <c r="AQ10" i="38"/>
  <c r="AP10" i="38"/>
  <c r="AO10" i="38"/>
  <c r="AN10" i="38"/>
  <c r="AM10" i="38"/>
  <c r="AL10" i="38"/>
  <c r="G44" i="5"/>
  <c r="G45" i="5"/>
  <c r="AE45" i="5"/>
  <c r="O5" i="5"/>
  <c r="M5" i="5"/>
  <c r="K5" i="5"/>
  <c r="I5" i="5"/>
  <c r="G5" i="5"/>
  <c r="E5" i="5"/>
  <c r="G96" i="37"/>
  <c r="J88" i="37"/>
  <c r="E79" i="37"/>
  <c r="E78" i="37"/>
  <c r="E77" i="37"/>
  <c r="K25" i="37"/>
  <c r="F27" i="37"/>
  <c r="E28" i="37"/>
  <c r="E24" i="37"/>
  <c r="C3" i="35"/>
  <c r="CO9" i="35"/>
  <c r="CP9" i="35"/>
  <c r="CQ9" i="35"/>
  <c r="CR9" i="35"/>
  <c r="CS9" i="35"/>
  <c r="CO10" i="35"/>
  <c r="CP10" i="35"/>
  <c r="CQ10" i="35"/>
  <c r="CR10" i="35"/>
  <c r="CS10" i="35"/>
  <c r="CO11" i="35"/>
  <c r="CP11" i="35"/>
  <c r="CQ11" i="35"/>
  <c r="CR11" i="35"/>
  <c r="CS11" i="35"/>
  <c r="CO12" i="35"/>
  <c r="CP12" i="35"/>
  <c r="CQ12" i="35"/>
  <c r="CR12" i="35"/>
  <c r="CS12" i="35"/>
  <c r="CO13" i="35"/>
  <c r="CP13" i="35"/>
  <c r="CQ13" i="35"/>
  <c r="CR13" i="35"/>
  <c r="CS13" i="35"/>
  <c r="CO14" i="35"/>
  <c r="CP14" i="35"/>
  <c r="CQ14" i="35"/>
  <c r="CR14" i="35"/>
  <c r="CS14" i="35"/>
  <c r="CO15" i="35"/>
  <c r="CP15" i="35"/>
  <c r="CQ15" i="35"/>
  <c r="CR15" i="35"/>
  <c r="CS15" i="35"/>
  <c r="CO16" i="35"/>
  <c r="CP16" i="35"/>
  <c r="CQ16" i="35"/>
  <c r="CR16" i="35"/>
  <c r="CS16" i="35"/>
  <c r="CO17" i="35"/>
  <c r="CP17" i="35"/>
  <c r="CQ17" i="35"/>
  <c r="CR17" i="35"/>
  <c r="CS17" i="35"/>
  <c r="CO18" i="35"/>
  <c r="CP18" i="35"/>
  <c r="CQ18" i="35"/>
  <c r="CR18" i="35"/>
  <c r="CS18" i="35"/>
  <c r="CO19" i="35"/>
  <c r="CP19" i="35"/>
  <c r="CQ19" i="35"/>
  <c r="CR19" i="35"/>
  <c r="CS19" i="35"/>
  <c r="CO20" i="35"/>
  <c r="CP20" i="35"/>
  <c r="CQ20" i="35"/>
  <c r="CR20" i="35"/>
  <c r="CS20" i="35"/>
  <c r="CO21" i="35"/>
  <c r="CP21" i="35"/>
  <c r="CQ21" i="35"/>
  <c r="CR21" i="35"/>
  <c r="CS21" i="35"/>
  <c r="CO22" i="35"/>
  <c r="CP22" i="35"/>
  <c r="CQ22" i="35"/>
  <c r="CR22" i="35"/>
  <c r="CS22" i="35"/>
  <c r="CO23" i="35"/>
  <c r="CP23" i="35"/>
  <c r="CQ23" i="35"/>
  <c r="CR23" i="35"/>
  <c r="CS23" i="35"/>
  <c r="CO24" i="35"/>
  <c r="CP24" i="35"/>
  <c r="CQ24" i="35"/>
  <c r="CR24" i="35"/>
  <c r="CS24" i="35"/>
  <c r="CO25" i="35"/>
  <c r="CP25" i="35"/>
  <c r="CQ25" i="35"/>
  <c r="CR25" i="35"/>
  <c r="CS25" i="35"/>
  <c r="CO26" i="35"/>
  <c r="CP26" i="35"/>
  <c r="CQ26" i="35"/>
  <c r="CR26" i="35"/>
  <c r="CS26" i="35"/>
  <c r="CO27" i="35"/>
  <c r="CP27" i="35"/>
  <c r="CQ27" i="35"/>
  <c r="CR27" i="35"/>
  <c r="CS27" i="35"/>
  <c r="CO28" i="35"/>
  <c r="CP28" i="35"/>
  <c r="CQ28" i="35"/>
  <c r="CR28" i="35"/>
  <c r="CS28" i="35"/>
  <c r="CO29" i="35"/>
  <c r="CP29" i="35"/>
  <c r="CQ29" i="35"/>
  <c r="CR29" i="35"/>
  <c r="CS29" i="35"/>
  <c r="CO30" i="35"/>
  <c r="CP30" i="35"/>
  <c r="CQ30" i="35"/>
  <c r="CR30" i="35"/>
  <c r="CS30" i="35"/>
  <c r="CO31" i="35"/>
  <c r="CP31" i="35"/>
  <c r="CQ31" i="35"/>
  <c r="CR31" i="35"/>
  <c r="CS31" i="35"/>
  <c r="CO32" i="35"/>
  <c r="CP32" i="35"/>
  <c r="CQ32" i="35"/>
  <c r="CR32" i="35"/>
  <c r="CS32" i="35"/>
  <c r="CO33" i="35"/>
  <c r="CP33" i="35"/>
  <c r="CQ33" i="35"/>
  <c r="CR33" i="35"/>
  <c r="CS33" i="35"/>
  <c r="CO34" i="35"/>
  <c r="CP34" i="35"/>
  <c r="CQ34" i="35"/>
  <c r="CR34" i="35"/>
  <c r="CS34" i="35"/>
  <c r="CO35" i="35"/>
  <c r="CP35" i="35"/>
  <c r="CQ35" i="35"/>
  <c r="CR35" i="35"/>
  <c r="CS35" i="35"/>
  <c r="CO36" i="35"/>
  <c r="CP36" i="35"/>
  <c r="CQ36" i="35"/>
  <c r="CR36" i="35"/>
  <c r="CS36" i="35"/>
  <c r="CO37" i="35"/>
  <c r="CP37" i="35"/>
  <c r="CQ37" i="35"/>
  <c r="CR37" i="35"/>
  <c r="CS37" i="35"/>
  <c r="CO38" i="35"/>
  <c r="CP38" i="35"/>
  <c r="CQ38" i="35"/>
  <c r="CR38" i="35"/>
  <c r="CS38" i="35"/>
  <c r="CO39" i="35"/>
  <c r="CP39" i="35"/>
  <c r="CQ39" i="35"/>
  <c r="CR39" i="35"/>
  <c r="CS39" i="35"/>
  <c r="CO40" i="35"/>
  <c r="CP40" i="35"/>
  <c r="CQ40" i="35"/>
  <c r="CR40" i="35"/>
  <c r="CS40" i="35"/>
  <c r="CO41" i="35"/>
  <c r="CP41" i="35"/>
  <c r="CQ41" i="35"/>
  <c r="CR41" i="35"/>
  <c r="CS41" i="35"/>
  <c r="CO42" i="35"/>
  <c r="CP42" i="35"/>
  <c r="CQ42" i="35"/>
  <c r="CR42" i="35"/>
  <c r="CS42" i="35"/>
  <c r="CP8" i="35"/>
  <c r="CQ8" i="35"/>
  <c r="CR8" i="35"/>
  <c r="CS8" i="35"/>
  <c r="CO8" i="35"/>
  <c r="B4" i="39"/>
  <c r="B6" i="39"/>
  <c r="B5" i="39"/>
  <c r="EV8" i="25"/>
  <c r="GC8" i="25" s="1"/>
  <c r="AI11" i="10"/>
  <c r="AI12" i="10"/>
  <c r="AI13" i="10"/>
  <c r="AI14" i="10"/>
  <c r="AI15" i="10"/>
  <c r="AI16" i="10"/>
  <c r="AI17" i="10"/>
  <c r="AI18" i="10"/>
  <c r="AI19" i="10"/>
  <c r="AI20" i="10"/>
  <c r="AI21" i="10"/>
  <c r="AI22" i="10"/>
  <c r="AI23" i="10"/>
  <c r="AI24" i="10"/>
  <c r="AI25" i="10"/>
  <c r="AI26" i="10"/>
  <c r="AI27" i="10"/>
  <c r="AI28" i="10"/>
  <c r="AI29" i="10"/>
  <c r="AI30" i="10"/>
  <c r="AI31" i="10"/>
  <c r="AI32" i="10"/>
  <c r="AI33" i="10"/>
  <c r="AI34" i="10"/>
  <c r="AI35" i="10"/>
  <c r="AI36" i="10"/>
  <c r="AI37" i="10"/>
  <c r="AI38" i="10"/>
  <c r="AI39" i="10"/>
  <c r="AI40" i="10"/>
  <c r="AI41" i="10"/>
  <c r="AI42" i="10"/>
  <c r="AI43" i="10"/>
  <c r="AI44" i="10"/>
  <c r="DP9" i="7"/>
  <c r="EW9" i="7" s="1"/>
  <c r="DQ9" i="7"/>
  <c r="DR9" i="7"/>
  <c r="FI9" i="7" s="1"/>
  <c r="DS9" i="7"/>
  <c r="DT9" i="7"/>
  <c r="FU9" i="7" s="1"/>
  <c r="DU9" i="7"/>
  <c r="GA9" i="7" s="1"/>
  <c r="DV9" i="7"/>
  <c r="GG9" i="7" s="1"/>
  <c r="EA9" i="7"/>
  <c r="EX9" i="7" s="1"/>
  <c r="EB9" i="7"/>
  <c r="EC9" i="7"/>
  <c r="FJ9" i="7" s="1"/>
  <c r="ED9" i="7"/>
  <c r="EE9" i="7"/>
  <c r="FV9" i="7" s="1"/>
  <c r="EF9" i="7"/>
  <c r="GB9" i="7" s="1"/>
  <c r="EG9" i="7"/>
  <c r="GH9" i="7" s="1"/>
  <c r="EL9" i="7"/>
  <c r="EY9" i="7" s="1"/>
  <c r="EM9" i="7"/>
  <c r="EN9" i="7"/>
  <c r="FK9" i="7" s="1"/>
  <c r="EO9" i="7"/>
  <c r="EP9" i="7"/>
  <c r="EQ9" i="7"/>
  <c r="GC9" i="7" s="1"/>
  <c r="ER9" i="7"/>
  <c r="GI9" i="7" s="1"/>
  <c r="FO9" i="7"/>
  <c r="FP9" i="7"/>
  <c r="FQ9" i="7"/>
  <c r="FW9" i="7"/>
  <c r="DP10" i="7"/>
  <c r="EW10" i="7" s="1"/>
  <c r="DQ10" i="7"/>
  <c r="DR10" i="7"/>
  <c r="FI10" i="7" s="1"/>
  <c r="DS10" i="7"/>
  <c r="FO10" i="7" s="1"/>
  <c r="DT10" i="7"/>
  <c r="FU10" i="7" s="1"/>
  <c r="DU10" i="7"/>
  <c r="GA10" i="7" s="1"/>
  <c r="DV10" i="7"/>
  <c r="GG10" i="7" s="1"/>
  <c r="EA10" i="7"/>
  <c r="EX10" i="7" s="1"/>
  <c r="EB10" i="7"/>
  <c r="EC10" i="7"/>
  <c r="ED10" i="7"/>
  <c r="FP10" i="7" s="1"/>
  <c r="EE10" i="7"/>
  <c r="FV10" i="7" s="1"/>
  <c r="EF10" i="7"/>
  <c r="GB10" i="7" s="1"/>
  <c r="EG10" i="7"/>
  <c r="EL10" i="7"/>
  <c r="EY10" i="7" s="1"/>
  <c r="EM10" i="7"/>
  <c r="EN10" i="7"/>
  <c r="FK10" i="7" s="1"/>
  <c r="EO10" i="7"/>
  <c r="FQ10" i="7" s="1"/>
  <c r="EP10" i="7"/>
  <c r="FW10" i="7" s="1"/>
  <c r="EQ10" i="7"/>
  <c r="GC10" i="7" s="1"/>
  <c r="ER10" i="7"/>
  <c r="GI10" i="7" s="1"/>
  <c r="FJ10" i="7"/>
  <c r="GH10" i="7"/>
  <c r="DP11" i="7"/>
  <c r="EW11" i="7" s="1"/>
  <c r="DQ11" i="7"/>
  <c r="DR11" i="7"/>
  <c r="FI11" i="7" s="1"/>
  <c r="DS11" i="7"/>
  <c r="FO11" i="7" s="1"/>
  <c r="DT11" i="7"/>
  <c r="FU11" i="7" s="1"/>
  <c r="DU11" i="7"/>
  <c r="GA11" i="7" s="1"/>
  <c r="DV11" i="7"/>
  <c r="GG11" i="7" s="1"/>
  <c r="EA11" i="7"/>
  <c r="EB11" i="7"/>
  <c r="EC11" i="7"/>
  <c r="FJ11" i="7" s="1"/>
  <c r="ED11" i="7"/>
  <c r="FP11" i="7" s="1"/>
  <c r="EE11" i="7"/>
  <c r="FV11" i="7" s="1"/>
  <c r="EF11" i="7"/>
  <c r="GB11" i="7" s="1"/>
  <c r="EG11" i="7"/>
  <c r="GH11" i="7" s="1"/>
  <c r="EL11" i="7"/>
  <c r="EY11" i="7" s="1"/>
  <c r="EM11" i="7"/>
  <c r="EN11" i="7"/>
  <c r="FK11" i="7" s="1"/>
  <c r="EO11" i="7"/>
  <c r="FQ11" i="7" s="1"/>
  <c r="EP11" i="7"/>
  <c r="FW11" i="7" s="1"/>
  <c r="EQ11" i="7"/>
  <c r="GC11" i="7" s="1"/>
  <c r="ER11" i="7"/>
  <c r="GI11" i="7" s="1"/>
  <c r="EX11" i="7"/>
  <c r="DP12" i="7"/>
  <c r="EW12" i="7" s="1"/>
  <c r="DQ12" i="7"/>
  <c r="DR12" i="7"/>
  <c r="FI12" i="7" s="1"/>
  <c r="DS12" i="7"/>
  <c r="FO12" i="7" s="1"/>
  <c r="DT12" i="7"/>
  <c r="FU12" i="7" s="1"/>
  <c r="DU12" i="7"/>
  <c r="GA12" i="7" s="1"/>
  <c r="DV12" i="7"/>
  <c r="GG12" i="7" s="1"/>
  <c r="EA12" i="7"/>
  <c r="EX12" i="7" s="1"/>
  <c r="EB12" i="7"/>
  <c r="EC12" i="7"/>
  <c r="FJ12" i="7" s="1"/>
  <c r="ED12" i="7"/>
  <c r="FP12" i="7" s="1"/>
  <c r="EE12" i="7"/>
  <c r="FV12" i="7" s="1"/>
  <c r="EF12" i="7"/>
  <c r="GB12" i="7" s="1"/>
  <c r="EG12" i="7"/>
  <c r="GH12" i="7" s="1"/>
  <c r="EL12" i="7"/>
  <c r="EY12" i="7" s="1"/>
  <c r="EM12" i="7"/>
  <c r="EN12" i="7"/>
  <c r="FK12" i="7" s="1"/>
  <c r="EO12" i="7"/>
  <c r="FQ12" i="7" s="1"/>
  <c r="EP12" i="7"/>
  <c r="FW12" i="7" s="1"/>
  <c r="EQ12" i="7"/>
  <c r="GC12" i="7" s="1"/>
  <c r="ER12" i="7"/>
  <c r="GI12" i="7" s="1"/>
  <c r="DP13" i="7"/>
  <c r="EW13" i="7" s="1"/>
  <c r="DQ13" i="7"/>
  <c r="FC13" i="7" s="1"/>
  <c r="DR13" i="7"/>
  <c r="FI13" i="7" s="1"/>
  <c r="DS13" i="7"/>
  <c r="FO13" i="7" s="1"/>
  <c r="DT13" i="7"/>
  <c r="FU13" i="7" s="1"/>
  <c r="DU13" i="7"/>
  <c r="GA13" i="7" s="1"/>
  <c r="DV13" i="7"/>
  <c r="GG13" i="7" s="1"/>
  <c r="EA13" i="7"/>
  <c r="EB13" i="7"/>
  <c r="FD13" i="7" s="1"/>
  <c r="EC13" i="7"/>
  <c r="FJ13" i="7" s="1"/>
  <c r="ED13" i="7"/>
  <c r="EE13" i="7"/>
  <c r="FV13" i="7" s="1"/>
  <c r="EF13" i="7"/>
  <c r="GB13" i="7" s="1"/>
  <c r="EG13" i="7"/>
  <c r="GH13" i="7" s="1"/>
  <c r="EL13" i="7"/>
  <c r="EY13" i="7" s="1"/>
  <c r="EM13" i="7"/>
  <c r="FE13" i="7" s="1"/>
  <c r="EN13" i="7"/>
  <c r="FK13" i="7" s="1"/>
  <c r="EO13" i="7"/>
  <c r="FQ13" i="7" s="1"/>
  <c r="EP13" i="7"/>
  <c r="FW13" i="7" s="1"/>
  <c r="EQ13" i="7"/>
  <c r="GC13" i="7" s="1"/>
  <c r="ER13" i="7"/>
  <c r="GI13" i="7" s="1"/>
  <c r="EX13" i="7"/>
  <c r="FP13" i="7"/>
  <c r="DP14" i="7"/>
  <c r="EW14" i="7" s="1"/>
  <c r="DQ14" i="7"/>
  <c r="FC14" i="7" s="1"/>
  <c r="DR14" i="7"/>
  <c r="FI14" i="7" s="1"/>
  <c r="DS14" i="7"/>
  <c r="FO14" i="7" s="1"/>
  <c r="DT14" i="7"/>
  <c r="DU14" i="7"/>
  <c r="GA14" i="7" s="1"/>
  <c r="DV14" i="7"/>
  <c r="GG14" i="7" s="1"/>
  <c r="EA14" i="7"/>
  <c r="EB14" i="7"/>
  <c r="EC14" i="7"/>
  <c r="FJ14" i="7" s="1"/>
  <c r="ED14" i="7"/>
  <c r="FP14" i="7" s="1"/>
  <c r="EE14" i="7"/>
  <c r="FV14" i="7" s="1"/>
  <c r="EF14" i="7"/>
  <c r="GB14" i="7" s="1"/>
  <c r="EG14" i="7"/>
  <c r="GH14" i="7" s="1"/>
  <c r="EL14" i="7"/>
  <c r="EY14" i="7" s="1"/>
  <c r="EM14" i="7"/>
  <c r="EN14" i="7"/>
  <c r="FK14" i="7" s="1"/>
  <c r="EO14" i="7"/>
  <c r="FQ14" i="7" s="1"/>
  <c r="EP14" i="7"/>
  <c r="EQ14" i="7"/>
  <c r="GC14" i="7" s="1"/>
  <c r="ER14" i="7"/>
  <c r="GI14" i="7" s="1"/>
  <c r="EX14" i="7"/>
  <c r="FU14" i="7"/>
  <c r="FW14" i="7"/>
  <c r="DP15" i="7"/>
  <c r="DQ15" i="7"/>
  <c r="FC15" i="7" s="1"/>
  <c r="DR15" i="7"/>
  <c r="FI15" i="7" s="1"/>
  <c r="DS15" i="7"/>
  <c r="FO15" i="7" s="1"/>
  <c r="DT15" i="7"/>
  <c r="FU15" i="7" s="1"/>
  <c r="DU15" i="7"/>
  <c r="GA15" i="7" s="1"/>
  <c r="DV15" i="7"/>
  <c r="GG15" i="7" s="1"/>
  <c r="EA15" i="7"/>
  <c r="EX15" i="7" s="1"/>
  <c r="EB15" i="7"/>
  <c r="FD15" i="7" s="1"/>
  <c r="EC15" i="7"/>
  <c r="FJ15" i="7" s="1"/>
  <c r="ED15" i="7"/>
  <c r="FP15" i="7" s="1"/>
  <c r="EE15" i="7"/>
  <c r="FV15" i="7" s="1"/>
  <c r="EF15" i="7"/>
  <c r="EG15" i="7"/>
  <c r="GH15" i="7" s="1"/>
  <c r="EL15" i="7"/>
  <c r="EY15" i="7" s="1"/>
  <c r="EM15" i="7"/>
  <c r="FE15" i="7" s="1"/>
  <c r="EN15" i="7"/>
  <c r="FK15" i="7" s="1"/>
  <c r="EO15" i="7"/>
  <c r="FQ15" i="7" s="1"/>
  <c r="EP15" i="7"/>
  <c r="EQ15" i="7"/>
  <c r="GC15" i="7" s="1"/>
  <c r="ER15" i="7"/>
  <c r="GI15" i="7" s="1"/>
  <c r="EW15" i="7"/>
  <c r="FW15" i="7"/>
  <c r="GB15" i="7"/>
  <c r="DP16" i="7"/>
  <c r="EW16" i="7" s="1"/>
  <c r="DQ16" i="7"/>
  <c r="DR16" i="7"/>
  <c r="FI16" i="7" s="1"/>
  <c r="DS16" i="7"/>
  <c r="FO16" i="7" s="1"/>
  <c r="DT16" i="7"/>
  <c r="FU16" i="7" s="1"/>
  <c r="DU16" i="7"/>
  <c r="GA16" i="7" s="1"/>
  <c r="DV16" i="7"/>
  <c r="GG16" i="7" s="1"/>
  <c r="EA16" i="7"/>
  <c r="EB16" i="7"/>
  <c r="EC16" i="7"/>
  <c r="FJ16" i="7" s="1"/>
  <c r="ED16" i="7"/>
  <c r="FP16" i="7" s="1"/>
  <c r="EE16" i="7"/>
  <c r="EF16" i="7"/>
  <c r="GB16" i="7" s="1"/>
  <c r="EG16" i="7"/>
  <c r="GH16" i="7" s="1"/>
  <c r="EL16" i="7"/>
  <c r="EY16" i="7" s="1"/>
  <c r="EM16" i="7"/>
  <c r="EN16" i="7"/>
  <c r="FK16" i="7" s="1"/>
  <c r="EO16" i="7"/>
  <c r="FQ16" i="7" s="1"/>
  <c r="EP16" i="7"/>
  <c r="FW16" i="7" s="1"/>
  <c r="EQ16" i="7"/>
  <c r="GC16" i="7" s="1"/>
  <c r="ER16" i="7"/>
  <c r="GI16" i="7" s="1"/>
  <c r="EX16" i="7"/>
  <c r="FV16" i="7"/>
  <c r="DP17" i="7"/>
  <c r="EW17" i="7" s="1"/>
  <c r="DQ17" i="7"/>
  <c r="DR17" i="7"/>
  <c r="FI17" i="7" s="1"/>
  <c r="DS17" i="7"/>
  <c r="FO17" i="7" s="1"/>
  <c r="DT17" i="7"/>
  <c r="FU17" i="7" s="1"/>
  <c r="DU17" i="7"/>
  <c r="GA17" i="7" s="1"/>
  <c r="DV17" i="7"/>
  <c r="GG17" i="7" s="1"/>
  <c r="EA17" i="7"/>
  <c r="EX17" i="7" s="1"/>
  <c r="EB17" i="7"/>
  <c r="EC17" i="7"/>
  <c r="FJ17" i="7" s="1"/>
  <c r="ED17" i="7"/>
  <c r="FP17" i="7" s="1"/>
  <c r="EE17" i="7"/>
  <c r="FV17" i="7" s="1"/>
  <c r="EF17" i="7"/>
  <c r="GB17" i="7" s="1"/>
  <c r="EG17" i="7"/>
  <c r="GH17" i="7" s="1"/>
  <c r="EL17" i="7"/>
  <c r="EY17" i="7" s="1"/>
  <c r="EM17" i="7"/>
  <c r="EN17" i="7"/>
  <c r="EO17" i="7"/>
  <c r="FQ17" i="7" s="1"/>
  <c r="EP17" i="7"/>
  <c r="FW17" i="7" s="1"/>
  <c r="EQ17" i="7"/>
  <c r="GC17" i="7" s="1"/>
  <c r="ER17" i="7"/>
  <c r="FK17" i="7"/>
  <c r="GI17" i="7"/>
  <c r="DP18" i="7"/>
  <c r="DQ18" i="7"/>
  <c r="DR18" i="7"/>
  <c r="DS18" i="7"/>
  <c r="FO18" i="7" s="1"/>
  <c r="DT18" i="7"/>
  <c r="FU18" i="7" s="1"/>
  <c r="DU18" i="7"/>
  <c r="GA18" i="7" s="1"/>
  <c r="DV18" i="7"/>
  <c r="GG18" i="7" s="1"/>
  <c r="EA18" i="7"/>
  <c r="EB18" i="7"/>
  <c r="FD18" i="7" s="1"/>
  <c r="EC18" i="7"/>
  <c r="FJ18" i="7" s="1"/>
  <c r="ED18" i="7"/>
  <c r="FP18" i="7" s="1"/>
  <c r="EE18" i="7"/>
  <c r="FV18" i="7" s="1"/>
  <c r="EF18" i="7"/>
  <c r="GB18" i="7" s="1"/>
  <c r="EG18" i="7"/>
  <c r="EL18" i="7"/>
  <c r="EM18" i="7"/>
  <c r="FE18" i="7" s="1"/>
  <c r="EN18" i="7"/>
  <c r="FK18" i="7" s="1"/>
  <c r="EO18" i="7"/>
  <c r="FQ18" i="7" s="1"/>
  <c r="EP18" i="7"/>
  <c r="FW18" i="7" s="1"/>
  <c r="EQ18" i="7"/>
  <c r="GC18" i="7" s="1"/>
  <c r="ER18" i="7"/>
  <c r="EW18" i="7"/>
  <c r="FI18" i="7"/>
  <c r="GH18" i="7"/>
  <c r="GI18" i="7"/>
  <c r="DP19" i="7"/>
  <c r="EW19" i="7" s="1"/>
  <c r="DQ19" i="7"/>
  <c r="DR19" i="7"/>
  <c r="DS19" i="7"/>
  <c r="FO19" i="7" s="1"/>
  <c r="DT19" i="7"/>
  <c r="FU19" i="7" s="1"/>
  <c r="DU19" i="7"/>
  <c r="DV19" i="7"/>
  <c r="GG19" i="7" s="1"/>
  <c r="EA19" i="7"/>
  <c r="EX19" i="7" s="1"/>
  <c r="EB19" i="7"/>
  <c r="EC19" i="7"/>
  <c r="ED19" i="7"/>
  <c r="FP19" i="7" s="1"/>
  <c r="EE19" i="7"/>
  <c r="FV19" i="7" s="1"/>
  <c r="EF19" i="7"/>
  <c r="GB19" i="7" s="1"/>
  <c r="EG19" i="7"/>
  <c r="GH19" i="7" s="1"/>
  <c r="EL19" i="7"/>
  <c r="EY19" i="7" s="1"/>
  <c r="EM19" i="7"/>
  <c r="FE19" i="7" s="1"/>
  <c r="EN19" i="7"/>
  <c r="EO19" i="7"/>
  <c r="FQ19" i="7" s="1"/>
  <c r="EP19" i="7"/>
  <c r="FW19" i="7" s="1"/>
  <c r="EQ19" i="7"/>
  <c r="GC19" i="7" s="1"/>
  <c r="ER19" i="7"/>
  <c r="FC19" i="7"/>
  <c r="FD19" i="7"/>
  <c r="GA19" i="7"/>
  <c r="GI19" i="7"/>
  <c r="DP20" i="7"/>
  <c r="DQ20" i="7"/>
  <c r="FC20" i="7" s="1"/>
  <c r="DR20" i="7"/>
  <c r="FI20" i="7" s="1"/>
  <c r="DS20" i="7"/>
  <c r="FO20" i="7" s="1"/>
  <c r="DT20" i="7"/>
  <c r="FU20" i="7" s="1"/>
  <c r="DU20" i="7"/>
  <c r="GA20" i="7" s="1"/>
  <c r="DV20" i="7"/>
  <c r="GG20" i="7" s="1"/>
  <c r="DZ20" i="7"/>
  <c r="EA20" i="7"/>
  <c r="EX20" i="7" s="1"/>
  <c r="EB20" i="7"/>
  <c r="EC20" i="7"/>
  <c r="FJ20" i="7" s="1"/>
  <c r="ED20" i="7"/>
  <c r="FP20" i="7" s="1"/>
  <c r="EE20" i="7"/>
  <c r="EF20" i="7"/>
  <c r="GB20" i="7" s="1"/>
  <c r="EG20" i="7"/>
  <c r="GH20" i="7" s="1"/>
  <c r="EL20" i="7"/>
  <c r="EY20" i="7" s="1"/>
  <c r="EM20" i="7"/>
  <c r="FE20" i="7" s="1"/>
  <c r="EN20" i="7"/>
  <c r="FK20" i="7" s="1"/>
  <c r="EO20" i="7"/>
  <c r="FQ20" i="7" s="1"/>
  <c r="EP20" i="7"/>
  <c r="EQ20" i="7"/>
  <c r="GC20" i="7" s="1"/>
  <c r="ER20" i="7"/>
  <c r="GI20" i="7" s="1"/>
  <c r="EW20" i="7"/>
  <c r="FD20" i="7"/>
  <c r="FV20" i="7"/>
  <c r="FW20" i="7"/>
  <c r="DP21" i="7"/>
  <c r="EW21" i="7" s="1"/>
  <c r="DQ21" i="7"/>
  <c r="DR21" i="7"/>
  <c r="FI21" i="7" s="1"/>
  <c r="DS21" i="7"/>
  <c r="FO21" i="7" s="1"/>
  <c r="DT21" i="7"/>
  <c r="FU21" i="7" s="1"/>
  <c r="DU21" i="7"/>
  <c r="GA21" i="7" s="1"/>
  <c r="DV21" i="7"/>
  <c r="GG21" i="7" s="1"/>
  <c r="EA21" i="7"/>
  <c r="EB21" i="7"/>
  <c r="FD21" i="7" s="1"/>
  <c r="EC21" i="7"/>
  <c r="FJ21" i="7" s="1"/>
  <c r="ED21" i="7"/>
  <c r="FP21" i="7" s="1"/>
  <c r="EE21" i="7"/>
  <c r="FV21" i="7" s="1"/>
  <c r="EF21" i="7"/>
  <c r="GB21" i="7" s="1"/>
  <c r="GD21" i="7" s="1"/>
  <c r="GE21" i="7" s="1"/>
  <c r="GF21" i="7" s="1"/>
  <c r="GS21" i="7" s="1"/>
  <c r="EG21" i="7"/>
  <c r="EL21" i="7"/>
  <c r="EM21" i="7"/>
  <c r="FE21" i="7" s="1"/>
  <c r="EN21" i="7"/>
  <c r="EO21" i="7"/>
  <c r="FQ21" i="7" s="1"/>
  <c r="EP21" i="7"/>
  <c r="FW21" i="7" s="1"/>
  <c r="EQ21" i="7"/>
  <c r="GC21" i="7" s="1"/>
  <c r="ER21" i="7"/>
  <c r="GI21" i="7" s="1"/>
  <c r="FC21" i="7"/>
  <c r="FK21" i="7"/>
  <c r="GH21" i="7"/>
  <c r="DP22" i="7"/>
  <c r="EW22" i="7" s="1"/>
  <c r="DQ22" i="7"/>
  <c r="DR22" i="7"/>
  <c r="FI22" i="7" s="1"/>
  <c r="DS22" i="7"/>
  <c r="FO22" i="7" s="1"/>
  <c r="DT22" i="7"/>
  <c r="FU22" i="7" s="1"/>
  <c r="DU22" i="7"/>
  <c r="GA22" i="7" s="1"/>
  <c r="DV22" i="7"/>
  <c r="GG22" i="7" s="1"/>
  <c r="EA22" i="7"/>
  <c r="EX22" i="7" s="1"/>
  <c r="EB22" i="7"/>
  <c r="EC22" i="7"/>
  <c r="FJ22" i="7" s="1"/>
  <c r="ED22" i="7"/>
  <c r="FP22" i="7" s="1"/>
  <c r="EE22" i="7"/>
  <c r="FV22" i="7" s="1"/>
  <c r="EF22" i="7"/>
  <c r="GB22" i="7" s="1"/>
  <c r="EG22" i="7"/>
  <c r="GH22" i="7" s="1"/>
  <c r="EL22" i="7"/>
  <c r="EM22" i="7"/>
  <c r="EN22" i="7"/>
  <c r="FK22" i="7" s="1"/>
  <c r="EO22" i="7"/>
  <c r="FQ22" i="7" s="1"/>
  <c r="EP22" i="7"/>
  <c r="FW22" i="7" s="1"/>
  <c r="EQ22" i="7"/>
  <c r="GC22" i="7" s="1"/>
  <c r="ER22" i="7"/>
  <c r="GI22" i="7" s="1"/>
  <c r="EY22" i="7"/>
  <c r="DP23" i="7"/>
  <c r="DZ23" i="7" s="1"/>
  <c r="DQ23" i="7"/>
  <c r="FC23" i="7" s="1"/>
  <c r="DR23" i="7"/>
  <c r="FI23" i="7" s="1"/>
  <c r="DS23" i="7"/>
  <c r="FO23" i="7" s="1"/>
  <c r="DT23" i="7"/>
  <c r="FU23" i="7" s="1"/>
  <c r="DU23" i="7"/>
  <c r="GA23" i="7" s="1"/>
  <c r="DV23" i="7"/>
  <c r="GG23" i="7" s="1"/>
  <c r="EA23" i="7"/>
  <c r="EX23" i="7" s="1"/>
  <c r="EB23" i="7"/>
  <c r="EC23" i="7"/>
  <c r="ED23" i="7"/>
  <c r="FP23" i="7" s="1"/>
  <c r="EE23" i="7"/>
  <c r="FV23" i="7" s="1"/>
  <c r="EF23" i="7"/>
  <c r="EG23" i="7"/>
  <c r="EL23" i="7"/>
  <c r="EY23" i="7" s="1"/>
  <c r="EM23" i="7"/>
  <c r="FE23" i="7" s="1"/>
  <c r="EN23" i="7"/>
  <c r="FK23" i="7" s="1"/>
  <c r="EO23" i="7"/>
  <c r="FQ23" i="7" s="1"/>
  <c r="EP23" i="7"/>
  <c r="EQ23" i="7"/>
  <c r="GC23" i="7" s="1"/>
  <c r="ER23" i="7"/>
  <c r="GI23" i="7" s="1"/>
  <c r="EW23" i="7"/>
  <c r="FD23" i="7"/>
  <c r="FJ23" i="7"/>
  <c r="FW23" i="7"/>
  <c r="GB23" i="7"/>
  <c r="GH23" i="7"/>
  <c r="DP24" i="7"/>
  <c r="EW24" i="7" s="1"/>
  <c r="DQ24" i="7"/>
  <c r="FC24" i="7" s="1"/>
  <c r="DR24" i="7"/>
  <c r="DS24" i="7"/>
  <c r="FO24" i="7" s="1"/>
  <c r="DT24" i="7"/>
  <c r="FU24" i="7" s="1"/>
  <c r="DU24" i="7"/>
  <c r="GA24" i="7" s="1"/>
  <c r="DV24" i="7"/>
  <c r="GG24" i="7" s="1"/>
  <c r="EA24" i="7"/>
  <c r="EX24" i="7" s="1"/>
  <c r="EB24" i="7"/>
  <c r="FD24" i="7" s="1"/>
  <c r="EC24" i="7"/>
  <c r="FJ24" i="7" s="1"/>
  <c r="ED24" i="7"/>
  <c r="FP24" i="7" s="1"/>
  <c r="EE24" i="7"/>
  <c r="FV24" i="7" s="1"/>
  <c r="EF24" i="7"/>
  <c r="GB24" i="7" s="1"/>
  <c r="EG24" i="7"/>
  <c r="GH24" i="7" s="1"/>
  <c r="EL24" i="7"/>
  <c r="EM24" i="7"/>
  <c r="FE24" i="7" s="1"/>
  <c r="EN24" i="7"/>
  <c r="EO24" i="7"/>
  <c r="FQ24" i="7" s="1"/>
  <c r="EP24" i="7"/>
  <c r="FW24" i="7" s="1"/>
  <c r="EQ24" i="7"/>
  <c r="GC24" i="7" s="1"/>
  <c r="ER24" i="7"/>
  <c r="GI24" i="7" s="1"/>
  <c r="EY24" i="7"/>
  <c r="DP25" i="7"/>
  <c r="EW25" i="7" s="1"/>
  <c r="DQ25" i="7"/>
  <c r="FC25" i="7" s="1"/>
  <c r="DR25" i="7"/>
  <c r="FI25" i="7" s="1"/>
  <c r="DS25" i="7"/>
  <c r="FO25" i="7" s="1"/>
  <c r="DT25" i="7"/>
  <c r="FU25" i="7" s="1"/>
  <c r="DU25" i="7"/>
  <c r="GA25" i="7" s="1"/>
  <c r="DV25" i="7"/>
  <c r="GG25" i="7" s="1"/>
  <c r="EA25" i="7"/>
  <c r="EB25" i="7"/>
  <c r="FD25" i="7" s="1"/>
  <c r="EC25" i="7"/>
  <c r="FJ25" i="7" s="1"/>
  <c r="ED25" i="7"/>
  <c r="FP25" i="7" s="1"/>
  <c r="EE25" i="7"/>
  <c r="EF25" i="7"/>
  <c r="GB25" i="7" s="1"/>
  <c r="EG25" i="7"/>
  <c r="GH25" i="7" s="1"/>
  <c r="EL25" i="7"/>
  <c r="EM25" i="7"/>
  <c r="FE25" i="7" s="1"/>
  <c r="EN25" i="7"/>
  <c r="FK25" i="7" s="1"/>
  <c r="EO25" i="7"/>
  <c r="FQ25" i="7" s="1"/>
  <c r="EP25" i="7"/>
  <c r="FW25" i="7" s="1"/>
  <c r="EQ25" i="7"/>
  <c r="GC25" i="7" s="1"/>
  <c r="ER25" i="7"/>
  <c r="EX25" i="7"/>
  <c r="EY25" i="7"/>
  <c r="FV25" i="7"/>
  <c r="GI25" i="7"/>
  <c r="DP26" i="7"/>
  <c r="EW26" i="7" s="1"/>
  <c r="DQ26" i="7"/>
  <c r="FC26" i="7" s="1"/>
  <c r="DR26" i="7"/>
  <c r="DS26" i="7"/>
  <c r="DT26" i="7"/>
  <c r="FU26" i="7" s="1"/>
  <c r="DU26" i="7"/>
  <c r="GA26" i="7" s="1"/>
  <c r="DV26" i="7"/>
  <c r="GG26" i="7" s="1"/>
  <c r="EA26" i="7"/>
  <c r="EX26" i="7" s="1"/>
  <c r="EB26" i="7"/>
  <c r="FD26" i="7" s="1"/>
  <c r="EC26" i="7"/>
  <c r="FJ26" i="7" s="1"/>
  <c r="ED26" i="7"/>
  <c r="EE26" i="7"/>
  <c r="EF26" i="7"/>
  <c r="GB26" i="7" s="1"/>
  <c r="EG26" i="7"/>
  <c r="GH26" i="7" s="1"/>
  <c r="EL26" i="7"/>
  <c r="EY26" i="7" s="1"/>
  <c r="EM26" i="7"/>
  <c r="FE26" i="7" s="1"/>
  <c r="EN26" i="7"/>
  <c r="EO26" i="7"/>
  <c r="FQ26" i="7" s="1"/>
  <c r="EP26" i="7"/>
  <c r="FW26" i="7" s="1"/>
  <c r="EQ26" i="7"/>
  <c r="GC26" i="7" s="1"/>
  <c r="ER26" i="7"/>
  <c r="GI26" i="7" s="1"/>
  <c r="FO26" i="7"/>
  <c r="FP26" i="7"/>
  <c r="FV26" i="7"/>
  <c r="DP27" i="7"/>
  <c r="EW27" i="7" s="1"/>
  <c r="DQ27" i="7"/>
  <c r="FC27" i="7" s="1"/>
  <c r="DR27" i="7"/>
  <c r="DS27" i="7"/>
  <c r="FO27" i="7" s="1"/>
  <c r="DT27" i="7"/>
  <c r="FU27" i="7" s="1"/>
  <c r="DU27" i="7"/>
  <c r="GA27" i="7" s="1"/>
  <c r="DV27" i="7"/>
  <c r="EA27" i="7"/>
  <c r="EB27" i="7"/>
  <c r="FD27" i="7" s="1"/>
  <c r="EC27" i="7"/>
  <c r="FJ27" i="7" s="1"/>
  <c r="ED27" i="7"/>
  <c r="FP27" i="7" s="1"/>
  <c r="EE27" i="7"/>
  <c r="FV27" i="7" s="1"/>
  <c r="EF27" i="7"/>
  <c r="GB27" i="7" s="1"/>
  <c r="EG27" i="7"/>
  <c r="GH27" i="7" s="1"/>
  <c r="EL27" i="7"/>
  <c r="EM27" i="7"/>
  <c r="FE27" i="7" s="1"/>
  <c r="EN27" i="7"/>
  <c r="FK27" i="7" s="1"/>
  <c r="EO27" i="7"/>
  <c r="FQ27" i="7" s="1"/>
  <c r="EP27" i="7"/>
  <c r="FW27" i="7" s="1"/>
  <c r="EQ27" i="7"/>
  <c r="GC27" i="7" s="1"/>
  <c r="ER27" i="7"/>
  <c r="GI27" i="7" s="1"/>
  <c r="FI27" i="7"/>
  <c r="GG27" i="7"/>
  <c r="DP28" i="7"/>
  <c r="DQ28" i="7"/>
  <c r="FC28" i="7" s="1"/>
  <c r="DR28" i="7"/>
  <c r="DS28" i="7"/>
  <c r="FO28" i="7" s="1"/>
  <c r="DT28" i="7"/>
  <c r="FU28" i="7" s="1"/>
  <c r="DU28" i="7"/>
  <c r="GA28" i="7" s="1"/>
  <c r="DV28" i="7"/>
  <c r="EA28" i="7"/>
  <c r="EB28" i="7"/>
  <c r="FD28" i="7" s="1"/>
  <c r="EC28" i="7"/>
  <c r="FJ28" i="7" s="1"/>
  <c r="ED28" i="7"/>
  <c r="FP28" i="7" s="1"/>
  <c r="EE28" i="7"/>
  <c r="FV28" i="7" s="1"/>
  <c r="EF28" i="7"/>
  <c r="GB28" i="7" s="1"/>
  <c r="EG28" i="7"/>
  <c r="GH28" i="7" s="1"/>
  <c r="EL28" i="7"/>
  <c r="EM28" i="7"/>
  <c r="EN28" i="7"/>
  <c r="FK28" i="7" s="1"/>
  <c r="EO28" i="7"/>
  <c r="FQ28" i="7" s="1"/>
  <c r="EP28" i="7"/>
  <c r="FW28" i="7" s="1"/>
  <c r="EQ28" i="7"/>
  <c r="ER28" i="7"/>
  <c r="GI28" i="7" s="1"/>
  <c r="FE28" i="7"/>
  <c r="FI28" i="7"/>
  <c r="GC28" i="7"/>
  <c r="GG28" i="7"/>
  <c r="DP29" i="7"/>
  <c r="EW29" i="7" s="1"/>
  <c r="DQ29" i="7"/>
  <c r="FC29" i="7" s="1"/>
  <c r="DR29" i="7"/>
  <c r="DS29" i="7"/>
  <c r="FO29" i="7" s="1"/>
  <c r="DT29" i="7"/>
  <c r="FU29" i="7" s="1"/>
  <c r="DU29" i="7"/>
  <c r="GA29" i="7" s="1"/>
  <c r="DV29" i="7"/>
  <c r="GG29" i="7" s="1"/>
  <c r="EA29" i="7"/>
  <c r="EB29" i="7"/>
  <c r="FD29" i="7" s="1"/>
  <c r="EC29" i="7"/>
  <c r="FJ29" i="7" s="1"/>
  <c r="ED29" i="7"/>
  <c r="FP29" i="7" s="1"/>
  <c r="EE29" i="7"/>
  <c r="FV29" i="7" s="1"/>
  <c r="EF29" i="7"/>
  <c r="GB29" i="7" s="1"/>
  <c r="EG29" i="7"/>
  <c r="GH29" i="7" s="1"/>
  <c r="EL29" i="7"/>
  <c r="EM29" i="7"/>
  <c r="EN29" i="7"/>
  <c r="FK29" i="7" s="1"/>
  <c r="EO29" i="7"/>
  <c r="FQ29" i="7" s="1"/>
  <c r="EP29" i="7"/>
  <c r="FW29" i="7" s="1"/>
  <c r="EQ29" i="7"/>
  <c r="ER29" i="7"/>
  <c r="FE29" i="7"/>
  <c r="FI29" i="7"/>
  <c r="GC29" i="7"/>
  <c r="GI29" i="7"/>
  <c r="DP30" i="7"/>
  <c r="EW30" i="7" s="1"/>
  <c r="DQ30" i="7"/>
  <c r="FC30" i="7" s="1"/>
  <c r="DR30" i="7"/>
  <c r="DS30" i="7"/>
  <c r="FO30" i="7" s="1"/>
  <c r="DT30" i="7"/>
  <c r="FU30" i="7" s="1"/>
  <c r="DU30" i="7"/>
  <c r="GA30" i="7" s="1"/>
  <c r="DV30" i="7"/>
  <c r="GG30" i="7" s="1"/>
  <c r="EA30" i="7"/>
  <c r="EX30" i="7" s="1"/>
  <c r="EB30" i="7"/>
  <c r="FD30" i="7" s="1"/>
  <c r="EC30" i="7"/>
  <c r="FJ30" i="7" s="1"/>
  <c r="ED30" i="7"/>
  <c r="FP30" i="7" s="1"/>
  <c r="EE30" i="7"/>
  <c r="FV30" i="7" s="1"/>
  <c r="EF30" i="7"/>
  <c r="GB30" i="7" s="1"/>
  <c r="EG30" i="7"/>
  <c r="GH30" i="7" s="1"/>
  <c r="EL30" i="7"/>
  <c r="EM30" i="7"/>
  <c r="FE30" i="7" s="1"/>
  <c r="EN30" i="7"/>
  <c r="FK30" i="7" s="1"/>
  <c r="EO30" i="7"/>
  <c r="FQ30" i="7" s="1"/>
  <c r="EP30" i="7"/>
  <c r="FW30" i="7" s="1"/>
  <c r="EQ30" i="7"/>
  <c r="GC30" i="7" s="1"/>
  <c r="ER30" i="7"/>
  <c r="GI30" i="7" s="1"/>
  <c r="FI30" i="7"/>
  <c r="FL30" i="7" s="1"/>
  <c r="FM30" i="7" s="1"/>
  <c r="FN30" i="7" s="1"/>
  <c r="GP30" i="7" s="1"/>
  <c r="DP31" i="7"/>
  <c r="EW31" i="7" s="1"/>
  <c r="DQ31" i="7"/>
  <c r="FC31" i="7" s="1"/>
  <c r="DR31" i="7"/>
  <c r="FI31" i="7" s="1"/>
  <c r="DS31" i="7"/>
  <c r="FO31" i="7" s="1"/>
  <c r="DT31" i="7"/>
  <c r="FU31" i="7" s="1"/>
  <c r="DU31" i="7"/>
  <c r="GA31" i="7" s="1"/>
  <c r="DV31" i="7"/>
  <c r="GG31" i="7" s="1"/>
  <c r="EA31" i="7"/>
  <c r="EX31" i="7" s="1"/>
  <c r="EB31" i="7"/>
  <c r="FD31" i="7" s="1"/>
  <c r="EC31" i="7"/>
  <c r="ED31" i="7"/>
  <c r="FP31" i="7" s="1"/>
  <c r="EE31" i="7"/>
  <c r="FV31" i="7" s="1"/>
  <c r="EF31" i="7"/>
  <c r="GB31" i="7" s="1"/>
  <c r="EG31" i="7"/>
  <c r="EL31" i="7"/>
  <c r="EM31" i="7"/>
  <c r="FE31" i="7" s="1"/>
  <c r="EN31" i="7"/>
  <c r="FK31" i="7" s="1"/>
  <c r="EO31" i="7"/>
  <c r="FQ31" i="7" s="1"/>
  <c r="EP31" i="7"/>
  <c r="FW31" i="7" s="1"/>
  <c r="EQ31" i="7"/>
  <c r="GC31" i="7" s="1"/>
  <c r="ER31" i="7"/>
  <c r="GI31" i="7" s="1"/>
  <c r="FJ31" i="7"/>
  <c r="GH31" i="7"/>
  <c r="DP32" i="7"/>
  <c r="EW32" i="7" s="1"/>
  <c r="DQ32" i="7"/>
  <c r="FC32" i="7" s="1"/>
  <c r="DR32" i="7"/>
  <c r="DS32" i="7"/>
  <c r="FO32" i="7" s="1"/>
  <c r="DT32" i="7"/>
  <c r="DU32" i="7"/>
  <c r="GA32" i="7" s="1"/>
  <c r="DV32" i="7"/>
  <c r="EA32" i="7"/>
  <c r="EX32" i="7" s="1"/>
  <c r="EB32" i="7"/>
  <c r="FD32" i="7" s="1"/>
  <c r="EC32" i="7"/>
  <c r="FJ32" i="7" s="1"/>
  <c r="ED32" i="7"/>
  <c r="EE32" i="7"/>
  <c r="FV32" i="7" s="1"/>
  <c r="EF32" i="7"/>
  <c r="GB32" i="7" s="1"/>
  <c r="EG32" i="7"/>
  <c r="EL32" i="7"/>
  <c r="EY32" i="7" s="1"/>
  <c r="EM32" i="7"/>
  <c r="FE32" i="7" s="1"/>
  <c r="EN32" i="7"/>
  <c r="FK32" i="7" s="1"/>
  <c r="EO32" i="7"/>
  <c r="FQ32" i="7" s="1"/>
  <c r="EP32" i="7"/>
  <c r="FW32" i="7" s="1"/>
  <c r="EQ32" i="7"/>
  <c r="GC32" i="7" s="1"/>
  <c r="ER32" i="7"/>
  <c r="GI32" i="7" s="1"/>
  <c r="FI32" i="7"/>
  <c r="FP32" i="7"/>
  <c r="FU32" i="7"/>
  <c r="GG32" i="7"/>
  <c r="GH32" i="7"/>
  <c r="DP33" i="7"/>
  <c r="DQ33" i="7"/>
  <c r="FC33" i="7" s="1"/>
  <c r="DR33" i="7"/>
  <c r="DS33" i="7"/>
  <c r="FO33" i="7" s="1"/>
  <c r="DT33" i="7"/>
  <c r="FU33" i="7" s="1"/>
  <c r="DU33" i="7"/>
  <c r="GA33" i="7" s="1"/>
  <c r="DV33" i="7"/>
  <c r="GG33" i="7" s="1"/>
  <c r="EA33" i="7"/>
  <c r="EB33" i="7"/>
  <c r="EC33" i="7"/>
  <c r="FJ33" i="7" s="1"/>
  <c r="ED33" i="7"/>
  <c r="EE33" i="7"/>
  <c r="FV33" i="7" s="1"/>
  <c r="EF33" i="7"/>
  <c r="GB33" i="7" s="1"/>
  <c r="EG33" i="7"/>
  <c r="GH33" i="7" s="1"/>
  <c r="EL33" i="7"/>
  <c r="EM33" i="7"/>
  <c r="FE33" i="7" s="1"/>
  <c r="EN33" i="7"/>
  <c r="FK33" i="7" s="1"/>
  <c r="EO33" i="7"/>
  <c r="FQ33" i="7" s="1"/>
  <c r="EP33" i="7"/>
  <c r="FW33" i="7" s="1"/>
  <c r="EQ33" i="7"/>
  <c r="GC33" i="7" s="1"/>
  <c r="ER33" i="7"/>
  <c r="GI33" i="7" s="1"/>
  <c r="FD33" i="7"/>
  <c r="FI33" i="7"/>
  <c r="FP33" i="7"/>
  <c r="DP34" i="7"/>
  <c r="EW34" i="7" s="1"/>
  <c r="DQ34" i="7"/>
  <c r="FC34" i="7" s="1"/>
  <c r="DR34" i="7"/>
  <c r="DS34" i="7"/>
  <c r="FO34" i="7" s="1"/>
  <c r="DT34" i="7"/>
  <c r="FU34" i="7" s="1"/>
  <c r="DU34" i="7"/>
  <c r="DV34" i="7"/>
  <c r="GG34" i="7" s="1"/>
  <c r="EA34" i="7"/>
  <c r="EX34" i="7" s="1"/>
  <c r="EB34" i="7"/>
  <c r="FD34" i="7" s="1"/>
  <c r="EC34" i="7"/>
  <c r="FJ34" i="7" s="1"/>
  <c r="ED34" i="7"/>
  <c r="FP34" i="7" s="1"/>
  <c r="EE34" i="7"/>
  <c r="FV34" i="7" s="1"/>
  <c r="EF34" i="7"/>
  <c r="GB34" i="7" s="1"/>
  <c r="EG34" i="7"/>
  <c r="GH34" i="7" s="1"/>
  <c r="EL34" i="7"/>
  <c r="EM34" i="7"/>
  <c r="FE34" i="7" s="1"/>
  <c r="EN34" i="7"/>
  <c r="FK34" i="7" s="1"/>
  <c r="EO34" i="7"/>
  <c r="FQ34" i="7" s="1"/>
  <c r="EP34" i="7"/>
  <c r="FW34" i="7" s="1"/>
  <c r="EQ34" i="7"/>
  <c r="GC34" i="7" s="1"/>
  <c r="ER34" i="7"/>
  <c r="GI34" i="7" s="1"/>
  <c r="FI34" i="7"/>
  <c r="GA34" i="7"/>
  <c r="GD34" i="7" s="1"/>
  <c r="GE34" i="7" s="1"/>
  <c r="GF34" i="7" s="1"/>
  <c r="GS34" i="7" s="1"/>
  <c r="DP35" i="7"/>
  <c r="DQ35" i="7"/>
  <c r="FC35" i="7" s="1"/>
  <c r="DR35" i="7"/>
  <c r="DS35" i="7"/>
  <c r="FO35" i="7" s="1"/>
  <c r="DT35" i="7"/>
  <c r="FU35" i="7" s="1"/>
  <c r="DU35" i="7"/>
  <c r="DV35" i="7"/>
  <c r="EA35" i="7"/>
  <c r="EB35" i="7"/>
  <c r="FD35" i="7" s="1"/>
  <c r="EC35" i="7"/>
  <c r="FJ35" i="7" s="1"/>
  <c r="ED35" i="7"/>
  <c r="FP35" i="7" s="1"/>
  <c r="EE35" i="7"/>
  <c r="FV35" i="7" s="1"/>
  <c r="EF35" i="7"/>
  <c r="GB35" i="7" s="1"/>
  <c r="EG35" i="7"/>
  <c r="GH35" i="7" s="1"/>
  <c r="EL35" i="7"/>
  <c r="EM35" i="7"/>
  <c r="FE35" i="7" s="1"/>
  <c r="EN35" i="7"/>
  <c r="FK35" i="7" s="1"/>
  <c r="EO35" i="7"/>
  <c r="FQ35" i="7" s="1"/>
  <c r="EP35" i="7"/>
  <c r="FW35" i="7" s="1"/>
  <c r="EQ35" i="7"/>
  <c r="GC35" i="7" s="1"/>
  <c r="ER35" i="7"/>
  <c r="EW35" i="7"/>
  <c r="FI35" i="7"/>
  <c r="GA35" i="7"/>
  <c r="GG35" i="7"/>
  <c r="GI35" i="7"/>
  <c r="DP36" i="7"/>
  <c r="DQ36" i="7"/>
  <c r="FC36" i="7" s="1"/>
  <c r="DR36" i="7"/>
  <c r="FI36" i="7" s="1"/>
  <c r="DS36" i="7"/>
  <c r="FO36" i="7" s="1"/>
  <c r="DT36" i="7"/>
  <c r="FU36" i="7" s="1"/>
  <c r="DU36" i="7"/>
  <c r="GA36" i="7" s="1"/>
  <c r="DV36" i="7"/>
  <c r="GG36" i="7" s="1"/>
  <c r="EA36" i="7"/>
  <c r="EB36" i="7"/>
  <c r="FD36" i="7" s="1"/>
  <c r="EC36" i="7"/>
  <c r="FJ36" i="7" s="1"/>
  <c r="ED36" i="7"/>
  <c r="EE36" i="7"/>
  <c r="FV36" i="7" s="1"/>
  <c r="EF36" i="7"/>
  <c r="GB36" i="7" s="1"/>
  <c r="EG36" i="7"/>
  <c r="GH36" i="7" s="1"/>
  <c r="EL36" i="7"/>
  <c r="EM36" i="7"/>
  <c r="FE36" i="7" s="1"/>
  <c r="EN36" i="7"/>
  <c r="EO36" i="7"/>
  <c r="FQ36" i="7" s="1"/>
  <c r="EP36" i="7"/>
  <c r="FW36" i="7" s="1"/>
  <c r="EQ36" i="7"/>
  <c r="GC36" i="7" s="1"/>
  <c r="ER36" i="7"/>
  <c r="EW36" i="7"/>
  <c r="FK36" i="7"/>
  <c r="FP36" i="7"/>
  <c r="GI36" i="7"/>
  <c r="DP37" i="7"/>
  <c r="EW37" i="7" s="1"/>
  <c r="DQ37" i="7"/>
  <c r="FC37" i="7" s="1"/>
  <c r="DR37" i="7"/>
  <c r="DS37" i="7"/>
  <c r="FO37" i="7" s="1"/>
  <c r="DT37" i="7"/>
  <c r="FU37" i="7" s="1"/>
  <c r="DU37" i="7"/>
  <c r="GA37" i="7" s="1"/>
  <c r="DV37" i="7"/>
  <c r="EA37" i="7"/>
  <c r="EB37" i="7"/>
  <c r="FD37" i="7" s="1"/>
  <c r="EC37" i="7"/>
  <c r="FJ37" i="7" s="1"/>
  <c r="ED37" i="7"/>
  <c r="EE37" i="7"/>
  <c r="FV37" i="7" s="1"/>
  <c r="EF37" i="7"/>
  <c r="GB37" i="7" s="1"/>
  <c r="EG37" i="7"/>
  <c r="GH37" i="7" s="1"/>
  <c r="EL37" i="7"/>
  <c r="EM37" i="7"/>
  <c r="FE37" i="7" s="1"/>
  <c r="EN37" i="7"/>
  <c r="FK37" i="7" s="1"/>
  <c r="EO37" i="7"/>
  <c r="EP37" i="7"/>
  <c r="FW37" i="7" s="1"/>
  <c r="EQ37" i="7"/>
  <c r="GC37" i="7" s="1"/>
  <c r="ER37" i="7"/>
  <c r="GI37" i="7" s="1"/>
  <c r="FI37" i="7"/>
  <c r="FP37" i="7"/>
  <c r="FQ37" i="7"/>
  <c r="GG37" i="7"/>
  <c r="DP38" i="7"/>
  <c r="EW38" i="7" s="1"/>
  <c r="DQ38" i="7"/>
  <c r="FC38" i="7" s="1"/>
  <c r="DR38" i="7"/>
  <c r="FI38" i="7" s="1"/>
  <c r="DS38" i="7"/>
  <c r="FO38" i="7" s="1"/>
  <c r="DT38" i="7"/>
  <c r="FU38" i="7" s="1"/>
  <c r="DU38" i="7"/>
  <c r="GA38" i="7" s="1"/>
  <c r="DV38" i="7"/>
  <c r="GG38" i="7" s="1"/>
  <c r="EA38" i="7"/>
  <c r="EB38" i="7"/>
  <c r="FD38" i="7" s="1"/>
  <c r="EC38" i="7"/>
  <c r="ED38" i="7"/>
  <c r="FP38" i="7" s="1"/>
  <c r="EE38" i="7"/>
  <c r="FV38" i="7" s="1"/>
  <c r="EF38" i="7"/>
  <c r="GB38" i="7" s="1"/>
  <c r="EG38" i="7"/>
  <c r="GH38" i="7" s="1"/>
  <c r="EL38" i="7"/>
  <c r="EM38" i="7"/>
  <c r="FE38" i="7" s="1"/>
  <c r="EN38" i="7"/>
  <c r="FK38" i="7" s="1"/>
  <c r="EO38" i="7"/>
  <c r="FQ38" i="7" s="1"/>
  <c r="EP38" i="7"/>
  <c r="FW38" i="7" s="1"/>
  <c r="EQ38" i="7"/>
  <c r="GC38" i="7" s="1"/>
  <c r="ER38" i="7"/>
  <c r="GI38" i="7" s="1"/>
  <c r="FJ38" i="7"/>
  <c r="DP39" i="7"/>
  <c r="EW39" i="7" s="1"/>
  <c r="DQ39" i="7"/>
  <c r="FC39" i="7" s="1"/>
  <c r="DR39" i="7"/>
  <c r="FI39" i="7" s="1"/>
  <c r="DS39" i="7"/>
  <c r="FO39" i="7" s="1"/>
  <c r="DT39" i="7"/>
  <c r="FU39" i="7" s="1"/>
  <c r="DU39" i="7"/>
  <c r="GA39" i="7" s="1"/>
  <c r="DV39" i="7"/>
  <c r="GG39" i="7" s="1"/>
  <c r="EA39" i="7"/>
  <c r="EB39" i="7"/>
  <c r="FD39" i="7" s="1"/>
  <c r="FF39" i="7" s="1"/>
  <c r="FG39" i="7" s="1"/>
  <c r="FH39" i="7" s="1"/>
  <c r="GO39" i="7" s="1"/>
  <c r="EC39" i="7"/>
  <c r="ED39" i="7"/>
  <c r="EE39" i="7"/>
  <c r="FV39" i="7" s="1"/>
  <c r="EF39" i="7"/>
  <c r="GB39" i="7" s="1"/>
  <c r="EG39" i="7"/>
  <c r="EL39" i="7"/>
  <c r="EY39" i="7" s="1"/>
  <c r="EM39" i="7"/>
  <c r="FE39" i="7" s="1"/>
  <c r="EN39" i="7"/>
  <c r="FK39" i="7" s="1"/>
  <c r="EO39" i="7"/>
  <c r="EP39" i="7"/>
  <c r="FW39" i="7" s="1"/>
  <c r="EQ39" i="7"/>
  <c r="GC39" i="7" s="1"/>
  <c r="ER39" i="7"/>
  <c r="GI39" i="7" s="1"/>
  <c r="FJ39" i="7"/>
  <c r="FP39" i="7"/>
  <c r="FQ39" i="7"/>
  <c r="GH39" i="7"/>
  <c r="DP40" i="7"/>
  <c r="EW40" i="7" s="1"/>
  <c r="DQ40" i="7"/>
  <c r="FC40" i="7" s="1"/>
  <c r="DR40" i="7"/>
  <c r="DS40" i="7"/>
  <c r="FO40" i="7" s="1"/>
  <c r="DT40" i="7"/>
  <c r="FU40" i="7" s="1"/>
  <c r="DU40" i="7"/>
  <c r="GA40" i="7" s="1"/>
  <c r="DV40" i="7"/>
  <c r="EA40" i="7"/>
  <c r="EX40" i="7" s="1"/>
  <c r="EB40" i="7"/>
  <c r="FD40" i="7" s="1"/>
  <c r="EC40" i="7"/>
  <c r="FJ40" i="7" s="1"/>
  <c r="ED40" i="7"/>
  <c r="EE40" i="7"/>
  <c r="FV40" i="7" s="1"/>
  <c r="EF40" i="7"/>
  <c r="GB40" i="7" s="1"/>
  <c r="EG40" i="7"/>
  <c r="GH40" i="7" s="1"/>
  <c r="EL40" i="7"/>
  <c r="EY40" i="7" s="1"/>
  <c r="EM40" i="7"/>
  <c r="FE40" i="7" s="1"/>
  <c r="EN40" i="7"/>
  <c r="FK40" i="7" s="1"/>
  <c r="EO40" i="7"/>
  <c r="FQ40" i="7" s="1"/>
  <c r="EP40" i="7"/>
  <c r="FW40" i="7" s="1"/>
  <c r="EQ40" i="7"/>
  <c r="GC40" i="7" s="1"/>
  <c r="ER40" i="7"/>
  <c r="GI40" i="7" s="1"/>
  <c r="FI40" i="7"/>
  <c r="FP40" i="7"/>
  <c r="GG40" i="7"/>
  <c r="DP41" i="7"/>
  <c r="EW41" i="7" s="1"/>
  <c r="DQ41" i="7"/>
  <c r="FC41" i="7" s="1"/>
  <c r="DR41" i="7"/>
  <c r="DS41" i="7"/>
  <c r="FO41" i="7" s="1"/>
  <c r="DT41" i="7"/>
  <c r="FU41" i="7" s="1"/>
  <c r="DU41" i="7"/>
  <c r="GA41" i="7" s="1"/>
  <c r="DV41" i="7"/>
  <c r="GG41" i="7" s="1"/>
  <c r="EA41" i="7"/>
  <c r="EB41" i="7"/>
  <c r="FD41" i="7" s="1"/>
  <c r="EC41" i="7"/>
  <c r="FJ41" i="7" s="1"/>
  <c r="ED41" i="7"/>
  <c r="FP41" i="7" s="1"/>
  <c r="EE41" i="7"/>
  <c r="FV41" i="7" s="1"/>
  <c r="EF41" i="7"/>
  <c r="GB41" i="7" s="1"/>
  <c r="EG41" i="7"/>
  <c r="GH41" i="7" s="1"/>
  <c r="EL41" i="7"/>
  <c r="EY41" i="7" s="1"/>
  <c r="EM41" i="7"/>
  <c r="FE41" i="7" s="1"/>
  <c r="EN41" i="7"/>
  <c r="FK41" i="7" s="1"/>
  <c r="EO41" i="7"/>
  <c r="FQ41" i="7" s="1"/>
  <c r="EP41" i="7"/>
  <c r="FW41" i="7" s="1"/>
  <c r="EQ41" i="7"/>
  <c r="GC41" i="7" s="1"/>
  <c r="ER41" i="7"/>
  <c r="GI41" i="7" s="1"/>
  <c r="FI41" i="7"/>
  <c r="DP42" i="7"/>
  <c r="EW42" i="7" s="1"/>
  <c r="DQ42" i="7"/>
  <c r="FC42" i="7" s="1"/>
  <c r="DR42" i="7"/>
  <c r="FI42" i="7" s="1"/>
  <c r="DS42" i="7"/>
  <c r="FO42" i="7" s="1"/>
  <c r="DT42" i="7"/>
  <c r="FU42" i="7" s="1"/>
  <c r="DU42" i="7"/>
  <c r="GA42" i="7" s="1"/>
  <c r="DV42" i="7"/>
  <c r="GG42" i="7" s="1"/>
  <c r="GJ42" i="7" s="1"/>
  <c r="GK42" i="7" s="1"/>
  <c r="GL42" i="7" s="1"/>
  <c r="GT42" i="7" s="1"/>
  <c r="EA42" i="7"/>
  <c r="EX42" i="7" s="1"/>
  <c r="EB42" i="7"/>
  <c r="EC42" i="7"/>
  <c r="ED42" i="7"/>
  <c r="EE42" i="7"/>
  <c r="FV42" i="7" s="1"/>
  <c r="EF42" i="7"/>
  <c r="GB42" i="7" s="1"/>
  <c r="EG42" i="7"/>
  <c r="GH42" i="7" s="1"/>
  <c r="EL42" i="7"/>
  <c r="EY42" i="7" s="1"/>
  <c r="EM42" i="7"/>
  <c r="FE42" i="7" s="1"/>
  <c r="EN42" i="7"/>
  <c r="EO42" i="7"/>
  <c r="FQ42" i="7" s="1"/>
  <c r="EP42" i="7"/>
  <c r="FW42" i="7" s="1"/>
  <c r="EQ42" i="7"/>
  <c r="GC42" i="7" s="1"/>
  <c r="ER42" i="7"/>
  <c r="FD42" i="7"/>
  <c r="FJ42" i="7"/>
  <c r="FK42" i="7"/>
  <c r="GI42" i="7"/>
  <c r="ER8" i="7"/>
  <c r="GI8" i="7" s="1"/>
  <c r="EQ8" i="7"/>
  <c r="GC8" i="7" s="1"/>
  <c r="EP8" i="7"/>
  <c r="FW8" i="7" s="1"/>
  <c r="EO8" i="7"/>
  <c r="FQ8" i="7" s="1"/>
  <c r="EN8" i="7"/>
  <c r="FK8" i="7" s="1"/>
  <c r="EM8" i="7"/>
  <c r="FE8" i="7" s="1"/>
  <c r="EL8" i="7"/>
  <c r="EY8" i="7" s="1"/>
  <c r="EG8" i="7"/>
  <c r="GH8" i="7" s="1"/>
  <c r="EF8" i="7"/>
  <c r="GB8" i="7" s="1"/>
  <c r="EE8" i="7"/>
  <c r="FV8" i="7" s="1"/>
  <c r="ED8" i="7"/>
  <c r="FP8" i="7" s="1"/>
  <c r="EC8" i="7"/>
  <c r="FJ8" i="7" s="1"/>
  <c r="EB8" i="7"/>
  <c r="FD8" i="7" s="1"/>
  <c r="EA8" i="7"/>
  <c r="EX8" i="7" s="1"/>
  <c r="DV8" i="7"/>
  <c r="GG8" i="7" s="1"/>
  <c r="GJ8" i="7" s="1"/>
  <c r="GK8" i="7" s="1"/>
  <c r="GL8" i="7" s="1"/>
  <c r="GT8" i="7" s="1"/>
  <c r="DU8" i="7"/>
  <c r="GA8" i="7" s="1"/>
  <c r="DT8" i="7"/>
  <c r="FU8" i="7" s="1"/>
  <c r="DS8" i="7"/>
  <c r="FO8" i="7" s="1"/>
  <c r="DR8" i="7"/>
  <c r="FI8" i="7" s="1"/>
  <c r="DQ8" i="7"/>
  <c r="FC8" i="7" s="1"/>
  <c r="DP8" i="7"/>
  <c r="EW8" i="7" s="1"/>
  <c r="HI6" i="7"/>
  <c r="HX6" i="7" s="1"/>
  <c r="HH6" i="7"/>
  <c r="HW6" i="7" s="1"/>
  <c r="HG6" i="7"/>
  <c r="HV6" i="7" s="1"/>
  <c r="HF6" i="7"/>
  <c r="HU6" i="7" s="1"/>
  <c r="DM4" i="7"/>
  <c r="GC9" i="25"/>
  <c r="GI9" i="25"/>
  <c r="GO9" i="25"/>
  <c r="GU9" i="25"/>
  <c r="HA9" i="25"/>
  <c r="HG9" i="25"/>
  <c r="HM9" i="25"/>
  <c r="GD9" i="25"/>
  <c r="GP9" i="25"/>
  <c r="HB9" i="25"/>
  <c r="HH9" i="25"/>
  <c r="HN9" i="25"/>
  <c r="GQ9" i="25"/>
  <c r="GW9" i="25"/>
  <c r="HI9" i="25"/>
  <c r="HO9" i="25"/>
  <c r="GE9" i="25"/>
  <c r="GV9" i="25"/>
  <c r="HC9" i="25"/>
  <c r="GC10" i="25"/>
  <c r="GO10" i="25"/>
  <c r="GU10" i="25"/>
  <c r="HG10" i="25"/>
  <c r="HM10" i="25"/>
  <c r="GD10" i="25"/>
  <c r="GV10" i="25"/>
  <c r="HB10" i="25"/>
  <c r="HH10" i="25"/>
  <c r="GE10" i="25"/>
  <c r="GW10" i="25"/>
  <c r="HC10" i="25"/>
  <c r="HI10" i="25"/>
  <c r="HO10" i="25"/>
  <c r="GI10" i="25"/>
  <c r="GP10" i="25"/>
  <c r="GQ10" i="25"/>
  <c r="HA10" i="25"/>
  <c r="HN10" i="25"/>
  <c r="GI11" i="25"/>
  <c r="GO11" i="25"/>
  <c r="HA11" i="25"/>
  <c r="HG11" i="25"/>
  <c r="HM11" i="25"/>
  <c r="GD11" i="25"/>
  <c r="GP11" i="25"/>
  <c r="HB11" i="25"/>
  <c r="HH11" i="25"/>
  <c r="HN11" i="25"/>
  <c r="GQ11" i="25"/>
  <c r="GW11" i="25"/>
  <c r="HI11" i="25"/>
  <c r="HO11" i="25"/>
  <c r="GC11" i="25"/>
  <c r="GE11" i="25"/>
  <c r="GU11" i="25"/>
  <c r="GV11" i="25"/>
  <c r="HC11" i="25"/>
  <c r="GC12" i="25"/>
  <c r="GO12" i="25"/>
  <c r="HA12" i="25"/>
  <c r="HG12" i="25"/>
  <c r="HM12" i="25"/>
  <c r="GJ12" i="25"/>
  <c r="GP12" i="25"/>
  <c r="GV12" i="25"/>
  <c r="HH12" i="25"/>
  <c r="HN12" i="25"/>
  <c r="GE12" i="25"/>
  <c r="GK12" i="25"/>
  <c r="GW12" i="25"/>
  <c r="HC12" i="25"/>
  <c r="HI12" i="25"/>
  <c r="HO12" i="25"/>
  <c r="GD12" i="25"/>
  <c r="GU12" i="25"/>
  <c r="HB12" i="25"/>
  <c r="GO13" i="25"/>
  <c r="GU13" i="25"/>
  <c r="HG13" i="25"/>
  <c r="HM13" i="25"/>
  <c r="GD13" i="25"/>
  <c r="GJ13" i="25"/>
  <c r="GP13" i="25"/>
  <c r="GV13" i="25"/>
  <c r="HB13" i="25"/>
  <c r="HH13" i="25"/>
  <c r="HN13" i="25"/>
  <c r="GK13" i="25"/>
  <c r="GQ13" i="25"/>
  <c r="GW13" i="25"/>
  <c r="HI13" i="25"/>
  <c r="GC13" i="25"/>
  <c r="GE13" i="25"/>
  <c r="HA13" i="25"/>
  <c r="HC13" i="25"/>
  <c r="HO13" i="25"/>
  <c r="GC14" i="25"/>
  <c r="GO14" i="25"/>
  <c r="GU14" i="25"/>
  <c r="HA14" i="25"/>
  <c r="HG14" i="25"/>
  <c r="HM14" i="25"/>
  <c r="GD14" i="25"/>
  <c r="GV14" i="25"/>
  <c r="HH14" i="25"/>
  <c r="GE14" i="25"/>
  <c r="GQ14" i="25"/>
  <c r="HC14" i="25"/>
  <c r="HI14" i="25"/>
  <c r="HO14" i="25"/>
  <c r="GP14" i="25"/>
  <c r="GW14" i="25"/>
  <c r="HB14" i="25"/>
  <c r="HN14" i="25"/>
  <c r="GC15" i="25"/>
  <c r="GI15" i="25"/>
  <c r="GO15" i="25"/>
  <c r="GU15" i="25"/>
  <c r="HA15" i="25"/>
  <c r="HG15" i="25"/>
  <c r="HM15" i="25"/>
  <c r="GP15" i="25"/>
  <c r="GV15" i="25"/>
  <c r="HB15" i="25"/>
  <c r="HN15" i="25"/>
  <c r="GQ15" i="25"/>
  <c r="GW15" i="25"/>
  <c r="HC15" i="25"/>
  <c r="GJ15" i="25"/>
  <c r="GK15" i="25"/>
  <c r="HH15" i="25"/>
  <c r="HI15" i="25"/>
  <c r="HO15" i="25"/>
  <c r="GI16" i="25"/>
  <c r="GO16" i="25"/>
  <c r="GU16" i="25"/>
  <c r="HG16" i="25"/>
  <c r="HM16" i="25"/>
  <c r="GD16" i="25"/>
  <c r="GJ16" i="25"/>
  <c r="GP16" i="25"/>
  <c r="HB16" i="25"/>
  <c r="HH16" i="25"/>
  <c r="HN16" i="25"/>
  <c r="GW16" i="25"/>
  <c r="HC16" i="25"/>
  <c r="GC16" i="25"/>
  <c r="GK16" i="25"/>
  <c r="GQ16" i="25"/>
  <c r="GV16" i="25"/>
  <c r="HA16" i="25"/>
  <c r="HI16" i="25"/>
  <c r="HO16" i="25"/>
  <c r="GC17" i="25"/>
  <c r="GI17" i="25"/>
  <c r="GU17" i="25"/>
  <c r="HA17" i="25"/>
  <c r="HG17" i="25"/>
  <c r="GJ17" i="25"/>
  <c r="GP17" i="25"/>
  <c r="HB17" i="25"/>
  <c r="HH17" i="25"/>
  <c r="HN17" i="25"/>
  <c r="GK17" i="25"/>
  <c r="GQ17" i="25"/>
  <c r="GW17" i="25"/>
  <c r="HC17" i="25"/>
  <c r="HI17" i="25"/>
  <c r="HO17" i="25"/>
  <c r="GO17" i="25"/>
  <c r="GV17" i="25"/>
  <c r="HM17" i="25"/>
  <c r="GC18" i="25"/>
  <c r="GO18" i="25"/>
  <c r="GU18" i="25"/>
  <c r="HG18" i="25"/>
  <c r="HM18" i="25"/>
  <c r="GD18" i="25"/>
  <c r="GJ18" i="25"/>
  <c r="GP18" i="25"/>
  <c r="GV18" i="25"/>
  <c r="HH18" i="25"/>
  <c r="GQ18" i="25"/>
  <c r="HC18" i="25"/>
  <c r="HI18" i="25"/>
  <c r="HO18" i="25"/>
  <c r="GI18" i="25"/>
  <c r="GK18" i="25"/>
  <c r="GW18" i="25"/>
  <c r="HA18" i="25"/>
  <c r="HB18" i="25"/>
  <c r="HN18" i="25"/>
  <c r="GI19" i="25"/>
  <c r="GO19" i="25"/>
  <c r="GU19" i="25"/>
  <c r="HA19" i="25"/>
  <c r="HG19" i="25"/>
  <c r="HM19" i="25"/>
  <c r="GD19" i="25"/>
  <c r="GJ19" i="25"/>
  <c r="GP19" i="25"/>
  <c r="GV19" i="25"/>
  <c r="HB19" i="25"/>
  <c r="HH19" i="25"/>
  <c r="HN19" i="25"/>
  <c r="GE19" i="25"/>
  <c r="GK19" i="25"/>
  <c r="GQ19" i="25"/>
  <c r="HC19" i="25"/>
  <c r="HI19" i="25"/>
  <c r="HO19" i="25"/>
  <c r="GW19" i="25"/>
  <c r="GI20" i="25"/>
  <c r="GO20" i="25"/>
  <c r="HG20" i="25"/>
  <c r="HM20" i="25"/>
  <c r="GJ20" i="25"/>
  <c r="GP20" i="25"/>
  <c r="GV20" i="25"/>
  <c r="HH20" i="25"/>
  <c r="HN20" i="25"/>
  <c r="GK20" i="25"/>
  <c r="GW20" i="25"/>
  <c r="HC20" i="25"/>
  <c r="HI20" i="25"/>
  <c r="GC20" i="25"/>
  <c r="GD20" i="25"/>
  <c r="GQ20" i="25"/>
  <c r="GU20" i="25"/>
  <c r="HA20" i="25"/>
  <c r="HB20" i="25"/>
  <c r="HO20" i="25"/>
  <c r="GI21" i="25"/>
  <c r="GO21" i="25"/>
  <c r="GU21" i="25"/>
  <c r="HG21" i="25"/>
  <c r="HM21" i="25"/>
  <c r="GJ21" i="25"/>
  <c r="GP21" i="25"/>
  <c r="HB21" i="25"/>
  <c r="HH21" i="25"/>
  <c r="HN21" i="25"/>
  <c r="GK21" i="25"/>
  <c r="GQ21" i="25"/>
  <c r="GW21" i="25"/>
  <c r="HC21" i="25"/>
  <c r="HI21" i="25"/>
  <c r="HO21" i="25"/>
  <c r="GC21" i="25"/>
  <c r="GE21" i="25"/>
  <c r="GV21" i="25"/>
  <c r="HA21" i="25"/>
  <c r="GI22" i="25"/>
  <c r="GO22" i="25"/>
  <c r="HA22" i="25"/>
  <c r="HM22" i="25"/>
  <c r="GJ22" i="25"/>
  <c r="GP22" i="25"/>
  <c r="GV22" i="25"/>
  <c r="HB22" i="25"/>
  <c r="HH22" i="25"/>
  <c r="GE22" i="25"/>
  <c r="GK22" i="25"/>
  <c r="HC22" i="25"/>
  <c r="HI22" i="25"/>
  <c r="GC22" i="25"/>
  <c r="GD22" i="25"/>
  <c r="GQ22" i="25"/>
  <c r="GU22" i="25"/>
  <c r="GW22" i="25"/>
  <c r="HG22" i="25"/>
  <c r="HJ22" i="25" s="1"/>
  <c r="HK22" i="25" s="1"/>
  <c r="HL22" i="25" s="1"/>
  <c r="IM22" i="25" s="1"/>
  <c r="HN22" i="25"/>
  <c r="HO22" i="25"/>
  <c r="GC23" i="25"/>
  <c r="GI23" i="25"/>
  <c r="GO23" i="25"/>
  <c r="HA23" i="25"/>
  <c r="HM23" i="25"/>
  <c r="GJ23" i="25"/>
  <c r="GV23" i="25"/>
  <c r="HH23" i="25"/>
  <c r="HN23" i="25"/>
  <c r="GK23" i="25"/>
  <c r="GQ23" i="25"/>
  <c r="GW23" i="25"/>
  <c r="HC23" i="25"/>
  <c r="HI23" i="25"/>
  <c r="HO23" i="25"/>
  <c r="GD23" i="25"/>
  <c r="GP23" i="25"/>
  <c r="GU23" i="25"/>
  <c r="HB23" i="25"/>
  <c r="HG23" i="25"/>
  <c r="GC24" i="25"/>
  <c r="GI24" i="25"/>
  <c r="GO24" i="25"/>
  <c r="GU24" i="25"/>
  <c r="HA24" i="25"/>
  <c r="HG24" i="25"/>
  <c r="HM24" i="25"/>
  <c r="GJ24" i="25"/>
  <c r="GP24" i="25"/>
  <c r="GV24" i="25"/>
  <c r="HB24" i="25"/>
  <c r="HN24" i="25"/>
  <c r="HC24" i="25"/>
  <c r="HI24" i="25"/>
  <c r="GD24" i="25"/>
  <c r="GE24" i="25"/>
  <c r="GQ24" i="25"/>
  <c r="GW24" i="25"/>
  <c r="HH24" i="25"/>
  <c r="HO24" i="25"/>
  <c r="GO25" i="25"/>
  <c r="GU25" i="25"/>
  <c r="HA25" i="25"/>
  <c r="HG25" i="25"/>
  <c r="HM25" i="25"/>
  <c r="GD25" i="25"/>
  <c r="GV25" i="25"/>
  <c r="HB25" i="25"/>
  <c r="HH25" i="25"/>
  <c r="GW25" i="25"/>
  <c r="HI25" i="25"/>
  <c r="HO25" i="25"/>
  <c r="GC25" i="25"/>
  <c r="GE25" i="25"/>
  <c r="GP25" i="25"/>
  <c r="GQ25" i="25"/>
  <c r="HC25" i="25"/>
  <c r="HN25" i="25"/>
  <c r="GC26" i="25"/>
  <c r="GO26" i="25"/>
  <c r="GU26" i="25"/>
  <c r="HA26" i="25"/>
  <c r="HG26" i="25"/>
  <c r="HM26" i="25"/>
  <c r="GD26" i="25"/>
  <c r="GV26" i="25"/>
  <c r="HB26" i="25"/>
  <c r="HH26" i="25"/>
  <c r="GE26" i="25"/>
  <c r="GQ26" i="25"/>
  <c r="GW26" i="25"/>
  <c r="HC26" i="25"/>
  <c r="HI26" i="25"/>
  <c r="HO26" i="25"/>
  <c r="GP26" i="25"/>
  <c r="HN26" i="25"/>
  <c r="GC27" i="25"/>
  <c r="GO27" i="25"/>
  <c r="GU27" i="25"/>
  <c r="HA27" i="25"/>
  <c r="HG27" i="25"/>
  <c r="HM27" i="25"/>
  <c r="GD27" i="25"/>
  <c r="GV27" i="25"/>
  <c r="HB27" i="25"/>
  <c r="HH27" i="25"/>
  <c r="GE27" i="25"/>
  <c r="GQ27" i="25"/>
  <c r="GW27" i="25"/>
  <c r="HI27" i="25"/>
  <c r="HO27" i="25"/>
  <c r="GP27" i="25"/>
  <c r="HC27" i="25"/>
  <c r="HN27" i="25"/>
  <c r="GO28" i="25"/>
  <c r="GU28" i="25"/>
  <c r="HG28" i="25"/>
  <c r="HM28" i="25"/>
  <c r="GD28" i="25"/>
  <c r="GP28" i="25"/>
  <c r="GV28" i="25"/>
  <c r="HB28" i="25"/>
  <c r="HH28" i="25"/>
  <c r="HN28" i="25"/>
  <c r="GW28" i="25"/>
  <c r="HI28" i="25"/>
  <c r="GC28" i="25"/>
  <c r="GE28" i="25"/>
  <c r="GQ28" i="25"/>
  <c r="HA28" i="25"/>
  <c r="HC28" i="25"/>
  <c r="HO28" i="25"/>
  <c r="GC29" i="25"/>
  <c r="GO29" i="25"/>
  <c r="GU29" i="25"/>
  <c r="HG29" i="25"/>
  <c r="HM29" i="25"/>
  <c r="GD29" i="25"/>
  <c r="GV29" i="25"/>
  <c r="HB29" i="25"/>
  <c r="HN29" i="25"/>
  <c r="GE29" i="25"/>
  <c r="GK29" i="25"/>
  <c r="GW29" i="25"/>
  <c r="HI29" i="25"/>
  <c r="GJ29" i="25"/>
  <c r="GP29" i="25"/>
  <c r="HA29" i="25"/>
  <c r="HC29" i="25"/>
  <c r="HH29" i="25"/>
  <c r="HO29" i="25"/>
  <c r="GI30" i="25"/>
  <c r="GO30" i="25"/>
  <c r="GU30" i="25"/>
  <c r="HG30" i="25"/>
  <c r="HM30" i="25"/>
  <c r="GD30" i="25"/>
  <c r="GJ30" i="25"/>
  <c r="GP30" i="25"/>
  <c r="GV30" i="25"/>
  <c r="HB30" i="25"/>
  <c r="HN30" i="25"/>
  <c r="GK30" i="25"/>
  <c r="GQ30" i="25"/>
  <c r="GW30" i="25"/>
  <c r="HC30" i="25"/>
  <c r="HI30" i="25"/>
  <c r="GC30" i="25"/>
  <c r="GE30" i="25"/>
  <c r="HA30" i="25"/>
  <c r="HH30" i="25"/>
  <c r="HO30" i="25"/>
  <c r="GC31" i="25"/>
  <c r="GO31" i="25"/>
  <c r="GU31" i="25"/>
  <c r="HA31" i="25"/>
  <c r="HM31" i="25"/>
  <c r="GJ31" i="25"/>
  <c r="GP31" i="25"/>
  <c r="GV31" i="25"/>
  <c r="HB31" i="25"/>
  <c r="HH31" i="25"/>
  <c r="HN31" i="25"/>
  <c r="GK31" i="25"/>
  <c r="HC31" i="25"/>
  <c r="HI31" i="25"/>
  <c r="HO31" i="25"/>
  <c r="GI31" i="25"/>
  <c r="GQ31" i="25"/>
  <c r="GW31" i="25"/>
  <c r="HG31" i="25"/>
  <c r="GO32" i="25"/>
  <c r="GU32" i="25"/>
  <c r="HA32" i="25"/>
  <c r="HM32" i="25"/>
  <c r="GJ32" i="25"/>
  <c r="GP32" i="25"/>
  <c r="GV32" i="25"/>
  <c r="HB32" i="25"/>
  <c r="HH32" i="25"/>
  <c r="HN32" i="25"/>
  <c r="GQ32" i="25"/>
  <c r="GW32" i="25"/>
  <c r="HC32" i="25"/>
  <c r="HI32" i="25"/>
  <c r="HO32" i="25"/>
  <c r="GI32" i="25"/>
  <c r="GK32" i="25"/>
  <c r="HG32" i="25"/>
  <c r="GC33" i="25"/>
  <c r="GO33" i="25"/>
  <c r="HA33" i="25"/>
  <c r="HM33" i="25"/>
  <c r="GJ33" i="25"/>
  <c r="GP33" i="25"/>
  <c r="GV33" i="25"/>
  <c r="HB33" i="25"/>
  <c r="HH33" i="25"/>
  <c r="HN33" i="25"/>
  <c r="GK33" i="25"/>
  <c r="GQ33" i="25"/>
  <c r="HC33" i="25"/>
  <c r="HI33" i="25"/>
  <c r="HO33" i="25"/>
  <c r="GI33" i="25"/>
  <c r="GU33" i="25"/>
  <c r="GW33" i="25"/>
  <c r="HG33" i="25"/>
  <c r="GC34" i="25"/>
  <c r="GI34" i="25"/>
  <c r="GO34" i="25"/>
  <c r="HA34" i="25"/>
  <c r="HG34" i="25"/>
  <c r="GJ34" i="25"/>
  <c r="GP34" i="25"/>
  <c r="GV34" i="25"/>
  <c r="HB34" i="25"/>
  <c r="HH34" i="25"/>
  <c r="HN34" i="25"/>
  <c r="GK34" i="25"/>
  <c r="GQ34" i="25"/>
  <c r="HC34" i="25"/>
  <c r="HI34" i="25"/>
  <c r="GU34" i="25"/>
  <c r="GW34" i="25"/>
  <c r="HM34" i="25"/>
  <c r="HO34" i="25"/>
  <c r="GC35" i="25"/>
  <c r="GU35" i="25"/>
  <c r="HG35" i="25"/>
  <c r="HM35" i="25"/>
  <c r="GJ35" i="25"/>
  <c r="GP35" i="25"/>
  <c r="GV35" i="25"/>
  <c r="HB35" i="25"/>
  <c r="HH35" i="25"/>
  <c r="HN35" i="25"/>
  <c r="GK35" i="25"/>
  <c r="GW35" i="25"/>
  <c r="HC35" i="25"/>
  <c r="HI35" i="25"/>
  <c r="GI35" i="25"/>
  <c r="GO35" i="25"/>
  <c r="GQ35" i="25"/>
  <c r="HA35" i="25"/>
  <c r="HO35" i="25"/>
  <c r="GU36" i="25"/>
  <c r="HA36" i="25"/>
  <c r="HG36" i="25"/>
  <c r="GJ36" i="25"/>
  <c r="GP36" i="25"/>
  <c r="GV36" i="25"/>
  <c r="HB36" i="25"/>
  <c r="HH36" i="25"/>
  <c r="HN36" i="25"/>
  <c r="GK36" i="25"/>
  <c r="HC36" i="25"/>
  <c r="HI36" i="25"/>
  <c r="GI36" i="25"/>
  <c r="GO36" i="25"/>
  <c r="GQ36" i="25"/>
  <c r="GW36" i="25"/>
  <c r="HM36" i="25"/>
  <c r="HO36" i="25"/>
  <c r="GI37" i="25"/>
  <c r="GU37" i="25"/>
  <c r="HA37" i="25"/>
  <c r="GJ37" i="25"/>
  <c r="GP37" i="25"/>
  <c r="GV37" i="25"/>
  <c r="HB37" i="25"/>
  <c r="HH37" i="25"/>
  <c r="HN37" i="25"/>
  <c r="GK37" i="25"/>
  <c r="GW37" i="25"/>
  <c r="HC37" i="25"/>
  <c r="HI37" i="25"/>
  <c r="GC37" i="25"/>
  <c r="GO37" i="25"/>
  <c r="GQ37" i="25"/>
  <c r="HG37" i="25"/>
  <c r="HM37" i="25"/>
  <c r="HO37" i="25"/>
  <c r="GC38" i="25"/>
  <c r="GO38" i="25"/>
  <c r="HM38" i="25"/>
  <c r="GJ38" i="25"/>
  <c r="GP38" i="25"/>
  <c r="GV38" i="25"/>
  <c r="HB38" i="25"/>
  <c r="HH38" i="25"/>
  <c r="HN38" i="25"/>
  <c r="GK38" i="25"/>
  <c r="GQ38" i="25"/>
  <c r="GW38" i="25"/>
  <c r="HC38" i="25"/>
  <c r="HI38" i="25"/>
  <c r="GI38" i="25"/>
  <c r="GU38" i="25"/>
  <c r="HA38" i="25"/>
  <c r="HG38" i="25"/>
  <c r="HO38" i="25"/>
  <c r="GC39" i="25"/>
  <c r="GO39" i="25"/>
  <c r="HA39" i="25"/>
  <c r="HG39" i="25"/>
  <c r="HM39" i="25"/>
  <c r="GJ39" i="25"/>
  <c r="GP39" i="25"/>
  <c r="GV39" i="25"/>
  <c r="HB39" i="25"/>
  <c r="HH39" i="25"/>
  <c r="HN39" i="25"/>
  <c r="GE39" i="25"/>
  <c r="HC39" i="25"/>
  <c r="HO39" i="25"/>
  <c r="GI39" i="25"/>
  <c r="GK39" i="25"/>
  <c r="GQ39" i="25"/>
  <c r="GU39" i="25"/>
  <c r="GW39" i="25"/>
  <c r="HI39" i="25"/>
  <c r="GO40" i="25"/>
  <c r="HA40" i="25"/>
  <c r="GJ40" i="25"/>
  <c r="GP40" i="25"/>
  <c r="GV40" i="25"/>
  <c r="HB40" i="25"/>
  <c r="HH40" i="25"/>
  <c r="HN40" i="25"/>
  <c r="GE40" i="25"/>
  <c r="GK40" i="25"/>
  <c r="GQ40" i="25"/>
  <c r="GW40" i="25"/>
  <c r="HC40" i="25"/>
  <c r="HO40" i="25"/>
  <c r="GI40" i="25"/>
  <c r="GU40" i="25"/>
  <c r="HG40" i="25"/>
  <c r="HI40" i="25"/>
  <c r="HM40" i="25"/>
  <c r="GC41" i="25"/>
  <c r="GI41" i="25"/>
  <c r="GO41" i="25"/>
  <c r="GU41" i="25"/>
  <c r="HG41" i="25"/>
  <c r="HM41" i="25"/>
  <c r="GD41" i="25"/>
  <c r="GJ41" i="25"/>
  <c r="GP41" i="25"/>
  <c r="GV41" i="25"/>
  <c r="HB41" i="25"/>
  <c r="HH41" i="25"/>
  <c r="HN41" i="25"/>
  <c r="GK41" i="25"/>
  <c r="GW41" i="25"/>
  <c r="HC41" i="25"/>
  <c r="HI41" i="25"/>
  <c r="GQ41" i="25"/>
  <c r="HA41" i="25"/>
  <c r="HO41" i="25"/>
  <c r="FX8" i="25"/>
  <c r="HO8" i="25" s="1"/>
  <c r="FW8" i="25"/>
  <c r="HI8" i="25" s="1"/>
  <c r="FV8" i="25"/>
  <c r="HC8" i="25" s="1"/>
  <c r="FU8" i="25"/>
  <c r="GW8" i="25" s="1"/>
  <c r="FT8" i="25"/>
  <c r="FS8" i="25"/>
  <c r="GK8" i="25" s="1"/>
  <c r="FR8" i="25"/>
  <c r="GE8" i="25" s="1"/>
  <c r="FM8" i="25"/>
  <c r="HN8" i="25" s="1"/>
  <c r="FL8" i="25"/>
  <c r="HH8" i="25" s="1"/>
  <c r="FK8" i="25"/>
  <c r="HB8" i="25" s="1"/>
  <c r="FJ8" i="25"/>
  <c r="GV8" i="25" s="1"/>
  <c r="FI8" i="25"/>
  <c r="GP8" i="25" s="1"/>
  <c r="FH8" i="25"/>
  <c r="GJ8" i="25" s="1"/>
  <c r="FG8" i="25"/>
  <c r="GD8" i="25" s="1"/>
  <c r="FB8" i="25"/>
  <c r="HM8" i="25" s="1"/>
  <c r="FA8" i="25"/>
  <c r="HG8" i="25" s="1"/>
  <c r="EZ8" i="25"/>
  <c r="HA8" i="25" s="1"/>
  <c r="EY8" i="25"/>
  <c r="GU8" i="25" s="1"/>
  <c r="EX8" i="25"/>
  <c r="GO8" i="25" s="1"/>
  <c r="EW8" i="25"/>
  <c r="GI8" i="25" s="1"/>
  <c r="JU6" i="25"/>
  <c r="JT6" i="25"/>
  <c r="JS6" i="25"/>
  <c r="FA8" i="26"/>
  <c r="EZ8" i="26"/>
  <c r="EY8" i="26"/>
  <c r="CS8" i="26"/>
  <c r="EU8" i="26"/>
  <c r="EO8" i="26"/>
  <c r="EI8" i="26"/>
  <c r="EC8" i="26"/>
  <c r="DW8" i="26"/>
  <c r="DQ8" i="26"/>
  <c r="DK8" i="26"/>
  <c r="DE8" i="26"/>
  <c r="CY8" i="26"/>
  <c r="ET8" i="26"/>
  <c r="EN8" i="26"/>
  <c r="EH8" i="26"/>
  <c r="EB8" i="26"/>
  <c r="DV8" i="26"/>
  <c r="DP8" i="26"/>
  <c r="DJ8" i="26"/>
  <c r="DD8" i="26"/>
  <c r="CX8" i="26"/>
  <c r="CR8" i="26"/>
  <c r="ES8" i="26"/>
  <c r="EM8" i="26"/>
  <c r="EG8" i="26"/>
  <c r="EA8" i="26"/>
  <c r="DU8" i="26"/>
  <c r="DO8" i="26"/>
  <c r="DI8" i="26"/>
  <c r="DC8" i="26"/>
  <c r="CW8" i="26"/>
  <c r="GC9" i="34"/>
  <c r="HA9" i="34"/>
  <c r="HG9" i="34"/>
  <c r="GD9" i="34"/>
  <c r="GP9" i="34"/>
  <c r="GV9" i="34"/>
  <c r="HB9" i="34"/>
  <c r="HH9" i="34"/>
  <c r="HN9" i="34"/>
  <c r="GQ9" i="34"/>
  <c r="GW9" i="34"/>
  <c r="HI9" i="34"/>
  <c r="HO9" i="34"/>
  <c r="GE9" i="34"/>
  <c r="GO9" i="34"/>
  <c r="GU9" i="34"/>
  <c r="HC9" i="34"/>
  <c r="HM9" i="34"/>
  <c r="GU10" i="34"/>
  <c r="HA10" i="34"/>
  <c r="HG10" i="34"/>
  <c r="GD10" i="34"/>
  <c r="GP10" i="34"/>
  <c r="GV10" i="34"/>
  <c r="HB10" i="34"/>
  <c r="HH10" i="34"/>
  <c r="HN10" i="34"/>
  <c r="GQ10" i="34"/>
  <c r="GW10" i="34"/>
  <c r="HI10" i="34"/>
  <c r="HO10" i="34"/>
  <c r="GC10" i="34"/>
  <c r="GE10" i="34"/>
  <c r="GO10" i="34"/>
  <c r="HC10" i="34"/>
  <c r="HM10" i="34"/>
  <c r="GO11" i="34"/>
  <c r="GU11" i="34"/>
  <c r="HG11" i="34"/>
  <c r="HM11" i="34"/>
  <c r="GP11" i="34"/>
  <c r="GV11" i="34"/>
  <c r="HB11" i="34"/>
  <c r="HH11" i="34"/>
  <c r="GE11" i="34"/>
  <c r="GW11" i="34"/>
  <c r="HC11" i="34"/>
  <c r="HI11" i="34"/>
  <c r="GC11" i="34"/>
  <c r="GD11" i="34"/>
  <c r="GQ11" i="34"/>
  <c r="HA11" i="34"/>
  <c r="HN11" i="34"/>
  <c r="HO11" i="34"/>
  <c r="GC12" i="34"/>
  <c r="GO12" i="34"/>
  <c r="GU12" i="34"/>
  <c r="HA12" i="34"/>
  <c r="HG12" i="34"/>
  <c r="HM12" i="34"/>
  <c r="GD12" i="34"/>
  <c r="GV12" i="34"/>
  <c r="HH12" i="34"/>
  <c r="GE12" i="34"/>
  <c r="GQ12" i="34"/>
  <c r="GW12" i="34"/>
  <c r="HC12" i="34"/>
  <c r="HI12" i="34"/>
  <c r="GP12" i="34"/>
  <c r="HB12" i="34"/>
  <c r="HN12" i="34"/>
  <c r="HO12" i="34"/>
  <c r="GC13" i="34"/>
  <c r="GO13" i="34"/>
  <c r="GU13" i="34"/>
  <c r="HA13" i="34"/>
  <c r="HG13" i="34"/>
  <c r="HM13" i="34"/>
  <c r="GD13" i="34"/>
  <c r="GJ13" i="34"/>
  <c r="GV13" i="34"/>
  <c r="HB13" i="34"/>
  <c r="HH13" i="34"/>
  <c r="GE13" i="34"/>
  <c r="GQ13" i="34"/>
  <c r="GW13" i="34"/>
  <c r="HC13" i="34"/>
  <c r="HI13" i="34"/>
  <c r="HO13" i="34"/>
  <c r="GP13" i="34"/>
  <c r="HN13" i="34"/>
  <c r="GI14" i="34"/>
  <c r="GO14" i="34"/>
  <c r="HG14" i="34"/>
  <c r="HM14" i="34"/>
  <c r="GV14" i="34"/>
  <c r="HH14" i="34"/>
  <c r="HN14" i="34"/>
  <c r="GE14" i="34"/>
  <c r="GK14" i="34"/>
  <c r="GQ14" i="34"/>
  <c r="GW14" i="34"/>
  <c r="HC14" i="34"/>
  <c r="HO14" i="34"/>
  <c r="GC14" i="34"/>
  <c r="GD14" i="34"/>
  <c r="GJ14" i="34"/>
  <c r="GU14" i="34"/>
  <c r="HA14" i="34"/>
  <c r="HB14" i="34"/>
  <c r="HI14" i="34"/>
  <c r="GC15" i="34"/>
  <c r="GO15" i="34"/>
  <c r="GU15" i="34"/>
  <c r="HA15" i="34"/>
  <c r="HG15" i="34"/>
  <c r="HM15" i="34"/>
  <c r="GJ15" i="34"/>
  <c r="GP15" i="34"/>
  <c r="HB15" i="34"/>
  <c r="HH15" i="34"/>
  <c r="GE15" i="34"/>
  <c r="GK15" i="34"/>
  <c r="GQ15" i="34"/>
  <c r="GW15" i="34"/>
  <c r="HC15" i="34"/>
  <c r="HI15" i="34"/>
  <c r="HO15" i="34"/>
  <c r="GI15" i="34"/>
  <c r="GV15" i="34"/>
  <c r="HN15" i="34"/>
  <c r="GC16" i="34"/>
  <c r="GO16" i="34"/>
  <c r="GU16" i="34"/>
  <c r="HM16" i="34"/>
  <c r="GD16" i="34"/>
  <c r="GJ16" i="34"/>
  <c r="GP16" i="34"/>
  <c r="GV16" i="34"/>
  <c r="HB16" i="34"/>
  <c r="HH16" i="34"/>
  <c r="GK16" i="34"/>
  <c r="GW16" i="34"/>
  <c r="HC16" i="34"/>
  <c r="HI16" i="34"/>
  <c r="HO16" i="34"/>
  <c r="GI16" i="34"/>
  <c r="GQ16" i="34"/>
  <c r="HA16" i="34"/>
  <c r="HG16" i="34"/>
  <c r="HN16" i="34"/>
  <c r="GI17" i="34"/>
  <c r="GO17" i="34"/>
  <c r="GU17" i="34"/>
  <c r="HG17" i="34"/>
  <c r="HM17" i="34"/>
  <c r="GD17" i="34"/>
  <c r="GJ17" i="34"/>
  <c r="GP17" i="34"/>
  <c r="GV17" i="34"/>
  <c r="HH17" i="34"/>
  <c r="HN17" i="34"/>
  <c r="GE17" i="34"/>
  <c r="GK17" i="34"/>
  <c r="GQ17" i="34"/>
  <c r="GW17" i="34"/>
  <c r="HC17" i="34"/>
  <c r="HI17" i="34"/>
  <c r="HO17" i="34"/>
  <c r="GC17" i="34"/>
  <c r="HA17" i="34"/>
  <c r="HB17" i="34"/>
  <c r="GI18" i="34"/>
  <c r="GU18" i="34"/>
  <c r="HG18" i="34"/>
  <c r="HM18" i="34"/>
  <c r="GJ18" i="34"/>
  <c r="HH18" i="34"/>
  <c r="GE18" i="34"/>
  <c r="GK18" i="34"/>
  <c r="GQ18" i="34"/>
  <c r="GW18" i="34"/>
  <c r="HC18" i="34"/>
  <c r="HI18" i="34"/>
  <c r="HO18" i="34"/>
  <c r="GO18" i="34"/>
  <c r="GP18" i="34"/>
  <c r="GV18" i="34"/>
  <c r="HA18" i="34"/>
  <c r="HB18" i="34"/>
  <c r="HN18" i="34"/>
  <c r="GI19" i="34"/>
  <c r="GU19" i="34"/>
  <c r="HA19" i="34"/>
  <c r="HG19" i="34"/>
  <c r="GJ19" i="34"/>
  <c r="GP19" i="34"/>
  <c r="GV19" i="34"/>
  <c r="HH19" i="34"/>
  <c r="GE19" i="34"/>
  <c r="GK19" i="34"/>
  <c r="GW19" i="34"/>
  <c r="HC19" i="34"/>
  <c r="HI19" i="34"/>
  <c r="GC19" i="34"/>
  <c r="GO19" i="34"/>
  <c r="GQ19" i="34"/>
  <c r="HB19" i="34"/>
  <c r="HM19" i="34"/>
  <c r="HN19" i="34"/>
  <c r="HO19" i="34"/>
  <c r="GO20" i="34"/>
  <c r="GU20" i="34"/>
  <c r="HG20" i="34"/>
  <c r="HM20" i="34"/>
  <c r="GP20" i="34"/>
  <c r="GV20" i="34"/>
  <c r="HB20" i="34"/>
  <c r="HH20" i="34"/>
  <c r="HN20" i="34"/>
  <c r="GE20" i="34"/>
  <c r="GW20" i="34"/>
  <c r="HC20" i="34"/>
  <c r="HI20" i="34"/>
  <c r="GC20" i="34"/>
  <c r="GD20" i="34"/>
  <c r="GQ20" i="34"/>
  <c r="HA20" i="34"/>
  <c r="HO20" i="34"/>
  <c r="GI21" i="34"/>
  <c r="GU21" i="34"/>
  <c r="HA21" i="34"/>
  <c r="HG21" i="34"/>
  <c r="GJ21" i="34"/>
  <c r="GV21" i="34"/>
  <c r="HB21" i="34"/>
  <c r="HH21" i="34"/>
  <c r="GE21" i="34"/>
  <c r="GK21" i="34"/>
  <c r="GQ21" i="34"/>
  <c r="GW21" i="34"/>
  <c r="HC21" i="34"/>
  <c r="HI21" i="34"/>
  <c r="HO21" i="34"/>
  <c r="GO21" i="34"/>
  <c r="GP21" i="34"/>
  <c r="HM21" i="34"/>
  <c r="HN21" i="34"/>
  <c r="GC22" i="34"/>
  <c r="GO22" i="34"/>
  <c r="GU22" i="34"/>
  <c r="HG22" i="34"/>
  <c r="HM22" i="34"/>
  <c r="GD22" i="34"/>
  <c r="HB22" i="34"/>
  <c r="HH22" i="34"/>
  <c r="GE22" i="34"/>
  <c r="GQ22" i="34"/>
  <c r="GW22" i="34"/>
  <c r="HC22" i="34"/>
  <c r="HI22" i="34"/>
  <c r="HO22" i="34"/>
  <c r="GP22" i="34"/>
  <c r="GV22" i="34"/>
  <c r="HA22" i="34"/>
  <c r="HN22" i="34"/>
  <c r="GI23" i="34"/>
  <c r="GO23" i="34"/>
  <c r="GU23" i="34"/>
  <c r="HA23" i="34"/>
  <c r="HG23" i="34"/>
  <c r="HM23" i="34"/>
  <c r="GJ23" i="34"/>
  <c r="GP23" i="34"/>
  <c r="GV23" i="34"/>
  <c r="HB23" i="34"/>
  <c r="HH23" i="34"/>
  <c r="GE23" i="34"/>
  <c r="GQ23" i="34"/>
  <c r="GW23" i="34"/>
  <c r="HC23" i="34"/>
  <c r="HO23" i="34"/>
  <c r="GD23" i="34"/>
  <c r="GK23" i="34"/>
  <c r="HI23" i="34"/>
  <c r="HN23" i="34"/>
  <c r="GI24" i="34"/>
  <c r="GO24" i="34"/>
  <c r="GU24" i="34"/>
  <c r="HA24" i="34"/>
  <c r="HG24" i="34"/>
  <c r="HM24" i="34"/>
  <c r="GP24" i="34"/>
  <c r="GV24" i="34"/>
  <c r="HB24" i="34"/>
  <c r="HH24" i="34"/>
  <c r="HN24" i="34"/>
  <c r="GK24" i="34"/>
  <c r="GW24" i="34"/>
  <c r="HC24" i="34"/>
  <c r="HI24" i="34"/>
  <c r="GC24" i="34"/>
  <c r="GJ24" i="34"/>
  <c r="GQ24" i="34"/>
  <c r="HO24" i="34"/>
  <c r="GC25" i="34"/>
  <c r="GI25" i="34"/>
  <c r="GO25" i="34"/>
  <c r="GU25" i="34"/>
  <c r="HA25" i="34"/>
  <c r="HG25" i="34"/>
  <c r="HM25" i="34"/>
  <c r="GD25" i="34"/>
  <c r="GJ25" i="34"/>
  <c r="GP25" i="34"/>
  <c r="GV25" i="34"/>
  <c r="HH25" i="34"/>
  <c r="HN25" i="34"/>
  <c r="GK25" i="34"/>
  <c r="GQ25" i="34"/>
  <c r="GW25" i="34"/>
  <c r="HC25" i="34"/>
  <c r="HI25" i="34"/>
  <c r="HO25" i="34"/>
  <c r="HB25" i="34"/>
  <c r="GC26" i="34"/>
  <c r="GO26" i="34"/>
  <c r="GU26" i="34"/>
  <c r="HA26" i="34"/>
  <c r="HG26" i="34"/>
  <c r="GJ26" i="34"/>
  <c r="GP26" i="34"/>
  <c r="GV26" i="34"/>
  <c r="HB26" i="34"/>
  <c r="HH26" i="34"/>
  <c r="HN26" i="34"/>
  <c r="GK26" i="34"/>
  <c r="GW26" i="34"/>
  <c r="HC26" i="34"/>
  <c r="HI26" i="34"/>
  <c r="HO26" i="34"/>
  <c r="GI26" i="34"/>
  <c r="GQ26" i="34"/>
  <c r="HM26" i="34"/>
  <c r="GC27" i="34"/>
  <c r="GI27" i="34"/>
  <c r="GU27" i="34"/>
  <c r="HA27" i="34"/>
  <c r="HM27" i="34"/>
  <c r="GJ27" i="34"/>
  <c r="GP27" i="34"/>
  <c r="HB27" i="34"/>
  <c r="HH27" i="34"/>
  <c r="GK27" i="34"/>
  <c r="GQ27" i="34"/>
  <c r="GW27" i="34"/>
  <c r="HC27" i="34"/>
  <c r="HI27" i="34"/>
  <c r="HO27" i="34"/>
  <c r="GO27" i="34"/>
  <c r="GV27" i="34"/>
  <c r="HG27" i="34"/>
  <c r="HN27" i="34"/>
  <c r="GC28" i="34"/>
  <c r="GI28" i="34"/>
  <c r="GU28" i="34"/>
  <c r="HA28" i="34"/>
  <c r="HG28" i="34"/>
  <c r="HM28" i="34"/>
  <c r="GJ28" i="34"/>
  <c r="GP28" i="34"/>
  <c r="HB28" i="34"/>
  <c r="HH28" i="34"/>
  <c r="HN28" i="34"/>
  <c r="GK28" i="34"/>
  <c r="GQ28" i="34"/>
  <c r="GW28" i="34"/>
  <c r="HC28" i="34"/>
  <c r="HI28" i="34"/>
  <c r="HO28" i="34"/>
  <c r="GO28" i="34"/>
  <c r="GV28" i="34"/>
  <c r="GC29" i="34"/>
  <c r="GI29" i="34"/>
  <c r="GU29" i="34"/>
  <c r="HA29" i="34"/>
  <c r="HG29" i="34"/>
  <c r="GJ29" i="34"/>
  <c r="HB29" i="34"/>
  <c r="HH29" i="34"/>
  <c r="GK29" i="34"/>
  <c r="GQ29" i="34"/>
  <c r="HC29" i="34"/>
  <c r="HI29" i="34"/>
  <c r="HO29" i="34"/>
  <c r="GO29" i="34"/>
  <c r="GP29" i="34"/>
  <c r="GV29" i="34"/>
  <c r="GW29" i="34"/>
  <c r="HM29" i="34"/>
  <c r="HN29" i="34"/>
  <c r="GC30" i="34"/>
  <c r="GI30" i="34"/>
  <c r="GU30" i="34"/>
  <c r="HA30" i="34"/>
  <c r="HG30" i="34"/>
  <c r="GJ30" i="34"/>
  <c r="GV30" i="34"/>
  <c r="HB30" i="34"/>
  <c r="HH30" i="34"/>
  <c r="GK30" i="34"/>
  <c r="GQ30" i="34"/>
  <c r="HC30" i="34"/>
  <c r="HI30" i="34"/>
  <c r="HO30" i="34"/>
  <c r="GO30" i="34"/>
  <c r="GP30" i="34"/>
  <c r="GW30" i="34"/>
  <c r="HM30" i="34"/>
  <c r="HN30" i="34"/>
  <c r="GC31" i="34"/>
  <c r="GI31" i="34"/>
  <c r="GU31" i="34"/>
  <c r="HA31" i="34"/>
  <c r="HG31" i="34"/>
  <c r="HM31" i="34"/>
  <c r="GJ31" i="34"/>
  <c r="GP31" i="34"/>
  <c r="GV31" i="34"/>
  <c r="HB31" i="34"/>
  <c r="HH31" i="34"/>
  <c r="HN31" i="34"/>
  <c r="GQ31" i="34"/>
  <c r="HC31" i="34"/>
  <c r="HO31" i="34"/>
  <c r="GK31" i="34"/>
  <c r="GO31" i="34"/>
  <c r="GW31" i="34"/>
  <c r="HI31" i="34"/>
  <c r="GC32" i="34"/>
  <c r="GI32" i="34"/>
  <c r="GU32" i="34"/>
  <c r="HA32" i="34"/>
  <c r="HG32" i="34"/>
  <c r="GJ32" i="34"/>
  <c r="GP32" i="34"/>
  <c r="GV32" i="34"/>
  <c r="HB32" i="34"/>
  <c r="HH32" i="34"/>
  <c r="HN32" i="34"/>
  <c r="GK32" i="34"/>
  <c r="GQ32" i="34"/>
  <c r="GW32" i="34"/>
  <c r="HC32" i="34"/>
  <c r="HI32" i="34"/>
  <c r="HO32" i="34"/>
  <c r="GO32" i="34"/>
  <c r="HM32" i="34"/>
  <c r="GC33" i="34"/>
  <c r="GO33" i="34"/>
  <c r="GU33" i="34"/>
  <c r="HA33" i="34"/>
  <c r="HG33" i="34"/>
  <c r="HM33" i="34"/>
  <c r="GD33" i="34"/>
  <c r="GJ33" i="34"/>
  <c r="GV33" i="34"/>
  <c r="HB33" i="34"/>
  <c r="HH33" i="34"/>
  <c r="HN33" i="34"/>
  <c r="GE33" i="34"/>
  <c r="GQ33" i="34"/>
  <c r="GW33" i="34"/>
  <c r="HC33" i="34"/>
  <c r="HI33" i="34"/>
  <c r="HO33" i="34"/>
  <c r="GP33" i="34"/>
  <c r="GC34" i="34"/>
  <c r="GI34" i="34"/>
  <c r="GO34" i="34"/>
  <c r="GU34" i="34"/>
  <c r="HA34" i="34"/>
  <c r="HG34" i="34"/>
  <c r="HM34" i="34"/>
  <c r="GJ34" i="34"/>
  <c r="GP34" i="34"/>
  <c r="HB34" i="34"/>
  <c r="HH34" i="34"/>
  <c r="HN34" i="34"/>
  <c r="GK34" i="34"/>
  <c r="GQ34" i="34"/>
  <c r="HC34" i="34"/>
  <c r="HI34" i="34"/>
  <c r="HO34" i="34"/>
  <c r="GE34" i="34"/>
  <c r="GV34" i="34"/>
  <c r="GW34" i="34"/>
  <c r="GI35" i="34"/>
  <c r="GO35" i="34"/>
  <c r="GU35" i="34"/>
  <c r="HA35" i="34"/>
  <c r="HM35" i="34"/>
  <c r="GJ35" i="34"/>
  <c r="GP35" i="34"/>
  <c r="GV35" i="34"/>
  <c r="HB35" i="34"/>
  <c r="HH35" i="34"/>
  <c r="HN35" i="34"/>
  <c r="GE35" i="34"/>
  <c r="GW35" i="34"/>
  <c r="HC35" i="34"/>
  <c r="HO35" i="34"/>
  <c r="GK35" i="34"/>
  <c r="GQ35" i="34"/>
  <c r="HG35" i="34"/>
  <c r="HI35" i="34"/>
  <c r="GC36" i="34"/>
  <c r="GI36" i="34"/>
  <c r="GO36" i="34"/>
  <c r="HG36" i="34"/>
  <c r="HM36" i="34"/>
  <c r="GJ36" i="34"/>
  <c r="GP36" i="34"/>
  <c r="GV36" i="34"/>
  <c r="HB36" i="34"/>
  <c r="HH36" i="34"/>
  <c r="HN36" i="34"/>
  <c r="GQ36" i="34"/>
  <c r="GW36" i="34"/>
  <c r="HC36" i="34"/>
  <c r="HO36" i="34"/>
  <c r="GE36" i="34"/>
  <c r="GK36" i="34"/>
  <c r="GU36" i="34"/>
  <c r="HA36" i="34"/>
  <c r="HI36" i="34"/>
  <c r="GI37" i="34"/>
  <c r="GO37" i="34"/>
  <c r="GU37" i="34"/>
  <c r="HA37" i="34"/>
  <c r="HG37" i="34"/>
  <c r="HM37" i="34"/>
  <c r="GJ37" i="34"/>
  <c r="GP37" i="34"/>
  <c r="GV37" i="34"/>
  <c r="HB37" i="34"/>
  <c r="HH37" i="34"/>
  <c r="HN37" i="34"/>
  <c r="GE37" i="34"/>
  <c r="GW37" i="34"/>
  <c r="HC37" i="34"/>
  <c r="HO37" i="34"/>
  <c r="GK37" i="34"/>
  <c r="GQ37" i="34"/>
  <c r="HI37" i="34"/>
  <c r="GC38" i="34"/>
  <c r="GO38" i="34"/>
  <c r="GU38" i="34"/>
  <c r="HM38" i="34"/>
  <c r="GD38" i="34"/>
  <c r="GJ38" i="34"/>
  <c r="GV38" i="34"/>
  <c r="HB38" i="34"/>
  <c r="HH38" i="34"/>
  <c r="GK38" i="34"/>
  <c r="HC38" i="34"/>
  <c r="HI38" i="34"/>
  <c r="HO38" i="34"/>
  <c r="GI38" i="34"/>
  <c r="GP38" i="34"/>
  <c r="GQ38" i="34"/>
  <c r="GW38" i="34"/>
  <c r="HA38" i="34"/>
  <c r="HG38" i="34"/>
  <c r="HN38" i="34"/>
  <c r="GC39" i="34"/>
  <c r="GO39" i="34"/>
  <c r="GU39" i="34"/>
  <c r="HG39" i="34"/>
  <c r="HM39" i="34"/>
  <c r="GP39" i="34"/>
  <c r="GV39" i="34"/>
  <c r="HB39" i="34"/>
  <c r="HH39" i="34"/>
  <c r="HN39" i="34"/>
  <c r="GK39" i="34"/>
  <c r="GQ39" i="34"/>
  <c r="HC39" i="34"/>
  <c r="HI39" i="34"/>
  <c r="HO39" i="34"/>
  <c r="GE39" i="34"/>
  <c r="GI39" i="34"/>
  <c r="GJ39" i="34"/>
  <c r="GW39" i="34"/>
  <c r="HA39" i="34"/>
  <c r="GC40" i="34"/>
  <c r="GO40" i="34"/>
  <c r="GU40" i="34"/>
  <c r="HG40" i="34"/>
  <c r="HM40" i="34"/>
  <c r="GP40" i="34"/>
  <c r="GV40" i="34"/>
  <c r="HB40" i="34"/>
  <c r="HH40" i="34"/>
  <c r="HN40" i="34"/>
  <c r="GK40" i="34"/>
  <c r="GQ40" i="34"/>
  <c r="HC40" i="34"/>
  <c r="HI40" i="34"/>
  <c r="HO40" i="34"/>
  <c r="GE40" i="34"/>
  <c r="GI40" i="34"/>
  <c r="GJ40" i="34"/>
  <c r="GW40" i="34"/>
  <c r="HA40" i="34"/>
  <c r="GC41" i="34"/>
  <c r="GO41" i="34"/>
  <c r="GU41" i="34"/>
  <c r="HG41" i="34"/>
  <c r="HM41" i="34"/>
  <c r="GP41" i="34"/>
  <c r="GV41" i="34"/>
  <c r="HB41" i="34"/>
  <c r="HH41" i="34"/>
  <c r="HN41" i="34"/>
  <c r="GK41" i="34"/>
  <c r="GQ41" i="34"/>
  <c r="HC41" i="34"/>
  <c r="HI41" i="34"/>
  <c r="HO41" i="34"/>
  <c r="GE41" i="34"/>
  <c r="GI41" i="34"/>
  <c r="GJ41" i="34"/>
  <c r="GW41" i="34"/>
  <c r="HA41" i="34"/>
  <c r="GC42" i="34"/>
  <c r="GO42" i="34"/>
  <c r="GU42" i="34"/>
  <c r="HG42" i="34"/>
  <c r="HM42" i="34"/>
  <c r="GP42" i="34"/>
  <c r="GV42" i="34"/>
  <c r="HB42" i="34"/>
  <c r="HH42" i="34"/>
  <c r="HN42" i="34"/>
  <c r="GK42" i="34"/>
  <c r="GQ42" i="34"/>
  <c r="HC42" i="34"/>
  <c r="HI42" i="34"/>
  <c r="HO42" i="34"/>
  <c r="GE42" i="34"/>
  <c r="GI42" i="34"/>
  <c r="GJ42" i="34"/>
  <c r="GW42" i="34"/>
  <c r="HA42" i="34"/>
  <c r="FX8" i="34"/>
  <c r="HO8" i="34" s="1"/>
  <c r="FW8" i="34"/>
  <c r="HI8" i="34" s="1"/>
  <c r="FV8" i="34"/>
  <c r="HC8" i="34" s="1"/>
  <c r="FU8" i="34"/>
  <c r="GW8" i="34" s="1"/>
  <c r="FT8" i="34"/>
  <c r="GQ8" i="34" s="1"/>
  <c r="FS8" i="34"/>
  <c r="GK8" i="34" s="1"/>
  <c r="FR8" i="34"/>
  <c r="FM8" i="34"/>
  <c r="HN8" i="34" s="1"/>
  <c r="FL8" i="34"/>
  <c r="HH8" i="34" s="1"/>
  <c r="FK8" i="34"/>
  <c r="HB8" i="34" s="1"/>
  <c r="FJ8" i="34"/>
  <c r="GV8" i="34" s="1"/>
  <c r="FI8" i="34"/>
  <c r="GP8" i="34" s="1"/>
  <c r="FH8" i="34"/>
  <c r="GJ8" i="34" s="1"/>
  <c r="FG8" i="34"/>
  <c r="GD8" i="34" s="1"/>
  <c r="HM8" i="34"/>
  <c r="FA8" i="34"/>
  <c r="HG8" i="34" s="1"/>
  <c r="EZ8" i="34"/>
  <c r="HA8" i="34" s="1"/>
  <c r="EY8" i="34"/>
  <c r="GU8" i="34" s="1"/>
  <c r="EX8" i="34"/>
  <c r="GO8" i="34" s="1"/>
  <c r="EW8" i="34"/>
  <c r="GI8" i="34" s="1"/>
  <c r="EV8" i="34"/>
  <c r="GC8" i="34" s="1"/>
  <c r="JR6" i="34"/>
  <c r="DP9" i="36"/>
  <c r="EW9" i="36" s="1"/>
  <c r="DQ9" i="36"/>
  <c r="FC9" i="36" s="1"/>
  <c r="DR9" i="36"/>
  <c r="FI9" i="36" s="1"/>
  <c r="DS9" i="36"/>
  <c r="DT9" i="36"/>
  <c r="FU9" i="36" s="1"/>
  <c r="DU9" i="36"/>
  <c r="GA9" i="36" s="1"/>
  <c r="DV9" i="36"/>
  <c r="EA9" i="36"/>
  <c r="EB9" i="36"/>
  <c r="FD9" i="36" s="1"/>
  <c r="EC9" i="36"/>
  <c r="FJ9" i="36" s="1"/>
  <c r="ED9" i="36"/>
  <c r="FP9" i="36" s="1"/>
  <c r="EE9" i="36"/>
  <c r="EF9" i="36"/>
  <c r="GB9" i="36" s="1"/>
  <c r="EG9" i="36"/>
  <c r="GH9" i="36" s="1"/>
  <c r="EL9" i="36"/>
  <c r="EY9" i="36" s="1"/>
  <c r="EM9" i="36"/>
  <c r="FE9" i="36" s="1"/>
  <c r="EN9" i="36"/>
  <c r="FK9" i="36" s="1"/>
  <c r="EO9" i="36"/>
  <c r="FQ9" i="36" s="1"/>
  <c r="EP9" i="36"/>
  <c r="FW9" i="36" s="1"/>
  <c r="EQ9" i="36"/>
  <c r="GC9" i="36" s="1"/>
  <c r="ER9" i="36"/>
  <c r="GI9" i="36" s="1"/>
  <c r="EX9" i="36"/>
  <c r="FO9" i="36"/>
  <c r="FV9" i="36"/>
  <c r="GG9" i="36"/>
  <c r="DP10" i="36"/>
  <c r="EW10" i="36" s="1"/>
  <c r="DQ10" i="36"/>
  <c r="DR10" i="36"/>
  <c r="FI10" i="36" s="1"/>
  <c r="DS10" i="36"/>
  <c r="DT10" i="36"/>
  <c r="FU10" i="36" s="1"/>
  <c r="DU10" i="36"/>
  <c r="GA10" i="36" s="1"/>
  <c r="DV10" i="36"/>
  <c r="EA10" i="36"/>
  <c r="EX10" i="36" s="1"/>
  <c r="EB10" i="36"/>
  <c r="EC10" i="36"/>
  <c r="FJ10" i="36" s="1"/>
  <c r="ED10" i="36"/>
  <c r="FP10" i="36" s="1"/>
  <c r="EE10" i="36"/>
  <c r="FV10" i="36" s="1"/>
  <c r="EF10" i="36"/>
  <c r="GB10" i="36" s="1"/>
  <c r="EG10" i="36"/>
  <c r="EL10" i="36"/>
  <c r="EY10" i="36" s="1"/>
  <c r="EM10" i="36"/>
  <c r="EN10" i="36"/>
  <c r="FK10" i="36" s="1"/>
  <c r="EO10" i="36"/>
  <c r="FQ10" i="36" s="1"/>
  <c r="EP10" i="36"/>
  <c r="FW10" i="36" s="1"/>
  <c r="EQ10" i="36"/>
  <c r="GC10" i="36" s="1"/>
  <c r="ER10" i="36"/>
  <c r="GI10" i="36" s="1"/>
  <c r="FO10" i="36"/>
  <c r="GG10" i="36"/>
  <c r="GH10" i="36"/>
  <c r="DP11" i="36"/>
  <c r="EW11" i="36" s="1"/>
  <c r="DQ11" i="36"/>
  <c r="DR11" i="36"/>
  <c r="DS11" i="36"/>
  <c r="FO11" i="36" s="1"/>
  <c r="DT11" i="36"/>
  <c r="FU11" i="36" s="1"/>
  <c r="DU11" i="36"/>
  <c r="GA11" i="36" s="1"/>
  <c r="DV11" i="36"/>
  <c r="GG11" i="36" s="1"/>
  <c r="EA11" i="36"/>
  <c r="EB11" i="36"/>
  <c r="EC11" i="36"/>
  <c r="FJ11" i="36" s="1"/>
  <c r="ED11" i="36"/>
  <c r="FP11" i="36" s="1"/>
  <c r="EE11" i="36"/>
  <c r="EF11" i="36"/>
  <c r="GB11" i="36" s="1"/>
  <c r="EG11" i="36"/>
  <c r="GH11" i="36" s="1"/>
  <c r="EL11" i="36"/>
  <c r="EY11" i="36" s="1"/>
  <c r="EM11" i="36"/>
  <c r="EN11" i="36"/>
  <c r="FK11" i="36" s="1"/>
  <c r="EO11" i="36"/>
  <c r="FQ11" i="36" s="1"/>
  <c r="EP11" i="36"/>
  <c r="FW11" i="36" s="1"/>
  <c r="EQ11" i="36"/>
  <c r="GC11" i="36" s="1"/>
  <c r="ER11" i="36"/>
  <c r="GI11" i="36" s="1"/>
  <c r="EX11" i="36"/>
  <c r="FI11" i="36"/>
  <c r="FV11" i="36"/>
  <c r="DP12" i="36"/>
  <c r="EW12" i="36" s="1"/>
  <c r="DQ12" i="36"/>
  <c r="DR12" i="36"/>
  <c r="FI12" i="36" s="1"/>
  <c r="DS12" i="36"/>
  <c r="FO12" i="36" s="1"/>
  <c r="DT12" i="36"/>
  <c r="FU12" i="36" s="1"/>
  <c r="DU12" i="36"/>
  <c r="GA12" i="36" s="1"/>
  <c r="DV12" i="36"/>
  <c r="GG12" i="36" s="1"/>
  <c r="EA12" i="36"/>
  <c r="EX12" i="36" s="1"/>
  <c r="EB12" i="36"/>
  <c r="EC12" i="36"/>
  <c r="FJ12" i="36" s="1"/>
  <c r="ED12" i="36"/>
  <c r="FP12" i="36" s="1"/>
  <c r="EE12" i="36"/>
  <c r="FV12" i="36" s="1"/>
  <c r="EF12" i="36"/>
  <c r="GB12" i="36" s="1"/>
  <c r="EG12" i="36"/>
  <c r="GH12" i="36" s="1"/>
  <c r="EL12" i="36"/>
  <c r="EY12" i="36" s="1"/>
  <c r="EM12" i="36"/>
  <c r="EN12" i="36"/>
  <c r="FK12" i="36" s="1"/>
  <c r="EO12" i="36"/>
  <c r="FQ12" i="36" s="1"/>
  <c r="EP12" i="36"/>
  <c r="EQ12" i="36"/>
  <c r="GC12" i="36" s="1"/>
  <c r="ER12" i="36"/>
  <c r="GI12" i="36" s="1"/>
  <c r="FW12" i="36"/>
  <c r="DP13" i="36"/>
  <c r="EW13" i="36" s="1"/>
  <c r="DQ13" i="36"/>
  <c r="FC13" i="36" s="1"/>
  <c r="DR13" i="36"/>
  <c r="FI13" i="36" s="1"/>
  <c r="DS13" i="36"/>
  <c r="FO13" i="36" s="1"/>
  <c r="DT13" i="36"/>
  <c r="DU13" i="36"/>
  <c r="GA13" i="36" s="1"/>
  <c r="DV13" i="36"/>
  <c r="EA13" i="36"/>
  <c r="EX13" i="36" s="1"/>
  <c r="EB13" i="36"/>
  <c r="EC13" i="36"/>
  <c r="FJ13" i="36" s="1"/>
  <c r="ED13" i="36"/>
  <c r="EE13" i="36"/>
  <c r="FV13" i="36" s="1"/>
  <c r="EF13" i="36"/>
  <c r="GB13" i="36" s="1"/>
  <c r="EG13" i="36"/>
  <c r="GH13" i="36" s="1"/>
  <c r="EL13" i="36"/>
  <c r="EY13" i="36" s="1"/>
  <c r="EM13" i="36"/>
  <c r="FE13" i="36" s="1"/>
  <c r="EN13" i="36"/>
  <c r="FK13" i="36" s="1"/>
  <c r="EO13" i="36"/>
  <c r="FQ13" i="36" s="1"/>
  <c r="EP13" i="36"/>
  <c r="FW13" i="36" s="1"/>
  <c r="EQ13" i="36"/>
  <c r="GC13" i="36" s="1"/>
  <c r="ER13" i="36"/>
  <c r="GI13" i="36" s="1"/>
  <c r="FD13" i="36"/>
  <c r="FP13" i="36"/>
  <c r="FU13" i="36"/>
  <c r="GG13" i="36"/>
  <c r="DP14" i="36"/>
  <c r="EW14" i="36" s="1"/>
  <c r="DQ14" i="36"/>
  <c r="FC14" i="36" s="1"/>
  <c r="DR14" i="36"/>
  <c r="FI14" i="36" s="1"/>
  <c r="DS14" i="36"/>
  <c r="FO14" i="36" s="1"/>
  <c r="DT14" i="36"/>
  <c r="FU14" i="36" s="1"/>
  <c r="DU14" i="36"/>
  <c r="GA14" i="36" s="1"/>
  <c r="DV14" i="36"/>
  <c r="EA14" i="36"/>
  <c r="EX14" i="36" s="1"/>
  <c r="EB14" i="36"/>
  <c r="FD14" i="36" s="1"/>
  <c r="EC14" i="36"/>
  <c r="ED14" i="36"/>
  <c r="EE14" i="36"/>
  <c r="FV14" i="36" s="1"/>
  <c r="EF14" i="36"/>
  <c r="GB14" i="36" s="1"/>
  <c r="EG14" i="36"/>
  <c r="GH14" i="36" s="1"/>
  <c r="EL14" i="36"/>
  <c r="EY14" i="36" s="1"/>
  <c r="EM14" i="36"/>
  <c r="FE14" i="36" s="1"/>
  <c r="EN14" i="36"/>
  <c r="FK14" i="36" s="1"/>
  <c r="EO14" i="36"/>
  <c r="FQ14" i="36" s="1"/>
  <c r="EP14" i="36"/>
  <c r="FW14" i="36" s="1"/>
  <c r="EQ14" i="36"/>
  <c r="GC14" i="36" s="1"/>
  <c r="ER14" i="36"/>
  <c r="GI14" i="36" s="1"/>
  <c r="FJ14" i="36"/>
  <c r="FP14" i="36"/>
  <c r="GG14" i="36"/>
  <c r="DP15" i="36"/>
  <c r="EW15" i="36" s="1"/>
  <c r="DQ15" i="36"/>
  <c r="FC15" i="36" s="1"/>
  <c r="DR15" i="36"/>
  <c r="FI15" i="36" s="1"/>
  <c r="DS15" i="36"/>
  <c r="DT15" i="36"/>
  <c r="FU15" i="36" s="1"/>
  <c r="DU15" i="36"/>
  <c r="GA15" i="36" s="1"/>
  <c r="DV15" i="36"/>
  <c r="GG15" i="36" s="1"/>
  <c r="EA15" i="36"/>
  <c r="EX15" i="36" s="1"/>
  <c r="EB15" i="36"/>
  <c r="FD15" i="36" s="1"/>
  <c r="EC15" i="36"/>
  <c r="ED15" i="36"/>
  <c r="FP15" i="36" s="1"/>
  <c r="EE15" i="36"/>
  <c r="EF15" i="36"/>
  <c r="GB15" i="36" s="1"/>
  <c r="EG15" i="36"/>
  <c r="GH15" i="36" s="1"/>
  <c r="EL15" i="36"/>
  <c r="EM15" i="36"/>
  <c r="FE15" i="36" s="1"/>
  <c r="EN15" i="36"/>
  <c r="FK15" i="36" s="1"/>
  <c r="EO15" i="36"/>
  <c r="FQ15" i="36" s="1"/>
  <c r="EP15" i="36"/>
  <c r="FW15" i="36" s="1"/>
  <c r="EQ15" i="36"/>
  <c r="GC15" i="36" s="1"/>
  <c r="ER15" i="36"/>
  <c r="GI15" i="36" s="1"/>
  <c r="FJ15" i="36"/>
  <c r="FO15" i="36"/>
  <c r="FV15" i="36"/>
  <c r="DP16" i="36"/>
  <c r="EW16" i="36" s="1"/>
  <c r="DQ16" i="36"/>
  <c r="FC16" i="36" s="1"/>
  <c r="DR16" i="36"/>
  <c r="FI16" i="36" s="1"/>
  <c r="DS16" i="36"/>
  <c r="FO16" i="36" s="1"/>
  <c r="DT16" i="36"/>
  <c r="FU16" i="36" s="1"/>
  <c r="DU16" i="36"/>
  <c r="GA16" i="36" s="1"/>
  <c r="DV16" i="36"/>
  <c r="GG16" i="36" s="1"/>
  <c r="EA16" i="36"/>
  <c r="EB16" i="36"/>
  <c r="FD16" i="36" s="1"/>
  <c r="EC16" i="36"/>
  <c r="ED16" i="36"/>
  <c r="FP16" i="36" s="1"/>
  <c r="EE16" i="36"/>
  <c r="FV16" i="36" s="1"/>
  <c r="EF16" i="36"/>
  <c r="GB16" i="36" s="1"/>
  <c r="EG16" i="36"/>
  <c r="EL16" i="36"/>
  <c r="EM16" i="36"/>
  <c r="FE16" i="36" s="1"/>
  <c r="EN16" i="36"/>
  <c r="FK16" i="36" s="1"/>
  <c r="EO16" i="36"/>
  <c r="EP16" i="36"/>
  <c r="FW16" i="36" s="1"/>
  <c r="EQ16" i="36"/>
  <c r="GC16" i="36" s="1"/>
  <c r="ER16" i="36"/>
  <c r="GI16" i="36" s="1"/>
  <c r="FJ16" i="36"/>
  <c r="FQ16" i="36"/>
  <c r="GH16" i="36"/>
  <c r="DP17" i="36"/>
  <c r="EW17" i="36" s="1"/>
  <c r="DQ17" i="36"/>
  <c r="DR17" i="36"/>
  <c r="FI17" i="36" s="1"/>
  <c r="DS17" i="36"/>
  <c r="FO17" i="36" s="1"/>
  <c r="DT17" i="36"/>
  <c r="FU17" i="36" s="1"/>
  <c r="DU17" i="36"/>
  <c r="GA17" i="36" s="1"/>
  <c r="DV17" i="36"/>
  <c r="GG17" i="36" s="1"/>
  <c r="EA17" i="36"/>
  <c r="EB17" i="36"/>
  <c r="FD17" i="36" s="1"/>
  <c r="EC17" i="36"/>
  <c r="FJ17" i="36" s="1"/>
  <c r="ED17" i="36"/>
  <c r="FP17" i="36" s="1"/>
  <c r="EE17" i="36"/>
  <c r="FV17" i="36" s="1"/>
  <c r="EF17" i="36"/>
  <c r="GB17" i="36" s="1"/>
  <c r="EG17" i="36"/>
  <c r="GH17" i="36" s="1"/>
  <c r="EL17" i="36"/>
  <c r="EM17" i="36"/>
  <c r="FE17" i="36" s="1"/>
  <c r="EN17" i="36"/>
  <c r="FK17" i="36" s="1"/>
  <c r="EO17" i="36"/>
  <c r="EP17" i="36"/>
  <c r="FW17" i="36" s="1"/>
  <c r="EQ17" i="36"/>
  <c r="ER17" i="36"/>
  <c r="GI17" i="36" s="1"/>
  <c r="FC17" i="36"/>
  <c r="FQ17" i="36"/>
  <c r="GC17" i="36"/>
  <c r="DP18" i="36"/>
  <c r="EW18" i="36" s="1"/>
  <c r="DQ18" i="36"/>
  <c r="FC18" i="36" s="1"/>
  <c r="DR18" i="36"/>
  <c r="DS18" i="36"/>
  <c r="FO18" i="36" s="1"/>
  <c r="DT18" i="36"/>
  <c r="FU18" i="36" s="1"/>
  <c r="DU18" i="36"/>
  <c r="GA18" i="36" s="1"/>
  <c r="DV18" i="36"/>
  <c r="GG18" i="36" s="1"/>
  <c r="EA18" i="36"/>
  <c r="EB18" i="36"/>
  <c r="FD18" i="36" s="1"/>
  <c r="EC18" i="36"/>
  <c r="FJ18" i="36" s="1"/>
  <c r="ED18" i="36"/>
  <c r="FP18" i="36" s="1"/>
  <c r="EE18" i="36"/>
  <c r="FV18" i="36" s="1"/>
  <c r="EF18" i="36"/>
  <c r="EG18" i="36"/>
  <c r="GH18" i="36" s="1"/>
  <c r="EL18" i="36"/>
  <c r="EY18" i="36" s="1"/>
  <c r="EM18" i="36"/>
  <c r="FE18" i="36" s="1"/>
  <c r="EN18" i="36"/>
  <c r="FK18" i="36" s="1"/>
  <c r="EO18" i="36"/>
  <c r="FQ18" i="36" s="1"/>
  <c r="EP18" i="36"/>
  <c r="FW18" i="36" s="1"/>
  <c r="EQ18" i="36"/>
  <c r="GC18" i="36" s="1"/>
  <c r="ER18" i="36"/>
  <c r="GI18" i="36" s="1"/>
  <c r="FI18" i="36"/>
  <c r="GB18" i="36"/>
  <c r="DP19" i="36"/>
  <c r="EW19" i="36" s="1"/>
  <c r="DQ19" i="36"/>
  <c r="DR19" i="36"/>
  <c r="FI19" i="36" s="1"/>
  <c r="DS19" i="36"/>
  <c r="FO19" i="36" s="1"/>
  <c r="DT19" i="36"/>
  <c r="FU19" i="36" s="1"/>
  <c r="DU19" i="36"/>
  <c r="DV19" i="36"/>
  <c r="GG19" i="36" s="1"/>
  <c r="EA19" i="36"/>
  <c r="EB19" i="36"/>
  <c r="FD19" i="36" s="1"/>
  <c r="EC19" i="36"/>
  <c r="ED19" i="36"/>
  <c r="FP19" i="36" s="1"/>
  <c r="EE19" i="36"/>
  <c r="FV19" i="36" s="1"/>
  <c r="EF19" i="36"/>
  <c r="GB19" i="36" s="1"/>
  <c r="EG19" i="36"/>
  <c r="GH19" i="36" s="1"/>
  <c r="EL19" i="36"/>
  <c r="EY19" i="36" s="1"/>
  <c r="EM19" i="36"/>
  <c r="FE19" i="36" s="1"/>
  <c r="EN19" i="36"/>
  <c r="FK19" i="36" s="1"/>
  <c r="EO19" i="36"/>
  <c r="FQ19" i="36" s="1"/>
  <c r="EP19" i="36"/>
  <c r="FW19" i="36" s="1"/>
  <c r="EQ19" i="36"/>
  <c r="GC19" i="36" s="1"/>
  <c r="ER19" i="36"/>
  <c r="FC19" i="36"/>
  <c r="FJ19" i="36"/>
  <c r="GA19" i="36"/>
  <c r="GI19" i="36"/>
  <c r="DP20" i="36"/>
  <c r="EW20" i="36" s="1"/>
  <c r="DQ20" i="36"/>
  <c r="DR20" i="36"/>
  <c r="FI20" i="36" s="1"/>
  <c r="DS20" i="36"/>
  <c r="FO20" i="36" s="1"/>
  <c r="DT20" i="36"/>
  <c r="DU20" i="36"/>
  <c r="GA20" i="36" s="1"/>
  <c r="DV20" i="36"/>
  <c r="GG20" i="36" s="1"/>
  <c r="EA20" i="36"/>
  <c r="EX20" i="36" s="1"/>
  <c r="EB20" i="36"/>
  <c r="EC20" i="36"/>
  <c r="FJ20" i="36" s="1"/>
  <c r="ED20" i="36"/>
  <c r="FP20" i="36" s="1"/>
  <c r="EE20" i="36"/>
  <c r="FV20" i="36" s="1"/>
  <c r="EF20" i="36"/>
  <c r="EG20" i="36"/>
  <c r="GH20" i="36" s="1"/>
  <c r="EL20" i="36"/>
  <c r="EY20" i="36" s="1"/>
  <c r="EM20" i="36"/>
  <c r="FE20" i="36" s="1"/>
  <c r="EN20" i="36"/>
  <c r="FK20" i="36" s="1"/>
  <c r="EO20" i="36"/>
  <c r="FQ20" i="36" s="1"/>
  <c r="EP20" i="36"/>
  <c r="EQ20" i="36"/>
  <c r="GC20" i="36" s="1"/>
  <c r="ER20" i="36"/>
  <c r="GI20" i="36" s="1"/>
  <c r="FU20" i="36"/>
  <c r="FW20" i="36"/>
  <c r="GB20" i="36"/>
  <c r="DP21" i="36"/>
  <c r="EW21" i="36" s="1"/>
  <c r="DQ21" i="36"/>
  <c r="DR21" i="36"/>
  <c r="FI21" i="36" s="1"/>
  <c r="DS21" i="36"/>
  <c r="FO21" i="36" s="1"/>
  <c r="DT21" i="36"/>
  <c r="DU21" i="36"/>
  <c r="GA21" i="36" s="1"/>
  <c r="DV21" i="36"/>
  <c r="GG21" i="36" s="1"/>
  <c r="EA21" i="36"/>
  <c r="EX21" i="36" s="1"/>
  <c r="EB21" i="36"/>
  <c r="FD21" i="36" s="1"/>
  <c r="EC21" i="36"/>
  <c r="FJ21" i="36" s="1"/>
  <c r="ED21" i="36"/>
  <c r="FP21" i="36" s="1"/>
  <c r="EE21" i="36"/>
  <c r="FV21" i="36" s="1"/>
  <c r="EF21" i="36"/>
  <c r="GB21" i="36" s="1"/>
  <c r="EG21" i="36"/>
  <c r="GH21" i="36" s="1"/>
  <c r="EL21" i="36"/>
  <c r="EY21" i="36" s="1"/>
  <c r="EM21" i="36"/>
  <c r="FE21" i="36" s="1"/>
  <c r="EN21" i="36"/>
  <c r="FK21" i="36" s="1"/>
  <c r="EO21" i="36"/>
  <c r="FQ21" i="36" s="1"/>
  <c r="EP21" i="36"/>
  <c r="FW21" i="36" s="1"/>
  <c r="EQ21" i="36"/>
  <c r="GC21" i="36" s="1"/>
  <c r="ER21" i="36"/>
  <c r="GI21" i="36" s="1"/>
  <c r="FU21" i="36"/>
  <c r="DP22" i="36"/>
  <c r="EW22" i="36" s="1"/>
  <c r="DQ22" i="36"/>
  <c r="DR22" i="36"/>
  <c r="FI22" i="36" s="1"/>
  <c r="DS22" i="36"/>
  <c r="FO22" i="36" s="1"/>
  <c r="DT22" i="36"/>
  <c r="FU22" i="36" s="1"/>
  <c r="DU22" i="36"/>
  <c r="DV22" i="36"/>
  <c r="GG22" i="36" s="1"/>
  <c r="EA22" i="36"/>
  <c r="EB22" i="36"/>
  <c r="FD22" i="36" s="1"/>
  <c r="EC22" i="36"/>
  <c r="FJ22" i="36" s="1"/>
  <c r="ED22" i="36"/>
  <c r="FP22" i="36" s="1"/>
  <c r="EE22" i="36"/>
  <c r="EF22" i="36"/>
  <c r="GB22" i="36" s="1"/>
  <c r="EG22" i="36"/>
  <c r="GH22" i="36" s="1"/>
  <c r="EL22" i="36"/>
  <c r="EM22" i="36"/>
  <c r="EN22" i="36"/>
  <c r="FK22" i="36" s="1"/>
  <c r="EO22" i="36"/>
  <c r="FQ22" i="36" s="1"/>
  <c r="EP22" i="36"/>
  <c r="FW22" i="36" s="1"/>
  <c r="EQ22" i="36"/>
  <c r="GC22" i="36" s="1"/>
  <c r="ER22" i="36"/>
  <c r="GI22" i="36" s="1"/>
  <c r="EX22" i="36"/>
  <c r="EY22" i="36"/>
  <c r="FV22" i="36"/>
  <c r="GA22" i="36"/>
  <c r="DP23" i="36"/>
  <c r="DQ23" i="36"/>
  <c r="FC23" i="36" s="1"/>
  <c r="DR23" i="36"/>
  <c r="FI23" i="36" s="1"/>
  <c r="DS23" i="36"/>
  <c r="FO23" i="36" s="1"/>
  <c r="DT23" i="36"/>
  <c r="FU23" i="36" s="1"/>
  <c r="DU23" i="36"/>
  <c r="GA23" i="36" s="1"/>
  <c r="DV23" i="36"/>
  <c r="GG23" i="36" s="1"/>
  <c r="EA23" i="36"/>
  <c r="EB23" i="36"/>
  <c r="FD23" i="36" s="1"/>
  <c r="EC23" i="36"/>
  <c r="FJ23" i="36" s="1"/>
  <c r="ED23" i="36"/>
  <c r="FP23" i="36" s="1"/>
  <c r="EE23" i="36"/>
  <c r="FV23" i="36" s="1"/>
  <c r="EF23" i="36"/>
  <c r="GB23" i="36" s="1"/>
  <c r="EG23" i="36"/>
  <c r="GH23" i="36" s="1"/>
  <c r="EL23" i="36"/>
  <c r="EY23" i="36" s="1"/>
  <c r="EM23" i="36"/>
  <c r="FE23" i="36" s="1"/>
  <c r="EN23" i="36"/>
  <c r="FK23" i="36" s="1"/>
  <c r="EO23" i="36"/>
  <c r="FQ23" i="36" s="1"/>
  <c r="EP23" i="36"/>
  <c r="FW23" i="36" s="1"/>
  <c r="EQ23" i="36"/>
  <c r="GC23" i="36" s="1"/>
  <c r="ER23" i="36"/>
  <c r="GI23" i="36" s="1"/>
  <c r="DP24" i="36"/>
  <c r="DQ24" i="36"/>
  <c r="FC24" i="36" s="1"/>
  <c r="DR24" i="36"/>
  <c r="FI24" i="36" s="1"/>
  <c r="DS24" i="36"/>
  <c r="FO24" i="36" s="1"/>
  <c r="DT24" i="36"/>
  <c r="FU24" i="36" s="1"/>
  <c r="DU24" i="36"/>
  <c r="GA24" i="36" s="1"/>
  <c r="DV24" i="36"/>
  <c r="GG24" i="36" s="1"/>
  <c r="EA24" i="36"/>
  <c r="EB24" i="36"/>
  <c r="FD24" i="36" s="1"/>
  <c r="EC24" i="36"/>
  <c r="FJ24" i="36" s="1"/>
  <c r="ED24" i="36"/>
  <c r="FP24" i="36" s="1"/>
  <c r="EE24" i="36"/>
  <c r="FV24" i="36" s="1"/>
  <c r="EF24" i="36"/>
  <c r="GB24" i="36" s="1"/>
  <c r="EG24" i="36"/>
  <c r="GH24" i="36" s="1"/>
  <c r="EL24" i="36"/>
  <c r="EY24" i="36" s="1"/>
  <c r="EM24" i="36"/>
  <c r="FE24" i="36" s="1"/>
  <c r="EN24" i="36"/>
  <c r="FK24" i="36" s="1"/>
  <c r="EO24" i="36"/>
  <c r="FQ24" i="36" s="1"/>
  <c r="EP24" i="36"/>
  <c r="FW24" i="36" s="1"/>
  <c r="EQ24" i="36"/>
  <c r="GC24" i="36" s="1"/>
  <c r="ER24" i="36"/>
  <c r="GI24" i="36" s="1"/>
  <c r="DP25" i="36"/>
  <c r="EW25" i="36" s="1"/>
  <c r="DQ25" i="36"/>
  <c r="DR25" i="36"/>
  <c r="FI25" i="36" s="1"/>
  <c r="DS25" i="36"/>
  <c r="FO25" i="36" s="1"/>
  <c r="DT25" i="36"/>
  <c r="DU25" i="36"/>
  <c r="GA25" i="36" s="1"/>
  <c r="DV25" i="36"/>
  <c r="GG25" i="36" s="1"/>
  <c r="EA25" i="36"/>
  <c r="EX25" i="36" s="1"/>
  <c r="EB25" i="36"/>
  <c r="EC25" i="36"/>
  <c r="FJ25" i="36" s="1"/>
  <c r="ED25" i="36"/>
  <c r="FP25" i="36" s="1"/>
  <c r="EE25" i="36"/>
  <c r="FV25" i="36" s="1"/>
  <c r="EF25" i="36"/>
  <c r="EG25" i="36"/>
  <c r="GH25" i="36" s="1"/>
  <c r="EL25" i="36"/>
  <c r="EY25" i="36" s="1"/>
  <c r="EM25" i="36"/>
  <c r="FE25" i="36" s="1"/>
  <c r="EN25" i="36"/>
  <c r="FK25" i="36" s="1"/>
  <c r="EO25" i="36"/>
  <c r="FQ25" i="36" s="1"/>
  <c r="EP25" i="36"/>
  <c r="FW25" i="36" s="1"/>
  <c r="EQ25" i="36"/>
  <c r="GC25" i="36" s="1"/>
  <c r="ER25" i="36"/>
  <c r="GI25" i="36" s="1"/>
  <c r="FC25" i="36"/>
  <c r="FD25" i="36"/>
  <c r="FU25" i="36"/>
  <c r="GB25" i="36"/>
  <c r="DP26" i="36"/>
  <c r="DQ26" i="36"/>
  <c r="FC26" i="36" s="1"/>
  <c r="DR26" i="36"/>
  <c r="FI26" i="36" s="1"/>
  <c r="DS26" i="36"/>
  <c r="FO26" i="36" s="1"/>
  <c r="DT26" i="36"/>
  <c r="FU26" i="36" s="1"/>
  <c r="DU26" i="36"/>
  <c r="GA26" i="36" s="1"/>
  <c r="DV26" i="36"/>
  <c r="GG26" i="36" s="1"/>
  <c r="EA26" i="36"/>
  <c r="EB26" i="36"/>
  <c r="FD26" i="36" s="1"/>
  <c r="EC26" i="36"/>
  <c r="FJ26" i="36" s="1"/>
  <c r="ED26" i="36"/>
  <c r="EE26" i="36"/>
  <c r="EF26" i="36"/>
  <c r="GB26" i="36" s="1"/>
  <c r="EG26" i="36"/>
  <c r="GH26" i="36" s="1"/>
  <c r="EL26" i="36"/>
  <c r="EY26" i="36" s="1"/>
  <c r="EM26" i="36"/>
  <c r="FE26" i="36" s="1"/>
  <c r="EN26" i="36"/>
  <c r="FK26" i="36" s="1"/>
  <c r="EO26" i="36"/>
  <c r="FQ26" i="36" s="1"/>
  <c r="EP26" i="36"/>
  <c r="FW26" i="36" s="1"/>
  <c r="EQ26" i="36"/>
  <c r="GC26" i="36" s="1"/>
  <c r="ER26" i="36"/>
  <c r="GI26" i="36" s="1"/>
  <c r="EX26" i="36"/>
  <c r="FP26" i="36"/>
  <c r="FV26" i="36"/>
  <c r="DP27" i="36"/>
  <c r="DQ27" i="36"/>
  <c r="DR27" i="36"/>
  <c r="FI27" i="36" s="1"/>
  <c r="DS27" i="36"/>
  <c r="FO27" i="36" s="1"/>
  <c r="DT27" i="36"/>
  <c r="DU27" i="36"/>
  <c r="GA27" i="36" s="1"/>
  <c r="DV27" i="36"/>
  <c r="GG27" i="36" s="1"/>
  <c r="EA27" i="36"/>
  <c r="EB27" i="36"/>
  <c r="FD27" i="36" s="1"/>
  <c r="EC27" i="36"/>
  <c r="FJ27" i="36" s="1"/>
  <c r="ED27" i="36"/>
  <c r="EE27" i="36"/>
  <c r="FV27" i="36" s="1"/>
  <c r="EF27" i="36"/>
  <c r="GB27" i="36" s="1"/>
  <c r="EG27" i="36"/>
  <c r="GH27" i="36" s="1"/>
  <c r="EL27" i="36"/>
  <c r="EY27" i="36" s="1"/>
  <c r="EM27" i="36"/>
  <c r="FE27" i="36" s="1"/>
  <c r="EN27" i="36"/>
  <c r="FK27" i="36" s="1"/>
  <c r="EO27" i="36"/>
  <c r="FQ27" i="36" s="1"/>
  <c r="EP27" i="36"/>
  <c r="EQ27" i="36"/>
  <c r="GC27" i="36" s="1"/>
  <c r="ER27" i="36"/>
  <c r="GI27" i="36" s="1"/>
  <c r="FC27" i="36"/>
  <c r="FP27" i="36"/>
  <c r="FU27" i="36"/>
  <c r="FW27" i="36"/>
  <c r="DP28" i="36"/>
  <c r="EW28" i="36" s="1"/>
  <c r="DQ28" i="36"/>
  <c r="FC28" i="36" s="1"/>
  <c r="DR28" i="36"/>
  <c r="FI28" i="36" s="1"/>
  <c r="DS28" i="36"/>
  <c r="FO28" i="36" s="1"/>
  <c r="DT28" i="36"/>
  <c r="FU28" i="36" s="1"/>
  <c r="DU28" i="36"/>
  <c r="GA28" i="36" s="1"/>
  <c r="DV28" i="36"/>
  <c r="GG28" i="36" s="1"/>
  <c r="EA28" i="36"/>
  <c r="EB28" i="36"/>
  <c r="FD28" i="36" s="1"/>
  <c r="EC28" i="36"/>
  <c r="FJ28" i="36" s="1"/>
  <c r="ED28" i="36"/>
  <c r="FP28" i="36" s="1"/>
  <c r="EE28" i="36"/>
  <c r="FV28" i="36" s="1"/>
  <c r="EF28" i="36"/>
  <c r="GB28" i="36" s="1"/>
  <c r="EG28" i="36"/>
  <c r="GH28" i="36" s="1"/>
  <c r="EL28" i="36"/>
  <c r="EY28" i="36" s="1"/>
  <c r="EM28" i="36"/>
  <c r="FE28" i="36" s="1"/>
  <c r="EN28" i="36"/>
  <c r="FK28" i="36" s="1"/>
  <c r="EO28" i="36"/>
  <c r="FQ28" i="36" s="1"/>
  <c r="EP28" i="36"/>
  <c r="FW28" i="36" s="1"/>
  <c r="EQ28" i="36"/>
  <c r="GC28" i="36" s="1"/>
  <c r="ER28" i="36"/>
  <c r="GI28" i="36" s="1"/>
  <c r="DP29" i="36"/>
  <c r="EW29" i="36" s="1"/>
  <c r="DQ29" i="36"/>
  <c r="FC29" i="36" s="1"/>
  <c r="DR29" i="36"/>
  <c r="FI29" i="36" s="1"/>
  <c r="DS29" i="36"/>
  <c r="FO29" i="36" s="1"/>
  <c r="DT29" i="36"/>
  <c r="FU29" i="36" s="1"/>
  <c r="DU29" i="36"/>
  <c r="GA29" i="36" s="1"/>
  <c r="DV29" i="36"/>
  <c r="GG29" i="36" s="1"/>
  <c r="EA29" i="36"/>
  <c r="EB29" i="36"/>
  <c r="FD29" i="36" s="1"/>
  <c r="EC29" i="36"/>
  <c r="FJ29" i="36" s="1"/>
  <c r="ED29" i="36"/>
  <c r="FP29" i="36" s="1"/>
  <c r="EE29" i="36"/>
  <c r="FV29" i="36" s="1"/>
  <c r="EF29" i="36"/>
  <c r="GB29" i="36" s="1"/>
  <c r="EG29" i="36"/>
  <c r="GH29" i="36" s="1"/>
  <c r="EL29" i="36"/>
  <c r="EY29" i="36" s="1"/>
  <c r="EM29" i="36"/>
  <c r="FE29" i="36" s="1"/>
  <c r="EN29" i="36"/>
  <c r="FK29" i="36" s="1"/>
  <c r="EO29" i="36"/>
  <c r="FQ29" i="36" s="1"/>
  <c r="EP29" i="36"/>
  <c r="FW29" i="36" s="1"/>
  <c r="EQ29" i="36"/>
  <c r="GC29" i="36" s="1"/>
  <c r="ER29" i="36"/>
  <c r="GI29" i="36" s="1"/>
  <c r="GJ29" i="36" s="1"/>
  <c r="GK29" i="36" s="1"/>
  <c r="GL29" i="36" s="1"/>
  <c r="GT29" i="36" s="1"/>
  <c r="DP30" i="36"/>
  <c r="DQ30" i="36"/>
  <c r="DR30" i="36"/>
  <c r="FI30" i="36" s="1"/>
  <c r="DS30" i="36"/>
  <c r="FO30" i="36" s="1"/>
  <c r="DT30" i="36"/>
  <c r="FU30" i="36" s="1"/>
  <c r="DU30" i="36"/>
  <c r="DV30" i="36"/>
  <c r="GG30" i="36" s="1"/>
  <c r="EA30" i="36"/>
  <c r="EB30" i="36"/>
  <c r="FD30" i="36" s="1"/>
  <c r="EC30" i="36"/>
  <c r="FJ30" i="36" s="1"/>
  <c r="ED30" i="36"/>
  <c r="FP30" i="36" s="1"/>
  <c r="EE30" i="36"/>
  <c r="FV30" i="36" s="1"/>
  <c r="EF30" i="36"/>
  <c r="GB30" i="36" s="1"/>
  <c r="EG30" i="36"/>
  <c r="GH30" i="36" s="1"/>
  <c r="EL30" i="36"/>
  <c r="EY30" i="36" s="1"/>
  <c r="EM30" i="36"/>
  <c r="FE30" i="36" s="1"/>
  <c r="EN30" i="36"/>
  <c r="FK30" i="36" s="1"/>
  <c r="EO30" i="36"/>
  <c r="FQ30" i="36" s="1"/>
  <c r="EP30" i="36"/>
  <c r="FW30" i="36" s="1"/>
  <c r="EQ30" i="36"/>
  <c r="GC30" i="36" s="1"/>
  <c r="ER30" i="36"/>
  <c r="GI30" i="36" s="1"/>
  <c r="GJ30" i="36" s="1"/>
  <c r="GK30" i="36" s="1"/>
  <c r="GL30" i="36" s="1"/>
  <c r="GT30" i="36" s="1"/>
  <c r="FC30" i="36"/>
  <c r="GA30" i="36"/>
  <c r="DP31" i="36"/>
  <c r="EW31" i="36" s="1"/>
  <c r="DQ31" i="36"/>
  <c r="FC31" i="36" s="1"/>
  <c r="DR31" i="36"/>
  <c r="FI31" i="36" s="1"/>
  <c r="DS31" i="36"/>
  <c r="FO31" i="36" s="1"/>
  <c r="DT31" i="36"/>
  <c r="FU31" i="36" s="1"/>
  <c r="DU31" i="36"/>
  <c r="GA31" i="36" s="1"/>
  <c r="DV31" i="36"/>
  <c r="GG31" i="36" s="1"/>
  <c r="EA31" i="36"/>
  <c r="EB31" i="36"/>
  <c r="FD31" i="36" s="1"/>
  <c r="EC31" i="36"/>
  <c r="FJ31" i="36" s="1"/>
  <c r="ED31" i="36"/>
  <c r="FP31" i="36" s="1"/>
  <c r="EE31" i="36"/>
  <c r="FV31" i="36" s="1"/>
  <c r="EF31" i="36"/>
  <c r="GB31" i="36" s="1"/>
  <c r="EG31" i="36"/>
  <c r="GH31" i="36" s="1"/>
  <c r="EL31" i="36"/>
  <c r="EM31" i="36"/>
  <c r="FE31" i="36" s="1"/>
  <c r="EN31" i="36"/>
  <c r="FK31" i="36" s="1"/>
  <c r="EO31" i="36"/>
  <c r="FQ31" i="36" s="1"/>
  <c r="EP31" i="36"/>
  <c r="FW31" i="36" s="1"/>
  <c r="EQ31" i="36"/>
  <c r="GC31" i="36" s="1"/>
  <c r="ER31" i="36"/>
  <c r="GI31" i="36" s="1"/>
  <c r="EY31" i="36"/>
  <c r="DP32" i="36"/>
  <c r="EW32" i="36" s="1"/>
  <c r="DQ32" i="36"/>
  <c r="FC32" i="36" s="1"/>
  <c r="DR32" i="36"/>
  <c r="FI32" i="36" s="1"/>
  <c r="DS32" i="36"/>
  <c r="FO32" i="36" s="1"/>
  <c r="DT32" i="36"/>
  <c r="FU32" i="36" s="1"/>
  <c r="DU32" i="36"/>
  <c r="DV32" i="36"/>
  <c r="GG32" i="36" s="1"/>
  <c r="EA32" i="36"/>
  <c r="EB32" i="36"/>
  <c r="FD32" i="36" s="1"/>
  <c r="EC32" i="36"/>
  <c r="FJ32" i="36" s="1"/>
  <c r="ED32" i="36"/>
  <c r="FP32" i="36" s="1"/>
  <c r="EE32" i="36"/>
  <c r="FV32" i="36" s="1"/>
  <c r="EF32" i="36"/>
  <c r="GB32" i="36" s="1"/>
  <c r="EG32" i="36"/>
  <c r="GH32" i="36" s="1"/>
  <c r="EL32" i="36"/>
  <c r="EM32" i="36"/>
  <c r="FE32" i="36" s="1"/>
  <c r="EN32" i="36"/>
  <c r="FK32" i="36" s="1"/>
  <c r="EO32" i="36"/>
  <c r="FQ32" i="36" s="1"/>
  <c r="EP32" i="36"/>
  <c r="FW32" i="36" s="1"/>
  <c r="EQ32" i="36"/>
  <c r="GC32" i="36" s="1"/>
  <c r="ER32" i="36"/>
  <c r="GI32" i="36" s="1"/>
  <c r="GA32" i="36"/>
  <c r="DP33" i="36"/>
  <c r="DQ33" i="36"/>
  <c r="DR33" i="36"/>
  <c r="FI33" i="36" s="1"/>
  <c r="DS33" i="36"/>
  <c r="FO33" i="36" s="1"/>
  <c r="DT33" i="36"/>
  <c r="DU33" i="36"/>
  <c r="GA33" i="36" s="1"/>
  <c r="DV33" i="36"/>
  <c r="GG33" i="36" s="1"/>
  <c r="EA33" i="36"/>
  <c r="EB33" i="36"/>
  <c r="FD33" i="36" s="1"/>
  <c r="EC33" i="36"/>
  <c r="FJ33" i="36" s="1"/>
  <c r="ED33" i="36"/>
  <c r="FP33" i="36" s="1"/>
  <c r="EE33" i="36"/>
  <c r="FV33" i="36" s="1"/>
  <c r="EF33" i="36"/>
  <c r="GB33" i="36" s="1"/>
  <c r="EG33" i="36"/>
  <c r="GH33" i="36" s="1"/>
  <c r="EL33" i="36"/>
  <c r="EM33" i="36"/>
  <c r="FE33" i="36" s="1"/>
  <c r="EN33" i="36"/>
  <c r="FK33" i="36" s="1"/>
  <c r="EO33" i="36"/>
  <c r="FQ33" i="36" s="1"/>
  <c r="EP33" i="36"/>
  <c r="FW33" i="36" s="1"/>
  <c r="EQ33" i="36"/>
  <c r="GC33" i="36" s="1"/>
  <c r="ER33" i="36"/>
  <c r="GI33" i="36" s="1"/>
  <c r="EW33" i="36"/>
  <c r="EY33" i="36"/>
  <c r="FC33" i="36"/>
  <c r="FU33" i="36"/>
  <c r="DP34" i="36"/>
  <c r="DQ34" i="36"/>
  <c r="DR34" i="36"/>
  <c r="FI34" i="36" s="1"/>
  <c r="DS34" i="36"/>
  <c r="FO34" i="36" s="1"/>
  <c r="DT34" i="36"/>
  <c r="FU34" i="36" s="1"/>
  <c r="DU34" i="36"/>
  <c r="DV34" i="36"/>
  <c r="GG34" i="36" s="1"/>
  <c r="EA34" i="36"/>
  <c r="EB34" i="36"/>
  <c r="FD34" i="36" s="1"/>
  <c r="EC34" i="36"/>
  <c r="FJ34" i="36" s="1"/>
  <c r="ED34" i="36"/>
  <c r="FP34" i="36" s="1"/>
  <c r="EE34" i="36"/>
  <c r="FV34" i="36" s="1"/>
  <c r="EF34" i="36"/>
  <c r="GB34" i="36" s="1"/>
  <c r="EG34" i="36"/>
  <c r="GH34" i="36" s="1"/>
  <c r="EL34" i="36"/>
  <c r="EY34" i="36" s="1"/>
  <c r="EM34" i="36"/>
  <c r="FE34" i="36" s="1"/>
  <c r="EN34" i="36"/>
  <c r="FK34" i="36" s="1"/>
  <c r="EO34" i="36"/>
  <c r="FQ34" i="36" s="1"/>
  <c r="EP34" i="36"/>
  <c r="FW34" i="36" s="1"/>
  <c r="EQ34" i="36"/>
  <c r="GC34" i="36" s="1"/>
  <c r="ER34" i="36"/>
  <c r="GI34" i="36" s="1"/>
  <c r="FC34" i="36"/>
  <c r="GA34" i="36"/>
  <c r="DP35" i="36"/>
  <c r="EW35" i="36" s="1"/>
  <c r="DQ35" i="36"/>
  <c r="FC35" i="36" s="1"/>
  <c r="DR35" i="36"/>
  <c r="FI35" i="36" s="1"/>
  <c r="DS35" i="36"/>
  <c r="FO35" i="36" s="1"/>
  <c r="DT35" i="36"/>
  <c r="FU35" i="36" s="1"/>
  <c r="DU35" i="36"/>
  <c r="GA35" i="36" s="1"/>
  <c r="DV35" i="36"/>
  <c r="GG35" i="36" s="1"/>
  <c r="EA35" i="36"/>
  <c r="EB35" i="36"/>
  <c r="FD35" i="36" s="1"/>
  <c r="EC35" i="36"/>
  <c r="FJ35" i="36" s="1"/>
  <c r="ED35" i="36"/>
  <c r="FP35" i="36" s="1"/>
  <c r="EE35" i="36"/>
  <c r="FV35" i="36" s="1"/>
  <c r="EF35" i="36"/>
  <c r="GB35" i="36" s="1"/>
  <c r="EG35" i="36"/>
  <c r="GH35" i="36" s="1"/>
  <c r="EL35" i="36"/>
  <c r="EM35" i="36"/>
  <c r="FE35" i="36" s="1"/>
  <c r="EN35" i="36"/>
  <c r="FK35" i="36" s="1"/>
  <c r="EO35" i="36"/>
  <c r="FQ35" i="36" s="1"/>
  <c r="EP35" i="36"/>
  <c r="EQ35" i="36"/>
  <c r="GC35" i="36" s="1"/>
  <c r="ER35" i="36"/>
  <c r="GI35" i="36" s="1"/>
  <c r="EY35" i="36"/>
  <c r="FW35" i="36"/>
  <c r="DP36" i="36"/>
  <c r="EW36" i="36" s="1"/>
  <c r="DQ36" i="36"/>
  <c r="DR36" i="36"/>
  <c r="FI36" i="36" s="1"/>
  <c r="DS36" i="36"/>
  <c r="FO36" i="36" s="1"/>
  <c r="DT36" i="36"/>
  <c r="FU36" i="36" s="1"/>
  <c r="DU36" i="36"/>
  <c r="GA36" i="36" s="1"/>
  <c r="DV36" i="36"/>
  <c r="GG36" i="36" s="1"/>
  <c r="EA36" i="36"/>
  <c r="EX36" i="36" s="1"/>
  <c r="EB36" i="36"/>
  <c r="EC36" i="36"/>
  <c r="FJ36" i="36" s="1"/>
  <c r="ED36" i="36"/>
  <c r="FP36" i="36" s="1"/>
  <c r="EE36" i="36"/>
  <c r="FV36" i="36" s="1"/>
  <c r="EF36" i="36"/>
  <c r="GB36" i="36" s="1"/>
  <c r="EG36" i="36"/>
  <c r="GH36" i="36" s="1"/>
  <c r="EL36" i="36"/>
  <c r="EY36" i="36" s="1"/>
  <c r="EM36" i="36"/>
  <c r="EN36" i="36"/>
  <c r="FK36" i="36" s="1"/>
  <c r="EO36" i="36"/>
  <c r="FQ36" i="36" s="1"/>
  <c r="EP36" i="36"/>
  <c r="FW36" i="36" s="1"/>
  <c r="EQ36" i="36"/>
  <c r="GC36" i="36" s="1"/>
  <c r="ER36" i="36"/>
  <c r="GI36" i="36" s="1"/>
  <c r="DP37" i="36"/>
  <c r="DQ37" i="36"/>
  <c r="FC37" i="36" s="1"/>
  <c r="DR37" i="36"/>
  <c r="FI37" i="36" s="1"/>
  <c r="DS37" i="36"/>
  <c r="FO37" i="36" s="1"/>
  <c r="DT37" i="36"/>
  <c r="FU37" i="36" s="1"/>
  <c r="DU37" i="36"/>
  <c r="GA37" i="36" s="1"/>
  <c r="DV37" i="36"/>
  <c r="GG37" i="36" s="1"/>
  <c r="EA37" i="36"/>
  <c r="EB37" i="36"/>
  <c r="EC37" i="36"/>
  <c r="FJ37" i="36" s="1"/>
  <c r="ED37" i="36"/>
  <c r="FP37" i="36" s="1"/>
  <c r="EE37" i="36"/>
  <c r="EF37" i="36"/>
  <c r="GB37" i="36" s="1"/>
  <c r="EG37" i="36"/>
  <c r="GH37" i="36" s="1"/>
  <c r="EL37" i="36"/>
  <c r="EY37" i="36" s="1"/>
  <c r="EM37" i="36"/>
  <c r="FE37" i="36" s="1"/>
  <c r="EN37" i="36"/>
  <c r="FK37" i="36" s="1"/>
  <c r="EO37" i="36"/>
  <c r="FQ37" i="36" s="1"/>
  <c r="EP37" i="36"/>
  <c r="FW37" i="36" s="1"/>
  <c r="EQ37" i="36"/>
  <c r="GC37" i="36" s="1"/>
  <c r="ER37" i="36"/>
  <c r="EX37" i="36"/>
  <c r="FD37" i="36"/>
  <c r="FV37" i="36"/>
  <c r="GI37" i="36"/>
  <c r="DP38" i="36"/>
  <c r="DQ38" i="36"/>
  <c r="FC38" i="36" s="1"/>
  <c r="DR38" i="36"/>
  <c r="FI38" i="36" s="1"/>
  <c r="DS38" i="36"/>
  <c r="FO38" i="36" s="1"/>
  <c r="DT38" i="36"/>
  <c r="DU38" i="36"/>
  <c r="GA38" i="36" s="1"/>
  <c r="DV38" i="36"/>
  <c r="GG38" i="36" s="1"/>
  <c r="EA38" i="36"/>
  <c r="EB38" i="36"/>
  <c r="EC38" i="36"/>
  <c r="FJ38" i="36" s="1"/>
  <c r="ED38" i="36"/>
  <c r="EE38" i="36"/>
  <c r="FV38" i="36" s="1"/>
  <c r="EF38" i="36"/>
  <c r="EG38" i="36"/>
  <c r="GH38" i="36" s="1"/>
  <c r="EL38" i="36"/>
  <c r="EY38" i="36" s="1"/>
  <c r="EM38" i="36"/>
  <c r="FE38" i="36" s="1"/>
  <c r="EN38" i="36"/>
  <c r="EO38" i="36"/>
  <c r="FQ38" i="36" s="1"/>
  <c r="EP38" i="36"/>
  <c r="FW38" i="36" s="1"/>
  <c r="EQ38" i="36"/>
  <c r="GC38" i="36" s="1"/>
  <c r="ER38" i="36"/>
  <c r="EW38" i="36"/>
  <c r="FD38" i="36"/>
  <c r="FK38" i="36"/>
  <c r="FP38" i="36"/>
  <c r="FU38" i="36"/>
  <c r="GB38" i="36"/>
  <c r="GI38" i="36"/>
  <c r="DP39" i="36"/>
  <c r="DQ39" i="36"/>
  <c r="DR39" i="36"/>
  <c r="FI39" i="36" s="1"/>
  <c r="DS39" i="36"/>
  <c r="FO39" i="36" s="1"/>
  <c r="DT39" i="36"/>
  <c r="FU39" i="36" s="1"/>
  <c r="DU39" i="36"/>
  <c r="GA39" i="36" s="1"/>
  <c r="DV39" i="36"/>
  <c r="GG39" i="36" s="1"/>
  <c r="EA39" i="36"/>
  <c r="EX39" i="36" s="1"/>
  <c r="EB39" i="36"/>
  <c r="EC39" i="36"/>
  <c r="FJ39" i="36" s="1"/>
  <c r="ED39" i="36"/>
  <c r="FP39" i="36" s="1"/>
  <c r="EE39" i="36"/>
  <c r="EF39" i="36"/>
  <c r="EG39" i="36"/>
  <c r="GH39" i="36" s="1"/>
  <c r="EL39" i="36"/>
  <c r="EM39" i="36"/>
  <c r="FE39" i="36" s="1"/>
  <c r="EN39" i="36"/>
  <c r="EO39" i="36"/>
  <c r="FQ39" i="36" s="1"/>
  <c r="EP39" i="36"/>
  <c r="EQ39" i="36"/>
  <c r="GC39" i="36" s="1"/>
  <c r="ER39" i="36"/>
  <c r="GI39" i="36" s="1"/>
  <c r="EW39" i="36"/>
  <c r="EY39" i="36"/>
  <c r="FD39" i="36"/>
  <c r="FK39" i="36"/>
  <c r="FV39" i="36"/>
  <c r="FX39" i="36" s="1"/>
  <c r="FY39" i="36" s="1"/>
  <c r="FZ39" i="36" s="1"/>
  <c r="GR39" i="36" s="1"/>
  <c r="FW39" i="36"/>
  <c r="GB39" i="36"/>
  <c r="DP40" i="36"/>
  <c r="DQ40" i="36"/>
  <c r="DR40" i="36"/>
  <c r="FI40" i="36" s="1"/>
  <c r="DS40" i="36"/>
  <c r="FO40" i="36" s="1"/>
  <c r="DT40" i="36"/>
  <c r="FU40" i="36" s="1"/>
  <c r="DU40" i="36"/>
  <c r="GA40" i="36" s="1"/>
  <c r="DV40" i="36"/>
  <c r="GG40" i="36" s="1"/>
  <c r="EA40" i="36"/>
  <c r="EX40" i="36" s="1"/>
  <c r="EB40" i="36"/>
  <c r="EC40" i="36"/>
  <c r="FJ40" i="36" s="1"/>
  <c r="ED40" i="36"/>
  <c r="EE40" i="36"/>
  <c r="FV40" i="36" s="1"/>
  <c r="EF40" i="36"/>
  <c r="EG40" i="36"/>
  <c r="GH40" i="36" s="1"/>
  <c r="EL40" i="36"/>
  <c r="EY40" i="36" s="1"/>
  <c r="EM40" i="36"/>
  <c r="FE40" i="36" s="1"/>
  <c r="EN40" i="36"/>
  <c r="EO40" i="36"/>
  <c r="FQ40" i="36" s="1"/>
  <c r="EP40" i="36"/>
  <c r="EQ40" i="36"/>
  <c r="GC40" i="36" s="1"/>
  <c r="ER40" i="36"/>
  <c r="GI40" i="36" s="1"/>
  <c r="EW40" i="36"/>
  <c r="FD40" i="36"/>
  <c r="FK40" i="36"/>
  <c r="FP40" i="36"/>
  <c r="FW40" i="36"/>
  <c r="GB40" i="36"/>
  <c r="DP41" i="36"/>
  <c r="DQ41" i="36"/>
  <c r="DR41" i="36"/>
  <c r="FI41" i="36" s="1"/>
  <c r="DS41" i="36"/>
  <c r="FO41" i="36" s="1"/>
  <c r="DT41" i="36"/>
  <c r="FU41" i="36" s="1"/>
  <c r="DU41" i="36"/>
  <c r="DV41" i="36"/>
  <c r="GG41" i="36" s="1"/>
  <c r="EA41" i="36"/>
  <c r="EB41" i="36"/>
  <c r="FD41" i="36" s="1"/>
  <c r="EC41" i="36"/>
  <c r="FJ41" i="36" s="1"/>
  <c r="ED41" i="36"/>
  <c r="FP41" i="36" s="1"/>
  <c r="EE41" i="36"/>
  <c r="FV41" i="36" s="1"/>
  <c r="EF41" i="36"/>
  <c r="GB41" i="36" s="1"/>
  <c r="EG41" i="36"/>
  <c r="GH41" i="36" s="1"/>
  <c r="EL41" i="36"/>
  <c r="EY41" i="36" s="1"/>
  <c r="EM41" i="36"/>
  <c r="FE41" i="36" s="1"/>
  <c r="EN41" i="36"/>
  <c r="FK41" i="36" s="1"/>
  <c r="EO41" i="36"/>
  <c r="FQ41" i="36" s="1"/>
  <c r="EP41" i="36"/>
  <c r="FW41" i="36" s="1"/>
  <c r="EQ41" i="36"/>
  <c r="GC41" i="36" s="1"/>
  <c r="ER41" i="36"/>
  <c r="GI41" i="36" s="1"/>
  <c r="FC41" i="36"/>
  <c r="GA41" i="36"/>
  <c r="DP42" i="36"/>
  <c r="EW42" i="36" s="1"/>
  <c r="DQ42" i="36"/>
  <c r="DR42" i="36"/>
  <c r="FI42" i="36" s="1"/>
  <c r="DS42" i="36"/>
  <c r="FO42" i="36" s="1"/>
  <c r="DT42" i="36"/>
  <c r="FU42" i="36" s="1"/>
  <c r="DU42" i="36"/>
  <c r="GA42" i="36" s="1"/>
  <c r="DV42" i="36"/>
  <c r="GG42" i="36" s="1"/>
  <c r="EA42" i="36"/>
  <c r="EX42" i="36" s="1"/>
  <c r="EB42" i="36"/>
  <c r="FD42" i="36" s="1"/>
  <c r="EC42" i="36"/>
  <c r="FJ42" i="36" s="1"/>
  <c r="ED42" i="36"/>
  <c r="FP42" i="36" s="1"/>
  <c r="EE42" i="36"/>
  <c r="FV42" i="36" s="1"/>
  <c r="EF42" i="36"/>
  <c r="GB42" i="36" s="1"/>
  <c r="EG42" i="36"/>
  <c r="GH42" i="36" s="1"/>
  <c r="EL42" i="36"/>
  <c r="EY42" i="36" s="1"/>
  <c r="EM42" i="36"/>
  <c r="FE42" i="36" s="1"/>
  <c r="EN42" i="36"/>
  <c r="EO42" i="36"/>
  <c r="FQ42" i="36" s="1"/>
  <c r="EP42" i="36"/>
  <c r="FW42" i="36" s="1"/>
  <c r="EQ42" i="36"/>
  <c r="GC42" i="36" s="1"/>
  <c r="ER42" i="36"/>
  <c r="GI42" i="36" s="1"/>
  <c r="FC42" i="36"/>
  <c r="HG6" i="36"/>
  <c r="HV6" i="36" s="1"/>
  <c r="EA8" i="36"/>
  <c r="EX8" i="36" s="1"/>
  <c r="DP8" i="36"/>
  <c r="EW8" i="36" s="1"/>
  <c r="ER8" i="36"/>
  <c r="GI8" i="36" s="1"/>
  <c r="EQ8" i="36"/>
  <c r="GC8" i="36" s="1"/>
  <c r="EP8" i="36"/>
  <c r="FW8" i="36" s="1"/>
  <c r="EO8" i="36"/>
  <c r="FQ8" i="36" s="1"/>
  <c r="EN8" i="36"/>
  <c r="FK8" i="36" s="1"/>
  <c r="EM8" i="36"/>
  <c r="FE8" i="36" s="1"/>
  <c r="EL8" i="36"/>
  <c r="EG8" i="36"/>
  <c r="GH8" i="36" s="1"/>
  <c r="EF8" i="36"/>
  <c r="GB8" i="36" s="1"/>
  <c r="EE8" i="36"/>
  <c r="FV8" i="36" s="1"/>
  <c r="ED8" i="36"/>
  <c r="FP8" i="36" s="1"/>
  <c r="EC8" i="36"/>
  <c r="FJ8" i="36" s="1"/>
  <c r="EB8" i="36"/>
  <c r="FD8" i="36" s="1"/>
  <c r="DV8" i="36"/>
  <c r="GG8" i="36" s="1"/>
  <c r="DU8" i="36"/>
  <c r="GA8" i="36" s="1"/>
  <c r="DT8" i="36"/>
  <c r="FU8" i="36" s="1"/>
  <c r="DS8" i="36"/>
  <c r="FO8" i="36" s="1"/>
  <c r="DR8" i="36"/>
  <c r="FI8" i="36" s="1"/>
  <c r="DQ8" i="36"/>
  <c r="FC8" i="36" s="1"/>
  <c r="HI6" i="36"/>
  <c r="HX6" i="36" s="1"/>
  <c r="HH6" i="36"/>
  <c r="HW6" i="36" s="1"/>
  <c r="CU9" i="28"/>
  <c r="EB9" i="28" s="1"/>
  <c r="CV9" i="28"/>
  <c r="EH9" i="28" s="1"/>
  <c r="CW9" i="28"/>
  <c r="EN9" i="28" s="1"/>
  <c r="CX9" i="28"/>
  <c r="ET9" i="28" s="1"/>
  <c r="CY9" i="28"/>
  <c r="EZ9" i="28" s="1"/>
  <c r="CZ9" i="28"/>
  <c r="FF9" i="28" s="1"/>
  <c r="DA9" i="28"/>
  <c r="FL9" i="28" s="1"/>
  <c r="DF9" i="28"/>
  <c r="DG9" i="28"/>
  <c r="EI9" i="28" s="1"/>
  <c r="DH9" i="28"/>
  <c r="EO9" i="28" s="1"/>
  <c r="DI9" i="28"/>
  <c r="EU9" i="28" s="1"/>
  <c r="DJ9" i="28"/>
  <c r="FA9" i="28" s="1"/>
  <c r="DK9" i="28"/>
  <c r="FG9" i="28" s="1"/>
  <c r="DL9" i="28"/>
  <c r="DQ9" i="28"/>
  <c r="DR9" i="28"/>
  <c r="EJ9" i="28" s="1"/>
  <c r="DS9" i="28"/>
  <c r="EP9" i="28" s="1"/>
  <c r="DT9" i="28"/>
  <c r="DU9" i="28"/>
  <c r="FB9" i="28" s="1"/>
  <c r="DV9" i="28"/>
  <c r="FH9" i="28" s="1"/>
  <c r="DW9" i="28"/>
  <c r="FN9" i="28" s="1"/>
  <c r="EV9" i="28"/>
  <c r="FM9" i="28"/>
  <c r="CU10" i="28"/>
  <c r="EB10" i="28" s="1"/>
  <c r="CV10" i="28"/>
  <c r="EH10" i="28" s="1"/>
  <c r="CW10" i="28"/>
  <c r="EN10" i="28" s="1"/>
  <c r="CX10" i="28"/>
  <c r="ET10" i="28" s="1"/>
  <c r="CY10" i="28"/>
  <c r="EZ10" i="28" s="1"/>
  <c r="CZ10" i="28"/>
  <c r="FF10" i="28" s="1"/>
  <c r="DA10" i="28"/>
  <c r="FL10" i="28" s="1"/>
  <c r="DF10" i="28"/>
  <c r="EC10" i="28" s="1"/>
  <c r="DG10" i="28"/>
  <c r="EI10" i="28" s="1"/>
  <c r="DH10" i="28"/>
  <c r="EO10" i="28" s="1"/>
  <c r="DI10" i="28"/>
  <c r="EU10" i="28" s="1"/>
  <c r="DJ10" i="28"/>
  <c r="FA10" i="28" s="1"/>
  <c r="DK10" i="28"/>
  <c r="FG10" i="28" s="1"/>
  <c r="DL10" i="28"/>
  <c r="FM10" i="28" s="1"/>
  <c r="DQ10" i="28"/>
  <c r="DR10" i="28"/>
  <c r="EJ10" i="28" s="1"/>
  <c r="DS10" i="28"/>
  <c r="DT10" i="28"/>
  <c r="EV10" i="28" s="1"/>
  <c r="DU10" i="28"/>
  <c r="FB10" i="28" s="1"/>
  <c r="DV10" i="28"/>
  <c r="FH10" i="28" s="1"/>
  <c r="DW10" i="28"/>
  <c r="FN10" i="28" s="1"/>
  <c r="EP10" i="28"/>
  <c r="CU11" i="28"/>
  <c r="EB11" i="28" s="1"/>
  <c r="CV11" i="28"/>
  <c r="EH11" i="28" s="1"/>
  <c r="CW11" i="28"/>
  <c r="EN11" i="28" s="1"/>
  <c r="CX11" i="28"/>
  <c r="ET11" i="28" s="1"/>
  <c r="CY11" i="28"/>
  <c r="EZ11" i="28" s="1"/>
  <c r="CZ11" i="28"/>
  <c r="FF11" i="28" s="1"/>
  <c r="DA11" i="28"/>
  <c r="FL11" i="28" s="1"/>
  <c r="DF11" i="28"/>
  <c r="EC11" i="28" s="1"/>
  <c r="DG11" i="28"/>
  <c r="EI11" i="28" s="1"/>
  <c r="DH11" i="28"/>
  <c r="DI11" i="28"/>
  <c r="EU11" i="28" s="1"/>
  <c r="DJ11" i="28"/>
  <c r="FA11" i="28" s="1"/>
  <c r="DK11" i="28"/>
  <c r="FG11" i="28" s="1"/>
  <c r="DL11" i="28"/>
  <c r="DQ11" i="28"/>
  <c r="DR11" i="28"/>
  <c r="EJ11" i="28" s="1"/>
  <c r="DS11" i="28"/>
  <c r="EP11" i="28" s="1"/>
  <c r="DT11" i="28"/>
  <c r="DU11" i="28"/>
  <c r="FB11" i="28" s="1"/>
  <c r="DV11" i="28"/>
  <c r="DW11" i="28"/>
  <c r="FN11" i="28" s="1"/>
  <c r="EO11" i="28"/>
  <c r="EV11" i="28"/>
  <c r="FH11" i="28"/>
  <c r="FM11" i="28"/>
  <c r="CU12" i="28"/>
  <c r="EB12" i="28" s="1"/>
  <c r="CV12" i="28"/>
  <c r="CW12" i="28"/>
  <c r="CX12" i="28"/>
  <c r="ET12" i="28" s="1"/>
  <c r="CY12" i="28"/>
  <c r="EZ12" i="28" s="1"/>
  <c r="CZ12" i="28"/>
  <c r="FF12" i="28" s="1"/>
  <c r="DA12" i="28"/>
  <c r="DF12" i="28"/>
  <c r="EC12" i="28" s="1"/>
  <c r="DG12" i="28"/>
  <c r="DH12" i="28"/>
  <c r="DI12" i="28"/>
  <c r="DJ12" i="28"/>
  <c r="FA12" i="28" s="1"/>
  <c r="DK12" i="28"/>
  <c r="FG12" i="28" s="1"/>
  <c r="DL12" i="28"/>
  <c r="FM12" i="28" s="1"/>
  <c r="DQ12" i="28"/>
  <c r="ED12" i="28" s="1"/>
  <c r="DR12" i="28"/>
  <c r="EJ12" i="28" s="1"/>
  <c r="DS12" i="28"/>
  <c r="DT12" i="28"/>
  <c r="EV12" i="28" s="1"/>
  <c r="DU12" i="28"/>
  <c r="FB12" i="28" s="1"/>
  <c r="DV12" i="28"/>
  <c r="FH12" i="28" s="1"/>
  <c r="DW12" i="28"/>
  <c r="EI12" i="28"/>
  <c r="EN12" i="28"/>
  <c r="EO12" i="28"/>
  <c r="EP12" i="28"/>
  <c r="EU12" i="28"/>
  <c r="FL12" i="28"/>
  <c r="FN12" i="28"/>
  <c r="CU13" i="28"/>
  <c r="EB13" i="28" s="1"/>
  <c r="CV13" i="28"/>
  <c r="EH13" i="28" s="1"/>
  <c r="CW13" i="28"/>
  <c r="EN13" i="28" s="1"/>
  <c r="CX13" i="28"/>
  <c r="ET13" i="28" s="1"/>
  <c r="CY13" i="28"/>
  <c r="EZ13" i="28" s="1"/>
  <c r="CZ13" i="28"/>
  <c r="FF13" i="28" s="1"/>
  <c r="DA13" i="28"/>
  <c r="DF13" i="28"/>
  <c r="EC13" i="28" s="1"/>
  <c r="DG13" i="28"/>
  <c r="DH13" i="28"/>
  <c r="EO13" i="28" s="1"/>
  <c r="DI13" i="28"/>
  <c r="EU13" i="28" s="1"/>
  <c r="DJ13" i="28"/>
  <c r="FA13" i="28" s="1"/>
  <c r="DK13" i="28"/>
  <c r="FG13" i="28" s="1"/>
  <c r="DL13" i="28"/>
  <c r="FM13" i="28" s="1"/>
  <c r="DQ13" i="28"/>
  <c r="ED13" i="28" s="1"/>
  <c r="DR13" i="28"/>
  <c r="EJ13" i="28" s="1"/>
  <c r="DS13" i="28"/>
  <c r="DT13" i="28"/>
  <c r="EV13" i="28" s="1"/>
  <c r="DU13" i="28"/>
  <c r="FB13" i="28" s="1"/>
  <c r="DV13" i="28"/>
  <c r="FH13" i="28" s="1"/>
  <c r="DW13" i="28"/>
  <c r="FN13" i="28" s="1"/>
  <c r="EP13" i="28"/>
  <c r="FL13" i="28"/>
  <c r="CU14" i="28"/>
  <c r="EB14" i="28" s="1"/>
  <c r="CV14" i="28"/>
  <c r="EH14" i="28" s="1"/>
  <c r="CW14" i="28"/>
  <c r="EN14" i="28" s="1"/>
  <c r="CX14" i="28"/>
  <c r="ET14" i="28" s="1"/>
  <c r="CY14" i="28"/>
  <c r="EZ14" i="28" s="1"/>
  <c r="CZ14" i="28"/>
  <c r="FF14" i="28" s="1"/>
  <c r="DA14" i="28"/>
  <c r="FL14" i="28" s="1"/>
  <c r="DF14" i="28"/>
  <c r="EC14" i="28" s="1"/>
  <c r="DG14" i="28"/>
  <c r="DH14" i="28"/>
  <c r="EO14" i="28" s="1"/>
  <c r="DI14" i="28"/>
  <c r="EU14" i="28" s="1"/>
  <c r="DJ14" i="28"/>
  <c r="FA14" i="28" s="1"/>
  <c r="DK14" i="28"/>
  <c r="FG14" i="28" s="1"/>
  <c r="DL14" i="28"/>
  <c r="FM14" i="28" s="1"/>
  <c r="DQ14" i="28"/>
  <c r="ED14" i="28" s="1"/>
  <c r="DR14" i="28"/>
  <c r="EJ14" i="28" s="1"/>
  <c r="DS14" i="28"/>
  <c r="EP14" i="28" s="1"/>
  <c r="DT14" i="28"/>
  <c r="EV14" i="28" s="1"/>
  <c r="DU14" i="28"/>
  <c r="DV14" i="28"/>
  <c r="FH14" i="28" s="1"/>
  <c r="DW14" i="28"/>
  <c r="EI14" i="28"/>
  <c r="FB14" i="28"/>
  <c r="FN14" i="28"/>
  <c r="CU15" i="28"/>
  <c r="EB15" i="28" s="1"/>
  <c r="CV15" i="28"/>
  <c r="CW15" i="28"/>
  <c r="EN15" i="28" s="1"/>
  <c r="CX15" i="28"/>
  <c r="ET15" i="28" s="1"/>
  <c r="CY15" i="28"/>
  <c r="EZ15" i="28" s="1"/>
  <c r="CZ15" i="28"/>
  <c r="DA15" i="28"/>
  <c r="FL15" i="28" s="1"/>
  <c r="DF15" i="28"/>
  <c r="DG15" i="28"/>
  <c r="DH15" i="28"/>
  <c r="EO15" i="28" s="1"/>
  <c r="DI15" i="28"/>
  <c r="EU15" i="28" s="1"/>
  <c r="DJ15" i="28"/>
  <c r="FA15" i="28" s="1"/>
  <c r="DK15" i="28"/>
  <c r="DL15" i="28"/>
  <c r="DQ15" i="28"/>
  <c r="DR15" i="28"/>
  <c r="DS15" i="28"/>
  <c r="DT15" i="28"/>
  <c r="EV15" i="28" s="1"/>
  <c r="DU15" i="28"/>
  <c r="FB15" i="28" s="1"/>
  <c r="DV15" i="28"/>
  <c r="FH15" i="28" s="1"/>
  <c r="DW15" i="28"/>
  <c r="EH15" i="28"/>
  <c r="EI15" i="28"/>
  <c r="EJ15" i="28"/>
  <c r="EP15" i="28"/>
  <c r="FF15" i="28"/>
  <c r="FG15" i="28"/>
  <c r="FM15" i="28"/>
  <c r="FN15" i="28"/>
  <c r="CU16" i="28"/>
  <c r="EB16" i="28" s="1"/>
  <c r="CV16" i="28"/>
  <c r="EH16" i="28" s="1"/>
  <c r="CW16" i="28"/>
  <c r="CX16" i="28"/>
  <c r="ET16" i="28" s="1"/>
  <c r="CY16" i="28"/>
  <c r="EZ16" i="28" s="1"/>
  <c r="CZ16" i="28"/>
  <c r="FF16" i="28" s="1"/>
  <c r="DA16" i="28"/>
  <c r="FL16" i="28" s="1"/>
  <c r="DF16" i="28"/>
  <c r="DG16" i="28"/>
  <c r="EI16" i="28" s="1"/>
  <c r="DH16" i="28"/>
  <c r="EO16" i="28" s="1"/>
  <c r="DI16" i="28"/>
  <c r="EU16" i="28" s="1"/>
  <c r="DJ16" i="28"/>
  <c r="FA16" i="28" s="1"/>
  <c r="DK16" i="28"/>
  <c r="FG16" i="28" s="1"/>
  <c r="DL16" i="28"/>
  <c r="DQ16" i="28"/>
  <c r="DR16" i="28"/>
  <c r="DS16" i="28"/>
  <c r="EP16" i="28" s="1"/>
  <c r="DT16" i="28"/>
  <c r="DU16" i="28"/>
  <c r="FB16" i="28" s="1"/>
  <c r="DV16" i="28"/>
  <c r="DW16" i="28"/>
  <c r="FN16" i="28" s="1"/>
  <c r="EJ16" i="28"/>
  <c r="EN16" i="28"/>
  <c r="EV16" i="28"/>
  <c r="FH16" i="28"/>
  <c r="FM16" i="28"/>
  <c r="CU17" i="28"/>
  <c r="EB17" i="28" s="1"/>
  <c r="CV17" i="28"/>
  <c r="EH17" i="28" s="1"/>
  <c r="CW17" i="28"/>
  <c r="CX17" i="28"/>
  <c r="ET17" i="28" s="1"/>
  <c r="CY17" i="28"/>
  <c r="EZ17" i="28" s="1"/>
  <c r="CZ17" i="28"/>
  <c r="FF17" i="28" s="1"/>
  <c r="DA17" i="28"/>
  <c r="FL17" i="28" s="1"/>
  <c r="DF17" i="28"/>
  <c r="DG17" i="28"/>
  <c r="EI17" i="28" s="1"/>
  <c r="DH17" i="28"/>
  <c r="EO17" i="28" s="1"/>
  <c r="DI17" i="28"/>
  <c r="EU17" i="28" s="1"/>
  <c r="DJ17" i="28"/>
  <c r="FA17" i="28" s="1"/>
  <c r="DK17" i="28"/>
  <c r="FG17" i="28" s="1"/>
  <c r="DL17" i="28"/>
  <c r="FM17" i="28" s="1"/>
  <c r="DQ17" i="28"/>
  <c r="DR17" i="28"/>
  <c r="DS17" i="28"/>
  <c r="EP17" i="28" s="1"/>
  <c r="DT17" i="28"/>
  <c r="EV17" i="28" s="1"/>
  <c r="DU17" i="28"/>
  <c r="FB17" i="28" s="1"/>
  <c r="DV17" i="28"/>
  <c r="FH17" i="28" s="1"/>
  <c r="DW17" i="28"/>
  <c r="FN17" i="28" s="1"/>
  <c r="EJ17" i="28"/>
  <c r="EN17" i="28"/>
  <c r="CU18" i="28"/>
  <c r="EB18" i="28" s="1"/>
  <c r="CV18" i="28"/>
  <c r="EH18" i="28" s="1"/>
  <c r="CW18" i="28"/>
  <c r="EN18" i="28" s="1"/>
  <c r="CX18" i="28"/>
  <c r="ET18" i="28" s="1"/>
  <c r="CY18" i="28"/>
  <c r="EZ18" i="28" s="1"/>
  <c r="CZ18" i="28"/>
  <c r="FF18" i="28" s="1"/>
  <c r="DA18" i="28"/>
  <c r="FL18" i="28" s="1"/>
  <c r="DF18" i="28"/>
  <c r="DG18" i="28"/>
  <c r="EI18" i="28" s="1"/>
  <c r="DH18" i="28"/>
  <c r="EO18" i="28" s="1"/>
  <c r="DI18" i="28"/>
  <c r="DJ18" i="28"/>
  <c r="FA18" i="28" s="1"/>
  <c r="DK18" i="28"/>
  <c r="FG18" i="28" s="1"/>
  <c r="DL18" i="28"/>
  <c r="FM18" i="28" s="1"/>
  <c r="DQ18" i="28"/>
  <c r="DR18" i="28"/>
  <c r="EJ18" i="28" s="1"/>
  <c r="DS18" i="28"/>
  <c r="EP18" i="28" s="1"/>
  <c r="DT18" i="28"/>
  <c r="EV18" i="28" s="1"/>
  <c r="DU18" i="28"/>
  <c r="FB18" i="28" s="1"/>
  <c r="DV18" i="28"/>
  <c r="FH18" i="28" s="1"/>
  <c r="DW18" i="28"/>
  <c r="FN18" i="28" s="1"/>
  <c r="EU18" i="28"/>
  <c r="CU19" i="28"/>
  <c r="EB19" i="28" s="1"/>
  <c r="CV19" i="28"/>
  <c r="CW19" i="28"/>
  <c r="EN19" i="28" s="1"/>
  <c r="CX19" i="28"/>
  <c r="CY19" i="28"/>
  <c r="EZ19" i="28" s="1"/>
  <c r="CZ19" i="28"/>
  <c r="DA19" i="28"/>
  <c r="FL19" i="28" s="1"/>
  <c r="DF19" i="28"/>
  <c r="DG19" i="28"/>
  <c r="DH19" i="28"/>
  <c r="EO19" i="28" s="1"/>
  <c r="DI19" i="28"/>
  <c r="EU19" i="28" s="1"/>
  <c r="DJ19" i="28"/>
  <c r="DK19" i="28"/>
  <c r="FG19" i="28" s="1"/>
  <c r="DL19" i="28"/>
  <c r="FM19" i="28" s="1"/>
  <c r="DQ19" i="28"/>
  <c r="ED19" i="28" s="1"/>
  <c r="DR19" i="28"/>
  <c r="DS19" i="28"/>
  <c r="EP19" i="28" s="1"/>
  <c r="DT19" i="28"/>
  <c r="EV19" i="28" s="1"/>
  <c r="DU19" i="28"/>
  <c r="FB19" i="28" s="1"/>
  <c r="DV19" i="28"/>
  <c r="FH19" i="28" s="1"/>
  <c r="DW19" i="28"/>
  <c r="FN19" i="28" s="1"/>
  <c r="EC19" i="28"/>
  <c r="ET19" i="28"/>
  <c r="EW19" i="28" s="1"/>
  <c r="EX19" i="28" s="1"/>
  <c r="EY19" i="28" s="1"/>
  <c r="FV19" i="28" s="1"/>
  <c r="FA19" i="28"/>
  <c r="FF19" i="28"/>
  <c r="FI19" i="28" s="1"/>
  <c r="FJ19" i="28" s="1"/>
  <c r="FK19" i="28" s="1"/>
  <c r="FX19" i="28" s="1"/>
  <c r="CU20" i="28"/>
  <c r="EB20" i="28" s="1"/>
  <c r="CV20" i="28"/>
  <c r="EH20" i="28" s="1"/>
  <c r="CW20" i="28"/>
  <c r="EN20" i="28" s="1"/>
  <c r="CX20" i="28"/>
  <c r="ET20" i="28" s="1"/>
  <c r="CY20" i="28"/>
  <c r="EZ20" i="28" s="1"/>
  <c r="CZ20" i="28"/>
  <c r="FF20" i="28" s="1"/>
  <c r="DA20" i="28"/>
  <c r="FL20" i="28" s="1"/>
  <c r="DF20" i="28"/>
  <c r="DG20" i="28"/>
  <c r="DH20" i="28"/>
  <c r="EO20" i="28" s="1"/>
  <c r="DI20" i="28"/>
  <c r="EU20" i="28" s="1"/>
  <c r="DJ20" i="28"/>
  <c r="FA20" i="28" s="1"/>
  <c r="DK20" i="28"/>
  <c r="DL20" i="28"/>
  <c r="FM20" i="28" s="1"/>
  <c r="DQ20" i="28"/>
  <c r="ED20" i="28" s="1"/>
  <c r="DR20" i="28"/>
  <c r="DS20" i="28"/>
  <c r="EP20" i="28" s="1"/>
  <c r="DT20" i="28"/>
  <c r="EV20" i="28" s="1"/>
  <c r="DU20" i="28"/>
  <c r="FB20" i="28" s="1"/>
  <c r="DV20" i="28"/>
  <c r="FH20" i="28" s="1"/>
  <c r="DW20" i="28"/>
  <c r="FN20" i="28" s="1"/>
  <c r="EC20" i="28"/>
  <c r="FG20" i="28"/>
  <c r="CU21" i="28"/>
  <c r="EB21" i="28" s="1"/>
  <c r="CV21" i="28"/>
  <c r="CW21" i="28"/>
  <c r="EN21" i="28" s="1"/>
  <c r="CX21" i="28"/>
  <c r="ET21" i="28" s="1"/>
  <c r="CY21" i="28"/>
  <c r="EZ21" i="28" s="1"/>
  <c r="CZ21" i="28"/>
  <c r="FF21" i="28" s="1"/>
  <c r="DA21" i="28"/>
  <c r="FL21" i="28" s="1"/>
  <c r="DF21" i="28"/>
  <c r="EC21" i="28" s="1"/>
  <c r="DG21" i="28"/>
  <c r="DH21" i="28"/>
  <c r="EO21" i="28" s="1"/>
  <c r="DI21" i="28"/>
  <c r="EU21" i="28" s="1"/>
  <c r="DJ21" i="28"/>
  <c r="FA21" i="28" s="1"/>
  <c r="DK21" i="28"/>
  <c r="FG21" i="28" s="1"/>
  <c r="DL21" i="28"/>
  <c r="FM21" i="28" s="1"/>
  <c r="DQ21" i="28"/>
  <c r="ED21" i="28" s="1"/>
  <c r="DR21" i="28"/>
  <c r="DS21" i="28"/>
  <c r="EP21" i="28" s="1"/>
  <c r="DT21" i="28"/>
  <c r="EV21" i="28" s="1"/>
  <c r="DU21" i="28"/>
  <c r="FB21" i="28" s="1"/>
  <c r="DV21" i="28"/>
  <c r="FH21" i="28" s="1"/>
  <c r="DW21" i="28"/>
  <c r="FN21" i="28" s="1"/>
  <c r="EH21" i="28"/>
  <c r="CU22" i="28"/>
  <c r="EB22" i="28" s="1"/>
  <c r="CV22" i="28"/>
  <c r="CW22" i="28"/>
  <c r="EN22" i="28" s="1"/>
  <c r="CX22" i="28"/>
  <c r="ET22" i="28" s="1"/>
  <c r="CY22" i="28"/>
  <c r="EZ22" i="28" s="1"/>
  <c r="CZ22" i="28"/>
  <c r="DA22" i="28"/>
  <c r="FL22" i="28" s="1"/>
  <c r="DF22" i="28"/>
  <c r="EC22" i="28" s="1"/>
  <c r="DG22" i="28"/>
  <c r="EI22" i="28" s="1"/>
  <c r="DH22" i="28"/>
  <c r="EO22" i="28" s="1"/>
  <c r="DI22" i="28"/>
  <c r="EU22" i="28" s="1"/>
  <c r="DJ22" i="28"/>
  <c r="FA22" i="28" s="1"/>
  <c r="DK22" i="28"/>
  <c r="FG22" i="28" s="1"/>
  <c r="DL22" i="28"/>
  <c r="FM22" i="28" s="1"/>
  <c r="DQ22" i="28"/>
  <c r="ED22" i="28" s="1"/>
  <c r="DR22" i="28"/>
  <c r="DS22" i="28"/>
  <c r="EP22" i="28" s="1"/>
  <c r="DT22" i="28"/>
  <c r="EV22" i="28" s="1"/>
  <c r="DU22" i="28"/>
  <c r="FB22" i="28" s="1"/>
  <c r="DV22" i="28"/>
  <c r="FH22" i="28" s="1"/>
  <c r="DW22" i="28"/>
  <c r="FN22" i="28" s="1"/>
  <c r="EH22" i="28"/>
  <c r="FF22" i="28"/>
  <c r="CU23" i="28"/>
  <c r="EB23" i="28" s="1"/>
  <c r="CV23" i="28"/>
  <c r="CW23" i="28"/>
  <c r="EN23" i="28" s="1"/>
  <c r="CX23" i="28"/>
  <c r="ET23" i="28" s="1"/>
  <c r="CY23" i="28"/>
  <c r="EZ23" i="28" s="1"/>
  <c r="CZ23" i="28"/>
  <c r="FF23" i="28" s="1"/>
  <c r="DA23" i="28"/>
  <c r="FL23" i="28" s="1"/>
  <c r="DF23" i="28"/>
  <c r="DG23" i="28"/>
  <c r="DH23" i="28"/>
  <c r="EO23" i="28" s="1"/>
  <c r="DI23" i="28"/>
  <c r="EU23" i="28" s="1"/>
  <c r="DJ23" i="28"/>
  <c r="DK23" i="28"/>
  <c r="FG23" i="28" s="1"/>
  <c r="DL23" i="28"/>
  <c r="FM23" i="28" s="1"/>
  <c r="DQ23" i="28"/>
  <c r="ED23" i="28" s="1"/>
  <c r="DR23" i="28"/>
  <c r="DS23" i="28"/>
  <c r="EP23" i="28" s="1"/>
  <c r="DT23" i="28"/>
  <c r="EV23" i="28" s="1"/>
  <c r="DU23" i="28"/>
  <c r="FB23" i="28" s="1"/>
  <c r="DV23" i="28"/>
  <c r="FH23" i="28" s="1"/>
  <c r="DW23" i="28"/>
  <c r="FN23" i="28" s="1"/>
  <c r="EC23" i="28"/>
  <c r="EI23" i="28"/>
  <c r="FA23" i="28"/>
  <c r="CU24" i="28"/>
  <c r="EB24" i="28" s="1"/>
  <c r="CV24" i="28"/>
  <c r="CW24" i="28"/>
  <c r="EN24" i="28" s="1"/>
  <c r="CX24" i="28"/>
  <c r="ET24" i="28" s="1"/>
  <c r="CY24" i="28"/>
  <c r="EZ24" i="28" s="1"/>
  <c r="CZ24" i="28"/>
  <c r="FF24" i="28" s="1"/>
  <c r="DA24" i="28"/>
  <c r="FL24" i="28" s="1"/>
  <c r="DF24" i="28"/>
  <c r="EC24" i="28" s="1"/>
  <c r="DG24" i="28"/>
  <c r="DH24" i="28"/>
  <c r="EO24" i="28" s="1"/>
  <c r="DI24" i="28"/>
  <c r="EU24" i="28" s="1"/>
  <c r="DJ24" i="28"/>
  <c r="DK24" i="28"/>
  <c r="FG24" i="28" s="1"/>
  <c r="DL24" i="28"/>
  <c r="FM24" i="28" s="1"/>
  <c r="DQ24" i="28"/>
  <c r="ED24" i="28" s="1"/>
  <c r="DR24" i="28"/>
  <c r="DS24" i="28"/>
  <c r="EP24" i="28" s="1"/>
  <c r="DT24" i="28"/>
  <c r="EV24" i="28" s="1"/>
  <c r="DU24" i="28"/>
  <c r="FB24" i="28" s="1"/>
  <c r="DV24" i="28"/>
  <c r="FH24" i="28" s="1"/>
  <c r="DW24" i="28"/>
  <c r="FN24" i="28" s="1"/>
  <c r="EH24" i="28"/>
  <c r="FA24" i="28"/>
  <c r="CU25" i="28"/>
  <c r="EB25" i="28" s="1"/>
  <c r="CV25" i="28"/>
  <c r="CW25" i="28"/>
  <c r="EN25" i="28" s="1"/>
  <c r="CX25" i="28"/>
  <c r="ET25" i="28" s="1"/>
  <c r="CY25" i="28"/>
  <c r="EZ25" i="28" s="1"/>
  <c r="CZ25" i="28"/>
  <c r="FF25" i="28" s="1"/>
  <c r="DA25" i="28"/>
  <c r="FL25" i="28" s="1"/>
  <c r="DF25" i="28"/>
  <c r="DG25" i="28"/>
  <c r="DH25" i="28"/>
  <c r="EO25" i="28" s="1"/>
  <c r="DI25" i="28"/>
  <c r="EU25" i="28" s="1"/>
  <c r="DJ25" i="28"/>
  <c r="DK25" i="28"/>
  <c r="FG25" i="28" s="1"/>
  <c r="DL25" i="28"/>
  <c r="FM25" i="28" s="1"/>
  <c r="DQ25" i="28"/>
  <c r="ED25" i="28" s="1"/>
  <c r="DR25" i="28"/>
  <c r="DS25" i="28"/>
  <c r="EP25" i="28" s="1"/>
  <c r="DT25" i="28"/>
  <c r="EV25" i="28" s="1"/>
  <c r="DU25" i="28"/>
  <c r="FB25" i="28" s="1"/>
  <c r="DV25" i="28"/>
  <c r="FH25" i="28" s="1"/>
  <c r="DW25" i="28"/>
  <c r="FN25" i="28" s="1"/>
  <c r="EC25" i="28"/>
  <c r="EI25" i="28"/>
  <c r="FA25" i="28"/>
  <c r="CU26" i="28"/>
  <c r="EB26" i="28" s="1"/>
  <c r="CV26" i="28"/>
  <c r="CW26" i="28"/>
  <c r="EN26" i="28" s="1"/>
  <c r="CX26" i="28"/>
  <c r="ET26" i="28" s="1"/>
  <c r="CY26" i="28"/>
  <c r="EZ26" i="28" s="1"/>
  <c r="CZ26" i="28"/>
  <c r="FF26" i="28" s="1"/>
  <c r="DA26" i="28"/>
  <c r="FL26" i="28" s="1"/>
  <c r="DF26" i="28"/>
  <c r="EC26" i="28" s="1"/>
  <c r="DG26" i="28"/>
  <c r="DH26" i="28"/>
  <c r="EO26" i="28" s="1"/>
  <c r="DI26" i="28"/>
  <c r="EU26" i="28" s="1"/>
  <c r="DJ26" i="28"/>
  <c r="FA26" i="28" s="1"/>
  <c r="DK26" i="28"/>
  <c r="FG26" i="28" s="1"/>
  <c r="DL26" i="28"/>
  <c r="FM26" i="28" s="1"/>
  <c r="DQ26" i="28"/>
  <c r="ED26" i="28" s="1"/>
  <c r="DR26" i="28"/>
  <c r="DS26" i="28"/>
  <c r="EP26" i="28" s="1"/>
  <c r="DT26" i="28"/>
  <c r="EV26" i="28" s="1"/>
  <c r="DU26" i="28"/>
  <c r="FB26" i="28" s="1"/>
  <c r="DV26" i="28"/>
  <c r="FH26" i="28" s="1"/>
  <c r="DW26" i="28"/>
  <c r="EH26" i="28"/>
  <c r="FN26" i="28"/>
  <c r="CU27" i="28"/>
  <c r="EB27" i="28" s="1"/>
  <c r="CV27" i="28"/>
  <c r="EH27" i="28" s="1"/>
  <c r="CW27" i="28"/>
  <c r="EN27" i="28" s="1"/>
  <c r="CX27" i="28"/>
  <c r="ET27" i="28" s="1"/>
  <c r="CY27" i="28"/>
  <c r="EZ27" i="28" s="1"/>
  <c r="CZ27" i="28"/>
  <c r="FF27" i="28" s="1"/>
  <c r="DA27" i="28"/>
  <c r="DF27" i="28"/>
  <c r="DG27" i="28"/>
  <c r="EI27" i="28" s="1"/>
  <c r="DH27" i="28"/>
  <c r="EO27" i="28" s="1"/>
  <c r="DI27" i="28"/>
  <c r="EU27" i="28" s="1"/>
  <c r="DJ27" i="28"/>
  <c r="FA27" i="28" s="1"/>
  <c r="DK27" i="28"/>
  <c r="FG27" i="28" s="1"/>
  <c r="DL27" i="28"/>
  <c r="FM27" i="28" s="1"/>
  <c r="DQ27" i="28"/>
  <c r="DR27" i="28"/>
  <c r="EJ27" i="28" s="1"/>
  <c r="DS27" i="28"/>
  <c r="EP27" i="28" s="1"/>
  <c r="DT27" i="28"/>
  <c r="EV27" i="28" s="1"/>
  <c r="DU27" i="28"/>
  <c r="FB27" i="28" s="1"/>
  <c r="DV27" i="28"/>
  <c r="FH27" i="28" s="1"/>
  <c r="DW27" i="28"/>
  <c r="FN27" i="28" s="1"/>
  <c r="FL27" i="28"/>
  <c r="CU28" i="28"/>
  <c r="CV28" i="28"/>
  <c r="EH28" i="28" s="1"/>
  <c r="CW28" i="28"/>
  <c r="EN28" i="28" s="1"/>
  <c r="CX28" i="28"/>
  <c r="ET28" i="28" s="1"/>
  <c r="CY28" i="28"/>
  <c r="EZ28" i="28" s="1"/>
  <c r="CZ28" i="28"/>
  <c r="FF28" i="28" s="1"/>
  <c r="DA28" i="28"/>
  <c r="DF28" i="28"/>
  <c r="EC28" i="28" s="1"/>
  <c r="DG28" i="28"/>
  <c r="EI28" i="28" s="1"/>
  <c r="DH28" i="28"/>
  <c r="EO28" i="28" s="1"/>
  <c r="DI28" i="28"/>
  <c r="EU28" i="28" s="1"/>
  <c r="DJ28" i="28"/>
  <c r="FA28" i="28" s="1"/>
  <c r="DK28" i="28"/>
  <c r="FG28" i="28" s="1"/>
  <c r="DL28" i="28"/>
  <c r="FM28" i="28" s="1"/>
  <c r="DQ28" i="28"/>
  <c r="ED28" i="28" s="1"/>
  <c r="DR28" i="28"/>
  <c r="DS28" i="28"/>
  <c r="DT28" i="28"/>
  <c r="EV28" i="28" s="1"/>
  <c r="DU28" i="28"/>
  <c r="FB28" i="28" s="1"/>
  <c r="DV28" i="28"/>
  <c r="FH28" i="28" s="1"/>
  <c r="DW28" i="28"/>
  <c r="FN28" i="28" s="1"/>
  <c r="EJ28" i="28"/>
  <c r="FL28" i="28"/>
  <c r="CU29" i="28"/>
  <c r="EB29" i="28" s="1"/>
  <c r="CV29" i="28"/>
  <c r="CW29" i="28"/>
  <c r="CX29" i="28"/>
  <c r="ET29" i="28" s="1"/>
  <c r="CY29" i="28"/>
  <c r="CZ29" i="28"/>
  <c r="FF29" i="28" s="1"/>
  <c r="DA29" i="28"/>
  <c r="FL29" i="28" s="1"/>
  <c r="DF29" i="28"/>
  <c r="EC29" i="28" s="1"/>
  <c r="DG29" i="28"/>
  <c r="DH29" i="28"/>
  <c r="EO29" i="28" s="1"/>
  <c r="DI29" i="28"/>
  <c r="EU29" i="28" s="1"/>
  <c r="DJ29" i="28"/>
  <c r="FA29" i="28" s="1"/>
  <c r="DK29" i="28"/>
  <c r="DL29" i="28"/>
  <c r="FM29" i="28" s="1"/>
  <c r="DQ29" i="28"/>
  <c r="ED29" i="28" s="1"/>
  <c r="DR29" i="28"/>
  <c r="EJ29" i="28" s="1"/>
  <c r="DS29" i="28"/>
  <c r="DT29" i="28"/>
  <c r="EV29" i="28" s="1"/>
  <c r="DU29" i="28"/>
  <c r="FB29" i="28" s="1"/>
  <c r="DV29" i="28"/>
  <c r="FH29" i="28" s="1"/>
  <c r="DW29" i="28"/>
  <c r="FN29" i="28" s="1"/>
  <c r="EH29" i="28"/>
  <c r="EI29" i="28"/>
  <c r="EP29" i="28"/>
  <c r="EZ29" i="28"/>
  <c r="FG29" i="28"/>
  <c r="CU30" i="28"/>
  <c r="CV30" i="28"/>
  <c r="EH30" i="28" s="1"/>
  <c r="CW30" i="28"/>
  <c r="CX30" i="28"/>
  <c r="CY30" i="28"/>
  <c r="EZ30" i="28" s="1"/>
  <c r="CZ30" i="28"/>
  <c r="FF30" i="28" s="1"/>
  <c r="DA30" i="28"/>
  <c r="FL30" i="28" s="1"/>
  <c r="DF30" i="28"/>
  <c r="EC30" i="28" s="1"/>
  <c r="DG30" i="28"/>
  <c r="EI30" i="28" s="1"/>
  <c r="DH30" i="28"/>
  <c r="EO30" i="28" s="1"/>
  <c r="DI30" i="28"/>
  <c r="EU30" i="28" s="1"/>
  <c r="DJ30" i="28"/>
  <c r="FA30" i="28" s="1"/>
  <c r="DK30" i="28"/>
  <c r="FG30" i="28" s="1"/>
  <c r="DL30" i="28"/>
  <c r="FM30" i="28" s="1"/>
  <c r="FO30" i="28" s="1"/>
  <c r="FP30" i="28" s="1"/>
  <c r="FQ30" i="28" s="1"/>
  <c r="FY30" i="28" s="1"/>
  <c r="DQ30" i="28"/>
  <c r="DR30" i="28"/>
  <c r="DS30" i="28"/>
  <c r="DT30" i="28"/>
  <c r="EV30" i="28" s="1"/>
  <c r="DU30" i="28"/>
  <c r="DV30" i="28"/>
  <c r="FH30" i="28" s="1"/>
  <c r="DW30" i="28"/>
  <c r="FN30" i="28" s="1"/>
  <c r="EB30" i="28"/>
  <c r="ED30" i="28"/>
  <c r="EJ30" i="28"/>
  <c r="EN30" i="28"/>
  <c r="ET30" i="28"/>
  <c r="FB30" i="28"/>
  <c r="CU31" i="28"/>
  <c r="EB31" i="28" s="1"/>
  <c r="CV31" i="28"/>
  <c r="EH31" i="28" s="1"/>
  <c r="CW31" i="28"/>
  <c r="CX31" i="28"/>
  <c r="CY31" i="28"/>
  <c r="EZ31" i="28" s="1"/>
  <c r="CZ31" i="28"/>
  <c r="FF31" i="28" s="1"/>
  <c r="DA31" i="28"/>
  <c r="FL31" i="28" s="1"/>
  <c r="DF31" i="28"/>
  <c r="EC31" i="28" s="1"/>
  <c r="DG31" i="28"/>
  <c r="EI31" i="28" s="1"/>
  <c r="DH31" i="28"/>
  <c r="DI31" i="28"/>
  <c r="EU31" i="28" s="1"/>
  <c r="DJ31" i="28"/>
  <c r="DK31" i="28"/>
  <c r="FG31" i="28" s="1"/>
  <c r="DL31" i="28"/>
  <c r="FM31" i="28" s="1"/>
  <c r="DQ31" i="28"/>
  <c r="ED31" i="28" s="1"/>
  <c r="DR31" i="28"/>
  <c r="DS31" i="28"/>
  <c r="DT31" i="28"/>
  <c r="EV31" i="28" s="1"/>
  <c r="DU31" i="28"/>
  <c r="FB31" i="28" s="1"/>
  <c r="FC31" i="28" s="1"/>
  <c r="FD31" i="28" s="1"/>
  <c r="FE31" i="28" s="1"/>
  <c r="FW31" i="28" s="1"/>
  <c r="DV31" i="28"/>
  <c r="FH31" i="28" s="1"/>
  <c r="DW31" i="28"/>
  <c r="FN31" i="28" s="1"/>
  <c r="EJ31" i="28"/>
  <c r="ET31" i="28"/>
  <c r="FA31" i="28"/>
  <c r="CU32" i="28"/>
  <c r="EB32" i="28" s="1"/>
  <c r="CV32" i="28"/>
  <c r="EH32" i="28" s="1"/>
  <c r="CW32" i="28"/>
  <c r="CX32" i="28"/>
  <c r="CY32" i="28"/>
  <c r="EZ32" i="28" s="1"/>
  <c r="CZ32" i="28"/>
  <c r="FF32" i="28" s="1"/>
  <c r="DA32" i="28"/>
  <c r="FL32" i="28" s="1"/>
  <c r="DF32" i="28"/>
  <c r="EC32" i="28" s="1"/>
  <c r="DG32" i="28"/>
  <c r="EI32" i="28" s="1"/>
  <c r="DH32" i="28"/>
  <c r="DI32" i="28"/>
  <c r="EU32" i="28" s="1"/>
  <c r="DJ32" i="28"/>
  <c r="FA32" i="28" s="1"/>
  <c r="DK32" i="28"/>
  <c r="FG32" i="28" s="1"/>
  <c r="DL32" i="28"/>
  <c r="FM32" i="28" s="1"/>
  <c r="DQ32" i="28"/>
  <c r="ED32" i="28" s="1"/>
  <c r="DR32" i="28"/>
  <c r="EJ32" i="28" s="1"/>
  <c r="DS32" i="28"/>
  <c r="EP32" i="28" s="1"/>
  <c r="DT32" i="28"/>
  <c r="EV32" i="28" s="1"/>
  <c r="DU32" i="28"/>
  <c r="FB32" i="28" s="1"/>
  <c r="DV32" i="28"/>
  <c r="DW32" i="28"/>
  <c r="FN32" i="28" s="1"/>
  <c r="ET32" i="28"/>
  <c r="FH32" i="28"/>
  <c r="CU33" i="28"/>
  <c r="CV33" i="28"/>
  <c r="EH33" i="28" s="1"/>
  <c r="CW33" i="28"/>
  <c r="EN33" i="28" s="1"/>
  <c r="CX33" i="28"/>
  <c r="ET33" i="28" s="1"/>
  <c r="CY33" i="28"/>
  <c r="EZ33" i="28" s="1"/>
  <c r="CZ33" i="28"/>
  <c r="FF33" i="28" s="1"/>
  <c r="DA33" i="28"/>
  <c r="FL33" i="28" s="1"/>
  <c r="DF33" i="28"/>
  <c r="EC33" i="28" s="1"/>
  <c r="DG33" i="28"/>
  <c r="EI33" i="28" s="1"/>
  <c r="DH33" i="28"/>
  <c r="EO33" i="28" s="1"/>
  <c r="DI33" i="28"/>
  <c r="DJ33" i="28"/>
  <c r="FA33" i="28" s="1"/>
  <c r="DK33" i="28"/>
  <c r="FG33" i="28" s="1"/>
  <c r="DL33" i="28"/>
  <c r="FM33" i="28" s="1"/>
  <c r="DQ33" i="28"/>
  <c r="DR33" i="28"/>
  <c r="EJ33" i="28" s="1"/>
  <c r="DS33" i="28"/>
  <c r="EP33" i="28" s="1"/>
  <c r="DT33" i="28"/>
  <c r="EV33" i="28" s="1"/>
  <c r="DU33" i="28"/>
  <c r="FB33" i="28" s="1"/>
  <c r="DV33" i="28"/>
  <c r="FH33" i="28" s="1"/>
  <c r="DW33" i="28"/>
  <c r="EB33" i="28"/>
  <c r="ED33" i="28"/>
  <c r="EU33" i="28"/>
  <c r="FN33" i="28"/>
  <c r="CU34" i="28"/>
  <c r="EB34" i="28" s="1"/>
  <c r="CV34" i="28"/>
  <c r="EH34" i="28" s="1"/>
  <c r="CW34" i="28"/>
  <c r="EN34" i="28" s="1"/>
  <c r="CX34" i="28"/>
  <c r="CY34" i="28"/>
  <c r="EZ34" i="28" s="1"/>
  <c r="CZ34" i="28"/>
  <c r="FF34" i="28" s="1"/>
  <c r="DA34" i="28"/>
  <c r="FL34" i="28" s="1"/>
  <c r="DF34" i="28"/>
  <c r="EC34" i="28" s="1"/>
  <c r="DG34" i="28"/>
  <c r="EI34" i="28" s="1"/>
  <c r="DH34" i="28"/>
  <c r="EO34" i="28" s="1"/>
  <c r="DI34" i="28"/>
  <c r="EU34" i="28" s="1"/>
  <c r="DJ34" i="28"/>
  <c r="FA34" i="28" s="1"/>
  <c r="DK34" i="28"/>
  <c r="FG34" i="28" s="1"/>
  <c r="DL34" i="28"/>
  <c r="FM34" i="28" s="1"/>
  <c r="DQ34" i="28"/>
  <c r="ED34" i="28" s="1"/>
  <c r="DR34" i="28"/>
  <c r="EJ34" i="28" s="1"/>
  <c r="DS34" i="28"/>
  <c r="EP34" i="28" s="1"/>
  <c r="DT34" i="28"/>
  <c r="EV34" i="28" s="1"/>
  <c r="DU34" i="28"/>
  <c r="FB34" i="28" s="1"/>
  <c r="DV34" i="28"/>
  <c r="DW34" i="28"/>
  <c r="FN34" i="28" s="1"/>
  <c r="ET34" i="28"/>
  <c r="FH34" i="28"/>
  <c r="CU35" i="28"/>
  <c r="EB35" i="28" s="1"/>
  <c r="CV35" i="28"/>
  <c r="EH35" i="28" s="1"/>
  <c r="CW35" i="28"/>
  <c r="EN35" i="28" s="1"/>
  <c r="CX35" i="28"/>
  <c r="ET35" i="28" s="1"/>
  <c r="CY35" i="28"/>
  <c r="EZ35" i="28" s="1"/>
  <c r="CZ35" i="28"/>
  <c r="FF35" i="28" s="1"/>
  <c r="DA35" i="28"/>
  <c r="FL35" i="28" s="1"/>
  <c r="DF35" i="28"/>
  <c r="DG35" i="28"/>
  <c r="EI35" i="28" s="1"/>
  <c r="DH35" i="28"/>
  <c r="EO35" i="28" s="1"/>
  <c r="DI35" i="28"/>
  <c r="EU35" i="28" s="1"/>
  <c r="DJ35" i="28"/>
  <c r="DK35" i="28"/>
  <c r="DL35" i="28"/>
  <c r="FM35" i="28" s="1"/>
  <c r="DQ35" i="28"/>
  <c r="ED35" i="28" s="1"/>
  <c r="DR35" i="28"/>
  <c r="EJ35" i="28" s="1"/>
  <c r="DS35" i="28"/>
  <c r="DT35" i="28"/>
  <c r="EV35" i="28" s="1"/>
  <c r="DU35" i="28"/>
  <c r="FB35" i="28" s="1"/>
  <c r="DV35" i="28"/>
  <c r="FH35" i="28" s="1"/>
  <c r="DW35" i="28"/>
  <c r="FN35" i="28" s="1"/>
  <c r="EC35" i="28"/>
  <c r="FA35" i="28"/>
  <c r="FG35" i="28"/>
  <c r="CU36" i="28"/>
  <c r="EB36" i="28" s="1"/>
  <c r="CV36" i="28"/>
  <c r="EH36" i="28" s="1"/>
  <c r="CW36" i="28"/>
  <c r="EN36" i="28" s="1"/>
  <c r="CX36" i="28"/>
  <c r="ET36" i="28" s="1"/>
  <c r="CY36" i="28"/>
  <c r="EZ36" i="28" s="1"/>
  <c r="CZ36" i="28"/>
  <c r="FF36" i="28" s="1"/>
  <c r="DA36" i="28"/>
  <c r="FL36" i="28" s="1"/>
  <c r="DF36" i="28"/>
  <c r="DG36" i="28"/>
  <c r="DH36" i="28"/>
  <c r="EO36" i="28" s="1"/>
  <c r="DI36" i="28"/>
  <c r="EU36" i="28" s="1"/>
  <c r="DJ36" i="28"/>
  <c r="FA36" i="28" s="1"/>
  <c r="DK36" i="28"/>
  <c r="FG36" i="28" s="1"/>
  <c r="DL36" i="28"/>
  <c r="FM36" i="28" s="1"/>
  <c r="DQ36" i="28"/>
  <c r="ED36" i="28" s="1"/>
  <c r="DR36" i="28"/>
  <c r="EJ36" i="28" s="1"/>
  <c r="DS36" i="28"/>
  <c r="EP36" i="28" s="1"/>
  <c r="DT36" i="28"/>
  <c r="EV36" i="28" s="1"/>
  <c r="DU36" i="28"/>
  <c r="FB36" i="28" s="1"/>
  <c r="DV36" i="28"/>
  <c r="FH36" i="28" s="1"/>
  <c r="DW36" i="28"/>
  <c r="EC36" i="28"/>
  <c r="EI36" i="28"/>
  <c r="FN36" i="28"/>
  <c r="CU37" i="28"/>
  <c r="EB37" i="28" s="1"/>
  <c r="CV37" i="28"/>
  <c r="EH37" i="28" s="1"/>
  <c r="CW37" i="28"/>
  <c r="CX37" i="28"/>
  <c r="ET37" i="28" s="1"/>
  <c r="CY37" i="28"/>
  <c r="CZ37" i="28"/>
  <c r="FF37" i="28" s="1"/>
  <c r="DA37" i="28"/>
  <c r="FL37" i="28" s="1"/>
  <c r="DF37" i="28"/>
  <c r="EC37" i="28" s="1"/>
  <c r="DG37" i="28"/>
  <c r="EI37" i="28" s="1"/>
  <c r="DH37" i="28"/>
  <c r="DI37" i="28"/>
  <c r="EU37" i="28" s="1"/>
  <c r="DJ37" i="28"/>
  <c r="FA37" i="28" s="1"/>
  <c r="DK37" i="28"/>
  <c r="DL37" i="28"/>
  <c r="FM37" i="28" s="1"/>
  <c r="DQ37" i="28"/>
  <c r="DR37" i="28"/>
  <c r="EJ37" i="28" s="1"/>
  <c r="DS37" i="28"/>
  <c r="DT37" i="28"/>
  <c r="EV37" i="28" s="1"/>
  <c r="DU37" i="28"/>
  <c r="FB37" i="28" s="1"/>
  <c r="DV37" i="28"/>
  <c r="FH37" i="28" s="1"/>
  <c r="DW37" i="28"/>
  <c r="FN37" i="28" s="1"/>
  <c r="ED37" i="28"/>
  <c r="EP37" i="28"/>
  <c r="EZ37" i="28"/>
  <c r="FG37" i="28"/>
  <c r="CU38" i="28"/>
  <c r="EB38" i="28" s="1"/>
  <c r="CV38" i="28"/>
  <c r="EH38" i="28" s="1"/>
  <c r="CW38" i="28"/>
  <c r="EN38" i="28" s="1"/>
  <c r="CX38" i="28"/>
  <c r="ET38" i="28" s="1"/>
  <c r="CY38" i="28"/>
  <c r="EZ38" i="28" s="1"/>
  <c r="CZ38" i="28"/>
  <c r="FF38" i="28" s="1"/>
  <c r="DA38" i="28"/>
  <c r="FL38" i="28" s="1"/>
  <c r="DF38" i="28"/>
  <c r="DG38" i="28"/>
  <c r="EI38" i="28" s="1"/>
  <c r="DH38" i="28"/>
  <c r="EO38" i="28" s="1"/>
  <c r="DI38" i="28"/>
  <c r="DJ38" i="28"/>
  <c r="FA38" i="28" s="1"/>
  <c r="DK38" i="28"/>
  <c r="DL38" i="28"/>
  <c r="FM38" i="28" s="1"/>
  <c r="DQ38" i="28"/>
  <c r="ED38" i="28" s="1"/>
  <c r="DR38" i="28"/>
  <c r="EJ38" i="28" s="1"/>
  <c r="DS38" i="28"/>
  <c r="EP38" i="28" s="1"/>
  <c r="DT38" i="28"/>
  <c r="DU38" i="28"/>
  <c r="FB38" i="28" s="1"/>
  <c r="DV38" i="28"/>
  <c r="FH38" i="28" s="1"/>
  <c r="DW38" i="28"/>
  <c r="FN38" i="28" s="1"/>
  <c r="EU38" i="28"/>
  <c r="EV38" i="28"/>
  <c r="FG38" i="28"/>
  <c r="CU39" i="28"/>
  <c r="CV39" i="28"/>
  <c r="EH39" i="28" s="1"/>
  <c r="CW39" i="28"/>
  <c r="EN39" i="28" s="1"/>
  <c r="CX39" i="28"/>
  <c r="ET39" i="28" s="1"/>
  <c r="CY39" i="28"/>
  <c r="EZ39" i="28" s="1"/>
  <c r="CZ39" i="28"/>
  <c r="FF39" i="28" s="1"/>
  <c r="DA39" i="28"/>
  <c r="FL39" i="28" s="1"/>
  <c r="DF39" i="28"/>
  <c r="DG39" i="28"/>
  <c r="DH39" i="28"/>
  <c r="EO39" i="28" s="1"/>
  <c r="DI39" i="28"/>
  <c r="DJ39" i="28"/>
  <c r="FA39" i="28" s="1"/>
  <c r="DK39" i="28"/>
  <c r="DL39" i="28"/>
  <c r="FM39" i="28" s="1"/>
  <c r="DQ39" i="28"/>
  <c r="DR39" i="28"/>
  <c r="EJ39" i="28" s="1"/>
  <c r="DS39" i="28"/>
  <c r="EP39" i="28" s="1"/>
  <c r="DT39" i="28"/>
  <c r="EV39" i="28" s="1"/>
  <c r="DU39" i="28"/>
  <c r="FB39" i="28" s="1"/>
  <c r="DV39" i="28"/>
  <c r="FH39" i="28" s="1"/>
  <c r="DW39" i="28"/>
  <c r="FN39" i="28" s="1"/>
  <c r="EB39" i="28"/>
  <c r="ED39" i="28"/>
  <c r="EI39" i="28"/>
  <c r="EU39" i="28"/>
  <c r="FG39" i="28"/>
  <c r="CU40" i="28"/>
  <c r="EB40" i="28" s="1"/>
  <c r="CV40" i="28"/>
  <c r="EH40" i="28" s="1"/>
  <c r="CW40" i="28"/>
  <c r="EN40" i="28" s="1"/>
  <c r="CX40" i="28"/>
  <c r="ET40" i="28" s="1"/>
  <c r="CY40" i="28"/>
  <c r="EZ40" i="28" s="1"/>
  <c r="CZ40" i="28"/>
  <c r="FF40" i="28" s="1"/>
  <c r="DA40" i="28"/>
  <c r="FL40" i="28" s="1"/>
  <c r="DF40" i="28"/>
  <c r="DG40" i="28"/>
  <c r="EI40" i="28" s="1"/>
  <c r="DH40" i="28"/>
  <c r="EO40" i="28" s="1"/>
  <c r="DI40" i="28"/>
  <c r="DJ40" i="28"/>
  <c r="FA40" i="28" s="1"/>
  <c r="DK40" i="28"/>
  <c r="DL40" i="28"/>
  <c r="FM40" i="28" s="1"/>
  <c r="DQ40" i="28"/>
  <c r="DR40" i="28"/>
  <c r="EJ40" i="28" s="1"/>
  <c r="DS40" i="28"/>
  <c r="EP40" i="28" s="1"/>
  <c r="DT40" i="28"/>
  <c r="DU40" i="28"/>
  <c r="FB40" i="28" s="1"/>
  <c r="DV40" i="28"/>
  <c r="FH40" i="28" s="1"/>
  <c r="DW40" i="28"/>
  <c r="FN40" i="28" s="1"/>
  <c r="ED40" i="28"/>
  <c r="EU40" i="28"/>
  <c r="EV40" i="28"/>
  <c r="FG40" i="28"/>
  <c r="CU41" i="28"/>
  <c r="EB41" i="28" s="1"/>
  <c r="CV41" i="28"/>
  <c r="EH41" i="28" s="1"/>
  <c r="CW41" i="28"/>
  <c r="EN41" i="28" s="1"/>
  <c r="CX41" i="28"/>
  <c r="ET41" i="28" s="1"/>
  <c r="CY41" i="28"/>
  <c r="CZ41" i="28"/>
  <c r="FF41" i="28" s="1"/>
  <c r="DA41" i="28"/>
  <c r="FL41" i="28" s="1"/>
  <c r="DF41" i="28"/>
  <c r="DG41" i="28"/>
  <c r="EI41" i="28" s="1"/>
  <c r="DH41" i="28"/>
  <c r="EO41" i="28" s="1"/>
  <c r="DI41" i="28"/>
  <c r="EU41" i="28" s="1"/>
  <c r="DJ41" i="28"/>
  <c r="FA41" i="28" s="1"/>
  <c r="DK41" i="28"/>
  <c r="FG41" i="28" s="1"/>
  <c r="DL41" i="28"/>
  <c r="FM41" i="28" s="1"/>
  <c r="DQ41" i="28"/>
  <c r="DR41" i="28"/>
  <c r="EJ41" i="28" s="1"/>
  <c r="DS41" i="28"/>
  <c r="EP41" i="28" s="1"/>
  <c r="DT41" i="28"/>
  <c r="EV41" i="28" s="1"/>
  <c r="DU41" i="28"/>
  <c r="FB41" i="28" s="1"/>
  <c r="DV41" i="28"/>
  <c r="FH41" i="28" s="1"/>
  <c r="DW41" i="28"/>
  <c r="FN41" i="28" s="1"/>
  <c r="ED41" i="28"/>
  <c r="EZ41" i="28"/>
  <c r="CU42" i="28"/>
  <c r="EB42" i="28" s="1"/>
  <c r="CV42" i="28"/>
  <c r="EH42" i="28" s="1"/>
  <c r="CW42" i="28"/>
  <c r="EN42" i="28" s="1"/>
  <c r="CX42" i="28"/>
  <c r="ET42" i="28" s="1"/>
  <c r="CY42" i="28"/>
  <c r="EZ42" i="28" s="1"/>
  <c r="CZ42" i="28"/>
  <c r="FF42" i="28" s="1"/>
  <c r="DA42" i="28"/>
  <c r="FL42" i="28" s="1"/>
  <c r="DF42" i="28"/>
  <c r="DG42" i="28"/>
  <c r="EI42" i="28" s="1"/>
  <c r="DH42" i="28"/>
  <c r="EO42" i="28" s="1"/>
  <c r="DI42" i="28"/>
  <c r="EU42" i="28" s="1"/>
  <c r="DJ42" i="28"/>
  <c r="FA42" i="28" s="1"/>
  <c r="DK42" i="28"/>
  <c r="DL42" i="28"/>
  <c r="FM42" i="28" s="1"/>
  <c r="DQ42" i="28"/>
  <c r="ED42" i="28" s="1"/>
  <c r="DR42" i="28"/>
  <c r="DS42" i="28"/>
  <c r="EP42" i="28" s="1"/>
  <c r="DT42" i="28"/>
  <c r="DU42" i="28"/>
  <c r="FB42" i="28" s="1"/>
  <c r="DV42" i="28"/>
  <c r="DW42" i="28"/>
  <c r="FN42" i="28" s="1"/>
  <c r="EJ42" i="28"/>
  <c r="EV42" i="28"/>
  <c r="FG42" i="28"/>
  <c r="FH42" i="28"/>
  <c r="GL6" i="28"/>
  <c r="HA6" i="28" s="1"/>
  <c r="DR8" i="28"/>
  <c r="DS8" i="28"/>
  <c r="EP8" i="28" s="1"/>
  <c r="DT8" i="28"/>
  <c r="EV8" i="28" s="1"/>
  <c r="DU8" i="28"/>
  <c r="FB8" i="28" s="1"/>
  <c r="DV8" i="28"/>
  <c r="FH8" i="28" s="1"/>
  <c r="DW8" i="28"/>
  <c r="FN8" i="28" s="1"/>
  <c r="DG8" i="28"/>
  <c r="EI8" i="28" s="1"/>
  <c r="DH8" i="28"/>
  <c r="DI8" i="28"/>
  <c r="EU8" i="28" s="1"/>
  <c r="DJ8" i="28"/>
  <c r="FA8" i="28" s="1"/>
  <c r="DK8" i="28"/>
  <c r="DL8" i="28"/>
  <c r="DQ8" i="28"/>
  <c r="DF8" i="28"/>
  <c r="EC8" i="28" s="1"/>
  <c r="CV8" i="28"/>
  <c r="CW8" i="28"/>
  <c r="EN8" i="28" s="1"/>
  <c r="CX8" i="28"/>
  <c r="ET8" i="28" s="1"/>
  <c r="CY8" i="28"/>
  <c r="CZ8" i="28"/>
  <c r="FF8" i="28" s="1"/>
  <c r="DA8" i="28"/>
  <c r="FL8" i="28" s="1"/>
  <c r="CU8" i="28"/>
  <c r="EB8" i="28" s="1"/>
  <c r="EO8" i="28"/>
  <c r="EJ8" i="28"/>
  <c r="FM8" i="28"/>
  <c r="FG8" i="28"/>
  <c r="HC6" i="28"/>
  <c r="HB6" i="28"/>
  <c r="EO8" i="27"/>
  <c r="FH8" i="27" s="1"/>
  <c r="EP8" i="27"/>
  <c r="EQ8" i="27"/>
  <c r="FT8" i="27" s="1"/>
  <c r="ER8" i="27"/>
  <c r="FZ8" i="27" s="1"/>
  <c r="ES8" i="27"/>
  <c r="GF8" i="27" s="1"/>
  <c r="ET8" i="27"/>
  <c r="GL8" i="27" s="1"/>
  <c r="GX8" i="27"/>
  <c r="EN8" i="27"/>
  <c r="FB8" i="27" s="1"/>
  <c r="EC8" i="27"/>
  <c r="FG8" i="27" s="1"/>
  <c r="ED8" i="27"/>
  <c r="EE8" i="27"/>
  <c r="FS8" i="27" s="1"/>
  <c r="EF8" i="27"/>
  <c r="FY8" i="27" s="1"/>
  <c r="EG8" i="27"/>
  <c r="GE8" i="27" s="1"/>
  <c r="EH8" i="27"/>
  <c r="GK8" i="27" s="1"/>
  <c r="GQ8" i="27"/>
  <c r="GW8" i="27"/>
  <c r="HC8" i="27"/>
  <c r="EB8" i="27"/>
  <c r="FA8" i="27" s="1"/>
  <c r="DQ8" i="27"/>
  <c r="FF8" i="27" s="1"/>
  <c r="DR8" i="27"/>
  <c r="FL8" i="27" s="1"/>
  <c r="DS8" i="27"/>
  <c r="FR8" i="27" s="1"/>
  <c r="DT8" i="27"/>
  <c r="FX8" i="27" s="1"/>
  <c r="DU8" i="27"/>
  <c r="GD8" i="27" s="1"/>
  <c r="DV8" i="27"/>
  <c r="GJ8" i="27" s="1"/>
  <c r="GP8" i="27"/>
  <c r="GV8" i="27"/>
  <c r="HB8" i="27"/>
  <c r="DP8" i="27"/>
  <c r="EZ8" i="27" s="1"/>
  <c r="GR8" i="27"/>
  <c r="HI8" i="27"/>
  <c r="HH8" i="27"/>
  <c r="J23" i="37" l="1"/>
  <c r="J24" i="37"/>
  <c r="J25" i="37"/>
  <c r="J26" i="37"/>
  <c r="J27" i="37"/>
  <c r="J28" i="37"/>
  <c r="J29" i="37"/>
  <c r="E25" i="37"/>
  <c r="E29" i="37"/>
  <c r="H24" i="37"/>
  <c r="H26" i="37"/>
  <c r="I23" i="37"/>
  <c r="I24" i="37"/>
  <c r="I25" i="37"/>
  <c r="I26" i="37"/>
  <c r="I27" i="37"/>
  <c r="I28" i="37"/>
  <c r="I29" i="37"/>
  <c r="FR34" i="7"/>
  <c r="FS34" i="7" s="1"/>
  <c r="FT34" i="7" s="1"/>
  <c r="GQ34" i="7" s="1"/>
  <c r="FI29" i="28"/>
  <c r="FJ29" i="28" s="1"/>
  <c r="FK29" i="28" s="1"/>
  <c r="FX29" i="28" s="1"/>
  <c r="EE36" i="28"/>
  <c r="EF36" i="28" s="1"/>
  <c r="EG36" i="28" s="1"/>
  <c r="FS36" i="28" s="1"/>
  <c r="EQ24" i="28"/>
  <c r="ER24" i="28" s="1"/>
  <c r="ES24" i="28" s="1"/>
  <c r="FU24" i="28" s="1"/>
  <c r="FO23" i="28"/>
  <c r="FP23" i="28" s="1"/>
  <c r="FQ23" i="28" s="1"/>
  <c r="FY23" i="28" s="1"/>
  <c r="EQ14" i="28"/>
  <c r="ER14" i="28" s="1"/>
  <c r="ES14" i="28" s="1"/>
  <c r="FU14" i="28" s="1"/>
  <c r="EE13" i="28"/>
  <c r="EF13" i="28" s="1"/>
  <c r="EG13" i="28" s="1"/>
  <c r="FS13" i="28" s="1"/>
  <c r="GD42" i="36"/>
  <c r="GE42" i="36" s="1"/>
  <c r="GF42" i="36" s="1"/>
  <c r="GS42" i="36" s="1"/>
  <c r="EV23" i="7"/>
  <c r="EK23" i="7"/>
  <c r="EZ20" i="36"/>
  <c r="FA20" i="36" s="1"/>
  <c r="FB20" i="36" s="1"/>
  <c r="GN20" i="36" s="1"/>
  <c r="DD20" i="36" s="1"/>
  <c r="EZ21" i="36"/>
  <c r="FA21" i="36" s="1"/>
  <c r="FB21" i="36" s="1"/>
  <c r="GN21" i="36" s="1"/>
  <c r="DD21" i="36" s="1"/>
  <c r="DZ15" i="7"/>
  <c r="EV20" i="7"/>
  <c r="EZ20" i="7"/>
  <c r="FA20" i="7" s="1"/>
  <c r="FB20" i="7" s="1"/>
  <c r="GN20" i="7" s="1"/>
  <c r="EV15" i="7"/>
  <c r="EK20" i="7"/>
  <c r="EK15" i="7"/>
  <c r="FL8" i="7"/>
  <c r="FM8" i="7" s="1"/>
  <c r="FN8" i="7" s="1"/>
  <c r="GP8" i="7" s="1"/>
  <c r="EW12" i="28"/>
  <c r="EX12" i="28" s="1"/>
  <c r="EY12" i="28" s="1"/>
  <c r="FV12" i="28" s="1"/>
  <c r="FL8" i="36"/>
  <c r="FM8" i="36" s="1"/>
  <c r="FN8" i="36" s="1"/>
  <c r="GP8" i="36" s="1"/>
  <c r="GJ8" i="36"/>
  <c r="GK8" i="36" s="1"/>
  <c r="GL8" i="36" s="1"/>
  <c r="GT8" i="36" s="1"/>
  <c r="DJ8" i="36" s="1"/>
  <c r="FX34" i="36"/>
  <c r="FY34" i="36" s="1"/>
  <c r="FZ34" i="36" s="1"/>
  <c r="GR34" i="36" s="1"/>
  <c r="FX30" i="36"/>
  <c r="FY30" i="36" s="1"/>
  <c r="FZ30" i="36" s="1"/>
  <c r="GR30" i="36" s="1"/>
  <c r="FR27" i="36"/>
  <c r="FS27" i="36" s="1"/>
  <c r="FT27" i="36" s="1"/>
  <c r="GQ27" i="36" s="1"/>
  <c r="FX20" i="36"/>
  <c r="FY20" i="36" s="1"/>
  <c r="FZ20" i="36" s="1"/>
  <c r="GR20" i="36" s="1"/>
  <c r="HJ20" i="25"/>
  <c r="HK20" i="25" s="1"/>
  <c r="HL20" i="25" s="1"/>
  <c r="IM20" i="25" s="1"/>
  <c r="EZ12" i="7"/>
  <c r="FA12" i="7" s="1"/>
  <c r="FB12" i="7" s="1"/>
  <c r="GN12" i="7" s="1"/>
  <c r="DE8" i="28"/>
  <c r="EW37" i="28"/>
  <c r="EX37" i="28" s="1"/>
  <c r="EY37" i="28" s="1"/>
  <c r="FV37" i="28" s="1"/>
  <c r="FC36" i="28"/>
  <c r="FD36" i="28" s="1"/>
  <c r="FE36" i="28" s="1"/>
  <c r="FW36" i="28" s="1"/>
  <c r="FI30" i="28"/>
  <c r="FJ30" i="28" s="1"/>
  <c r="FK30" i="28" s="1"/>
  <c r="FX30" i="28" s="1"/>
  <c r="EW29" i="28"/>
  <c r="EX29" i="28" s="1"/>
  <c r="EY29" i="28" s="1"/>
  <c r="FV29" i="28" s="1"/>
  <c r="EZ8" i="28"/>
  <c r="FI32" i="28"/>
  <c r="FJ32" i="28" s="1"/>
  <c r="FK32" i="28" s="1"/>
  <c r="FX32" i="28" s="1"/>
  <c r="FC30" i="28"/>
  <c r="FD30" i="28" s="1"/>
  <c r="FE30" i="28" s="1"/>
  <c r="FW30" i="28" s="1"/>
  <c r="FO25" i="28"/>
  <c r="FP25" i="28" s="1"/>
  <c r="FQ25" i="28" s="1"/>
  <c r="FY25" i="28" s="1"/>
  <c r="FO13" i="28"/>
  <c r="FP13" i="28" s="1"/>
  <c r="FQ13" i="28" s="1"/>
  <c r="FY13" i="28" s="1"/>
  <c r="EK10" i="28"/>
  <c r="EL10" i="28" s="1"/>
  <c r="EM10" i="28" s="1"/>
  <c r="FT10" i="28" s="1"/>
  <c r="FF35" i="36"/>
  <c r="FG35" i="36" s="1"/>
  <c r="FH35" i="36" s="1"/>
  <c r="GO35" i="36" s="1"/>
  <c r="GJ28" i="36"/>
  <c r="GK28" i="36" s="1"/>
  <c r="GL28" i="36" s="1"/>
  <c r="GT28" i="36" s="1"/>
  <c r="FX28" i="36"/>
  <c r="FY28" i="36" s="1"/>
  <c r="FZ28" i="36" s="1"/>
  <c r="GR28" i="36" s="1"/>
  <c r="GJ26" i="36"/>
  <c r="GK26" i="36" s="1"/>
  <c r="GL26" i="36" s="1"/>
  <c r="GT26" i="36" s="1"/>
  <c r="FL26" i="36"/>
  <c r="FM26" i="36" s="1"/>
  <c r="FN26" i="36" s="1"/>
  <c r="GP26" i="36" s="1"/>
  <c r="EZ22" i="36"/>
  <c r="FA22" i="36" s="1"/>
  <c r="FB22" i="36" s="1"/>
  <c r="GN22" i="36" s="1"/>
  <c r="FX18" i="36"/>
  <c r="FY18" i="36" s="1"/>
  <c r="FZ18" i="36" s="1"/>
  <c r="GR18" i="36" s="1"/>
  <c r="FX10" i="36"/>
  <c r="FY10" i="36" s="1"/>
  <c r="FZ10" i="36" s="1"/>
  <c r="GR10" i="36" s="1"/>
  <c r="GD9" i="36"/>
  <c r="GE9" i="36" s="1"/>
  <c r="GF9" i="36" s="1"/>
  <c r="GS9" i="36" s="1"/>
  <c r="FF9" i="36"/>
  <c r="FG9" i="36" s="1"/>
  <c r="FH9" i="36" s="1"/>
  <c r="GO9" i="36" s="1"/>
  <c r="HD32" i="34"/>
  <c r="HE32" i="34" s="1"/>
  <c r="HF32" i="34" s="1"/>
  <c r="IJ32" i="34" s="1"/>
  <c r="HD22" i="34"/>
  <c r="HE22" i="34" s="1"/>
  <c r="HF22" i="34" s="1"/>
  <c r="IJ22" i="34" s="1"/>
  <c r="HJ21" i="34"/>
  <c r="HK21" i="34" s="1"/>
  <c r="HL21" i="34" s="1"/>
  <c r="IK21" i="34" s="1"/>
  <c r="GX20" i="34"/>
  <c r="GY20" i="34" s="1"/>
  <c r="GZ20" i="34" s="1"/>
  <c r="II20" i="34" s="1"/>
  <c r="GL15" i="34"/>
  <c r="GM15" i="34" s="1"/>
  <c r="GN15" i="34" s="1"/>
  <c r="IG15" i="34" s="1"/>
  <c r="GR24" i="25"/>
  <c r="GS24" i="25" s="1"/>
  <c r="GT24" i="25" s="1"/>
  <c r="IJ24" i="25" s="1"/>
  <c r="GX9" i="25"/>
  <c r="GY9" i="25" s="1"/>
  <c r="GZ9" i="25" s="1"/>
  <c r="IK9" i="25" s="1"/>
  <c r="EK9" i="25" s="1"/>
  <c r="GD40" i="7"/>
  <c r="GE40" i="7" s="1"/>
  <c r="GF40" i="7" s="1"/>
  <c r="GS40" i="7" s="1"/>
  <c r="FF40" i="7"/>
  <c r="FG40" i="7" s="1"/>
  <c r="FH40" i="7" s="1"/>
  <c r="GO40" i="7" s="1"/>
  <c r="FX40" i="7"/>
  <c r="FY40" i="7" s="1"/>
  <c r="FZ40" i="7" s="1"/>
  <c r="GR40" i="7" s="1"/>
  <c r="EZ40" i="7"/>
  <c r="FA40" i="7" s="1"/>
  <c r="FB40" i="7" s="1"/>
  <c r="GN40" i="7" s="1"/>
  <c r="FR30" i="7"/>
  <c r="FS30" i="7" s="1"/>
  <c r="FT30" i="7" s="1"/>
  <c r="GQ30" i="7" s="1"/>
  <c r="FX27" i="7"/>
  <c r="FY27" i="7" s="1"/>
  <c r="FZ27" i="7" s="1"/>
  <c r="GR27" i="7" s="1"/>
  <c r="FX26" i="7"/>
  <c r="FY26" i="7" s="1"/>
  <c r="FZ26" i="7" s="1"/>
  <c r="GR26" i="7" s="1"/>
  <c r="FL25" i="7"/>
  <c r="FM25" i="7" s="1"/>
  <c r="FN25" i="7" s="1"/>
  <c r="GP25" i="7" s="1"/>
  <c r="FF19" i="7"/>
  <c r="FG19" i="7" s="1"/>
  <c r="FH19" i="7" s="1"/>
  <c r="GO19" i="7" s="1"/>
  <c r="EZ19" i="7"/>
  <c r="FA19" i="7" s="1"/>
  <c r="FB19" i="7" s="1"/>
  <c r="GN19" i="7" s="1"/>
  <c r="FR12" i="7"/>
  <c r="FS12" i="7" s="1"/>
  <c r="FT12" i="7" s="1"/>
  <c r="GQ12" i="7" s="1"/>
  <c r="FR9" i="7"/>
  <c r="FS9" i="7" s="1"/>
  <c r="FT9" i="7" s="1"/>
  <c r="GQ9" i="7" s="1"/>
  <c r="GL32" i="34"/>
  <c r="GM32" i="34" s="1"/>
  <c r="GN32" i="34" s="1"/>
  <c r="IG32" i="34" s="1"/>
  <c r="GL36" i="34"/>
  <c r="GM36" i="34" s="1"/>
  <c r="GN36" i="34" s="1"/>
  <c r="IG36" i="34" s="1"/>
  <c r="GX24" i="34"/>
  <c r="GY24" i="34" s="1"/>
  <c r="GZ24" i="34" s="1"/>
  <c r="II24" i="34" s="1"/>
  <c r="GL21" i="34"/>
  <c r="GM21" i="34" s="1"/>
  <c r="GN21" i="34" s="1"/>
  <c r="IG21" i="34" s="1"/>
  <c r="GF20" i="34"/>
  <c r="GG20" i="34" s="1"/>
  <c r="GH20" i="34" s="1"/>
  <c r="IF20" i="34" s="1"/>
  <c r="GR18" i="34"/>
  <c r="GS18" i="34" s="1"/>
  <c r="GT18" i="34" s="1"/>
  <c r="IH18" i="34" s="1"/>
  <c r="EJ18" i="34" s="1"/>
  <c r="GX16" i="34"/>
  <c r="GY16" i="34" s="1"/>
  <c r="GZ16" i="34" s="1"/>
  <c r="II16" i="34" s="1"/>
  <c r="GF11" i="34"/>
  <c r="GG11" i="34" s="1"/>
  <c r="GH11" i="34" s="1"/>
  <c r="IF11" i="34" s="1"/>
  <c r="EH11" i="34" s="1"/>
  <c r="GF10" i="34"/>
  <c r="GG10" i="34" s="1"/>
  <c r="GH10" i="34" s="1"/>
  <c r="IF10" i="34" s="1"/>
  <c r="EH10" i="34" s="1"/>
  <c r="GX33" i="34"/>
  <c r="GY33" i="34" s="1"/>
  <c r="GZ33" i="34" s="1"/>
  <c r="II33" i="34" s="1"/>
  <c r="HP20" i="34"/>
  <c r="HQ20" i="34" s="1"/>
  <c r="HR20" i="34" s="1"/>
  <c r="IL20" i="34" s="1"/>
  <c r="GX13" i="34"/>
  <c r="GY13" i="34" s="1"/>
  <c r="GZ13" i="34" s="1"/>
  <c r="II13" i="34" s="1"/>
  <c r="HD9" i="34"/>
  <c r="HE9" i="34" s="1"/>
  <c r="HF9" i="34" s="1"/>
  <c r="IJ9" i="34" s="1"/>
  <c r="GR24" i="34"/>
  <c r="GS24" i="34" s="1"/>
  <c r="GT24" i="34" s="1"/>
  <c r="IH24" i="34" s="1"/>
  <c r="GL14" i="34"/>
  <c r="GM14" i="34" s="1"/>
  <c r="GN14" i="34" s="1"/>
  <c r="IG14" i="34" s="1"/>
  <c r="GF9" i="34"/>
  <c r="GG9" i="34" s="1"/>
  <c r="GH9" i="34" s="1"/>
  <c r="IF9" i="34" s="1"/>
  <c r="DH10" i="27"/>
  <c r="DJ24" i="27"/>
  <c r="DF24" i="27"/>
  <c r="DI22" i="27"/>
  <c r="DD33" i="27"/>
  <c r="DF36" i="27"/>
  <c r="DF28" i="27"/>
  <c r="DF35" i="27"/>
  <c r="DJ33" i="27"/>
  <c r="DJ29" i="27"/>
  <c r="DG17" i="27"/>
  <c r="DF10" i="27"/>
  <c r="DJ9" i="27"/>
  <c r="DF9" i="27"/>
  <c r="DF30" i="27"/>
  <c r="DI20" i="27"/>
  <c r="DH11" i="27"/>
  <c r="HJ28" i="25"/>
  <c r="HK28" i="25" s="1"/>
  <c r="HL28" i="25" s="1"/>
  <c r="IM28" i="25" s="1"/>
  <c r="GR38" i="25"/>
  <c r="GS38" i="25" s="1"/>
  <c r="GT38" i="25" s="1"/>
  <c r="IJ38" i="25" s="1"/>
  <c r="HP31" i="25"/>
  <c r="HQ31" i="25" s="1"/>
  <c r="HR31" i="25" s="1"/>
  <c r="HJ26" i="25"/>
  <c r="HK26" i="25" s="1"/>
  <c r="HL26" i="25" s="1"/>
  <c r="GR18" i="25"/>
  <c r="GS18" i="25" s="1"/>
  <c r="GT18" i="25" s="1"/>
  <c r="GL15" i="25"/>
  <c r="GM15" i="25" s="1"/>
  <c r="GN15" i="25" s="1"/>
  <c r="II15" i="25" s="1"/>
  <c r="HJ11" i="25"/>
  <c r="HK11" i="25" s="1"/>
  <c r="HL11" i="25" s="1"/>
  <c r="GX10" i="25"/>
  <c r="GY10" i="25" s="1"/>
  <c r="GZ10" i="25" s="1"/>
  <c r="HP38" i="25"/>
  <c r="HQ38" i="25" s="1"/>
  <c r="HR38" i="25" s="1"/>
  <c r="IN38" i="25" s="1"/>
  <c r="HD28" i="25"/>
  <c r="HE28" i="25" s="1"/>
  <c r="HF28" i="25" s="1"/>
  <c r="IL28" i="25" s="1"/>
  <c r="GF25" i="25"/>
  <c r="GG25" i="25" s="1"/>
  <c r="GH25" i="25" s="1"/>
  <c r="HJ13" i="25"/>
  <c r="HK13" i="25" s="1"/>
  <c r="HL13" i="25" s="1"/>
  <c r="IM13" i="25" s="1"/>
  <c r="EM13" i="25" s="1"/>
  <c r="GX36" i="25"/>
  <c r="GY36" i="25" s="1"/>
  <c r="GZ36" i="25" s="1"/>
  <c r="IK36" i="25" s="1"/>
  <c r="GX29" i="25"/>
  <c r="GY29" i="25" s="1"/>
  <c r="GZ29" i="25" s="1"/>
  <c r="IK29" i="25" s="1"/>
  <c r="GF28" i="25"/>
  <c r="GG28" i="25" s="1"/>
  <c r="GH28" i="25" s="1"/>
  <c r="HJ21" i="25"/>
  <c r="HK21" i="25" s="1"/>
  <c r="HL21" i="25" s="1"/>
  <c r="IM21" i="25" s="1"/>
  <c r="GX30" i="25"/>
  <c r="GY30" i="25" s="1"/>
  <c r="GZ30" i="25" s="1"/>
  <c r="IK30" i="25" s="1"/>
  <c r="HD25" i="25"/>
  <c r="HE25" i="25" s="1"/>
  <c r="HF25" i="25" s="1"/>
  <c r="IL25" i="25" s="1"/>
  <c r="HP15" i="25"/>
  <c r="HQ15" i="25" s="1"/>
  <c r="HR15" i="25" s="1"/>
  <c r="CU2" i="28"/>
  <c r="DP2" i="36"/>
  <c r="EV2" i="34"/>
  <c r="BE2" i="26"/>
  <c r="EV2" i="25"/>
  <c r="DQ2" i="27"/>
  <c r="AW2" i="22"/>
  <c r="DQ2" i="19"/>
  <c r="DQ2" i="35"/>
  <c r="CD2" i="8"/>
  <c r="DQ2" i="21"/>
  <c r="DQ2" i="33"/>
  <c r="DP2" i="7"/>
  <c r="FQ2" i="20"/>
  <c r="DQ4" i="27"/>
  <c r="CU4" i="28"/>
  <c r="DP4" i="36"/>
  <c r="EV4" i="34"/>
  <c r="BE4" i="26"/>
  <c r="EV4" i="25"/>
  <c r="DP4" i="7"/>
  <c r="DQ3" i="27"/>
  <c r="CU3" i="28"/>
  <c r="DP3" i="36"/>
  <c r="EV3" i="34"/>
  <c r="BE3" i="26"/>
  <c r="EV3" i="25"/>
  <c r="DQ3" i="35"/>
  <c r="CD3" i="8"/>
  <c r="DQ3" i="33"/>
  <c r="DP3" i="7"/>
  <c r="FQ3" i="20"/>
  <c r="DQ3" i="21"/>
  <c r="AW3" i="22"/>
  <c r="DQ3" i="19"/>
  <c r="DH35" i="27"/>
  <c r="DI37" i="27"/>
  <c r="DH33" i="27"/>
  <c r="DJ31" i="27"/>
  <c r="DF31" i="27"/>
  <c r="DI11" i="27"/>
  <c r="DZ41" i="36"/>
  <c r="EW41" i="36"/>
  <c r="DZ40" i="36"/>
  <c r="DZ39" i="36"/>
  <c r="DZ34" i="36"/>
  <c r="EW34" i="36"/>
  <c r="EV32" i="36"/>
  <c r="DZ30" i="36"/>
  <c r="EW30" i="36"/>
  <c r="GC21" i="34"/>
  <c r="EK38" i="36"/>
  <c r="EX38" i="36"/>
  <c r="FX13" i="7"/>
  <c r="FY13" i="7" s="1"/>
  <c r="FZ13" i="7" s="1"/>
  <c r="GR13" i="7" s="1"/>
  <c r="DF33" i="27"/>
  <c r="DJ35" i="27"/>
  <c r="DH34" i="27"/>
  <c r="FI39" i="28"/>
  <c r="FJ39" i="28" s="1"/>
  <c r="FK39" i="28" s="1"/>
  <c r="FX39" i="28" s="1"/>
  <c r="EK39" i="28"/>
  <c r="EL39" i="28" s="1"/>
  <c r="EM39" i="28" s="1"/>
  <c r="FT39" i="28" s="1"/>
  <c r="FC22" i="28"/>
  <c r="FD22" i="28" s="1"/>
  <c r="FE22" i="28" s="1"/>
  <c r="FW22" i="28" s="1"/>
  <c r="EY32" i="36"/>
  <c r="EV28" i="36"/>
  <c r="DZ26" i="36"/>
  <c r="EW26" i="36"/>
  <c r="EZ26" i="36" s="1"/>
  <c r="FA26" i="36" s="1"/>
  <c r="FB26" i="36" s="1"/>
  <c r="GN26" i="36" s="1"/>
  <c r="DD37" i="27"/>
  <c r="FC8" i="27"/>
  <c r="FD8" i="27" s="1"/>
  <c r="DJ32" i="27"/>
  <c r="DF32" i="27"/>
  <c r="DH29" i="27"/>
  <c r="DJ26" i="27"/>
  <c r="DG22" i="27"/>
  <c r="FI41" i="28"/>
  <c r="FJ41" i="28" s="1"/>
  <c r="FK41" i="28" s="1"/>
  <c r="FX41" i="28" s="1"/>
  <c r="EK41" i="28"/>
  <c r="EL41" i="28" s="1"/>
  <c r="EM41" i="28" s="1"/>
  <c r="FT41" i="28" s="1"/>
  <c r="FL41" i="36"/>
  <c r="FM41" i="36" s="1"/>
  <c r="FN41" i="36" s="1"/>
  <c r="GP41" i="36" s="1"/>
  <c r="EX33" i="36"/>
  <c r="EZ33" i="36" s="1"/>
  <c r="FA33" i="36" s="1"/>
  <c r="FB33" i="36" s="1"/>
  <c r="GN33" i="36" s="1"/>
  <c r="EK33" i="36"/>
  <c r="DZ24" i="36"/>
  <c r="EW24" i="36"/>
  <c r="DJ25" i="27"/>
  <c r="DF25" i="27"/>
  <c r="DJ23" i="27"/>
  <c r="DF23" i="27"/>
  <c r="DG20" i="27"/>
  <c r="DD17" i="27"/>
  <c r="DE9" i="27"/>
  <c r="EA8" i="28"/>
  <c r="FI42" i="28"/>
  <c r="FJ42" i="28" s="1"/>
  <c r="FK42" i="28" s="1"/>
  <c r="FX42" i="28" s="1"/>
  <c r="EK42" i="28"/>
  <c r="EL42" i="28" s="1"/>
  <c r="EM42" i="28" s="1"/>
  <c r="FT42" i="28" s="1"/>
  <c r="FC34" i="28"/>
  <c r="FD34" i="28" s="1"/>
  <c r="FE34" i="28" s="1"/>
  <c r="FW34" i="28" s="1"/>
  <c r="EE33" i="28"/>
  <c r="EF33" i="28" s="1"/>
  <c r="EG33" i="28" s="1"/>
  <c r="FS33" i="28" s="1"/>
  <c r="EA33" i="28"/>
  <c r="EE29" i="28"/>
  <c r="EF29" i="28" s="1"/>
  <c r="EG29" i="28" s="1"/>
  <c r="FS29" i="28" s="1"/>
  <c r="FO29" i="28"/>
  <c r="FP29" i="28" s="1"/>
  <c r="FQ29" i="28" s="1"/>
  <c r="FY29" i="28" s="1"/>
  <c r="EE26" i="28"/>
  <c r="EF26" i="28" s="1"/>
  <c r="EG26" i="28" s="1"/>
  <c r="FS26" i="28" s="1"/>
  <c r="EW26" i="28"/>
  <c r="EX26" i="28" s="1"/>
  <c r="EY26" i="28" s="1"/>
  <c r="FV26" i="28" s="1"/>
  <c r="EW24" i="28"/>
  <c r="EX24" i="28" s="1"/>
  <c r="EY24" i="28" s="1"/>
  <c r="FV24" i="28" s="1"/>
  <c r="FO22" i="28"/>
  <c r="FP22" i="28" s="1"/>
  <c r="FQ22" i="28" s="1"/>
  <c r="FY22" i="28" s="1"/>
  <c r="EW22" i="28"/>
  <c r="EX22" i="28" s="1"/>
  <c r="EY22" i="28" s="1"/>
  <c r="FV22" i="28" s="1"/>
  <c r="FC21" i="28"/>
  <c r="FD21" i="28" s="1"/>
  <c r="FE21" i="28" s="1"/>
  <c r="FW21" i="28" s="1"/>
  <c r="EK18" i="28"/>
  <c r="EL18" i="28" s="1"/>
  <c r="EM18" i="28" s="1"/>
  <c r="FT18" i="28" s="1"/>
  <c r="FO15" i="28"/>
  <c r="FP15" i="28" s="1"/>
  <c r="FQ15" i="28" s="1"/>
  <c r="FY15" i="28" s="1"/>
  <c r="EQ15" i="28"/>
  <c r="ER15" i="28" s="1"/>
  <c r="ES15" i="28" s="1"/>
  <c r="FU15" i="28" s="1"/>
  <c r="FC14" i="28"/>
  <c r="FD14" i="28" s="1"/>
  <c r="FE14" i="28" s="1"/>
  <c r="FW14" i="28" s="1"/>
  <c r="FO14" i="28"/>
  <c r="FP14" i="28" s="1"/>
  <c r="FQ14" i="28" s="1"/>
  <c r="FY14" i="28" s="1"/>
  <c r="EW9" i="28"/>
  <c r="EX9" i="28" s="1"/>
  <c r="EY9" i="28" s="1"/>
  <c r="FV9" i="28" s="1"/>
  <c r="FF41" i="36"/>
  <c r="FG41" i="36" s="1"/>
  <c r="FH41" i="36" s="1"/>
  <c r="GO41" i="36" s="1"/>
  <c r="FX41" i="36"/>
  <c r="FY41" i="36" s="1"/>
  <c r="FZ41" i="36" s="1"/>
  <c r="GR41" i="36" s="1"/>
  <c r="EX41" i="36"/>
  <c r="EZ41" i="36" s="1"/>
  <c r="FA41" i="36" s="1"/>
  <c r="FB41" i="36" s="1"/>
  <c r="GN41" i="36" s="1"/>
  <c r="EK41" i="36"/>
  <c r="EK40" i="36"/>
  <c r="EK39" i="36"/>
  <c r="FX38" i="36"/>
  <c r="FY38" i="36" s="1"/>
  <c r="FZ38" i="36" s="1"/>
  <c r="GR38" i="36" s="1"/>
  <c r="DZ35" i="36"/>
  <c r="EX34" i="36"/>
  <c r="EZ34" i="36" s="1"/>
  <c r="FA34" i="36" s="1"/>
  <c r="FB34" i="36" s="1"/>
  <c r="GN34" i="36" s="1"/>
  <c r="EK34" i="36"/>
  <c r="EV33" i="36"/>
  <c r="FX31" i="36"/>
  <c r="FY31" i="36" s="1"/>
  <c r="FZ31" i="36" s="1"/>
  <c r="GR31" i="36" s="1"/>
  <c r="GJ31" i="36"/>
  <c r="GK31" i="36" s="1"/>
  <c r="GL31" i="36" s="1"/>
  <c r="GT31" i="36" s="1"/>
  <c r="DZ31" i="36"/>
  <c r="EX30" i="36"/>
  <c r="EZ30" i="36" s="1"/>
  <c r="FA30" i="36" s="1"/>
  <c r="FB30" i="36" s="1"/>
  <c r="GN30" i="36" s="1"/>
  <c r="EK30" i="36"/>
  <c r="DZ29" i="36"/>
  <c r="GJ27" i="36"/>
  <c r="GK27" i="36" s="1"/>
  <c r="GL27" i="36" s="1"/>
  <c r="GT27" i="36" s="1"/>
  <c r="DZ27" i="36"/>
  <c r="EW27" i="36"/>
  <c r="EK24" i="36"/>
  <c r="EX24" i="36"/>
  <c r="FX23" i="36"/>
  <c r="FY23" i="36" s="1"/>
  <c r="FZ23" i="36" s="1"/>
  <c r="GR23" i="36" s="1"/>
  <c r="DZ23" i="36"/>
  <c r="EW23" i="36"/>
  <c r="FX22" i="36"/>
  <c r="FY22" i="36" s="1"/>
  <c r="FZ22" i="36" s="1"/>
  <c r="GR22" i="36" s="1"/>
  <c r="DZ21" i="36"/>
  <c r="GJ19" i="36"/>
  <c r="GK19" i="36" s="1"/>
  <c r="GL19" i="36" s="1"/>
  <c r="GT19" i="36" s="1"/>
  <c r="GD14" i="36"/>
  <c r="GE14" i="36" s="1"/>
  <c r="GF14" i="36" s="1"/>
  <c r="GS14" i="36" s="1"/>
  <c r="FF14" i="36"/>
  <c r="FG14" i="36" s="1"/>
  <c r="FH14" i="36" s="1"/>
  <c r="GO14" i="36" s="1"/>
  <c r="FR13" i="36"/>
  <c r="FS13" i="36" s="1"/>
  <c r="FT13" i="36" s="1"/>
  <c r="GQ13" i="36" s="1"/>
  <c r="FL11" i="36"/>
  <c r="FM11" i="36" s="1"/>
  <c r="FN11" i="36" s="1"/>
  <c r="GP11" i="36" s="1"/>
  <c r="GF14" i="34"/>
  <c r="GG14" i="34" s="1"/>
  <c r="GH14" i="34" s="1"/>
  <c r="IF14" i="34" s="1"/>
  <c r="EH14" i="34" s="1"/>
  <c r="DG15" i="27"/>
  <c r="DH12" i="27"/>
  <c r="DE11" i="27"/>
  <c r="DI9" i="27"/>
  <c r="FI40" i="28"/>
  <c r="FJ40" i="28" s="1"/>
  <c r="FK40" i="28" s="1"/>
  <c r="FX40" i="28" s="1"/>
  <c r="EK40" i="28"/>
  <c r="EL40" i="28" s="1"/>
  <c r="EM40" i="28" s="1"/>
  <c r="FT40" i="28" s="1"/>
  <c r="FI38" i="28"/>
  <c r="FJ38" i="28" s="1"/>
  <c r="FK38" i="28" s="1"/>
  <c r="FX38" i="28" s="1"/>
  <c r="EK38" i="28"/>
  <c r="EL38" i="28" s="1"/>
  <c r="EM38" i="28" s="1"/>
  <c r="FT38" i="28" s="1"/>
  <c r="EQ36" i="28"/>
  <c r="ER36" i="28" s="1"/>
  <c r="ES36" i="28" s="1"/>
  <c r="FU36" i="28" s="1"/>
  <c r="DP36" i="28"/>
  <c r="FC35" i="28"/>
  <c r="FD35" i="28" s="1"/>
  <c r="FE35" i="28" s="1"/>
  <c r="FW35" i="28" s="1"/>
  <c r="EE35" i="28"/>
  <c r="EF35" i="28" s="1"/>
  <c r="EG35" i="28" s="1"/>
  <c r="FS35" i="28" s="1"/>
  <c r="EE31" i="28"/>
  <c r="EF31" i="28" s="1"/>
  <c r="EG31" i="28" s="1"/>
  <c r="FS31" i="28" s="1"/>
  <c r="FO17" i="28"/>
  <c r="FP17" i="28" s="1"/>
  <c r="FQ17" i="28" s="1"/>
  <c r="FY17" i="28" s="1"/>
  <c r="EV41" i="36"/>
  <c r="GJ41" i="36"/>
  <c r="GK41" i="36" s="1"/>
  <c r="GL41" i="36" s="1"/>
  <c r="GT41" i="36" s="1"/>
  <c r="EZ39" i="36"/>
  <c r="FA39" i="36" s="1"/>
  <c r="FB39" i="36" s="1"/>
  <c r="GN39" i="36" s="1"/>
  <c r="EZ38" i="36"/>
  <c r="FA38" i="36" s="1"/>
  <c r="FB38" i="36" s="1"/>
  <c r="GN38" i="36" s="1"/>
  <c r="DZ37" i="36"/>
  <c r="EW37" i="36"/>
  <c r="FX35" i="36"/>
  <c r="FY35" i="36" s="1"/>
  <c r="FZ35" i="36" s="1"/>
  <c r="GR35" i="36" s="1"/>
  <c r="EX35" i="36"/>
  <c r="EZ35" i="36" s="1"/>
  <c r="FA35" i="36" s="1"/>
  <c r="FB35" i="36" s="1"/>
  <c r="GN35" i="36" s="1"/>
  <c r="EK35" i="36"/>
  <c r="GD34" i="36"/>
  <c r="GE34" i="36" s="1"/>
  <c r="GF34" i="36" s="1"/>
  <c r="GS34" i="36" s="1"/>
  <c r="EV34" i="36"/>
  <c r="FX32" i="36"/>
  <c r="FY32" i="36" s="1"/>
  <c r="FZ32" i="36" s="1"/>
  <c r="GR32" i="36" s="1"/>
  <c r="GJ32" i="36"/>
  <c r="GK32" i="36" s="1"/>
  <c r="GL32" i="36" s="1"/>
  <c r="GT32" i="36" s="1"/>
  <c r="DZ32" i="36"/>
  <c r="EX31" i="36"/>
  <c r="EZ31" i="36" s="1"/>
  <c r="FA31" i="36" s="1"/>
  <c r="FB31" i="36" s="1"/>
  <c r="GN31" i="36" s="1"/>
  <c r="EK31" i="36"/>
  <c r="EV30" i="36"/>
  <c r="FX29" i="36"/>
  <c r="FY29" i="36" s="1"/>
  <c r="FZ29" i="36" s="1"/>
  <c r="GR29" i="36" s="1"/>
  <c r="EX29" i="36"/>
  <c r="EZ29" i="36" s="1"/>
  <c r="FA29" i="36" s="1"/>
  <c r="FB29" i="36" s="1"/>
  <c r="GN29" i="36" s="1"/>
  <c r="EK29" i="36"/>
  <c r="DZ28" i="36"/>
  <c r="FX27" i="36"/>
  <c r="FY27" i="36" s="1"/>
  <c r="FZ27" i="36" s="1"/>
  <c r="GR27" i="36" s="1"/>
  <c r="EK27" i="36"/>
  <c r="EX27" i="36"/>
  <c r="EK23" i="36"/>
  <c r="EX23" i="36"/>
  <c r="EV22" i="36"/>
  <c r="FE22" i="36"/>
  <c r="DZ20" i="36"/>
  <c r="FR14" i="36"/>
  <c r="FS14" i="36" s="1"/>
  <c r="FT14" i="36" s="1"/>
  <c r="GQ14" i="36" s="1"/>
  <c r="DD29" i="27"/>
  <c r="DH28" i="27"/>
  <c r="DJ22" i="27"/>
  <c r="DE18" i="27"/>
  <c r="DI18" i="27"/>
  <c r="DJ17" i="27"/>
  <c r="DI13" i="27"/>
  <c r="FI35" i="28"/>
  <c r="FJ35" i="28" s="1"/>
  <c r="FK35" i="28" s="1"/>
  <c r="FX35" i="28" s="1"/>
  <c r="EK35" i="28"/>
  <c r="EL35" i="28" s="1"/>
  <c r="EM35" i="28" s="1"/>
  <c r="FT35" i="28" s="1"/>
  <c r="FO34" i="28"/>
  <c r="FP34" i="28" s="1"/>
  <c r="FQ34" i="28" s="1"/>
  <c r="FY34" i="28" s="1"/>
  <c r="EQ33" i="28"/>
  <c r="ER33" i="28" s="1"/>
  <c r="ES33" i="28" s="1"/>
  <c r="FU33" i="28" s="1"/>
  <c r="DE33" i="28"/>
  <c r="EE32" i="28"/>
  <c r="EF32" i="28" s="1"/>
  <c r="EG32" i="28" s="1"/>
  <c r="FS32" i="28" s="1"/>
  <c r="FI31" i="28"/>
  <c r="FJ31" i="28" s="1"/>
  <c r="FK31" i="28" s="1"/>
  <c r="FX31" i="28" s="1"/>
  <c r="EK31" i="28"/>
  <c r="EL31" i="28" s="1"/>
  <c r="EM31" i="28" s="1"/>
  <c r="FT31" i="28" s="1"/>
  <c r="FI28" i="28"/>
  <c r="FJ28" i="28" s="1"/>
  <c r="FK28" i="28" s="1"/>
  <c r="FX28" i="28" s="1"/>
  <c r="EQ17" i="28"/>
  <c r="ER17" i="28" s="1"/>
  <c r="ES17" i="28" s="1"/>
  <c r="FU17" i="28" s="1"/>
  <c r="FI12" i="28"/>
  <c r="FJ12" i="28" s="1"/>
  <c r="FK12" i="28" s="1"/>
  <c r="FX12" i="28" s="1"/>
  <c r="EV8" i="36"/>
  <c r="FX40" i="36"/>
  <c r="FY40" i="36" s="1"/>
  <c r="FZ40" i="36" s="1"/>
  <c r="GR40" i="36" s="1"/>
  <c r="EZ40" i="36"/>
  <c r="FA40" i="36" s="1"/>
  <c r="FB40" i="36" s="1"/>
  <c r="GN40" i="36" s="1"/>
  <c r="EK37" i="36"/>
  <c r="EV35" i="36"/>
  <c r="FX33" i="36"/>
  <c r="FY33" i="36" s="1"/>
  <c r="FZ33" i="36" s="1"/>
  <c r="GR33" i="36" s="1"/>
  <c r="GJ33" i="36"/>
  <c r="GK33" i="36" s="1"/>
  <c r="GL33" i="36" s="1"/>
  <c r="GT33" i="36" s="1"/>
  <c r="DZ33" i="36"/>
  <c r="EX32" i="36"/>
  <c r="EZ32" i="36" s="1"/>
  <c r="FA32" i="36" s="1"/>
  <c r="FB32" i="36" s="1"/>
  <c r="GN32" i="36" s="1"/>
  <c r="EK32" i="36"/>
  <c r="EV31" i="36"/>
  <c r="EV29" i="36"/>
  <c r="EX28" i="36"/>
  <c r="EZ28" i="36" s="1"/>
  <c r="FA28" i="36" s="1"/>
  <c r="FB28" i="36" s="1"/>
  <c r="GN28" i="36" s="1"/>
  <c r="EK28" i="36"/>
  <c r="FF26" i="36"/>
  <c r="FG26" i="36" s="1"/>
  <c r="FH26" i="36" s="1"/>
  <c r="GO26" i="36" s="1"/>
  <c r="FR16" i="36"/>
  <c r="FS16" i="36" s="1"/>
  <c r="FT16" i="36" s="1"/>
  <c r="GQ16" i="36" s="1"/>
  <c r="HP32" i="34"/>
  <c r="HQ32" i="34" s="1"/>
  <c r="HR32" i="34" s="1"/>
  <c r="IL32" i="34" s="1"/>
  <c r="GR17" i="34"/>
  <c r="GS17" i="34" s="1"/>
  <c r="GT17" i="34" s="1"/>
  <c r="IH17" i="34" s="1"/>
  <c r="GX38" i="34"/>
  <c r="GY38" i="34" s="1"/>
  <c r="GZ38" i="34" s="1"/>
  <c r="II38" i="34" s="1"/>
  <c r="GR38" i="34"/>
  <c r="GS38" i="34" s="1"/>
  <c r="GT38" i="34" s="1"/>
  <c r="IH38" i="34" s="1"/>
  <c r="HJ37" i="34"/>
  <c r="HK37" i="34" s="1"/>
  <c r="HL37" i="34" s="1"/>
  <c r="IK37" i="34" s="1"/>
  <c r="GL37" i="34"/>
  <c r="GM37" i="34" s="1"/>
  <c r="GN37" i="34" s="1"/>
  <c r="IG37" i="34" s="1"/>
  <c r="GL35" i="34"/>
  <c r="GM35" i="34" s="1"/>
  <c r="GN35" i="34" s="1"/>
  <c r="IG35" i="34" s="1"/>
  <c r="GX34" i="34"/>
  <c r="GY34" i="34" s="1"/>
  <c r="GZ34" i="34" s="1"/>
  <c r="II34" i="34" s="1"/>
  <c r="HP33" i="34"/>
  <c r="HQ33" i="34" s="1"/>
  <c r="HR33" i="34" s="1"/>
  <c r="IL33" i="34" s="1"/>
  <c r="GC23" i="34"/>
  <c r="GF23" i="34" s="1"/>
  <c r="GG23" i="34" s="1"/>
  <c r="GH23" i="34" s="1"/>
  <c r="IF23" i="34" s="1"/>
  <c r="HD21" i="34"/>
  <c r="HE21" i="34" s="1"/>
  <c r="HF21" i="34" s="1"/>
  <c r="IJ21" i="34" s="1"/>
  <c r="GD21" i="34"/>
  <c r="HD18" i="34"/>
  <c r="HE18" i="34" s="1"/>
  <c r="HF18" i="34" s="1"/>
  <c r="IJ18" i="34" s="1"/>
  <c r="GC18" i="34"/>
  <c r="EW10" i="28"/>
  <c r="EX10" i="28" s="1"/>
  <c r="EY10" i="28" s="1"/>
  <c r="FV10" i="28" s="1"/>
  <c r="EQ10" i="28"/>
  <c r="ER10" i="28" s="1"/>
  <c r="ES10" i="28" s="1"/>
  <c r="FU10" i="28" s="1"/>
  <c r="CK10" i="28" s="1"/>
  <c r="FX42" i="36"/>
  <c r="FY42" i="36" s="1"/>
  <c r="FZ42" i="36" s="1"/>
  <c r="GR42" i="36" s="1"/>
  <c r="FR42" i="36"/>
  <c r="FS42" i="36" s="1"/>
  <c r="FT42" i="36" s="1"/>
  <c r="GQ42" i="36" s="1"/>
  <c r="GJ39" i="36"/>
  <c r="GK39" i="36" s="1"/>
  <c r="GL39" i="36" s="1"/>
  <c r="GT39" i="36" s="1"/>
  <c r="FL39" i="36"/>
  <c r="FM39" i="36" s="1"/>
  <c r="FN39" i="36" s="1"/>
  <c r="GP39" i="36" s="1"/>
  <c r="DZ38" i="36"/>
  <c r="GJ37" i="36"/>
  <c r="GK37" i="36" s="1"/>
  <c r="GL37" i="36" s="1"/>
  <c r="GT37" i="36" s="1"/>
  <c r="FL37" i="36"/>
  <c r="FM37" i="36" s="1"/>
  <c r="FN37" i="36" s="1"/>
  <c r="GP37" i="36" s="1"/>
  <c r="FF37" i="36"/>
  <c r="FG37" i="36" s="1"/>
  <c r="FH37" i="36" s="1"/>
  <c r="GO37" i="36" s="1"/>
  <c r="FL36" i="36"/>
  <c r="FM36" i="36" s="1"/>
  <c r="FN36" i="36" s="1"/>
  <c r="GP36" i="36" s="1"/>
  <c r="FL27" i="36"/>
  <c r="FM27" i="36" s="1"/>
  <c r="FN27" i="36" s="1"/>
  <c r="GP27" i="36" s="1"/>
  <c r="EK26" i="36"/>
  <c r="DZ22" i="36"/>
  <c r="EK21" i="36"/>
  <c r="EK20" i="36"/>
  <c r="FF15" i="36"/>
  <c r="FG15" i="36" s="1"/>
  <c r="FH15" i="36" s="1"/>
  <c r="GO15" i="36" s="1"/>
  <c r="GD12" i="36"/>
  <c r="GE12" i="36" s="1"/>
  <c r="GF12" i="36" s="1"/>
  <c r="GS12" i="36" s="1"/>
  <c r="FX12" i="36"/>
  <c r="FY12" i="36" s="1"/>
  <c r="FZ12" i="36" s="1"/>
  <c r="GR12" i="36" s="1"/>
  <c r="EZ12" i="36"/>
  <c r="FA12" i="36" s="1"/>
  <c r="FB12" i="36" s="1"/>
  <c r="GN12" i="36" s="1"/>
  <c r="GD11" i="36"/>
  <c r="GE11" i="36" s="1"/>
  <c r="GF11" i="36" s="1"/>
  <c r="GS11" i="36" s="1"/>
  <c r="GL38" i="34"/>
  <c r="GM38" i="34" s="1"/>
  <c r="GN38" i="34" s="1"/>
  <c r="IG38" i="34" s="1"/>
  <c r="HD33" i="34"/>
  <c r="HE33" i="34" s="1"/>
  <c r="HF33" i="34" s="1"/>
  <c r="IJ33" i="34" s="1"/>
  <c r="GR25" i="34"/>
  <c r="GS25" i="34" s="1"/>
  <c r="GT25" i="34" s="1"/>
  <c r="IH25" i="34" s="1"/>
  <c r="GD18" i="34"/>
  <c r="HP16" i="34"/>
  <c r="HQ16" i="34" s="1"/>
  <c r="HR16" i="34" s="1"/>
  <c r="IL16" i="34" s="1"/>
  <c r="GX15" i="34"/>
  <c r="GY15" i="34" s="1"/>
  <c r="GZ15" i="34" s="1"/>
  <c r="II15" i="34" s="1"/>
  <c r="FX26" i="36"/>
  <c r="FY26" i="36" s="1"/>
  <c r="FZ26" i="36" s="1"/>
  <c r="GR26" i="36" s="1"/>
  <c r="DZ25" i="36"/>
  <c r="GJ24" i="36"/>
  <c r="GK24" i="36" s="1"/>
  <c r="GL24" i="36" s="1"/>
  <c r="GT24" i="36" s="1"/>
  <c r="FL24" i="36"/>
  <c r="FM24" i="36" s="1"/>
  <c r="FN24" i="36" s="1"/>
  <c r="GP24" i="36" s="1"/>
  <c r="FF24" i="36"/>
  <c r="FG24" i="36" s="1"/>
  <c r="FH24" i="36" s="1"/>
  <c r="GO24" i="36" s="1"/>
  <c r="EK22" i="36"/>
  <c r="FX21" i="36"/>
  <c r="FY21" i="36" s="1"/>
  <c r="FZ21" i="36" s="1"/>
  <c r="GR21" i="36" s="1"/>
  <c r="EV21" i="36"/>
  <c r="EV20" i="36"/>
  <c r="GJ15" i="36"/>
  <c r="GK15" i="36" s="1"/>
  <c r="GL15" i="36" s="1"/>
  <c r="GT15" i="36" s="1"/>
  <c r="FX13" i="36"/>
  <c r="FY13" i="36" s="1"/>
  <c r="FZ13" i="36" s="1"/>
  <c r="GR13" i="36" s="1"/>
  <c r="EZ9" i="36"/>
  <c r="FA9" i="36" s="1"/>
  <c r="FB9" i="36" s="1"/>
  <c r="GN9" i="36" s="1"/>
  <c r="DD9" i="36" s="1"/>
  <c r="FR9" i="36"/>
  <c r="FS9" i="36" s="1"/>
  <c r="FT9" i="36" s="1"/>
  <c r="GQ9" i="36" s="1"/>
  <c r="HJ42" i="34"/>
  <c r="HK42" i="34" s="1"/>
  <c r="HL42" i="34" s="1"/>
  <c r="IK42" i="34" s="1"/>
  <c r="HJ41" i="34"/>
  <c r="HK41" i="34" s="1"/>
  <c r="HL41" i="34" s="1"/>
  <c r="IK41" i="34" s="1"/>
  <c r="HJ40" i="34"/>
  <c r="HK40" i="34" s="1"/>
  <c r="HL40" i="34" s="1"/>
  <c r="IK40" i="34" s="1"/>
  <c r="HJ39" i="34"/>
  <c r="HK39" i="34" s="1"/>
  <c r="HL39" i="34" s="1"/>
  <c r="IK39" i="34" s="1"/>
  <c r="GL34" i="34"/>
  <c r="GM34" i="34" s="1"/>
  <c r="GN34" i="34" s="1"/>
  <c r="IG34" i="34" s="1"/>
  <c r="HD30" i="34"/>
  <c r="HE30" i="34" s="1"/>
  <c r="HF30" i="34" s="1"/>
  <c r="IJ30" i="34" s="1"/>
  <c r="HJ27" i="34"/>
  <c r="HK27" i="34" s="1"/>
  <c r="HL27" i="34" s="1"/>
  <c r="IK27" i="34" s="1"/>
  <c r="GR26" i="34"/>
  <c r="GS26" i="34" s="1"/>
  <c r="GT26" i="34" s="1"/>
  <c r="IH26" i="34" s="1"/>
  <c r="HP23" i="34"/>
  <c r="HQ23" i="34" s="1"/>
  <c r="HR23" i="34" s="1"/>
  <c r="IL23" i="34" s="1"/>
  <c r="HD20" i="34"/>
  <c r="HE20" i="34" s="1"/>
  <c r="HF20" i="34" s="1"/>
  <c r="IJ20" i="34" s="1"/>
  <c r="HP19" i="34"/>
  <c r="HQ19" i="34" s="1"/>
  <c r="HR19" i="34" s="1"/>
  <c r="IL19" i="34" s="1"/>
  <c r="HP18" i="34"/>
  <c r="HQ18" i="34" s="1"/>
  <c r="HR18" i="34" s="1"/>
  <c r="IL18" i="34" s="1"/>
  <c r="HP17" i="34"/>
  <c r="HQ17" i="34" s="1"/>
  <c r="HR17" i="34" s="1"/>
  <c r="IL17" i="34" s="1"/>
  <c r="HD11" i="34"/>
  <c r="HE11" i="34" s="1"/>
  <c r="HF11" i="34" s="1"/>
  <c r="IJ11" i="34" s="1"/>
  <c r="GL16" i="34"/>
  <c r="GM16" i="34" s="1"/>
  <c r="GN16" i="34" s="1"/>
  <c r="IG16" i="34" s="1"/>
  <c r="GX27" i="25"/>
  <c r="GY27" i="25" s="1"/>
  <c r="GZ27" i="25" s="1"/>
  <c r="IK27" i="25" s="1"/>
  <c r="HP18" i="25"/>
  <c r="HQ18" i="25" s="1"/>
  <c r="HR18" i="25" s="1"/>
  <c r="IN18" i="25" s="1"/>
  <c r="FR41" i="7"/>
  <c r="FS41" i="7" s="1"/>
  <c r="FT41" i="7" s="1"/>
  <c r="GQ41" i="7" s="1"/>
  <c r="HJ23" i="34"/>
  <c r="HK23" i="34" s="1"/>
  <c r="HL23" i="34" s="1"/>
  <c r="IK23" i="34" s="1"/>
  <c r="GL23" i="34"/>
  <c r="GM23" i="34" s="1"/>
  <c r="GN23" i="34" s="1"/>
  <c r="IG23" i="34" s="1"/>
  <c r="GX22" i="34"/>
  <c r="GY22" i="34" s="1"/>
  <c r="GZ22" i="34" s="1"/>
  <c r="II22" i="34" s="1"/>
  <c r="GR19" i="34"/>
  <c r="GS19" i="34" s="1"/>
  <c r="GT19" i="34" s="1"/>
  <c r="IH19" i="34" s="1"/>
  <c r="GB17" i="34"/>
  <c r="GX9" i="34"/>
  <c r="GY9" i="34" s="1"/>
  <c r="GZ9" i="34" s="1"/>
  <c r="II9" i="34" s="1"/>
  <c r="HP9" i="34"/>
  <c r="HQ9" i="34" s="1"/>
  <c r="HR9" i="34" s="1"/>
  <c r="IL9" i="34" s="1"/>
  <c r="GR9" i="34"/>
  <c r="GS9" i="34" s="1"/>
  <c r="GT9" i="34" s="1"/>
  <c r="IH9" i="34" s="1"/>
  <c r="EV8" i="26"/>
  <c r="EW8" i="26" s="1"/>
  <c r="EX8" i="26" s="1"/>
  <c r="GR32" i="25"/>
  <c r="GS32" i="25" s="1"/>
  <c r="GT32" i="25" s="1"/>
  <c r="HJ29" i="25"/>
  <c r="HK29" i="25" s="1"/>
  <c r="HL29" i="25" s="1"/>
  <c r="IM29" i="25" s="1"/>
  <c r="EM29" i="25" s="1"/>
  <c r="GR10" i="25"/>
  <c r="GS10" i="25" s="1"/>
  <c r="GT10" i="25" s="1"/>
  <c r="IJ10" i="25" s="1"/>
  <c r="GR36" i="25"/>
  <c r="GS36" i="25" s="1"/>
  <c r="GT36" i="25" s="1"/>
  <c r="IJ36" i="25" s="1"/>
  <c r="GR31" i="25"/>
  <c r="GS31" i="25" s="1"/>
  <c r="GT31" i="25" s="1"/>
  <c r="GF24" i="25"/>
  <c r="GG24" i="25" s="1"/>
  <c r="GH24" i="25" s="1"/>
  <c r="IH24" i="25" s="1"/>
  <c r="EH24" i="25" s="1"/>
  <c r="GX17" i="25"/>
  <c r="GY17" i="25" s="1"/>
  <c r="GZ17" i="25" s="1"/>
  <c r="GL41" i="25"/>
  <c r="GM41" i="25" s="1"/>
  <c r="GN41" i="25" s="1"/>
  <c r="II41" i="25" s="1"/>
  <c r="GL38" i="25"/>
  <c r="GM38" i="25" s="1"/>
  <c r="GN38" i="25" s="1"/>
  <c r="II38" i="25" s="1"/>
  <c r="HD35" i="25"/>
  <c r="HE35" i="25" s="1"/>
  <c r="HF35" i="25" s="1"/>
  <c r="GL35" i="25"/>
  <c r="GM35" i="25" s="1"/>
  <c r="GN35" i="25" s="1"/>
  <c r="GR34" i="25"/>
  <c r="GS34" i="25" s="1"/>
  <c r="GT34" i="25" s="1"/>
  <c r="IJ34" i="25" s="1"/>
  <c r="EJ34" i="25" s="1"/>
  <c r="GR33" i="25"/>
  <c r="GS33" i="25" s="1"/>
  <c r="GT33" i="25" s="1"/>
  <c r="IJ33" i="25" s="1"/>
  <c r="GX21" i="25"/>
  <c r="GY21" i="25" s="1"/>
  <c r="GZ21" i="25" s="1"/>
  <c r="HP16" i="25"/>
  <c r="HQ16" i="25" s="1"/>
  <c r="HR16" i="25" s="1"/>
  <c r="GX11" i="25"/>
  <c r="GY11" i="25" s="1"/>
  <c r="GZ11" i="25" s="1"/>
  <c r="IK11" i="25" s="1"/>
  <c r="FR39" i="7"/>
  <c r="FS39" i="7" s="1"/>
  <c r="FT39" i="7" s="1"/>
  <c r="GQ39" i="7" s="1"/>
  <c r="FR33" i="7"/>
  <c r="FS33" i="7" s="1"/>
  <c r="FT33" i="7" s="1"/>
  <c r="GQ33" i="7" s="1"/>
  <c r="FF24" i="7"/>
  <c r="FG24" i="7" s="1"/>
  <c r="FH24" i="7" s="1"/>
  <c r="GO24" i="7" s="1"/>
  <c r="EZ22" i="7"/>
  <c r="FA22" i="7" s="1"/>
  <c r="FB22" i="7" s="1"/>
  <c r="GN22" i="7" s="1"/>
  <c r="FX19" i="7"/>
  <c r="FY19" i="7" s="1"/>
  <c r="FZ19" i="7" s="1"/>
  <c r="GR19" i="7" s="1"/>
  <c r="FL18" i="7"/>
  <c r="FM18" i="7" s="1"/>
  <c r="FN18" i="7" s="1"/>
  <c r="GP18" i="7" s="1"/>
  <c r="GJ15" i="7"/>
  <c r="GK15" i="7" s="1"/>
  <c r="GL15" i="7" s="1"/>
  <c r="GT15" i="7" s="1"/>
  <c r="GD10" i="7"/>
  <c r="GE10" i="7" s="1"/>
  <c r="GF10" i="7" s="1"/>
  <c r="GS10" i="7" s="1"/>
  <c r="GL34" i="25"/>
  <c r="GM34" i="25" s="1"/>
  <c r="GN34" i="25" s="1"/>
  <c r="HD31" i="25"/>
  <c r="HE31" i="25" s="1"/>
  <c r="HF31" i="25" s="1"/>
  <c r="HD30" i="25"/>
  <c r="HE30" i="25" s="1"/>
  <c r="HF30" i="25" s="1"/>
  <c r="IL30" i="25" s="1"/>
  <c r="EL30" i="25" s="1"/>
  <c r="GX24" i="25"/>
  <c r="GY24" i="25" s="1"/>
  <c r="GZ24" i="25" s="1"/>
  <c r="IK24" i="25" s="1"/>
  <c r="GX22" i="25"/>
  <c r="GY22" i="25" s="1"/>
  <c r="GZ22" i="25" s="1"/>
  <c r="FL39" i="7"/>
  <c r="FM39" i="7" s="1"/>
  <c r="FN39" i="7" s="1"/>
  <c r="GP39" i="7" s="1"/>
  <c r="GD32" i="7"/>
  <c r="GE32" i="7" s="1"/>
  <c r="GF32" i="7" s="1"/>
  <c r="GS32" i="7" s="1"/>
  <c r="EZ32" i="7"/>
  <c r="FA32" i="7" s="1"/>
  <c r="FB32" i="7" s="1"/>
  <c r="GN32" i="7" s="1"/>
  <c r="GJ23" i="7"/>
  <c r="GK23" i="7" s="1"/>
  <c r="GL23" i="7" s="1"/>
  <c r="GT23" i="7" s="1"/>
  <c r="FL23" i="7"/>
  <c r="FM23" i="7" s="1"/>
  <c r="FN23" i="7" s="1"/>
  <c r="GP23" i="7" s="1"/>
  <c r="FX22" i="7"/>
  <c r="FY22" i="7" s="1"/>
  <c r="FZ22" i="7" s="1"/>
  <c r="GR22" i="7" s="1"/>
  <c r="FF20" i="7"/>
  <c r="FG20" i="7" s="1"/>
  <c r="FH20" i="7" s="1"/>
  <c r="GO20" i="7" s="1"/>
  <c r="GD13" i="7"/>
  <c r="GE13" i="7" s="1"/>
  <c r="GF13" i="7" s="1"/>
  <c r="GS13" i="7" s="1"/>
  <c r="FR11" i="7"/>
  <c r="FS11" i="7" s="1"/>
  <c r="FT11" i="7" s="1"/>
  <c r="GQ11" i="7" s="1"/>
  <c r="GD11" i="7"/>
  <c r="GE11" i="7" s="1"/>
  <c r="GF11" i="7" s="1"/>
  <c r="GS11" i="7" s="1"/>
  <c r="HJ15" i="25"/>
  <c r="HK15" i="25" s="1"/>
  <c r="HL15" i="25" s="1"/>
  <c r="HD15" i="25"/>
  <c r="HE15" i="25" s="1"/>
  <c r="HF15" i="25" s="1"/>
  <c r="IL15" i="25" s="1"/>
  <c r="GX14" i="25"/>
  <c r="GY14" i="25" s="1"/>
  <c r="GZ14" i="25" s="1"/>
  <c r="HD11" i="25"/>
  <c r="HE11" i="25" s="1"/>
  <c r="HF11" i="25" s="1"/>
  <c r="IL11" i="25" s="1"/>
  <c r="GF11" i="25"/>
  <c r="GG11" i="25" s="1"/>
  <c r="GH11" i="25" s="1"/>
  <c r="IH11" i="25" s="1"/>
  <c r="EZ42" i="7"/>
  <c r="FA42" i="7" s="1"/>
  <c r="FB42" i="7" s="1"/>
  <c r="GN42" i="7" s="1"/>
  <c r="FF42" i="7"/>
  <c r="FG42" i="7" s="1"/>
  <c r="FH42" i="7" s="1"/>
  <c r="GO42" i="7" s="1"/>
  <c r="GD41" i="7"/>
  <c r="GE41" i="7" s="1"/>
  <c r="GF41" i="7" s="1"/>
  <c r="GS41" i="7" s="1"/>
  <c r="GD35" i="7"/>
  <c r="GE35" i="7" s="1"/>
  <c r="GF35" i="7" s="1"/>
  <c r="GS35" i="7" s="1"/>
  <c r="FL31" i="7"/>
  <c r="FM31" i="7" s="1"/>
  <c r="FN31" i="7" s="1"/>
  <c r="GP31" i="7" s="1"/>
  <c r="FX24" i="7"/>
  <c r="FY24" i="7" s="1"/>
  <c r="FZ24" i="7" s="1"/>
  <c r="GR24" i="7" s="1"/>
  <c r="GD19" i="7"/>
  <c r="GE19" i="7" s="1"/>
  <c r="GF19" i="7" s="1"/>
  <c r="GS19" i="7" s="1"/>
  <c r="GJ17" i="7"/>
  <c r="GK17" i="7" s="1"/>
  <c r="GL17" i="7" s="1"/>
  <c r="GT17" i="7" s="1"/>
  <c r="FL17" i="7"/>
  <c r="FM17" i="7" s="1"/>
  <c r="FN17" i="7" s="1"/>
  <c r="GP17" i="7" s="1"/>
  <c r="DF17" i="7" s="1"/>
  <c r="FF15" i="7"/>
  <c r="FG15" i="7" s="1"/>
  <c r="FH15" i="7" s="1"/>
  <c r="GO15" i="7" s="1"/>
  <c r="FL12" i="7"/>
  <c r="FM12" i="7" s="1"/>
  <c r="FN12" i="7" s="1"/>
  <c r="GP12" i="7" s="1"/>
  <c r="DF12" i="7" s="1"/>
  <c r="GL23" i="25"/>
  <c r="GM23" i="25" s="1"/>
  <c r="GN23" i="25" s="1"/>
  <c r="II23" i="25" s="1"/>
  <c r="HJ17" i="25"/>
  <c r="HK17" i="25" s="1"/>
  <c r="HL17" i="25" s="1"/>
  <c r="GF12" i="25"/>
  <c r="GG12" i="25" s="1"/>
  <c r="GH12" i="25" s="1"/>
  <c r="GX12" i="25"/>
  <c r="GY12" i="25" s="1"/>
  <c r="GZ12" i="25" s="1"/>
  <c r="IK12" i="25" s="1"/>
  <c r="EK12" i="25" s="1"/>
  <c r="HJ9" i="25"/>
  <c r="HK9" i="25" s="1"/>
  <c r="HL9" i="25" s="1"/>
  <c r="IM9" i="25" s="1"/>
  <c r="FR37" i="7"/>
  <c r="FS37" i="7" s="1"/>
  <c r="FT37" i="7" s="1"/>
  <c r="GQ37" i="7" s="1"/>
  <c r="FX35" i="7"/>
  <c r="FY35" i="7" s="1"/>
  <c r="FZ35" i="7" s="1"/>
  <c r="GR35" i="7" s="1"/>
  <c r="FF34" i="7"/>
  <c r="FG34" i="7" s="1"/>
  <c r="FH34" i="7" s="1"/>
  <c r="GO34" i="7" s="1"/>
  <c r="FX33" i="7"/>
  <c r="FY33" i="7" s="1"/>
  <c r="FZ33" i="7" s="1"/>
  <c r="GR33" i="7" s="1"/>
  <c r="EZ23" i="7"/>
  <c r="FA23" i="7" s="1"/>
  <c r="FB23" i="7" s="1"/>
  <c r="GN23" i="7" s="1"/>
  <c r="FX20" i="7"/>
  <c r="FY20" i="7" s="1"/>
  <c r="FZ20" i="7" s="1"/>
  <c r="GR20" i="7" s="1"/>
  <c r="FR18" i="7"/>
  <c r="FS18" i="7" s="1"/>
  <c r="FT18" i="7" s="1"/>
  <c r="GQ18" i="7" s="1"/>
  <c r="FX11" i="7"/>
  <c r="FY11" i="7" s="1"/>
  <c r="FZ11" i="7" s="1"/>
  <c r="GR11" i="7" s="1"/>
  <c r="DG34" i="27"/>
  <c r="DH31" i="27"/>
  <c r="DI27" i="27"/>
  <c r="DH22" i="27"/>
  <c r="DF21" i="27"/>
  <c r="DG12" i="27"/>
  <c r="DG9" i="27"/>
  <c r="EE37" i="28"/>
  <c r="EF37" i="28" s="1"/>
  <c r="EG37" i="28" s="1"/>
  <c r="FS37" i="28" s="1"/>
  <c r="FC33" i="28"/>
  <c r="FD33" i="28" s="1"/>
  <c r="FE33" i="28" s="1"/>
  <c r="FW33" i="28" s="1"/>
  <c r="EY8" i="27"/>
  <c r="EM8" i="27"/>
  <c r="DI42" i="27"/>
  <c r="DE42" i="27"/>
  <c r="DG42" i="27"/>
  <c r="DI41" i="27"/>
  <c r="DE41" i="27"/>
  <c r="DG41" i="27"/>
  <c r="DI40" i="27"/>
  <c r="DE40" i="27"/>
  <c r="DG40" i="27"/>
  <c r="DI39" i="27"/>
  <c r="DE39" i="27"/>
  <c r="DG39" i="27"/>
  <c r="DI38" i="27"/>
  <c r="DE38" i="27"/>
  <c r="DG38" i="27"/>
  <c r="DJ38" i="27"/>
  <c r="DF38" i="27"/>
  <c r="DD36" i="27"/>
  <c r="DE33" i="27"/>
  <c r="DD32" i="27"/>
  <c r="DG32" i="27"/>
  <c r="DG31" i="27"/>
  <c r="DH30" i="27"/>
  <c r="DF29" i="27"/>
  <c r="DJ28" i="27"/>
  <c r="DI19" i="27"/>
  <c r="DG19" i="27"/>
  <c r="DH18" i="27"/>
  <c r="DJ37" i="27"/>
  <c r="DG29" i="27"/>
  <c r="DI24" i="27"/>
  <c r="DE24" i="27"/>
  <c r="DF37" i="27"/>
  <c r="DH37" i="27"/>
  <c r="DH38" i="27"/>
  <c r="DE37" i="27"/>
  <c r="DJ36" i="27"/>
  <c r="DH36" i="27"/>
  <c r="DG33" i="27"/>
  <c r="DD30" i="27"/>
  <c r="DH26" i="27"/>
  <c r="DI23" i="27"/>
  <c r="DE19" i="27"/>
  <c r="DJ16" i="27"/>
  <c r="EK33" i="28"/>
  <c r="EL33" i="28" s="1"/>
  <c r="EM33" i="28" s="1"/>
  <c r="FT33" i="28" s="1"/>
  <c r="DD31" i="27"/>
  <c r="DF22" i="27"/>
  <c r="DG21" i="27"/>
  <c r="DH20" i="27"/>
  <c r="DH15" i="27"/>
  <c r="DG10" i="27"/>
  <c r="EA42" i="28"/>
  <c r="FO42" i="28"/>
  <c r="FP42" i="28" s="1"/>
  <c r="FQ42" i="28" s="1"/>
  <c r="FY42" i="28" s="1"/>
  <c r="EQ42" i="28"/>
  <c r="ER42" i="28" s="1"/>
  <c r="ES42" i="28" s="1"/>
  <c r="FU42" i="28" s="1"/>
  <c r="EA41" i="28"/>
  <c r="FO41" i="28"/>
  <c r="FP41" i="28" s="1"/>
  <c r="FQ41" i="28" s="1"/>
  <c r="FY41" i="28" s="1"/>
  <c r="EQ41" i="28"/>
  <c r="ER41" i="28" s="1"/>
  <c r="ES41" i="28" s="1"/>
  <c r="FU41" i="28" s="1"/>
  <c r="EA40" i="28"/>
  <c r="FO40" i="28"/>
  <c r="FP40" i="28" s="1"/>
  <c r="FQ40" i="28" s="1"/>
  <c r="FY40" i="28" s="1"/>
  <c r="EQ40" i="28"/>
  <c r="ER40" i="28" s="1"/>
  <c r="ES40" i="28" s="1"/>
  <c r="FU40" i="28" s="1"/>
  <c r="EA39" i="28"/>
  <c r="FO39" i="28"/>
  <c r="FP39" i="28" s="1"/>
  <c r="FQ39" i="28" s="1"/>
  <c r="FY39" i="28" s="1"/>
  <c r="EQ39" i="28"/>
  <c r="ER39" i="28" s="1"/>
  <c r="ES39" i="28" s="1"/>
  <c r="FU39" i="28" s="1"/>
  <c r="EA38" i="28"/>
  <c r="FO38" i="28"/>
  <c r="FP38" i="28" s="1"/>
  <c r="FQ38" i="28" s="1"/>
  <c r="FY38" i="28" s="1"/>
  <c r="EQ38" i="28"/>
  <c r="ER38" i="28" s="1"/>
  <c r="ES38" i="28" s="1"/>
  <c r="FU38" i="28" s="1"/>
  <c r="EK37" i="28"/>
  <c r="EL37" i="28" s="1"/>
  <c r="EM37" i="28" s="1"/>
  <c r="FT37" i="28" s="1"/>
  <c r="EA37" i="28"/>
  <c r="EA36" i="28"/>
  <c r="DE36" i="28"/>
  <c r="EW36" i="28"/>
  <c r="EX36" i="28" s="1"/>
  <c r="EY36" i="28" s="1"/>
  <c r="FV36" i="28" s="1"/>
  <c r="FO35" i="28"/>
  <c r="FP35" i="28" s="1"/>
  <c r="FQ35" i="28" s="1"/>
  <c r="FY35" i="28" s="1"/>
  <c r="EK34" i="28"/>
  <c r="EL34" i="28" s="1"/>
  <c r="EM34" i="28" s="1"/>
  <c r="FT34" i="28" s="1"/>
  <c r="EQ34" i="28"/>
  <c r="ER34" i="28" s="1"/>
  <c r="ES34" i="28" s="1"/>
  <c r="FU34" i="28" s="1"/>
  <c r="FO33" i="28"/>
  <c r="FP33" i="28" s="1"/>
  <c r="FQ33" i="28" s="1"/>
  <c r="FY33" i="28" s="1"/>
  <c r="EW30" i="28"/>
  <c r="EX30" i="28" s="1"/>
  <c r="EY30" i="28" s="1"/>
  <c r="FV30" i="28" s="1"/>
  <c r="EE30" i="28"/>
  <c r="EF30" i="28" s="1"/>
  <c r="EG30" i="28" s="1"/>
  <c r="FS30" i="28" s="1"/>
  <c r="DE30" i="28"/>
  <c r="FI27" i="28"/>
  <c r="FJ27" i="28" s="1"/>
  <c r="FK27" i="28" s="1"/>
  <c r="FX27" i="28" s="1"/>
  <c r="FI25" i="28"/>
  <c r="FJ25" i="28" s="1"/>
  <c r="FK25" i="28" s="1"/>
  <c r="FX25" i="28" s="1"/>
  <c r="DE25" i="28"/>
  <c r="EH25" i="28"/>
  <c r="FO24" i="28"/>
  <c r="FP24" i="28" s="1"/>
  <c r="FQ24" i="28" s="1"/>
  <c r="FY24" i="28" s="1"/>
  <c r="FI23" i="28"/>
  <c r="FJ23" i="28" s="1"/>
  <c r="FK23" i="28" s="1"/>
  <c r="FX23" i="28" s="1"/>
  <c r="DE23" i="28"/>
  <c r="EH23" i="28"/>
  <c r="DP21" i="28"/>
  <c r="EI21" i="28"/>
  <c r="FC20" i="28"/>
  <c r="FD20" i="28" s="1"/>
  <c r="FE20" i="28" s="1"/>
  <c r="FW20" i="28" s="1"/>
  <c r="FO20" i="28"/>
  <c r="FP20" i="28" s="1"/>
  <c r="FQ20" i="28" s="1"/>
  <c r="FY20" i="28" s="1"/>
  <c r="FO18" i="28"/>
  <c r="FP18" i="28" s="1"/>
  <c r="FQ18" i="28" s="1"/>
  <c r="FY18" i="28" s="1"/>
  <c r="EQ18" i="28"/>
  <c r="ER18" i="28" s="1"/>
  <c r="ES18" i="28" s="1"/>
  <c r="FU18" i="28" s="1"/>
  <c r="EW14" i="28"/>
  <c r="EX14" i="28" s="1"/>
  <c r="EY14" i="28" s="1"/>
  <c r="FV14" i="28" s="1"/>
  <c r="EQ13" i="28"/>
  <c r="ER13" i="28" s="1"/>
  <c r="ES13" i="28" s="1"/>
  <c r="FU13" i="28" s="1"/>
  <c r="FC12" i="28"/>
  <c r="FD12" i="28" s="1"/>
  <c r="FE12" i="28" s="1"/>
  <c r="FW12" i="28" s="1"/>
  <c r="EE12" i="28"/>
  <c r="EF12" i="28" s="1"/>
  <c r="EG12" i="28" s="1"/>
  <c r="FS12" i="28" s="1"/>
  <c r="DF19" i="27"/>
  <c r="DI17" i="27"/>
  <c r="DF15" i="27"/>
  <c r="FC37" i="28"/>
  <c r="FD37" i="28" s="1"/>
  <c r="FE37" i="28" s="1"/>
  <c r="FW37" i="28" s="1"/>
  <c r="FO36" i="28"/>
  <c r="FP36" i="28" s="1"/>
  <c r="FQ36" i="28" s="1"/>
  <c r="FY36" i="28" s="1"/>
  <c r="EE34" i="28"/>
  <c r="EF34" i="28" s="1"/>
  <c r="EG34" i="28" s="1"/>
  <c r="FS34" i="28" s="1"/>
  <c r="EW31" i="28"/>
  <c r="EX31" i="28" s="1"/>
  <c r="EY31" i="28" s="1"/>
  <c r="FV31" i="28" s="1"/>
  <c r="FO31" i="28"/>
  <c r="FP31" i="28" s="1"/>
  <c r="FQ31" i="28" s="1"/>
  <c r="FY31" i="28" s="1"/>
  <c r="DE31" i="28"/>
  <c r="DE29" i="28"/>
  <c r="FC26" i="28"/>
  <c r="FD26" i="28" s="1"/>
  <c r="FE26" i="28" s="1"/>
  <c r="FW26" i="28" s="1"/>
  <c r="DP25" i="28"/>
  <c r="FC24" i="28"/>
  <c r="FD24" i="28" s="1"/>
  <c r="FE24" i="28" s="1"/>
  <c r="FW24" i="28" s="1"/>
  <c r="DP23" i="28"/>
  <c r="EW21" i="28"/>
  <c r="EX21" i="28" s="1"/>
  <c r="EY21" i="28" s="1"/>
  <c r="FV21" i="28" s="1"/>
  <c r="DE19" i="28"/>
  <c r="FF27" i="36"/>
  <c r="FG27" i="36" s="1"/>
  <c r="FH27" i="36" s="1"/>
  <c r="GO27" i="36" s="1"/>
  <c r="FX25" i="36"/>
  <c r="FY25" i="36" s="1"/>
  <c r="FZ25" i="36" s="1"/>
  <c r="GR25" i="36" s="1"/>
  <c r="DI26" i="27"/>
  <c r="DG26" i="27"/>
  <c r="DI25" i="27"/>
  <c r="DG25" i="27"/>
  <c r="DH24" i="27"/>
  <c r="DE23" i="27"/>
  <c r="DI21" i="27"/>
  <c r="DJ20" i="27"/>
  <c r="DG18" i="27"/>
  <c r="DI16" i="27"/>
  <c r="DE16" i="27"/>
  <c r="DH14" i="27"/>
  <c r="DJ10" i="27"/>
  <c r="DE10" i="27"/>
  <c r="DE42" i="28"/>
  <c r="DE41" i="28"/>
  <c r="DE40" i="28"/>
  <c r="DE39" i="28"/>
  <c r="DE38" i="28"/>
  <c r="FI37" i="28"/>
  <c r="FJ37" i="28" s="1"/>
  <c r="FK37" i="28" s="1"/>
  <c r="FX37" i="28" s="1"/>
  <c r="DE37" i="28"/>
  <c r="EA35" i="28"/>
  <c r="DP31" i="28"/>
  <c r="EA30" i="28"/>
  <c r="EP30" i="28"/>
  <c r="EQ30" i="28" s="1"/>
  <c r="ER30" i="28" s="1"/>
  <c r="ES30" i="28" s="1"/>
  <c r="FU30" i="28" s="1"/>
  <c r="EJ25" i="28"/>
  <c r="EA25" i="28"/>
  <c r="EE24" i="28"/>
  <c r="EF24" i="28" s="1"/>
  <c r="EG24" i="28" s="1"/>
  <c r="FS24" i="28" s="1"/>
  <c r="EJ23" i="28"/>
  <c r="EA23" i="28"/>
  <c r="EE22" i="28"/>
  <c r="EF22" i="28" s="1"/>
  <c r="EG22" i="28" s="1"/>
  <c r="FS22" i="28" s="1"/>
  <c r="EW20" i="28"/>
  <c r="EX20" i="28" s="1"/>
  <c r="EY20" i="28" s="1"/>
  <c r="FV20" i="28" s="1"/>
  <c r="DP19" i="28"/>
  <c r="FO16" i="28"/>
  <c r="FP16" i="28" s="1"/>
  <c r="FQ16" i="28" s="1"/>
  <c r="FY16" i="28" s="1"/>
  <c r="DP13" i="28"/>
  <c r="FX37" i="36"/>
  <c r="FY37" i="36" s="1"/>
  <c r="FZ37" i="36" s="1"/>
  <c r="GR37" i="36" s="1"/>
  <c r="EZ37" i="36"/>
  <c r="FA37" i="36" s="1"/>
  <c r="FB37" i="36" s="1"/>
  <c r="GN37" i="36" s="1"/>
  <c r="GJ36" i="36"/>
  <c r="GK36" i="36" s="1"/>
  <c r="GL36" i="36" s="1"/>
  <c r="GT36" i="36" s="1"/>
  <c r="EZ25" i="36"/>
  <c r="FA25" i="36" s="1"/>
  <c r="FB25" i="36" s="1"/>
  <c r="GN25" i="36" s="1"/>
  <c r="DJ34" i="27"/>
  <c r="DG27" i="27"/>
  <c r="DG24" i="27"/>
  <c r="DH21" i="27"/>
  <c r="DJ19" i="27"/>
  <c r="DG16" i="27"/>
  <c r="DJ11" i="27"/>
  <c r="DG11" i="27"/>
  <c r="EQ8" i="28"/>
  <c r="ER8" i="28" s="1"/>
  <c r="ES8" i="28" s="1"/>
  <c r="FU8" i="28" s="1"/>
  <c r="FO8" i="28"/>
  <c r="FP8" i="28" s="1"/>
  <c r="FQ8" i="28" s="1"/>
  <c r="FY8" i="28" s="1"/>
  <c r="EW42" i="28"/>
  <c r="EX42" i="28" s="1"/>
  <c r="EY42" i="28" s="1"/>
  <c r="FV42" i="28" s="1"/>
  <c r="DP42" i="28"/>
  <c r="EW41" i="28"/>
  <c r="EX41" i="28" s="1"/>
  <c r="EY41" i="28" s="1"/>
  <c r="FV41" i="28" s="1"/>
  <c r="DP41" i="28"/>
  <c r="EW40" i="28"/>
  <c r="EX40" i="28" s="1"/>
  <c r="EY40" i="28" s="1"/>
  <c r="FV40" i="28" s="1"/>
  <c r="DP40" i="28"/>
  <c r="EW39" i="28"/>
  <c r="EX39" i="28" s="1"/>
  <c r="EY39" i="28" s="1"/>
  <c r="FV39" i="28" s="1"/>
  <c r="DP39" i="28"/>
  <c r="EW38" i="28"/>
  <c r="EX38" i="28" s="1"/>
  <c r="EY38" i="28" s="1"/>
  <c r="FV38" i="28" s="1"/>
  <c r="DP38" i="28"/>
  <c r="DP37" i="28"/>
  <c r="EW35" i="28"/>
  <c r="EX35" i="28" s="1"/>
  <c r="EY35" i="28" s="1"/>
  <c r="FV35" i="28" s="1"/>
  <c r="DP33" i="28"/>
  <c r="EW33" i="28"/>
  <c r="EX33" i="28" s="1"/>
  <c r="EY33" i="28" s="1"/>
  <c r="FV33" i="28" s="1"/>
  <c r="EK32" i="28"/>
  <c r="EL32" i="28" s="1"/>
  <c r="EM32" i="28" s="1"/>
  <c r="FT32" i="28" s="1"/>
  <c r="EA31" i="28"/>
  <c r="EP31" i="28"/>
  <c r="FC29" i="28"/>
  <c r="FD29" i="28" s="1"/>
  <c r="FE29" i="28" s="1"/>
  <c r="FW29" i="28" s="1"/>
  <c r="EN29" i="28"/>
  <c r="EQ29" i="28" s="1"/>
  <c r="ER29" i="28" s="1"/>
  <c r="ES29" i="28" s="1"/>
  <c r="FU29" i="28" s="1"/>
  <c r="EA29" i="28"/>
  <c r="FO28" i="28"/>
  <c r="FP28" i="28" s="1"/>
  <c r="FQ28" i="28" s="1"/>
  <c r="FY28" i="28" s="1"/>
  <c r="EA28" i="28"/>
  <c r="EP28" i="28"/>
  <c r="EQ28" i="28" s="1"/>
  <c r="ER28" i="28" s="1"/>
  <c r="ES28" i="28" s="1"/>
  <c r="FU28" i="28" s="1"/>
  <c r="FC28" i="28"/>
  <c r="FD28" i="28" s="1"/>
  <c r="FE28" i="28" s="1"/>
  <c r="FW28" i="28" s="1"/>
  <c r="FO26" i="28"/>
  <c r="FP26" i="28" s="1"/>
  <c r="FQ26" i="28" s="1"/>
  <c r="FY26" i="28" s="1"/>
  <c r="EQ26" i="28"/>
  <c r="ER26" i="28" s="1"/>
  <c r="ES26" i="28" s="1"/>
  <c r="FU26" i="28" s="1"/>
  <c r="FC25" i="28"/>
  <c r="FD25" i="28" s="1"/>
  <c r="FE25" i="28" s="1"/>
  <c r="FW25" i="28" s="1"/>
  <c r="EE25" i="28"/>
  <c r="EF25" i="28" s="1"/>
  <c r="EG25" i="28" s="1"/>
  <c r="FS25" i="28" s="1"/>
  <c r="EQ25" i="28"/>
  <c r="ER25" i="28" s="1"/>
  <c r="ES25" i="28" s="1"/>
  <c r="FU25" i="28" s="1"/>
  <c r="FC23" i="28"/>
  <c r="FD23" i="28" s="1"/>
  <c r="FE23" i="28" s="1"/>
  <c r="FW23" i="28" s="1"/>
  <c r="EE23" i="28"/>
  <c r="EF23" i="28" s="1"/>
  <c r="EG23" i="28" s="1"/>
  <c r="FS23" i="28" s="1"/>
  <c r="EQ23" i="28"/>
  <c r="ER23" i="28" s="1"/>
  <c r="ES23" i="28" s="1"/>
  <c r="FU23" i="28" s="1"/>
  <c r="EH19" i="28"/>
  <c r="EW18" i="28"/>
  <c r="EX18" i="28" s="1"/>
  <c r="EY18" i="28" s="1"/>
  <c r="FV18" i="28" s="1"/>
  <c r="EQ16" i="28"/>
  <c r="ER16" i="28" s="1"/>
  <c r="ES16" i="28" s="1"/>
  <c r="FU16" i="28" s="1"/>
  <c r="GJ35" i="36"/>
  <c r="GK35" i="36" s="1"/>
  <c r="GL35" i="36" s="1"/>
  <c r="GT35" i="36" s="1"/>
  <c r="EZ27" i="36"/>
  <c r="FA27" i="36" s="1"/>
  <c r="FB27" i="36" s="1"/>
  <c r="GN27" i="36" s="1"/>
  <c r="GD27" i="36"/>
  <c r="GE27" i="36" s="1"/>
  <c r="GF27" i="36" s="1"/>
  <c r="GS27" i="36" s="1"/>
  <c r="FX24" i="36"/>
  <c r="FY24" i="36" s="1"/>
  <c r="FZ24" i="36" s="1"/>
  <c r="GR24" i="36" s="1"/>
  <c r="EZ24" i="36"/>
  <c r="FA24" i="36" s="1"/>
  <c r="FB24" i="36" s="1"/>
  <c r="GN24" i="36" s="1"/>
  <c r="EZ23" i="36"/>
  <c r="FA23" i="36" s="1"/>
  <c r="FB23" i="36" s="1"/>
  <c r="GN23" i="36" s="1"/>
  <c r="GD23" i="36"/>
  <c r="GE23" i="36" s="1"/>
  <c r="GF23" i="36" s="1"/>
  <c r="GS23" i="36" s="1"/>
  <c r="EK15" i="28"/>
  <c r="EL15" i="28" s="1"/>
  <c r="EM15" i="28" s="1"/>
  <c r="FT15" i="28" s="1"/>
  <c r="EE14" i="28"/>
  <c r="EF14" i="28" s="1"/>
  <c r="EG14" i="28" s="1"/>
  <c r="FS14" i="28" s="1"/>
  <c r="FO12" i="28"/>
  <c r="FP12" i="28" s="1"/>
  <c r="FQ12" i="28" s="1"/>
  <c r="FY12" i="28" s="1"/>
  <c r="FI10" i="28"/>
  <c r="FJ10" i="28" s="1"/>
  <c r="FK10" i="28" s="1"/>
  <c r="FX10" i="28" s="1"/>
  <c r="FI9" i="28"/>
  <c r="FJ9" i="28" s="1"/>
  <c r="FK9" i="28" s="1"/>
  <c r="FX9" i="28" s="1"/>
  <c r="EK9" i="28"/>
  <c r="EL9" i="28" s="1"/>
  <c r="EM9" i="28" s="1"/>
  <c r="FT9" i="28" s="1"/>
  <c r="EK8" i="36"/>
  <c r="FL29" i="36"/>
  <c r="FM29" i="36" s="1"/>
  <c r="FN29" i="36" s="1"/>
  <c r="GP29" i="36" s="1"/>
  <c r="EV25" i="36"/>
  <c r="EK25" i="36"/>
  <c r="FX19" i="36"/>
  <c r="FY19" i="36" s="1"/>
  <c r="FZ19" i="36" s="1"/>
  <c r="GR19" i="36" s="1"/>
  <c r="GD18" i="36"/>
  <c r="GE18" i="36" s="1"/>
  <c r="GF18" i="36" s="1"/>
  <c r="GS18" i="36" s="1"/>
  <c r="FR18" i="36"/>
  <c r="FS18" i="36" s="1"/>
  <c r="FT18" i="36" s="1"/>
  <c r="GQ18" i="36" s="1"/>
  <c r="GJ10" i="36"/>
  <c r="GK10" i="36" s="1"/>
  <c r="GL10" i="36" s="1"/>
  <c r="GT10" i="36" s="1"/>
  <c r="GJ9" i="36"/>
  <c r="GK9" i="36" s="1"/>
  <c r="GL9" i="36" s="1"/>
  <c r="GT9" i="36" s="1"/>
  <c r="FL9" i="36"/>
  <c r="FM9" i="36" s="1"/>
  <c r="FN9" i="36" s="1"/>
  <c r="GP9" i="36" s="1"/>
  <c r="DF9" i="36" s="1"/>
  <c r="HP14" i="34"/>
  <c r="HQ14" i="34" s="1"/>
  <c r="HR14" i="34" s="1"/>
  <c r="IL14" i="34" s="1"/>
  <c r="FC32" i="28"/>
  <c r="FD32" i="28" s="1"/>
  <c r="FE32" i="28" s="1"/>
  <c r="FW32" i="28" s="1"/>
  <c r="EW28" i="28"/>
  <c r="EX28" i="28" s="1"/>
  <c r="EY28" i="28" s="1"/>
  <c r="FV28" i="28" s="1"/>
  <c r="EW27" i="28"/>
  <c r="EX27" i="28" s="1"/>
  <c r="EY27" i="28" s="1"/>
  <c r="FV27" i="28" s="1"/>
  <c r="EA19" i="28"/>
  <c r="FI18" i="28"/>
  <c r="FJ18" i="28" s="1"/>
  <c r="FK18" i="28" s="1"/>
  <c r="FX18" i="28" s="1"/>
  <c r="FI14" i="28"/>
  <c r="FJ14" i="28" s="1"/>
  <c r="FK14" i="28" s="1"/>
  <c r="FX14" i="28" s="1"/>
  <c r="EQ9" i="28"/>
  <c r="ER9" i="28" s="1"/>
  <c r="ES9" i="28" s="1"/>
  <c r="FU9" i="28" s="1"/>
  <c r="GJ42" i="36"/>
  <c r="GK42" i="36" s="1"/>
  <c r="GL42" i="36" s="1"/>
  <c r="GT42" i="36" s="1"/>
  <c r="FC40" i="36"/>
  <c r="FC39" i="36"/>
  <c r="FF39" i="36" s="1"/>
  <c r="FG39" i="36" s="1"/>
  <c r="FH39" i="36" s="1"/>
  <c r="GO39" i="36" s="1"/>
  <c r="EV38" i="36"/>
  <c r="EV37" i="36"/>
  <c r="FR36" i="36"/>
  <c r="FS36" i="36" s="1"/>
  <c r="FT36" i="36" s="1"/>
  <c r="GQ36" i="36" s="1"/>
  <c r="GD35" i="36"/>
  <c r="GE35" i="36" s="1"/>
  <c r="GF35" i="36" s="1"/>
  <c r="GS35" i="36" s="1"/>
  <c r="EV27" i="36"/>
  <c r="EV26" i="36"/>
  <c r="EV24" i="36"/>
  <c r="EV23" i="36"/>
  <c r="FC22" i="36"/>
  <c r="FC21" i="36"/>
  <c r="FD20" i="36"/>
  <c r="GD17" i="36"/>
  <c r="GE17" i="36" s="1"/>
  <c r="GF17" i="36" s="1"/>
  <c r="GS17" i="36" s="1"/>
  <c r="GD16" i="36"/>
  <c r="GE16" i="36" s="1"/>
  <c r="GF16" i="36" s="1"/>
  <c r="GS16" i="36" s="1"/>
  <c r="FF16" i="36"/>
  <c r="FG16" i="36" s="1"/>
  <c r="FH16" i="36" s="1"/>
  <c r="GO16" i="36" s="1"/>
  <c r="FR15" i="36"/>
  <c r="FS15" i="36" s="1"/>
  <c r="FT15" i="36" s="1"/>
  <c r="GQ15" i="36" s="1"/>
  <c r="GF22" i="34"/>
  <c r="GG22" i="34" s="1"/>
  <c r="GH22" i="34" s="1"/>
  <c r="IF22" i="34" s="1"/>
  <c r="EH22" i="34" s="1"/>
  <c r="GR21" i="34"/>
  <c r="GS21" i="34" s="1"/>
  <c r="GT21" i="34" s="1"/>
  <c r="IH21" i="34" s="1"/>
  <c r="GF12" i="34"/>
  <c r="GG12" i="34" s="1"/>
  <c r="GH12" i="34" s="1"/>
  <c r="IF12" i="34" s="1"/>
  <c r="DP22" i="28"/>
  <c r="EA20" i="28"/>
  <c r="EE19" i="28"/>
  <c r="EF19" i="28" s="1"/>
  <c r="EG19" i="28" s="1"/>
  <c r="FS19" i="28" s="1"/>
  <c r="EK17" i="28"/>
  <c r="EL17" i="28" s="1"/>
  <c r="EM17" i="28" s="1"/>
  <c r="FT17" i="28" s="1"/>
  <c r="EK16" i="28"/>
  <c r="EL16" i="28" s="1"/>
  <c r="EM16" i="28" s="1"/>
  <c r="FT16" i="28" s="1"/>
  <c r="FC15" i="28"/>
  <c r="FD15" i="28" s="1"/>
  <c r="FE15" i="28" s="1"/>
  <c r="FW15" i="28" s="1"/>
  <c r="EW15" i="28"/>
  <c r="EX15" i="28" s="1"/>
  <c r="EY15" i="28" s="1"/>
  <c r="FV15" i="28" s="1"/>
  <c r="EA14" i="28"/>
  <c r="EI13" i="28"/>
  <c r="EK13" i="28" s="1"/>
  <c r="EL13" i="28" s="1"/>
  <c r="EM13" i="28" s="1"/>
  <c r="FT13" i="28" s="1"/>
  <c r="EA13" i="28"/>
  <c r="DE13" i="28"/>
  <c r="EW11" i="28"/>
  <c r="EX11" i="28" s="1"/>
  <c r="EY11" i="28" s="1"/>
  <c r="FV11" i="28" s="1"/>
  <c r="FI11" i="28"/>
  <c r="FJ11" i="28" s="1"/>
  <c r="FK11" i="28" s="1"/>
  <c r="FX11" i="28" s="1"/>
  <c r="EK11" i="28"/>
  <c r="EL11" i="28" s="1"/>
  <c r="EM11" i="28" s="1"/>
  <c r="FT11" i="28" s="1"/>
  <c r="FF8" i="36"/>
  <c r="FG8" i="36" s="1"/>
  <c r="FH8" i="36" s="1"/>
  <c r="GO8" i="36" s="1"/>
  <c r="DE8" i="36" s="1"/>
  <c r="GD8" i="36"/>
  <c r="GE8" i="36" s="1"/>
  <c r="GF8" i="36" s="1"/>
  <c r="GS8" i="36" s="1"/>
  <c r="DI8" i="36" s="1"/>
  <c r="EV42" i="36"/>
  <c r="EV40" i="36"/>
  <c r="EV39" i="36"/>
  <c r="GJ38" i="36"/>
  <c r="GK38" i="36" s="1"/>
  <c r="GL38" i="36" s="1"/>
  <c r="GT38" i="36" s="1"/>
  <c r="FL38" i="36"/>
  <c r="FM38" i="36" s="1"/>
  <c r="FN38" i="36" s="1"/>
  <c r="GP38" i="36" s="1"/>
  <c r="EZ36" i="36"/>
  <c r="FA36" i="36" s="1"/>
  <c r="FB36" i="36" s="1"/>
  <c r="GN36" i="36" s="1"/>
  <c r="FC20" i="36"/>
  <c r="GJ17" i="36"/>
  <c r="GK17" i="36" s="1"/>
  <c r="GL17" i="36" s="1"/>
  <c r="GT17" i="36" s="1"/>
  <c r="FF17" i="36"/>
  <c r="FG17" i="36" s="1"/>
  <c r="FH17" i="36" s="1"/>
  <c r="GO17" i="36" s="1"/>
  <c r="GD15" i="36"/>
  <c r="GE15" i="36" s="1"/>
  <c r="GF15" i="36" s="1"/>
  <c r="GS15" i="36" s="1"/>
  <c r="GD13" i="36"/>
  <c r="GE13" i="36" s="1"/>
  <c r="GF13" i="36" s="1"/>
  <c r="GS13" i="36" s="1"/>
  <c r="DZ13" i="36"/>
  <c r="FR11" i="36"/>
  <c r="FS11" i="36" s="1"/>
  <c r="FT11" i="36" s="1"/>
  <c r="GQ11" i="36" s="1"/>
  <c r="GJ11" i="36"/>
  <c r="GK11" i="36" s="1"/>
  <c r="GL11" i="36" s="1"/>
  <c r="GT11" i="36" s="1"/>
  <c r="FR10" i="36"/>
  <c r="FS10" i="36" s="1"/>
  <c r="FT10" i="36" s="1"/>
  <c r="GQ10" i="36" s="1"/>
  <c r="FL10" i="36"/>
  <c r="FM10" i="36" s="1"/>
  <c r="FN10" i="36" s="1"/>
  <c r="GP10" i="36" s="1"/>
  <c r="GD10" i="36"/>
  <c r="GE10" i="36" s="1"/>
  <c r="GF10" i="36" s="1"/>
  <c r="GS10" i="36" s="1"/>
  <c r="GB42" i="34"/>
  <c r="GF33" i="34"/>
  <c r="GG33" i="34" s="1"/>
  <c r="GH33" i="34" s="1"/>
  <c r="IF33" i="34" s="1"/>
  <c r="HP28" i="34"/>
  <c r="HQ28" i="34" s="1"/>
  <c r="HR28" i="34" s="1"/>
  <c r="IL28" i="34" s="1"/>
  <c r="GR23" i="34"/>
  <c r="GS23" i="34" s="1"/>
  <c r="GT23" i="34" s="1"/>
  <c r="IH23" i="34" s="1"/>
  <c r="HP22" i="34"/>
  <c r="HQ22" i="34" s="1"/>
  <c r="HR22" i="34" s="1"/>
  <c r="IL22" i="34" s="1"/>
  <c r="GR20" i="34"/>
  <c r="GS20" i="34" s="1"/>
  <c r="GT20" i="34" s="1"/>
  <c r="IH20" i="34" s="1"/>
  <c r="HP10" i="34"/>
  <c r="HQ10" i="34" s="1"/>
  <c r="HR10" i="34" s="1"/>
  <c r="IL10" i="34" s="1"/>
  <c r="GR10" i="34"/>
  <c r="GS10" i="34" s="1"/>
  <c r="GT10" i="34" s="1"/>
  <c r="IH10" i="34" s="1"/>
  <c r="EQ11" i="28"/>
  <c r="ER11" i="28" s="1"/>
  <c r="ES11" i="28" s="1"/>
  <c r="FU11" i="28" s="1"/>
  <c r="EZ42" i="36"/>
  <c r="FA42" i="36" s="1"/>
  <c r="FB42" i="36" s="1"/>
  <c r="GN42" i="36" s="1"/>
  <c r="GJ40" i="36"/>
  <c r="GK40" i="36" s="1"/>
  <c r="GL40" i="36" s="1"/>
  <c r="GT40" i="36" s="1"/>
  <c r="FL40" i="36"/>
  <c r="FM40" i="36" s="1"/>
  <c r="FN40" i="36" s="1"/>
  <c r="GP40" i="36" s="1"/>
  <c r="GD36" i="36"/>
  <c r="GE36" i="36" s="1"/>
  <c r="GF36" i="36" s="1"/>
  <c r="GS36" i="36" s="1"/>
  <c r="FR19" i="36"/>
  <c r="FS19" i="36" s="1"/>
  <c r="FT19" i="36" s="1"/>
  <c r="GQ19" i="36" s="1"/>
  <c r="FL17" i="36"/>
  <c r="FM17" i="36" s="1"/>
  <c r="FN17" i="36" s="1"/>
  <c r="GP17" i="36" s="1"/>
  <c r="DF17" i="36" s="1"/>
  <c r="FL16" i="36"/>
  <c r="FM16" i="36" s="1"/>
  <c r="FN16" i="36" s="1"/>
  <c r="GP16" i="36" s="1"/>
  <c r="FL13" i="36"/>
  <c r="FM13" i="36" s="1"/>
  <c r="FN13" i="36" s="1"/>
  <c r="GP13" i="36" s="1"/>
  <c r="HD8" i="34"/>
  <c r="HE8" i="34" s="1"/>
  <c r="HF8" i="34" s="1"/>
  <c r="IJ8" i="34" s="1"/>
  <c r="EL8" i="34" s="1"/>
  <c r="GX8" i="34"/>
  <c r="GY8" i="34" s="1"/>
  <c r="GZ8" i="34" s="1"/>
  <c r="II8" i="34" s="1"/>
  <c r="EK8" i="34" s="1"/>
  <c r="GX42" i="34"/>
  <c r="GY42" i="34" s="1"/>
  <c r="GZ42" i="34" s="1"/>
  <c r="II42" i="34" s="1"/>
  <c r="GL42" i="34"/>
  <c r="GM42" i="34" s="1"/>
  <c r="GN42" i="34" s="1"/>
  <c r="IG42" i="34" s="1"/>
  <c r="GX41" i="34"/>
  <c r="GY41" i="34" s="1"/>
  <c r="GZ41" i="34" s="1"/>
  <c r="II41" i="34" s="1"/>
  <c r="GL41" i="34"/>
  <c r="GM41" i="34" s="1"/>
  <c r="GN41" i="34" s="1"/>
  <c r="IG41" i="34" s="1"/>
  <c r="GX40" i="34"/>
  <c r="GY40" i="34" s="1"/>
  <c r="GZ40" i="34" s="1"/>
  <c r="II40" i="34" s="1"/>
  <c r="GL40" i="34"/>
  <c r="GM40" i="34" s="1"/>
  <c r="GN40" i="34" s="1"/>
  <c r="IG40" i="34" s="1"/>
  <c r="GX39" i="34"/>
  <c r="GY39" i="34" s="1"/>
  <c r="GZ39" i="34" s="1"/>
  <c r="II39" i="34" s="1"/>
  <c r="GL39" i="34"/>
  <c r="GM39" i="34" s="1"/>
  <c r="GN39" i="34" s="1"/>
  <c r="IG39" i="34" s="1"/>
  <c r="GR37" i="34"/>
  <c r="GS37" i="34" s="1"/>
  <c r="GT37" i="34" s="1"/>
  <c r="IH37" i="34" s="1"/>
  <c r="GX36" i="34"/>
  <c r="GY36" i="34" s="1"/>
  <c r="GZ36" i="34" s="1"/>
  <c r="II36" i="34" s="1"/>
  <c r="GB36" i="34"/>
  <c r="GR36" i="34"/>
  <c r="GS36" i="34" s="1"/>
  <c r="GT36" i="34" s="1"/>
  <c r="IH36" i="34" s="1"/>
  <c r="HJ32" i="34"/>
  <c r="HK32" i="34" s="1"/>
  <c r="HL32" i="34" s="1"/>
  <c r="IK32" i="34" s="1"/>
  <c r="HJ31" i="34"/>
  <c r="HK31" i="34" s="1"/>
  <c r="HL31" i="34" s="1"/>
  <c r="IK31" i="34" s="1"/>
  <c r="GL31" i="34"/>
  <c r="GM31" i="34" s="1"/>
  <c r="GN31" i="34" s="1"/>
  <c r="IG31" i="34" s="1"/>
  <c r="HP30" i="34"/>
  <c r="HQ30" i="34" s="1"/>
  <c r="HR30" i="34" s="1"/>
  <c r="IL30" i="34" s="1"/>
  <c r="GR30" i="34"/>
  <c r="GS30" i="34" s="1"/>
  <c r="GT30" i="34" s="1"/>
  <c r="IH30" i="34" s="1"/>
  <c r="HP29" i="34"/>
  <c r="HQ29" i="34" s="1"/>
  <c r="HR29" i="34" s="1"/>
  <c r="IL29" i="34" s="1"/>
  <c r="GR29" i="34"/>
  <c r="GS29" i="34" s="1"/>
  <c r="GT29" i="34" s="1"/>
  <c r="IH29" i="34" s="1"/>
  <c r="GR27" i="34"/>
  <c r="GS27" i="34" s="1"/>
  <c r="GT27" i="34" s="1"/>
  <c r="IH27" i="34" s="1"/>
  <c r="GX25" i="34"/>
  <c r="GY25" i="34" s="1"/>
  <c r="GZ25" i="34" s="1"/>
  <c r="II25" i="34" s="1"/>
  <c r="HD23" i="34"/>
  <c r="HE23" i="34" s="1"/>
  <c r="HF23" i="34" s="1"/>
  <c r="IJ23" i="34" s="1"/>
  <c r="HJ22" i="34"/>
  <c r="HK22" i="34" s="1"/>
  <c r="HL22" i="34" s="1"/>
  <c r="IK22" i="34" s="1"/>
  <c r="HP21" i="34"/>
  <c r="HQ21" i="34" s="1"/>
  <c r="HR21" i="34" s="1"/>
  <c r="IL21" i="34" s="1"/>
  <c r="GD19" i="34"/>
  <c r="GF19" i="34" s="1"/>
  <c r="GG19" i="34" s="1"/>
  <c r="GH19" i="34" s="1"/>
  <c r="IF19" i="34" s="1"/>
  <c r="HD17" i="34"/>
  <c r="HE17" i="34" s="1"/>
  <c r="HF17" i="34" s="1"/>
  <c r="IJ17" i="34" s="1"/>
  <c r="GF17" i="34"/>
  <c r="GG17" i="34" s="1"/>
  <c r="GH17" i="34" s="1"/>
  <c r="IF17" i="34" s="1"/>
  <c r="GP14" i="34"/>
  <c r="GR14" i="34" s="1"/>
  <c r="GS14" i="34" s="1"/>
  <c r="GT14" i="34" s="1"/>
  <c r="IH14" i="34" s="1"/>
  <c r="GB14" i="34"/>
  <c r="GX11" i="34"/>
  <c r="GY11" i="34" s="1"/>
  <c r="GZ11" i="34" s="1"/>
  <c r="II11" i="34" s="1"/>
  <c r="GX10" i="34"/>
  <c r="GY10" i="34" s="1"/>
  <c r="GZ10" i="34" s="1"/>
  <c r="II10" i="34" s="1"/>
  <c r="HJ10" i="34"/>
  <c r="HK10" i="34" s="1"/>
  <c r="HL10" i="34" s="1"/>
  <c r="IK10" i="34" s="1"/>
  <c r="HJ9" i="34"/>
  <c r="HK9" i="34" s="1"/>
  <c r="HL9" i="34" s="1"/>
  <c r="IK9" i="34" s="1"/>
  <c r="GB41" i="34"/>
  <c r="GB40" i="34"/>
  <c r="GB39" i="34"/>
  <c r="GB38" i="34"/>
  <c r="GR33" i="34"/>
  <c r="GS33" i="34" s="1"/>
  <c r="GT33" i="34" s="1"/>
  <c r="IH33" i="34" s="1"/>
  <c r="GR32" i="34"/>
  <c r="GS32" i="34" s="1"/>
  <c r="GT32" i="34" s="1"/>
  <c r="IH32" i="34" s="1"/>
  <c r="HP31" i="34"/>
  <c r="HQ31" i="34" s="1"/>
  <c r="HR31" i="34" s="1"/>
  <c r="IL31" i="34" s="1"/>
  <c r="GR31" i="34"/>
  <c r="GS31" i="34" s="1"/>
  <c r="GT31" i="34" s="1"/>
  <c r="IH31" i="34" s="1"/>
  <c r="GX30" i="34"/>
  <c r="GY30" i="34" s="1"/>
  <c r="GZ30" i="34" s="1"/>
  <c r="II30" i="34" s="1"/>
  <c r="GX29" i="34"/>
  <c r="GY29" i="34" s="1"/>
  <c r="GZ29" i="34" s="1"/>
  <c r="II29" i="34" s="1"/>
  <c r="HJ28" i="34"/>
  <c r="HK28" i="34" s="1"/>
  <c r="HL28" i="34" s="1"/>
  <c r="IK28" i="34" s="1"/>
  <c r="GR28" i="34"/>
  <c r="GS28" i="34" s="1"/>
  <c r="GT28" i="34" s="1"/>
  <c r="IH28" i="34" s="1"/>
  <c r="HP26" i="34"/>
  <c r="HQ26" i="34" s="1"/>
  <c r="HR26" i="34" s="1"/>
  <c r="IL26" i="34" s="1"/>
  <c r="HP25" i="34"/>
  <c r="HQ25" i="34" s="1"/>
  <c r="HR25" i="34" s="1"/>
  <c r="IL25" i="34" s="1"/>
  <c r="GR22" i="34"/>
  <c r="GS22" i="34" s="1"/>
  <c r="GT22" i="34" s="1"/>
  <c r="IH22" i="34" s="1"/>
  <c r="HD19" i="34"/>
  <c r="HE19" i="34" s="1"/>
  <c r="HF19" i="34" s="1"/>
  <c r="IJ19" i="34" s="1"/>
  <c r="GR16" i="34"/>
  <c r="GS16" i="34" s="1"/>
  <c r="GT16" i="34" s="1"/>
  <c r="IH16" i="34" s="1"/>
  <c r="HD13" i="34"/>
  <c r="HE13" i="34" s="1"/>
  <c r="HF13" i="34" s="1"/>
  <c r="IJ13" i="34" s="1"/>
  <c r="GF13" i="34"/>
  <c r="GG13" i="34" s="1"/>
  <c r="GH13" i="34" s="1"/>
  <c r="IF13" i="34" s="1"/>
  <c r="EH13" i="34" s="1"/>
  <c r="HD12" i="34"/>
  <c r="HE12" i="34" s="1"/>
  <c r="HF12" i="34" s="1"/>
  <c r="IJ12" i="34" s="1"/>
  <c r="DF8" i="26"/>
  <c r="DG8" i="26" s="1"/>
  <c r="DH8" i="26" s="1"/>
  <c r="FN8" i="26" s="1"/>
  <c r="AO8" i="26" s="1"/>
  <c r="ED8" i="26"/>
  <c r="EE8" i="26" s="1"/>
  <c r="EF8" i="26" s="1"/>
  <c r="FR8" i="26" s="1"/>
  <c r="AS8" i="26" s="1"/>
  <c r="GJ12" i="36"/>
  <c r="GK12" i="36" s="1"/>
  <c r="GL12" i="36" s="1"/>
  <c r="GT12" i="36" s="1"/>
  <c r="FL12" i="36"/>
  <c r="FM12" i="36" s="1"/>
  <c r="FN12" i="36" s="1"/>
  <c r="GP12" i="36" s="1"/>
  <c r="DF12" i="36" s="1"/>
  <c r="FR12" i="36"/>
  <c r="FS12" i="36" s="1"/>
  <c r="FT12" i="36" s="1"/>
  <c r="GQ12" i="36" s="1"/>
  <c r="FX11" i="36"/>
  <c r="FY11" i="36" s="1"/>
  <c r="FZ11" i="36" s="1"/>
  <c r="GR11" i="36" s="1"/>
  <c r="GB8" i="34"/>
  <c r="GE8" i="34"/>
  <c r="GF8" i="34" s="1"/>
  <c r="GG8" i="34" s="1"/>
  <c r="GH8" i="34" s="1"/>
  <c r="IF8" i="34" s="1"/>
  <c r="HD37" i="34"/>
  <c r="HE37" i="34" s="1"/>
  <c r="HF37" i="34" s="1"/>
  <c r="IJ37" i="34" s="1"/>
  <c r="GX31" i="34"/>
  <c r="GY31" i="34" s="1"/>
  <c r="GZ31" i="34" s="1"/>
  <c r="II31" i="34" s="1"/>
  <c r="HP27" i="34"/>
  <c r="HQ27" i="34" s="1"/>
  <c r="HR27" i="34" s="1"/>
  <c r="IL27" i="34" s="1"/>
  <c r="HJ20" i="34"/>
  <c r="HK20" i="34" s="1"/>
  <c r="HL20" i="34" s="1"/>
  <c r="IK20" i="34" s="1"/>
  <c r="GB19" i="34"/>
  <c r="GX14" i="34"/>
  <c r="GY14" i="34" s="1"/>
  <c r="GZ14" i="34" s="1"/>
  <c r="II14" i="34" s="1"/>
  <c r="HP13" i="34"/>
  <c r="HQ13" i="34" s="1"/>
  <c r="HR13" i="34" s="1"/>
  <c r="IL13" i="34" s="1"/>
  <c r="GR13" i="34"/>
  <c r="GS13" i="34" s="1"/>
  <c r="GT13" i="34" s="1"/>
  <c r="IH13" i="34" s="1"/>
  <c r="EJ13" i="34" s="1"/>
  <c r="HJ13" i="34"/>
  <c r="HK13" i="34" s="1"/>
  <c r="HL13" i="34" s="1"/>
  <c r="IK13" i="34" s="1"/>
  <c r="HP12" i="34"/>
  <c r="HQ12" i="34" s="1"/>
  <c r="HR12" i="34" s="1"/>
  <c r="IL12" i="34" s="1"/>
  <c r="GR12" i="34"/>
  <c r="GS12" i="34" s="1"/>
  <c r="GT12" i="34" s="1"/>
  <c r="IH12" i="34" s="1"/>
  <c r="HP11" i="34"/>
  <c r="HQ11" i="34" s="1"/>
  <c r="HR11" i="34" s="1"/>
  <c r="IL11" i="34" s="1"/>
  <c r="GR11" i="34"/>
  <c r="GS11" i="34" s="1"/>
  <c r="GT11" i="34" s="1"/>
  <c r="IH11" i="34" s="1"/>
  <c r="EJ11" i="34" s="1"/>
  <c r="HD10" i="34"/>
  <c r="HE10" i="34" s="1"/>
  <c r="HF10" i="34" s="1"/>
  <c r="IJ10" i="34" s="1"/>
  <c r="DL8" i="26"/>
  <c r="DM8" i="26" s="1"/>
  <c r="DN8" i="26" s="1"/>
  <c r="FO8" i="26" s="1"/>
  <c r="AP8" i="26" s="1"/>
  <c r="EJ8" i="26"/>
  <c r="EK8" i="26" s="1"/>
  <c r="EL8" i="26" s="1"/>
  <c r="FS8" i="26" s="1"/>
  <c r="AT8" i="26" s="1"/>
  <c r="EZ11" i="36"/>
  <c r="FA11" i="36" s="1"/>
  <c r="FB11" i="36" s="1"/>
  <c r="GN11" i="36" s="1"/>
  <c r="EZ10" i="36"/>
  <c r="FA10" i="36" s="1"/>
  <c r="FB10" i="36" s="1"/>
  <c r="GN10" i="36" s="1"/>
  <c r="FX9" i="36"/>
  <c r="FY9" i="36" s="1"/>
  <c r="FZ9" i="36" s="1"/>
  <c r="GR9" i="36" s="1"/>
  <c r="FQ8" i="34"/>
  <c r="HJ38" i="34"/>
  <c r="HK38" i="34" s="1"/>
  <c r="HL38" i="34" s="1"/>
  <c r="IK38" i="34" s="1"/>
  <c r="GR35" i="34"/>
  <c r="GS35" i="34" s="1"/>
  <c r="GT35" i="34" s="1"/>
  <c r="IH35" i="34" s="1"/>
  <c r="GB34" i="34"/>
  <c r="HP34" i="34"/>
  <c r="HQ34" i="34" s="1"/>
  <c r="HR34" i="34" s="1"/>
  <c r="IL34" i="34" s="1"/>
  <c r="GR34" i="34"/>
  <c r="GS34" i="34" s="1"/>
  <c r="GT34" i="34" s="1"/>
  <c r="IH34" i="34" s="1"/>
  <c r="HJ30" i="34"/>
  <c r="HK30" i="34" s="1"/>
  <c r="HL30" i="34" s="1"/>
  <c r="IK30" i="34" s="1"/>
  <c r="GL30" i="34"/>
  <c r="GM30" i="34" s="1"/>
  <c r="GN30" i="34" s="1"/>
  <c r="IG30" i="34" s="1"/>
  <c r="HJ29" i="34"/>
  <c r="HK29" i="34" s="1"/>
  <c r="HL29" i="34" s="1"/>
  <c r="IK29" i="34" s="1"/>
  <c r="GL29" i="34"/>
  <c r="GM29" i="34" s="1"/>
  <c r="GN29" i="34" s="1"/>
  <c r="IG29" i="34" s="1"/>
  <c r="HJ24" i="34"/>
  <c r="HK24" i="34" s="1"/>
  <c r="HL24" i="34" s="1"/>
  <c r="IK24" i="34" s="1"/>
  <c r="GB23" i="34"/>
  <c r="GB21" i="34"/>
  <c r="GB18" i="34"/>
  <c r="GD15" i="34"/>
  <c r="GF15" i="34" s="1"/>
  <c r="GG15" i="34" s="1"/>
  <c r="GH15" i="34" s="1"/>
  <c r="IF15" i="34" s="1"/>
  <c r="GX12" i="34"/>
  <c r="GY12" i="34" s="1"/>
  <c r="GZ12" i="34" s="1"/>
  <c r="II12" i="34" s="1"/>
  <c r="HJ12" i="34"/>
  <c r="HK12" i="34" s="1"/>
  <c r="HL12" i="34" s="1"/>
  <c r="IK12" i="34" s="1"/>
  <c r="FB8" i="26"/>
  <c r="FC8" i="26" s="1"/>
  <c r="FD8" i="26" s="1"/>
  <c r="FV8" i="26" s="1"/>
  <c r="AW8" i="26" s="1"/>
  <c r="GX35" i="25"/>
  <c r="GY35" i="25" s="1"/>
  <c r="GZ35" i="25" s="1"/>
  <c r="IK35" i="25" s="1"/>
  <c r="HJ30" i="25"/>
  <c r="HK30" i="25" s="1"/>
  <c r="HL30" i="25" s="1"/>
  <c r="GF29" i="25"/>
  <c r="GG29" i="25" s="1"/>
  <c r="GH29" i="25" s="1"/>
  <c r="IH29" i="25" s="1"/>
  <c r="GX23" i="25"/>
  <c r="GY23" i="25" s="1"/>
  <c r="GZ23" i="25" s="1"/>
  <c r="HJ41" i="25"/>
  <c r="HK41" i="25" s="1"/>
  <c r="HL41" i="25" s="1"/>
  <c r="IM41" i="25" s="1"/>
  <c r="HP39" i="25"/>
  <c r="HQ39" i="25" s="1"/>
  <c r="HR39" i="25" s="1"/>
  <c r="GR39" i="25"/>
  <c r="GS39" i="25" s="1"/>
  <c r="GT39" i="25" s="1"/>
  <c r="HP35" i="25"/>
  <c r="HQ35" i="25" s="1"/>
  <c r="HR35" i="25" s="1"/>
  <c r="IN35" i="25" s="1"/>
  <c r="HP34" i="25"/>
  <c r="HQ34" i="25" s="1"/>
  <c r="HR34" i="25" s="1"/>
  <c r="GX32" i="25"/>
  <c r="GY32" i="25" s="1"/>
  <c r="GZ32" i="25" s="1"/>
  <c r="IK32" i="25" s="1"/>
  <c r="HD29" i="25"/>
  <c r="HE29" i="25" s="1"/>
  <c r="HF29" i="25" s="1"/>
  <c r="IL29" i="25" s="1"/>
  <c r="GR41" i="25"/>
  <c r="GS41" i="25" s="1"/>
  <c r="GT41" i="25" s="1"/>
  <c r="IJ41" i="25" s="1"/>
  <c r="GF30" i="25"/>
  <c r="GG30" i="25" s="1"/>
  <c r="GH30" i="25" s="1"/>
  <c r="GX41" i="25"/>
  <c r="GY41" i="25" s="1"/>
  <c r="GZ41" i="25" s="1"/>
  <c r="GX28" i="25"/>
  <c r="GY28" i="25" s="1"/>
  <c r="GZ28" i="25" s="1"/>
  <c r="HJ23" i="25"/>
  <c r="HK23" i="25" s="1"/>
  <c r="HL23" i="25" s="1"/>
  <c r="GC19" i="25"/>
  <c r="GF19" i="25" s="1"/>
  <c r="GG19" i="25" s="1"/>
  <c r="GH19" i="25" s="1"/>
  <c r="IH19" i="25" s="1"/>
  <c r="GE15" i="25"/>
  <c r="GB15" i="25"/>
  <c r="FF33" i="7"/>
  <c r="FG33" i="7" s="1"/>
  <c r="FH33" i="7" s="1"/>
  <c r="GO33" i="7" s="1"/>
  <c r="FD22" i="7"/>
  <c r="EK22" i="7"/>
  <c r="HP8" i="25"/>
  <c r="HQ8" i="25" s="1"/>
  <c r="HR8" i="25" s="1"/>
  <c r="IN8" i="25" s="1"/>
  <c r="EN8" i="25" s="1"/>
  <c r="HJ33" i="25"/>
  <c r="HK33" i="25" s="1"/>
  <c r="HL33" i="25" s="1"/>
  <c r="IM33" i="25" s="1"/>
  <c r="EM33" i="25" s="1"/>
  <c r="HP30" i="25"/>
  <c r="HQ30" i="25" s="1"/>
  <c r="HR30" i="25" s="1"/>
  <c r="HP28" i="25"/>
  <c r="HQ28" i="25" s="1"/>
  <c r="HR28" i="25" s="1"/>
  <c r="HD27" i="25"/>
  <c r="HE27" i="25" s="1"/>
  <c r="HF27" i="25" s="1"/>
  <c r="HJ24" i="25"/>
  <c r="HK24" i="25" s="1"/>
  <c r="HL24" i="25" s="1"/>
  <c r="IM24" i="25" s="1"/>
  <c r="GL22" i="25"/>
  <c r="GM22" i="25" s="1"/>
  <c r="GN22" i="25" s="1"/>
  <c r="GD21" i="25"/>
  <c r="GB21" i="25"/>
  <c r="HP21" i="25"/>
  <c r="HQ21" i="25" s="1"/>
  <c r="HR21" i="25" s="1"/>
  <c r="IN21" i="25" s="1"/>
  <c r="GR21" i="25"/>
  <c r="GS21" i="25" s="1"/>
  <c r="GT21" i="25" s="1"/>
  <c r="GB20" i="25"/>
  <c r="GE20" i="25"/>
  <c r="GF20" i="25" s="1"/>
  <c r="GG20" i="25" s="1"/>
  <c r="GH20" i="25" s="1"/>
  <c r="GX19" i="25"/>
  <c r="GY19" i="25" s="1"/>
  <c r="GZ19" i="25" s="1"/>
  <c r="IK19" i="25" s="1"/>
  <c r="GX16" i="25"/>
  <c r="GY16" i="25" s="1"/>
  <c r="GZ16" i="25" s="1"/>
  <c r="HJ16" i="25"/>
  <c r="HK16" i="25" s="1"/>
  <c r="HL16" i="25" s="1"/>
  <c r="GL16" i="25"/>
  <c r="GM16" i="25" s="1"/>
  <c r="GN16" i="25" s="1"/>
  <c r="HD13" i="25"/>
  <c r="HE13" i="25" s="1"/>
  <c r="HF13" i="25" s="1"/>
  <c r="IL13" i="25" s="1"/>
  <c r="GI13" i="25"/>
  <c r="GL13" i="25" s="1"/>
  <c r="GM13" i="25" s="1"/>
  <c r="GN13" i="25" s="1"/>
  <c r="II13" i="25" s="1"/>
  <c r="GF10" i="25"/>
  <c r="GG10" i="25" s="1"/>
  <c r="GH10" i="25" s="1"/>
  <c r="GF9" i="25"/>
  <c r="GG9" i="25" s="1"/>
  <c r="GH9" i="25" s="1"/>
  <c r="IH9" i="25" s="1"/>
  <c r="EK42" i="7"/>
  <c r="FP42" i="7"/>
  <c r="FR42" i="7" s="1"/>
  <c r="FS42" i="7" s="1"/>
  <c r="FT42" i="7" s="1"/>
  <c r="GQ42" i="7" s="1"/>
  <c r="FL42" i="7"/>
  <c r="FM42" i="7" s="1"/>
  <c r="FN42" i="7" s="1"/>
  <c r="GP42" i="7" s="1"/>
  <c r="GJ39" i="7"/>
  <c r="GK39" i="7" s="1"/>
  <c r="GL39" i="7" s="1"/>
  <c r="GT39" i="7" s="1"/>
  <c r="GD38" i="7"/>
  <c r="GE38" i="7" s="1"/>
  <c r="GF38" i="7" s="1"/>
  <c r="GS38" i="7" s="1"/>
  <c r="DI38" i="7" s="1"/>
  <c r="GD37" i="7"/>
  <c r="GE37" i="7" s="1"/>
  <c r="GF37" i="7" s="1"/>
  <c r="GS37" i="7" s="1"/>
  <c r="FL34" i="7"/>
  <c r="FM34" i="7" s="1"/>
  <c r="FN34" i="7" s="1"/>
  <c r="GP34" i="7" s="1"/>
  <c r="GJ28" i="7"/>
  <c r="GK28" i="7" s="1"/>
  <c r="GL28" i="7" s="1"/>
  <c r="GT28" i="7" s="1"/>
  <c r="EV24" i="7"/>
  <c r="FK24" i="7"/>
  <c r="GL40" i="25"/>
  <c r="GM40" i="25" s="1"/>
  <c r="GN40" i="25" s="1"/>
  <c r="GR40" i="25"/>
  <c r="GS40" i="25" s="1"/>
  <c r="GT40" i="25" s="1"/>
  <c r="IJ40" i="25" s="1"/>
  <c r="HJ37" i="25"/>
  <c r="HK37" i="25" s="1"/>
  <c r="HL37" i="25" s="1"/>
  <c r="GR35" i="25"/>
  <c r="GS35" i="25" s="1"/>
  <c r="GT35" i="25" s="1"/>
  <c r="HD33" i="25"/>
  <c r="HE33" i="25" s="1"/>
  <c r="HF33" i="25" s="1"/>
  <c r="HD32" i="25"/>
  <c r="HE32" i="25" s="1"/>
  <c r="HF32" i="25" s="1"/>
  <c r="IL32" i="25" s="1"/>
  <c r="GX31" i="25"/>
  <c r="GY31" i="25" s="1"/>
  <c r="GZ31" i="25" s="1"/>
  <c r="GL30" i="25"/>
  <c r="GM30" i="25" s="1"/>
  <c r="GN30" i="25" s="1"/>
  <c r="II30" i="25" s="1"/>
  <c r="GF27" i="25"/>
  <c r="GG27" i="25" s="1"/>
  <c r="GH27" i="25" s="1"/>
  <c r="HD26" i="25"/>
  <c r="HE26" i="25" s="1"/>
  <c r="HF26" i="25" s="1"/>
  <c r="IL26" i="25" s="1"/>
  <c r="GF26" i="25"/>
  <c r="GG26" i="25" s="1"/>
  <c r="GH26" i="25" s="1"/>
  <c r="HP26" i="25"/>
  <c r="HQ26" i="25" s="1"/>
  <c r="HR26" i="25" s="1"/>
  <c r="IN26" i="25" s="1"/>
  <c r="GX25" i="25"/>
  <c r="GY25" i="25" s="1"/>
  <c r="GZ25" i="25" s="1"/>
  <c r="IK25" i="25" s="1"/>
  <c r="HJ25" i="25"/>
  <c r="HK25" i="25" s="1"/>
  <c r="HL25" i="25" s="1"/>
  <c r="IM25" i="25" s="1"/>
  <c r="HD24" i="25"/>
  <c r="HE24" i="25" s="1"/>
  <c r="HF24" i="25" s="1"/>
  <c r="GB23" i="25"/>
  <c r="GE23" i="25"/>
  <c r="GF23" i="25" s="1"/>
  <c r="GG23" i="25" s="1"/>
  <c r="GH23" i="25" s="1"/>
  <c r="IH23" i="25" s="1"/>
  <c r="HP23" i="25"/>
  <c r="HQ23" i="25" s="1"/>
  <c r="HR23" i="25" s="1"/>
  <c r="IN23" i="25" s="1"/>
  <c r="HD22" i="25"/>
  <c r="HE22" i="25" s="1"/>
  <c r="HF22" i="25" s="1"/>
  <c r="GL21" i="25"/>
  <c r="GM21" i="25" s="1"/>
  <c r="GN21" i="25" s="1"/>
  <c r="GX20" i="25"/>
  <c r="GY20" i="25" s="1"/>
  <c r="GZ20" i="25" s="1"/>
  <c r="IK20" i="25" s="1"/>
  <c r="EK20" i="25" s="1"/>
  <c r="GL19" i="25"/>
  <c r="GM19" i="25" s="1"/>
  <c r="GN19" i="25" s="1"/>
  <c r="II19" i="25" s="1"/>
  <c r="GX18" i="25"/>
  <c r="GY18" i="25" s="1"/>
  <c r="GZ18" i="25" s="1"/>
  <c r="GR15" i="25"/>
  <c r="GS15" i="25" s="1"/>
  <c r="GT15" i="25" s="1"/>
  <c r="HD14" i="25"/>
  <c r="HE14" i="25" s="1"/>
  <c r="HF14" i="25" s="1"/>
  <c r="IL14" i="25" s="1"/>
  <c r="EL14" i="25" s="1"/>
  <c r="GR14" i="25"/>
  <c r="GS14" i="25" s="1"/>
  <c r="GT14" i="25" s="1"/>
  <c r="GB12" i="25"/>
  <c r="GJ40" i="7"/>
  <c r="GK40" i="7" s="1"/>
  <c r="GL40" i="7" s="1"/>
  <c r="GT40" i="7" s="1"/>
  <c r="FL40" i="7"/>
  <c r="FM40" i="7" s="1"/>
  <c r="FN40" i="7" s="1"/>
  <c r="GP40" i="7" s="1"/>
  <c r="DF40" i="7" s="1"/>
  <c r="GJ31" i="7"/>
  <c r="GK31" i="7" s="1"/>
  <c r="GL31" i="7" s="1"/>
  <c r="GT31" i="7" s="1"/>
  <c r="FR29" i="7"/>
  <c r="FS29" i="7" s="1"/>
  <c r="FT29" i="7" s="1"/>
  <c r="GQ29" i="7" s="1"/>
  <c r="EV21" i="7"/>
  <c r="EY21" i="7"/>
  <c r="EK19" i="7"/>
  <c r="FJ19" i="7"/>
  <c r="GJ10" i="7"/>
  <c r="GK10" i="7" s="1"/>
  <c r="GL10" i="7" s="1"/>
  <c r="GT10" i="7" s="1"/>
  <c r="GF8" i="25"/>
  <c r="GG8" i="25" s="1"/>
  <c r="GH8" i="25" s="1"/>
  <c r="IH8" i="25" s="1"/>
  <c r="HD8" i="25"/>
  <c r="HE8" i="25" s="1"/>
  <c r="HF8" i="25" s="1"/>
  <c r="IL8" i="25" s="1"/>
  <c r="EL8" i="25" s="1"/>
  <c r="GB8" i="25"/>
  <c r="HP41" i="25"/>
  <c r="HQ41" i="25" s="1"/>
  <c r="HR41" i="25" s="1"/>
  <c r="IN41" i="25" s="1"/>
  <c r="GX39" i="25"/>
  <c r="GY39" i="25" s="1"/>
  <c r="GZ39" i="25" s="1"/>
  <c r="GL39" i="25"/>
  <c r="GM39" i="25" s="1"/>
  <c r="GN39" i="25" s="1"/>
  <c r="GR37" i="25"/>
  <c r="GS37" i="25" s="1"/>
  <c r="GT37" i="25" s="1"/>
  <c r="IJ37" i="25" s="1"/>
  <c r="HD37" i="25"/>
  <c r="HE37" i="25" s="1"/>
  <c r="HF37" i="25" s="1"/>
  <c r="IL37" i="25" s="1"/>
  <c r="HD36" i="25"/>
  <c r="HE36" i="25" s="1"/>
  <c r="HF36" i="25" s="1"/>
  <c r="GL31" i="25"/>
  <c r="GM31" i="25" s="1"/>
  <c r="GN31" i="25" s="1"/>
  <c r="GR30" i="25"/>
  <c r="GS30" i="25" s="1"/>
  <c r="GT30" i="25" s="1"/>
  <c r="IJ30" i="25" s="1"/>
  <c r="GX26" i="25"/>
  <c r="GY26" i="25" s="1"/>
  <c r="GZ26" i="25" s="1"/>
  <c r="HD21" i="25"/>
  <c r="HE21" i="25" s="1"/>
  <c r="HF21" i="25" s="1"/>
  <c r="IL21" i="25" s="1"/>
  <c r="GD15" i="25"/>
  <c r="GF14" i="25"/>
  <c r="GG14" i="25" s="1"/>
  <c r="GH14" i="25" s="1"/>
  <c r="GF13" i="25"/>
  <c r="GG13" i="25" s="1"/>
  <c r="GH13" i="25" s="1"/>
  <c r="IH13" i="25" s="1"/>
  <c r="GX13" i="25"/>
  <c r="GY13" i="25" s="1"/>
  <c r="GZ13" i="25" s="1"/>
  <c r="IK13" i="25" s="1"/>
  <c r="EK13" i="25" s="1"/>
  <c r="HJ12" i="25"/>
  <c r="HK12" i="25" s="1"/>
  <c r="HL12" i="25" s="1"/>
  <c r="FF41" i="7"/>
  <c r="FG41" i="7" s="1"/>
  <c r="FH41" i="7" s="1"/>
  <c r="GO41" i="7" s="1"/>
  <c r="FL33" i="7"/>
  <c r="FM33" i="7" s="1"/>
  <c r="FN33" i="7" s="1"/>
  <c r="GP33" i="7" s="1"/>
  <c r="GD26" i="7"/>
  <c r="GE26" i="7" s="1"/>
  <c r="GF26" i="7" s="1"/>
  <c r="GS26" i="7" s="1"/>
  <c r="EZ15" i="7"/>
  <c r="FA15" i="7" s="1"/>
  <c r="FB15" i="7" s="1"/>
  <c r="GN15" i="7" s="1"/>
  <c r="GL18" i="25"/>
  <c r="GM18" i="25" s="1"/>
  <c r="GN18" i="25" s="1"/>
  <c r="II18" i="25" s="1"/>
  <c r="EI18" i="25" s="1"/>
  <c r="HD10" i="25"/>
  <c r="HE10" i="25" s="1"/>
  <c r="HF10" i="25" s="1"/>
  <c r="HJ10" i="25"/>
  <c r="HK10" i="25" s="1"/>
  <c r="HL10" i="25" s="1"/>
  <c r="GJ41" i="7"/>
  <c r="GK41" i="7" s="1"/>
  <c r="GL41" i="7" s="1"/>
  <c r="GT41" i="7" s="1"/>
  <c r="FL41" i="7"/>
  <c r="FM41" i="7" s="1"/>
  <c r="FN41" i="7" s="1"/>
  <c r="GP41" i="7" s="1"/>
  <c r="FX41" i="7"/>
  <c r="FY41" i="7" s="1"/>
  <c r="FZ41" i="7" s="1"/>
  <c r="GR41" i="7" s="1"/>
  <c r="DZ41" i="7"/>
  <c r="FR40" i="7"/>
  <c r="FS40" i="7" s="1"/>
  <c r="FT40" i="7" s="1"/>
  <c r="GQ40" i="7" s="1"/>
  <c r="FX39" i="7"/>
  <c r="FY39" i="7" s="1"/>
  <c r="FZ39" i="7" s="1"/>
  <c r="GR39" i="7" s="1"/>
  <c r="EK39" i="7"/>
  <c r="FF38" i="7"/>
  <c r="FG38" i="7" s="1"/>
  <c r="FH38" i="7" s="1"/>
  <c r="GO38" i="7" s="1"/>
  <c r="EK38" i="7"/>
  <c r="FR38" i="7"/>
  <c r="FS38" i="7" s="1"/>
  <c r="FT38" i="7" s="1"/>
  <c r="GQ38" i="7" s="1"/>
  <c r="DG38" i="7" s="1"/>
  <c r="FF37" i="7"/>
  <c r="FG37" i="7" s="1"/>
  <c r="FH37" i="7" s="1"/>
  <c r="GO37" i="7" s="1"/>
  <c r="FX37" i="7"/>
  <c r="FY37" i="7" s="1"/>
  <c r="FZ37" i="7" s="1"/>
  <c r="GR37" i="7" s="1"/>
  <c r="GJ33" i="7"/>
  <c r="GK33" i="7" s="1"/>
  <c r="GL33" i="7" s="1"/>
  <c r="GT33" i="7" s="1"/>
  <c r="GD33" i="7"/>
  <c r="GE33" i="7" s="1"/>
  <c r="GF33" i="7" s="1"/>
  <c r="GS33" i="7" s="1"/>
  <c r="GJ32" i="7"/>
  <c r="GK32" i="7" s="1"/>
  <c r="GL32" i="7" s="1"/>
  <c r="GT32" i="7" s="1"/>
  <c r="FX32" i="7"/>
  <c r="FY32" i="7" s="1"/>
  <c r="FZ32" i="7" s="1"/>
  <c r="GR32" i="7" s="1"/>
  <c r="FL32" i="7"/>
  <c r="FM32" i="7" s="1"/>
  <c r="FN32" i="7" s="1"/>
  <c r="GP32" i="7" s="1"/>
  <c r="GJ29" i="7"/>
  <c r="GK29" i="7" s="1"/>
  <c r="GL29" i="7" s="1"/>
  <c r="GT29" i="7" s="1"/>
  <c r="DJ29" i="7" s="1"/>
  <c r="GD29" i="7"/>
  <c r="GE29" i="7" s="1"/>
  <c r="GF29" i="7" s="1"/>
  <c r="GS29" i="7" s="1"/>
  <c r="FL28" i="7"/>
  <c r="FM28" i="7" s="1"/>
  <c r="FN28" i="7" s="1"/>
  <c r="GP28" i="7" s="1"/>
  <c r="FF26" i="7"/>
  <c r="FG26" i="7" s="1"/>
  <c r="FH26" i="7" s="1"/>
  <c r="GO26" i="7" s="1"/>
  <c r="EZ25" i="7"/>
  <c r="FA25" i="7" s="1"/>
  <c r="FB25" i="7" s="1"/>
  <c r="GN25" i="7" s="1"/>
  <c r="DD25" i="7" s="1"/>
  <c r="EZ24" i="7"/>
  <c r="FA24" i="7" s="1"/>
  <c r="FB24" i="7" s="1"/>
  <c r="GN24" i="7" s="1"/>
  <c r="FE22" i="7"/>
  <c r="EV22" i="7"/>
  <c r="GD20" i="7"/>
  <c r="GE20" i="7" s="1"/>
  <c r="GF20" i="7" s="1"/>
  <c r="GS20" i="7" s="1"/>
  <c r="EV19" i="7"/>
  <c r="FK19" i="7"/>
  <c r="EK18" i="7"/>
  <c r="EX18" i="7"/>
  <c r="EZ16" i="7"/>
  <c r="FA16" i="7" s="1"/>
  <c r="FB16" i="7" s="1"/>
  <c r="GN16" i="7" s="1"/>
  <c r="FX12" i="7"/>
  <c r="FY12" i="7" s="1"/>
  <c r="FZ12" i="7" s="1"/>
  <c r="GR12" i="7" s="1"/>
  <c r="EZ10" i="7"/>
  <c r="FA10" i="7" s="1"/>
  <c r="FB10" i="7" s="1"/>
  <c r="GN10" i="7" s="1"/>
  <c r="FX9" i="7"/>
  <c r="FY9" i="7" s="1"/>
  <c r="FZ9" i="7" s="1"/>
  <c r="GR9" i="7" s="1"/>
  <c r="DH9" i="7" s="1"/>
  <c r="EZ9" i="7"/>
  <c r="FA9" i="7" s="1"/>
  <c r="FB9" i="7" s="1"/>
  <c r="GN9" i="7" s="1"/>
  <c r="HD12" i="25"/>
  <c r="HE12" i="25" s="1"/>
  <c r="HF12" i="25" s="1"/>
  <c r="EZ8" i="7"/>
  <c r="FA8" i="7" s="1"/>
  <c r="FB8" i="7" s="1"/>
  <c r="GN8" i="7" s="1"/>
  <c r="FX8" i="7"/>
  <c r="FY8" i="7" s="1"/>
  <c r="FZ8" i="7" s="1"/>
  <c r="GR8" i="7" s="1"/>
  <c r="FX42" i="7"/>
  <c r="FY42" i="7" s="1"/>
  <c r="FZ42" i="7" s="1"/>
  <c r="GR42" i="7" s="1"/>
  <c r="GD42" i="7"/>
  <c r="GE42" i="7" s="1"/>
  <c r="GF42" i="7" s="1"/>
  <c r="GS42" i="7" s="1"/>
  <c r="EK41" i="7"/>
  <c r="EK40" i="7"/>
  <c r="EX39" i="7"/>
  <c r="EZ39" i="7" s="1"/>
  <c r="FA39" i="7" s="1"/>
  <c r="FB39" i="7" s="1"/>
  <c r="GN39" i="7" s="1"/>
  <c r="FL38" i="7"/>
  <c r="FM38" i="7" s="1"/>
  <c r="FN38" i="7" s="1"/>
  <c r="GP38" i="7" s="1"/>
  <c r="GD36" i="7"/>
  <c r="GE36" i="7" s="1"/>
  <c r="GF36" i="7" s="1"/>
  <c r="GS36" i="7" s="1"/>
  <c r="DZ32" i="7"/>
  <c r="GJ30" i="7"/>
  <c r="GK30" i="7" s="1"/>
  <c r="GL30" i="7" s="1"/>
  <c r="GT30" i="7" s="1"/>
  <c r="GD30" i="7"/>
  <c r="GE30" i="7" s="1"/>
  <c r="GF30" i="7" s="1"/>
  <c r="GS30" i="7" s="1"/>
  <c r="FR27" i="7"/>
  <c r="FS27" i="7" s="1"/>
  <c r="FT27" i="7" s="1"/>
  <c r="GQ27" i="7" s="1"/>
  <c r="FX25" i="7"/>
  <c r="FY25" i="7" s="1"/>
  <c r="FZ25" i="7" s="1"/>
  <c r="GR25" i="7" s="1"/>
  <c r="DH25" i="7" s="1"/>
  <c r="GJ24" i="7"/>
  <c r="GK24" i="7" s="1"/>
  <c r="GL24" i="7" s="1"/>
  <c r="GT24" i="7" s="1"/>
  <c r="FI24" i="7"/>
  <c r="FL24" i="7" s="1"/>
  <c r="FM24" i="7" s="1"/>
  <c r="FN24" i="7" s="1"/>
  <c r="GP24" i="7" s="1"/>
  <c r="DZ24" i="7"/>
  <c r="FX23" i="7"/>
  <c r="FY23" i="7" s="1"/>
  <c r="FZ23" i="7" s="1"/>
  <c r="GR23" i="7" s="1"/>
  <c r="FX21" i="7"/>
  <c r="FY21" i="7" s="1"/>
  <c r="FZ21" i="7" s="1"/>
  <c r="GR21" i="7" s="1"/>
  <c r="DZ21" i="7"/>
  <c r="FX18" i="7"/>
  <c r="FY18" i="7" s="1"/>
  <c r="FZ18" i="7" s="1"/>
  <c r="GR18" i="7" s="1"/>
  <c r="EY18" i="7"/>
  <c r="EZ18" i="7" s="1"/>
  <c r="FA18" i="7" s="1"/>
  <c r="FB18" i="7" s="1"/>
  <c r="GN18" i="7" s="1"/>
  <c r="EV18" i="7"/>
  <c r="FL16" i="7"/>
  <c r="FM16" i="7" s="1"/>
  <c r="FN16" i="7" s="1"/>
  <c r="GP16" i="7" s="1"/>
  <c r="FX15" i="7"/>
  <c r="FY15" i="7" s="1"/>
  <c r="FZ15" i="7" s="1"/>
  <c r="GR15" i="7" s="1"/>
  <c r="FX10" i="7"/>
  <c r="FY10" i="7" s="1"/>
  <c r="FZ10" i="7" s="1"/>
  <c r="GR10" i="7" s="1"/>
  <c r="HP14" i="25"/>
  <c r="HQ14" i="25" s="1"/>
  <c r="HR14" i="25" s="1"/>
  <c r="IN14" i="25" s="1"/>
  <c r="EN14" i="25" s="1"/>
  <c r="HJ14" i="25"/>
  <c r="HK14" i="25" s="1"/>
  <c r="HL14" i="25" s="1"/>
  <c r="IM14" i="25" s="1"/>
  <c r="HP11" i="25"/>
  <c r="HQ11" i="25" s="1"/>
  <c r="HR11" i="25" s="1"/>
  <c r="IN11" i="25" s="1"/>
  <c r="GR11" i="25"/>
  <c r="GS11" i="25" s="1"/>
  <c r="GT11" i="25" s="1"/>
  <c r="HP9" i="25"/>
  <c r="HQ9" i="25" s="1"/>
  <c r="HR9" i="25" s="1"/>
  <c r="GR9" i="25"/>
  <c r="GS9" i="25" s="1"/>
  <c r="GT9" i="25" s="1"/>
  <c r="IJ9" i="25" s="1"/>
  <c r="EJ9" i="25" s="1"/>
  <c r="EX41" i="7"/>
  <c r="EZ41" i="7" s="1"/>
  <c r="FA41" i="7" s="1"/>
  <c r="FB41" i="7" s="1"/>
  <c r="GN41" i="7" s="1"/>
  <c r="GD39" i="7"/>
  <c r="GE39" i="7" s="1"/>
  <c r="GF39" i="7" s="1"/>
  <c r="GS39" i="7" s="1"/>
  <c r="FX36" i="7"/>
  <c r="FY36" i="7" s="1"/>
  <c r="FZ36" i="7" s="1"/>
  <c r="GR36" i="7" s="1"/>
  <c r="GJ34" i="7"/>
  <c r="GK34" i="7" s="1"/>
  <c r="GL34" i="7" s="1"/>
  <c r="GT34" i="7" s="1"/>
  <c r="FF32" i="7"/>
  <c r="FG32" i="7" s="1"/>
  <c r="FH32" i="7" s="1"/>
  <c r="GO32" i="7" s="1"/>
  <c r="FR32" i="7"/>
  <c r="FS32" i="7" s="1"/>
  <c r="FT32" i="7" s="1"/>
  <c r="GQ32" i="7" s="1"/>
  <c r="FR31" i="7"/>
  <c r="FS31" i="7" s="1"/>
  <c r="FT31" i="7" s="1"/>
  <c r="GQ31" i="7" s="1"/>
  <c r="FL29" i="7"/>
  <c r="FM29" i="7" s="1"/>
  <c r="FN29" i="7" s="1"/>
  <c r="GP29" i="7" s="1"/>
  <c r="FX28" i="7"/>
  <c r="FY28" i="7" s="1"/>
  <c r="FZ28" i="7" s="1"/>
  <c r="GR28" i="7" s="1"/>
  <c r="EZ26" i="7"/>
  <c r="FA26" i="7" s="1"/>
  <c r="FB26" i="7" s="1"/>
  <c r="GN26" i="7" s="1"/>
  <c r="GJ25" i="7"/>
  <c r="GK25" i="7" s="1"/>
  <c r="GL25" i="7" s="1"/>
  <c r="GT25" i="7" s="1"/>
  <c r="FR25" i="7"/>
  <c r="FS25" i="7" s="1"/>
  <c r="FT25" i="7" s="1"/>
  <c r="GQ25" i="7" s="1"/>
  <c r="DG25" i="7" s="1"/>
  <c r="EK24" i="7"/>
  <c r="FC22" i="7"/>
  <c r="FF22" i="7" s="1"/>
  <c r="FG22" i="7" s="1"/>
  <c r="FH22" i="7" s="1"/>
  <c r="GO22" i="7" s="1"/>
  <c r="DZ22" i="7"/>
  <c r="EK21" i="7"/>
  <c r="EX21" i="7"/>
  <c r="GJ19" i="7"/>
  <c r="GK19" i="7" s="1"/>
  <c r="GL19" i="7" s="1"/>
  <c r="GT19" i="7" s="1"/>
  <c r="DJ19" i="7" s="1"/>
  <c r="FI19" i="7"/>
  <c r="DZ19" i="7"/>
  <c r="GD14" i="7"/>
  <c r="GE14" i="7" s="1"/>
  <c r="GF14" i="7" s="1"/>
  <c r="GS14" i="7" s="1"/>
  <c r="FR10" i="7"/>
  <c r="FS10" i="7" s="1"/>
  <c r="FT10" i="7" s="1"/>
  <c r="GQ10" i="7" s="1"/>
  <c r="GJ26" i="7"/>
  <c r="GK26" i="7" s="1"/>
  <c r="GL26" i="7" s="1"/>
  <c r="GT26" i="7" s="1"/>
  <c r="GJ21" i="7"/>
  <c r="GK21" i="7" s="1"/>
  <c r="GL21" i="7" s="1"/>
  <c r="GT21" i="7" s="1"/>
  <c r="FL21" i="7"/>
  <c r="FM21" i="7" s="1"/>
  <c r="FN21" i="7" s="1"/>
  <c r="GP21" i="7" s="1"/>
  <c r="DF21" i="7" s="1"/>
  <c r="GD17" i="7"/>
  <c r="GE17" i="7" s="1"/>
  <c r="GF17" i="7" s="1"/>
  <c r="GS17" i="7" s="1"/>
  <c r="FR17" i="7"/>
  <c r="FS17" i="7" s="1"/>
  <c r="FT17" i="7" s="1"/>
  <c r="GQ17" i="7" s="1"/>
  <c r="DG17" i="7" s="1"/>
  <c r="GD15" i="7"/>
  <c r="GE15" i="7" s="1"/>
  <c r="GF15" i="7" s="1"/>
  <c r="GS15" i="7" s="1"/>
  <c r="DI15" i="7" s="1"/>
  <c r="GJ22" i="7"/>
  <c r="GK22" i="7" s="1"/>
  <c r="GL22" i="7" s="1"/>
  <c r="GT22" i="7" s="1"/>
  <c r="FL22" i="7"/>
  <c r="FM22" i="7" s="1"/>
  <c r="FN22" i="7" s="1"/>
  <c r="GP22" i="7" s="1"/>
  <c r="FF21" i="7"/>
  <c r="FG21" i="7" s="1"/>
  <c r="FH21" i="7" s="1"/>
  <c r="GO21" i="7" s="1"/>
  <c r="EZ17" i="7"/>
  <c r="FA17" i="7" s="1"/>
  <c r="FB17" i="7" s="1"/>
  <c r="GN17" i="7" s="1"/>
  <c r="FR16" i="7"/>
  <c r="FS16" i="7" s="1"/>
  <c r="FT16" i="7" s="1"/>
  <c r="GQ16" i="7" s="1"/>
  <c r="DG16" i="7" s="1"/>
  <c r="FR14" i="7"/>
  <c r="FS14" i="7" s="1"/>
  <c r="FT14" i="7" s="1"/>
  <c r="GQ14" i="7" s="1"/>
  <c r="DZ14" i="7"/>
  <c r="EZ11" i="7"/>
  <c r="FA11" i="7" s="1"/>
  <c r="FB11" i="7" s="1"/>
  <c r="GN11" i="7" s="1"/>
  <c r="GJ11" i="7"/>
  <c r="GK11" i="7" s="1"/>
  <c r="GL11" i="7" s="1"/>
  <c r="GT11" i="7" s="1"/>
  <c r="FL11" i="7"/>
  <c r="FM11" i="7" s="1"/>
  <c r="FN11" i="7" s="1"/>
  <c r="GP11" i="7" s="1"/>
  <c r="GD9" i="7"/>
  <c r="GE9" i="7" s="1"/>
  <c r="GF9" i="7" s="1"/>
  <c r="GS9" i="7" s="1"/>
  <c r="GD31" i="7"/>
  <c r="GE31" i="7" s="1"/>
  <c r="GF31" i="7" s="1"/>
  <c r="GS31" i="7" s="1"/>
  <c r="DI31" i="7" s="1"/>
  <c r="FF31" i="7"/>
  <c r="FG31" i="7" s="1"/>
  <c r="FH31" i="7" s="1"/>
  <c r="GO31" i="7" s="1"/>
  <c r="GJ27" i="7"/>
  <c r="GK27" i="7" s="1"/>
  <c r="GL27" i="7" s="1"/>
  <c r="GT27" i="7" s="1"/>
  <c r="FL27" i="7"/>
  <c r="FM27" i="7" s="1"/>
  <c r="FN27" i="7" s="1"/>
  <c r="GP27" i="7" s="1"/>
  <c r="FR26" i="7"/>
  <c r="FS26" i="7" s="1"/>
  <c r="FT26" i="7" s="1"/>
  <c r="GQ26" i="7" s="1"/>
  <c r="GD25" i="7"/>
  <c r="GE25" i="7" s="1"/>
  <c r="GF25" i="7" s="1"/>
  <c r="GS25" i="7" s="1"/>
  <c r="DZ25" i="7"/>
  <c r="GD24" i="7"/>
  <c r="GE24" i="7" s="1"/>
  <c r="GF24" i="7" s="1"/>
  <c r="GS24" i="7" s="1"/>
  <c r="GJ20" i="7"/>
  <c r="GK20" i="7" s="1"/>
  <c r="GL20" i="7" s="1"/>
  <c r="GT20" i="7" s="1"/>
  <c r="FL20" i="7"/>
  <c r="FM20" i="7" s="1"/>
  <c r="FN20" i="7" s="1"/>
  <c r="GP20" i="7" s="1"/>
  <c r="DF20" i="7" s="1"/>
  <c r="GJ18" i="7"/>
  <c r="GK18" i="7" s="1"/>
  <c r="GL18" i="7" s="1"/>
  <c r="GT18" i="7" s="1"/>
  <c r="GJ16" i="7"/>
  <c r="GK16" i="7" s="1"/>
  <c r="GL16" i="7" s="1"/>
  <c r="GT16" i="7" s="1"/>
  <c r="FR13" i="7"/>
  <c r="FS13" i="7" s="1"/>
  <c r="FT13" i="7" s="1"/>
  <c r="GQ13" i="7" s="1"/>
  <c r="DF8" i="36"/>
  <c r="BP8" i="26"/>
  <c r="DI40" i="7"/>
  <c r="DF34" i="7"/>
  <c r="DJ41" i="7"/>
  <c r="DF41" i="7"/>
  <c r="DH41" i="7"/>
  <c r="DE40" i="7"/>
  <c r="DE39" i="7"/>
  <c r="DH39" i="7"/>
  <c r="DH33" i="7"/>
  <c r="DH40" i="7"/>
  <c r="DD40" i="7"/>
  <c r="DF39" i="7"/>
  <c r="DG37" i="7"/>
  <c r="DD42" i="7"/>
  <c r="DJ42" i="7"/>
  <c r="DI41" i="7"/>
  <c r="DI37" i="7"/>
  <c r="DJ39" i="7"/>
  <c r="DG39" i="7"/>
  <c r="EV40" i="7"/>
  <c r="DI35" i="7"/>
  <c r="EV34" i="7"/>
  <c r="EY34" i="7"/>
  <c r="EZ34" i="7" s="1"/>
  <c r="FA34" i="7" s="1"/>
  <c r="FB34" i="7" s="1"/>
  <c r="GN34" i="7" s="1"/>
  <c r="DH27" i="7"/>
  <c r="EX38" i="7"/>
  <c r="EY38" i="7"/>
  <c r="EV38" i="7"/>
  <c r="DZ37" i="7"/>
  <c r="GJ36" i="7"/>
  <c r="GK36" i="7" s="1"/>
  <c r="GL36" i="7" s="1"/>
  <c r="GT36" i="7" s="1"/>
  <c r="DZ36" i="7"/>
  <c r="GJ35" i="7"/>
  <c r="GK35" i="7" s="1"/>
  <c r="GL35" i="7" s="1"/>
  <c r="GT35" i="7" s="1"/>
  <c r="DZ35" i="7"/>
  <c r="DI33" i="7"/>
  <c r="DZ33" i="7"/>
  <c r="EW33" i="7"/>
  <c r="DH28" i="7"/>
  <c r="DZ28" i="7"/>
  <c r="EW28" i="7"/>
  <c r="DI19" i="7"/>
  <c r="EV41" i="7"/>
  <c r="EV39" i="7"/>
  <c r="GJ38" i="7"/>
  <c r="GK38" i="7" s="1"/>
  <c r="GL38" i="7" s="1"/>
  <c r="GT38" i="7" s="1"/>
  <c r="GJ37" i="7"/>
  <c r="GK37" i="7" s="1"/>
  <c r="GL37" i="7" s="1"/>
  <c r="GT37" i="7" s="1"/>
  <c r="FL37" i="7"/>
  <c r="FM37" i="7" s="1"/>
  <c r="FN37" i="7" s="1"/>
  <c r="GP37" i="7" s="1"/>
  <c r="EX37" i="7"/>
  <c r="EK37" i="7"/>
  <c r="FF36" i="7"/>
  <c r="FG36" i="7" s="1"/>
  <c r="FH36" i="7" s="1"/>
  <c r="GO36" i="7" s="1"/>
  <c r="EX36" i="7"/>
  <c r="EK36" i="7"/>
  <c r="FR36" i="7"/>
  <c r="FS36" i="7" s="1"/>
  <c r="FT36" i="7" s="1"/>
  <c r="GQ36" i="7" s="1"/>
  <c r="FF35" i="7"/>
  <c r="FG35" i="7" s="1"/>
  <c r="FH35" i="7" s="1"/>
  <c r="GO35" i="7" s="1"/>
  <c r="EX35" i="7"/>
  <c r="EK35" i="7"/>
  <c r="FR35" i="7"/>
  <c r="FS35" i="7" s="1"/>
  <c r="FT35" i="7" s="1"/>
  <c r="GQ35" i="7" s="1"/>
  <c r="DE31" i="7"/>
  <c r="EY29" i="7"/>
  <c r="EV29" i="7"/>
  <c r="EV42" i="7"/>
  <c r="DZ42" i="7"/>
  <c r="DZ40" i="7"/>
  <c r="FX38" i="7"/>
  <c r="FY38" i="7" s="1"/>
  <c r="FZ38" i="7" s="1"/>
  <c r="GR38" i="7" s="1"/>
  <c r="DI36" i="7"/>
  <c r="DZ39" i="7"/>
  <c r="DZ38" i="7"/>
  <c r="EY37" i="7"/>
  <c r="EV37" i="7"/>
  <c r="FL36" i="7"/>
  <c r="FM36" i="7" s="1"/>
  <c r="FN36" i="7" s="1"/>
  <c r="GP36" i="7" s="1"/>
  <c r="EY36" i="7"/>
  <c r="EV36" i="7"/>
  <c r="FL35" i="7"/>
  <c r="FM35" i="7" s="1"/>
  <c r="FN35" i="7" s="1"/>
  <c r="GP35" i="7" s="1"/>
  <c r="EY35" i="7"/>
  <c r="EV35" i="7"/>
  <c r="DI34" i="7"/>
  <c r="DG34" i="7"/>
  <c r="DE34" i="7"/>
  <c r="DE32" i="7"/>
  <c r="DG33" i="7"/>
  <c r="EK33" i="7"/>
  <c r="EX33" i="7"/>
  <c r="DF31" i="7"/>
  <c r="DI30" i="7"/>
  <c r="FF30" i="7"/>
  <c r="FG30" i="7" s="1"/>
  <c r="FH30" i="7" s="1"/>
  <c r="GO30" i="7" s="1"/>
  <c r="DI21" i="7"/>
  <c r="FX34" i="7"/>
  <c r="FY34" i="7" s="1"/>
  <c r="FZ34" i="7" s="1"/>
  <c r="GR34" i="7" s="1"/>
  <c r="DZ34" i="7"/>
  <c r="EY33" i="7"/>
  <c r="EV33" i="7"/>
  <c r="DJ32" i="7"/>
  <c r="DD32" i="7"/>
  <c r="DJ30" i="7"/>
  <c r="FI26" i="7"/>
  <c r="DZ26" i="7"/>
  <c r="DF24" i="7"/>
  <c r="DE20" i="7"/>
  <c r="DE19" i="7"/>
  <c r="EK34" i="7"/>
  <c r="DE33" i="7"/>
  <c r="DI32" i="7"/>
  <c r="DF30" i="7"/>
  <c r="DG30" i="7"/>
  <c r="EY27" i="7"/>
  <c r="EV27" i="7"/>
  <c r="DI25" i="7"/>
  <c r="DJ22" i="7"/>
  <c r="EV32" i="7"/>
  <c r="EK32" i="7"/>
  <c r="EY31" i="7"/>
  <c r="EZ31" i="7" s="1"/>
  <c r="FA31" i="7" s="1"/>
  <c r="FB31" i="7" s="1"/>
  <c r="GN31" i="7" s="1"/>
  <c r="EV31" i="7"/>
  <c r="EY30" i="7"/>
  <c r="EZ30" i="7" s="1"/>
  <c r="FA30" i="7" s="1"/>
  <c r="FB30" i="7" s="1"/>
  <c r="GN30" i="7" s="1"/>
  <c r="EV30" i="7"/>
  <c r="EX29" i="7"/>
  <c r="EK29" i="7"/>
  <c r="GD28" i="7"/>
  <c r="GE28" i="7" s="1"/>
  <c r="GF28" i="7" s="1"/>
  <c r="GS28" i="7" s="1"/>
  <c r="FF28" i="7"/>
  <c r="FG28" i="7" s="1"/>
  <c r="FH28" i="7" s="1"/>
  <c r="GO28" i="7" s="1"/>
  <c r="EX27" i="7"/>
  <c r="EK27" i="7"/>
  <c r="DG27" i="7"/>
  <c r="DD26" i="7"/>
  <c r="DH22" i="7"/>
  <c r="DZ31" i="7"/>
  <c r="DZ30" i="7"/>
  <c r="FF29" i="7"/>
  <c r="FG29" i="7" s="1"/>
  <c r="FH29" i="7" s="1"/>
  <c r="GO29" i="7" s="1"/>
  <c r="EX28" i="7"/>
  <c r="EK28" i="7"/>
  <c r="FR28" i="7"/>
  <c r="FS28" i="7" s="1"/>
  <c r="FT28" i="7" s="1"/>
  <c r="GQ28" i="7" s="1"/>
  <c r="GD27" i="7"/>
  <c r="GE27" i="7" s="1"/>
  <c r="GF27" i="7" s="1"/>
  <c r="GS27" i="7" s="1"/>
  <c r="FF27" i="7"/>
  <c r="FG27" i="7" s="1"/>
  <c r="FH27" i="7" s="1"/>
  <c r="GO27" i="7" s="1"/>
  <c r="DH26" i="7"/>
  <c r="EK26" i="7"/>
  <c r="DF25" i="7"/>
  <c r="FF25" i="7"/>
  <c r="FG25" i="7" s="1"/>
  <c r="FH25" i="7" s="1"/>
  <c r="GO25" i="7" s="1"/>
  <c r="FR24" i="7"/>
  <c r="FS24" i="7" s="1"/>
  <c r="FT24" i="7" s="1"/>
  <c r="GQ24" i="7" s="1"/>
  <c r="FX31" i="7"/>
  <c r="FY31" i="7" s="1"/>
  <c r="FZ31" i="7" s="1"/>
  <c r="GR31" i="7" s="1"/>
  <c r="EK31" i="7"/>
  <c r="FX30" i="7"/>
  <c r="FY30" i="7" s="1"/>
  <c r="FZ30" i="7" s="1"/>
  <c r="GR30" i="7" s="1"/>
  <c r="EK30" i="7"/>
  <c r="FX29" i="7"/>
  <c r="FY29" i="7" s="1"/>
  <c r="FZ29" i="7" s="1"/>
  <c r="GR29" i="7" s="1"/>
  <c r="DZ29" i="7"/>
  <c r="EY28" i="7"/>
  <c r="EV28" i="7"/>
  <c r="DZ27" i="7"/>
  <c r="EV26" i="7"/>
  <c r="FK26" i="7"/>
  <c r="DJ21" i="7"/>
  <c r="EV25" i="7"/>
  <c r="EK25" i="7"/>
  <c r="DJ23" i="7"/>
  <c r="DD23" i="7"/>
  <c r="FR23" i="7"/>
  <c r="FS23" i="7" s="1"/>
  <c r="FT23" i="7" s="1"/>
  <c r="GQ23" i="7" s="1"/>
  <c r="GD22" i="7"/>
  <c r="GE22" i="7" s="1"/>
  <c r="GF22" i="7" s="1"/>
  <c r="GS22" i="7" s="1"/>
  <c r="DH18" i="7"/>
  <c r="DF18" i="7"/>
  <c r="DD18" i="7"/>
  <c r="DG18" i="7"/>
  <c r="DH23" i="7"/>
  <c r="EV17" i="7"/>
  <c r="FE17" i="7"/>
  <c r="DI14" i="7"/>
  <c r="GD23" i="7"/>
  <c r="GE23" i="7" s="1"/>
  <c r="GF23" i="7" s="1"/>
  <c r="GS23" i="7" s="1"/>
  <c r="FF23" i="7"/>
  <c r="FG23" i="7" s="1"/>
  <c r="FH23" i="7" s="1"/>
  <c r="GO23" i="7" s="1"/>
  <c r="DD22" i="7"/>
  <c r="FR22" i="7"/>
  <c r="FS22" i="7" s="1"/>
  <c r="FT22" i="7" s="1"/>
  <c r="GQ22" i="7" s="1"/>
  <c r="DH21" i="7"/>
  <c r="FR21" i="7"/>
  <c r="FS21" i="7" s="1"/>
  <c r="FT21" i="7" s="1"/>
  <c r="GQ21" i="7" s="1"/>
  <c r="DD20" i="7"/>
  <c r="FR20" i="7"/>
  <c r="FS20" i="7" s="1"/>
  <c r="FT20" i="7" s="1"/>
  <c r="GQ20" i="7" s="1"/>
  <c r="DH19" i="7"/>
  <c r="DD19" i="7"/>
  <c r="FR19" i="7"/>
  <c r="FS19" i="7" s="1"/>
  <c r="FT19" i="7" s="1"/>
  <c r="GQ19" i="7" s="1"/>
  <c r="GD18" i="7"/>
  <c r="GE18" i="7" s="1"/>
  <c r="GF18" i="7" s="1"/>
  <c r="GS18" i="7" s="1"/>
  <c r="DJ17" i="7"/>
  <c r="GD16" i="7"/>
  <c r="GE16" i="7" s="1"/>
  <c r="GF16" i="7" s="1"/>
  <c r="GS16" i="7" s="1"/>
  <c r="DZ16" i="7"/>
  <c r="DD15" i="7"/>
  <c r="FR15" i="7"/>
  <c r="FS15" i="7" s="1"/>
  <c r="FT15" i="7" s="1"/>
  <c r="GQ15" i="7" s="1"/>
  <c r="FC18" i="7"/>
  <c r="FF18" i="7" s="1"/>
  <c r="FG18" i="7" s="1"/>
  <c r="FH18" i="7" s="1"/>
  <c r="GO18" i="7" s="1"/>
  <c r="DZ18" i="7"/>
  <c r="FC17" i="7"/>
  <c r="DZ17" i="7"/>
  <c r="FX16" i="7"/>
  <c r="FY16" i="7" s="1"/>
  <c r="FZ16" i="7" s="1"/>
  <c r="GR16" i="7" s="1"/>
  <c r="FC16" i="7"/>
  <c r="FD16" i="7"/>
  <c r="EK16" i="7"/>
  <c r="FL15" i="7"/>
  <c r="FM15" i="7" s="1"/>
  <c r="FN15" i="7" s="1"/>
  <c r="GP15" i="7" s="1"/>
  <c r="DI13" i="7"/>
  <c r="DG9" i="7"/>
  <c r="FX17" i="7"/>
  <c r="FY17" i="7" s="1"/>
  <c r="FZ17" i="7" s="1"/>
  <c r="GR17" i="7" s="1"/>
  <c r="EK17" i="7"/>
  <c r="FD17" i="7"/>
  <c r="FE16" i="7"/>
  <c r="EV16" i="7"/>
  <c r="FX14" i="7"/>
  <c r="FY14" i="7" s="1"/>
  <c r="FZ14" i="7" s="1"/>
  <c r="GR14" i="7" s="1"/>
  <c r="EK14" i="7"/>
  <c r="EZ13" i="7"/>
  <c r="FA13" i="7" s="1"/>
  <c r="FB13" i="7" s="1"/>
  <c r="GN13" i="7" s="1"/>
  <c r="GJ13" i="7"/>
  <c r="GK13" i="7" s="1"/>
  <c r="GL13" i="7" s="1"/>
  <c r="GT13" i="7" s="1"/>
  <c r="FL13" i="7"/>
  <c r="FM13" i="7" s="1"/>
  <c r="FN13" i="7" s="1"/>
  <c r="GP13" i="7" s="1"/>
  <c r="GD12" i="7"/>
  <c r="GE12" i="7" s="1"/>
  <c r="GF12" i="7" s="1"/>
  <c r="GS12" i="7" s="1"/>
  <c r="DG12" i="7"/>
  <c r="DJ11" i="7"/>
  <c r="DH10" i="7"/>
  <c r="EV14" i="7"/>
  <c r="FE14" i="7"/>
  <c r="DH13" i="7"/>
  <c r="DZ13" i="7"/>
  <c r="DH11" i="7"/>
  <c r="DI11" i="7"/>
  <c r="DI10" i="7"/>
  <c r="EV10" i="7"/>
  <c r="FE10" i="7"/>
  <c r="FC9" i="7"/>
  <c r="DZ9" i="7"/>
  <c r="EZ14" i="7"/>
  <c r="FA14" i="7" s="1"/>
  <c r="FB14" i="7" s="1"/>
  <c r="GN14" i="7" s="1"/>
  <c r="GJ14" i="7"/>
  <c r="GK14" i="7" s="1"/>
  <c r="GL14" i="7" s="1"/>
  <c r="GT14" i="7" s="1"/>
  <c r="FL14" i="7"/>
  <c r="FM14" i="7" s="1"/>
  <c r="FN14" i="7" s="1"/>
  <c r="GP14" i="7" s="1"/>
  <c r="FF13" i="7"/>
  <c r="FG13" i="7" s="1"/>
  <c r="FH13" i="7" s="1"/>
  <c r="GO13" i="7" s="1"/>
  <c r="EK13" i="7"/>
  <c r="DD12" i="7"/>
  <c r="GJ12" i="7"/>
  <c r="GK12" i="7" s="1"/>
  <c r="GL12" i="7" s="1"/>
  <c r="GT12" i="7" s="1"/>
  <c r="DZ12" i="7"/>
  <c r="FC12" i="7"/>
  <c r="EK12" i="7"/>
  <c r="FC11" i="7"/>
  <c r="DZ11" i="7"/>
  <c r="FL10" i="7"/>
  <c r="FM10" i="7" s="1"/>
  <c r="FN10" i="7" s="1"/>
  <c r="GP10" i="7" s="1"/>
  <c r="DD9" i="7"/>
  <c r="EK9" i="7"/>
  <c r="FD9" i="7"/>
  <c r="FD12" i="7"/>
  <c r="EV12" i="7"/>
  <c r="FE12" i="7"/>
  <c r="EK11" i="7"/>
  <c r="FD11" i="7"/>
  <c r="FC10" i="7"/>
  <c r="DZ10" i="7"/>
  <c r="EV9" i="7"/>
  <c r="FE9" i="7"/>
  <c r="FD14" i="7"/>
  <c r="FF14" i="7" s="1"/>
  <c r="FG14" i="7" s="1"/>
  <c r="FH14" i="7" s="1"/>
  <c r="GO14" i="7" s="1"/>
  <c r="EV13" i="7"/>
  <c r="EV11" i="7"/>
  <c r="FE11" i="7"/>
  <c r="EK10" i="7"/>
  <c r="FD10" i="7"/>
  <c r="GJ9" i="7"/>
  <c r="GK9" i="7" s="1"/>
  <c r="GL9" i="7" s="1"/>
  <c r="GT9" i="7" s="1"/>
  <c r="FL9" i="7"/>
  <c r="FM9" i="7" s="1"/>
  <c r="FN9" i="7" s="1"/>
  <c r="GP9" i="7" s="1"/>
  <c r="FF8" i="7"/>
  <c r="FG8" i="7" s="1"/>
  <c r="FH8" i="7" s="1"/>
  <c r="GO8" i="7" s="1"/>
  <c r="DF8" i="7"/>
  <c r="DH8" i="7"/>
  <c r="GD8" i="7"/>
  <c r="GE8" i="7" s="1"/>
  <c r="GF8" i="7" s="1"/>
  <c r="GS8" i="7" s="1"/>
  <c r="DJ8" i="7"/>
  <c r="FR8" i="7"/>
  <c r="FS8" i="7" s="1"/>
  <c r="FT8" i="7" s="1"/>
  <c r="GQ8" i="7" s="1"/>
  <c r="DZ8" i="7"/>
  <c r="EK8" i="7"/>
  <c r="EV8" i="7"/>
  <c r="EM41" i="25"/>
  <c r="EI41" i="25"/>
  <c r="EN41" i="25"/>
  <c r="EJ37" i="25"/>
  <c r="EL37" i="25"/>
  <c r="EL32" i="25"/>
  <c r="HD40" i="25"/>
  <c r="HE40" i="25" s="1"/>
  <c r="HF40" i="25" s="1"/>
  <c r="IL40" i="25" s="1"/>
  <c r="EJ36" i="25"/>
  <c r="EK29" i="25"/>
  <c r="EJ40" i="25"/>
  <c r="EJ33" i="25"/>
  <c r="EJ41" i="25"/>
  <c r="EN38" i="25"/>
  <c r="EN35" i="25"/>
  <c r="EL26" i="25"/>
  <c r="EM9" i="25"/>
  <c r="GD40" i="25"/>
  <c r="HJ39" i="25"/>
  <c r="HK39" i="25" s="1"/>
  <c r="HL39" i="25" s="1"/>
  <c r="IM39" i="25" s="1"/>
  <c r="HJ38" i="25"/>
  <c r="HK38" i="25" s="1"/>
  <c r="HL38" i="25" s="1"/>
  <c r="IM38" i="25" s="1"/>
  <c r="GX37" i="25"/>
  <c r="GY37" i="25" s="1"/>
  <c r="GZ37" i="25" s="1"/>
  <c r="IK37" i="25" s="1"/>
  <c r="HP36" i="25"/>
  <c r="HQ36" i="25" s="1"/>
  <c r="HR36" i="25" s="1"/>
  <c r="IN36" i="25" s="1"/>
  <c r="GL36" i="25"/>
  <c r="GM36" i="25" s="1"/>
  <c r="GN36" i="25" s="1"/>
  <c r="II36" i="25" s="1"/>
  <c r="GD36" i="25"/>
  <c r="GE35" i="25"/>
  <c r="GB35" i="25"/>
  <c r="HJ34" i="25"/>
  <c r="HK34" i="25" s="1"/>
  <c r="HL34" i="25" s="1"/>
  <c r="IM34" i="25" s="1"/>
  <c r="GX33" i="25"/>
  <c r="GY33" i="25" s="1"/>
  <c r="GZ33" i="25" s="1"/>
  <c r="IK33" i="25" s="1"/>
  <c r="HP32" i="25"/>
  <c r="HQ32" i="25" s="1"/>
  <c r="HR32" i="25" s="1"/>
  <c r="IN32" i="25" s="1"/>
  <c r="GL32" i="25"/>
  <c r="GM32" i="25" s="1"/>
  <c r="GN32" i="25" s="1"/>
  <c r="II32" i="25" s="1"/>
  <c r="GD32" i="25"/>
  <c r="GE31" i="25"/>
  <c r="GB31" i="25"/>
  <c r="HP29" i="25"/>
  <c r="HQ29" i="25" s="1"/>
  <c r="HR29" i="25" s="1"/>
  <c r="IN29" i="25" s="1"/>
  <c r="GI29" i="25"/>
  <c r="GL29" i="25" s="1"/>
  <c r="GM29" i="25" s="1"/>
  <c r="GN29" i="25" s="1"/>
  <c r="II29" i="25" s="1"/>
  <c r="GB27" i="25"/>
  <c r="GK27" i="25"/>
  <c r="EN26" i="25"/>
  <c r="EL25" i="25"/>
  <c r="EK24" i="25"/>
  <c r="EJ24" i="25"/>
  <c r="HD39" i="25"/>
  <c r="HE39" i="25" s="1"/>
  <c r="HF39" i="25" s="1"/>
  <c r="IL39" i="25" s="1"/>
  <c r="GE34" i="25"/>
  <c r="GB34" i="25"/>
  <c r="HD41" i="25"/>
  <c r="HE41" i="25" s="1"/>
  <c r="HF41" i="25" s="1"/>
  <c r="IL41" i="25" s="1"/>
  <c r="GX40" i="25"/>
  <c r="GY40" i="25" s="1"/>
  <c r="GZ40" i="25" s="1"/>
  <c r="IK40" i="25" s="1"/>
  <c r="GB40" i="25"/>
  <c r="GX38" i="25"/>
  <c r="GY38" i="25" s="1"/>
  <c r="GZ38" i="25" s="1"/>
  <c r="IK38" i="25" s="1"/>
  <c r="HP37" i="25"/>
  <c r="HQ37" i="25" s="1"/>
  <c r="HR37" i="25" s="1"/>
  <c r="IN37" i="25" s="1"/>
  <c r="GL37" i="25"/>
  <c r="GM37" i="25" s="1"/>
  <c r="GN37" i="25" s="1"/>
  <c r="II37" i="25" s="1"/>
  <c r="GD37" i="25"/>
  <c r="GE36" i="25"/>
  <c r="GB36" i="25"/>
  <c r="HJ35" i="25"/>
  <c r="HK35" i="25" s="1"/>
  <c r="HL35" i="25" s="1"/>
  <c r="IM35" i="25" s="1"/>
  <c r="GX34" i="25"/>
  <c r="GY34" i="25" s="1"/>
  <c r="GZ34" i="25" s="1"/>
  <c r="IK34" i="25" s="1"/>
  <c r="HP33" i="25"/>
  <c r="HQ33" i="25" s="1"/>
  <c r="HR33" i="25" s="1"/>
  <c r="IN33" i="25" s="1"/>
  <c r="GL33" i="25"/>
  <c r="GM33" i="25" s="1"/>
  <c r="GN33" i="25" s="1"/>
  <c r="II33" i="25" s="1"/>
  <c r="GD33" i="25"/>
  <c r="GE32" i="25"/>
  <c r="GB32" i="25"/>
  <c r="HJ31" i="25"/>
  <c r="HK31" i="25" s="1"/>
  <c r="HL31" i="25" s="1"/>
  <c r="IM31" i="25" s="1"/>
  <c r="GB29" i="25"/>
  <c r="GQ29" i="25"/>
  <c r="GR29" i="25" s="1"/>
  <c r="GS29" i="25" s="1"/>
  <c r="GT29" i="25" s="1"/>
  <c r="IJ29" i="25" s="1"/>
  <c r="EM25" i="25"/>
  <c r="GI25" i="25"/>
  <c r="GB41" i="25"/>
  <c r="HP40" i="25"/>
  <c r="HQ40" i="25" s="1"/>
  <c r="HR40" i="25" s="1"/>
  <c r="IN40" i="25" s="1"/>
  <c r="GB39" i="25"/>
  <c r="GE38" i="25"/>
  <c r="GB38" i="25"/>
  <c r="EJ38" i="25"/>
  <c r="GD35" i="25"/>
  <c r="EK32" i="25"/>
  <c r="GD31" i="25"/>
  <c r="EJ10" i="25"/>
  <c r="GE41" i="25"/>
  <c r="GF41" i="25" s="1"/>
  <c r="GG41" i="25" s="1"/>
  <c r="GH41" i="25" s="1"/>
  <c r="IH41" i="25" s="1"/>
  <c r="HJ40" i="25"/>
  <c r="HK40" i="25" s="1"/>
  <c r="HL40" i="25" s="1"/>
  <c r="IM40" i="25" s="1"/>
  <c r="GC40" i="25"/>
  <c r="GD39" i="25"/>
  <c r="GF39" i="25" s="1"/>
  <c r="GG39" i="25" s="1"/>
  <c r="GH39" i="25" s="1"/>
  <c r="IH39" i="25" s="1"/>
  <c r="HD38" i="25"/>
  <c r="HE38" i="25" s="1"/>
  <c r="HF38" i="25" s="1"/>
  <c r="IL38" i="25" s="1"/>
  <c r="EI38" i="25"/>
  <c r="GD38" i="25"/>
  <c r="GE37" i="25"/>
  <c r="GB37" i="25"/>
  <c r="HJ36" i="25"/>
  <c r="HK36" i="25" s="1"/>
  <c r="HL36" i="25" s="1"/>
  <c r="IM36" i="25" s="1"/>
  <c r="GC36" i="25"/>
  <c r="EK35" i="25"/>
  <c r="HD34" i="25"/>
  <c r="HE34" i="25" s="1"/>
  <c r="HF34" i="25" s="1"/>
  <c r="IL34" i="25" s="1"/>
  <c r="GD34" i="25"/>
  <c r="GE33" i="25"/>
  <c r="GB33" i="25"/>
  <c r="HJ32" i="25"/>
  <c r="HK32" i="25" s="1"/>
  <c r="HL32" i="25" s="1"/>
  <c r="IM32" i="25" s="1"/>
  <c r="GC32" i="25"/>
  <c r="GR28" i="25"/>
  <c r="GS28" i="25" s="1"/>
  <c r="GT28" i="25" s="1"/>
  <c r="IJ28" i="25" s="1"/>
  <c r="EK27" i="25"/>
  <c r="HJ27" i="25"/>
  <c r="HK27" i="25" s="1"/>
  <c r="HL27" i="25" s="1"/>
  <c r="IM27" i="25" s="1"/>
  <c r="GJ26" i="25"/>
  <c r="EM22" i="25"/>
  <c r="EN21" i="25"/>
  <c r="GB30" i="25"/>
  <c r="GI28" i="25"/>
  <c r="HP27" i="25"/>
  <c r="HQ27" i="25" s="1"/>
  <c r="HR27" i="25" s="1"/>
  <c r="IN27" i="25" s="1"/>
  <c r="GR27" i="25"/>
  <c r="GS27" i="25" s="1"/>
  <c r="GT27" i="25" s="1"/>
  <c r="IJ27" i="25" s="1"/>
  <c r="GB26" i="25"/>
  <c r="GK26" i="25"/>
  <c r="GJ25" i="25"/>
  <c r="EM21" i="25"/>
  <c r="GJ28" i="25"/>
  <c r="GI27" i="25"/>
  <c r="GR26" i="25"/>
  <c r="GS26" i="25" s="1"/>
  <c r="GT26" i="25" s="1"/>
  <c r="IJ26" i="25" s="1"/>
  <c r="GB25" i="25"/>
  <c r="GK25" i="25"/>
  <c r="EM24" i="25"/>
  <c r="HP24" i="25"/>
  <c r="HQ24" i="25" s="1"/>
  <c r="HR24" i="25" s="1"/>
  <c r="IN24" i="25" s="1"/>
  <c r="EN23" i="25"/>
  <c r="GR23" i="25"/>
  <c r="GS23" i="25" s="1"/>
  <c r="GT23" i="25" s="1"/>
  <c r="IJ23" i="25" s="1"/>
  <c r="EI19" i="25"/>
  <c r="EL28" i="25"/>
  <c r="GB28" i="25"/>
  <c r="GK28" i="25"/>
  <c r="GJ27" i="25"/>
  <c r="GI26" i="25"/>
  <c r="HP25" i="25"/>
  <c r="HQ25" i="25" s="1"/>
  <c r="HR25" i="25" s="1"/>
  <c r="IN25" i="25" s="1"/>
  <c r="GR25" i="25"/>
  <c r="GS25" i="25" s="1"/>
  <c r="GT25" i="25" s="1"/>
  <c r="IJ25" i="25" s="1"/>
  <c r="EI23" i="25"/>
  <c r="EL21" i="25"/>
  <c r="GB18" i="25"/>
  <c r="GE18" i="25"/>
  <c r="GF18" i="25" s="1"/>
  <c r="GG18" i="25" s="1"/>
  <c r="GH18" i="25" s="1"/>
  <c r="IH18" i="25" s="1"/>
  <c r="EN18" i="25"/>
  <c r="HD23" i="25"/>
  <c r="HE23" i="25" s="1"/>
  <c r="HF23" i="25" s="1"/>
  <c r="IL23" i="25" s="1"/>
  <c r="GB22" i="25"/>
  <c r="HP22" i="25"/>
  <c r="HQ22" i="25" s="1"/>
  <c r="HR22" i="25" s="1"/>
  <c r="IN22" i="25" s="1"/>
  <c r="GR22" i="25"/>
  <c r="GS22" i="25" s="1"/>
  <c r="GT22" i="25" s="1"/>
  <c r="IJ22" i="25" s="1"/>
  <c r="GF21" i="25"/>
  <c r="GG21" i="25" s="1"/>
  <c r="GH21" i="25" s="1"/>
  <c r="IH21" i="25" s="1"/>
  <c r="GL20" i="25"/>
  <c r="GM20" i="25" s="1"/>
  <c r="GN20" i="25" s="1"/>
  <c r="II20" i="25" s="1"/>
  <c r="HD19" i="25"/>
  <c r="HE19" i="25" s="1"/>
  <c r="HF19" i="25" s="1"/>
  <c r="IL19" i="25" s="1"/>
  <c r="EI15" i="25"/>
  <c r="GB24" i="25"/>
  <c r="GK24" i="25"/>
  <c r="GL24" i="25" s="1"/>
  <c r="GM24" i="25" s="1"/>
  <c r="GN24" i="25" s="1"/>
  <c r="II24" i="25" s="1"/>
  <c r="GF22" i="25"/>
  <c r="GG22" i="25" s="1"/>
  <c r="GH22" i="25" s="1"/>
  <c r="IH22" i="25" s="1"/>
  <c r="EM20" i="25"/>
  <c r="HD20" i="25"/>
  <c r="HE20" i="25" s="1"/>
  <c r="HF20" i="25" s="1"/>
  <c r="IL20" i="25" s="1"/>
  <c r="HJ19" i="25"/>
  <c r="HK19" i="25" s="1"/>
  <c r="HL19" i="25" s="1"/>
  <c r="IM19" i="25" s="1"/>
  <c r="EK19" i="25"/>
  <c r="GB19" i="25"/>
  <c r="HP19" i="25"/>
  <c r="HQ19" i="25" s="1"/>
  <c r="HR19" i="25" s="1"/>
  <c r="IN19" i="25" s="1"/>
  <c r="GR19" i="25"/>
  <c r="GS19" i="25" s="1"/>
  <c r="GT19" i="25" s="1"/>
  <c r="IJ19" i="25" s="1"/>
  <c r="HD18" i="25"/>
  <c r="HE18" i="25" s="1"/>
  <c r="HF18" i="25" s="1"/>
  <c r="IL18" i="25" s="1"/>
  <c r="GL17" i="25"/>
  <c r="GM17" i="25" s="1"/>
  <c r="GN17" i="25" s="1"/>
  <c r="II17" i="25" s="1"/>
  <c r="GE16" i="25"/>
  <c r="GF16" i="25" s="1"/>
  <c r="GG16" i="25" s="1"/>
  <c r="GH16" i="25" s="1"/>
  <c r="IH16" i="25" s="1"/>
  <c r="GB16" i="25"/>
  <c r="EM14" i="25"/>
  <c r="GI14" i="25"/>
  <c r="HP20" i="25"/>
  <c r="HQ20" i="25" s="1"/>
  <c r="HR20" i="25" s="1"/>
  <c r="IN20" i="25" s="1"/>
  <c r="GR20" i="25"/>
  <c r="GS20" i="25" s="1"/>
  <c r="GT20" i="25" s="1"/>
  <c r="IJ20" i="25" s="1"/>
  <c r="HJ18" i="25"/>
  <c r="HK18" i="25" s="1"/>
  <c r="HL18" i="25" s="1"/>
  <c r="IM18" i="25" s="1"/>
  <c r="EL15" i="25"/>
  <c r="HD17" i="25"/>
  <c r="HE17" i="25" s="1"/>
  <c r="HF17" i="25" s="1"/>
  <c r="IL17" i="25" s="1"/>
  <c r="GX15" i="25"/>
  <c r="GY15" i="25" s="1"/>
  <c r="GZ15" i="25" s="1"/>
  <c r="IK15" i="25" s="1"/>
  <c r="EH9" i="25"/>
  <c r="GR17" i="25"/>
  <c r="GS17" i="25" s="1"/>
  <c r="GT17" i="25" s="1"/>
  <c r="IJ17" i="25" s="1"/>
  <c r="HD16" i="25"/>
  <c r="HE16" i="25" s="1"/>
  <c r="HF16" i="25" s="1"/>
  <c r="IL16" i="25" s="1"/>
  <c r="EL13" i="25"/>
  <c r="HP17" i="25"/>
  <c r="HQ17" i="25" s="1"/>
  <c r="HR17" i="25" s="1"/>
  <c r="IN17" i="25" s="1"/>
  <c r="GD17" i="25"/>
  <c r="GE17" i="25"/>
  <c r="GB17" i="25"/>
  <c r="GR16" i="25"/>
  <c r="GS16" i="25" s="1"/>
  <c r="GT16" i="25" s="1"/>
  <c r="IJ16" i="25" s="1"/>
  <c r="HP12" i="25"/>
  <c r="HQ12" i="25" s="1"/>
  <c r="HR12" i="25" s="1"/>
  <c r="IN12" i="25" s="1"/>
  <c r="GJ14" i="25"/>
  <c r="HP10" i="25"/>
  <c r="HQ10" i="25" s="1"/>
  <c r="HR10" i="25" s="1"/>
  <c r="IN10" i="25" s="1"/>
  <c r="GB14" i="25"/>
  <c r="GK14" i="25"/>
  <c r="HP13" i="25"/>
  <c r="HQ13" i="25" s="1"/>
  <c r="HR13" i="25" s="1"/>
  <c r="IN13" i="25" s="1"/>
  <c r="GR13" i="25"/>
  <c r="GS13" i="25" s="1"/>
  <c r="GT13" i="25" s="1"/>
  <c r="IJ13" i="25" s="1"/>
  <c r="EH11" i="25"/>
  <c r="EN11" i="25"/>
  <c r="GQ12" i="25"/>
  <c r="GR12" i="25" s="1"/>
  <c r="GS12" i="25" s="1"/>
  <c r="GT12" i="25" s="1"/>
  <c r="IJ12" i="25" s="1"/>
  <c r="GJ11" i="25"/>
  <c r="GJ10" i="25"/>
  <c r="HD9" i="25"/>
  <c r="HE9" i="25" s="1"/>
  <c r="HF9" i="25" s="1"/>
  <c r="IL9" i="25" s="1"/>
  <c r="GJ9" i="25"/>
  <c r="GB13" i="25"/>
  <c r="GI12" i="25"/>
  <c r="GL12" i="25" s="1"/>
  <c r="GM12" i="25" s="1"/>
  <c r="GN12" i="25" s="1"/>
  <c r="II12" i="25" s="1"/>
  <c r="GB11" i="25"/>
  <c r="GK11" i="25"/>
  <c r="GB10" i="25"/>
  <c r="GK10" i="25"/>
  <c r="GB9" i="25"/>
  <c r="GK9" i="25"/>
  <c r="GL8" i="25"/>
  <c r="GM8" i="25" s="1"/>
  <c r="GN8" i="25" s="1"/>
  <c r="II8" i="25" s="1"/>
  <c r="HJ8" i="25"/>
  <c r="HK8" i="25" s="1"/>
  <c r="HL8" i="25" s="1"/>
  <c r="IM8" i="25" s="1"/>
  <c r="GX8" i="25"/>
  <c r="GY8" i="25" s="1"/>
  <c r="GZ8" i="25" s="1"/>
  <c r="IK8" i="25" s="1"/>
  <c r="GQ8" i="25"/>
  <c r="GR8" i="25" s="1"/>
  <c r="GS8" i="25" s="1"/>
  <c r="GT8" i="25" s="1"/>
  <c r="IJ8" i="25" s="1"/>
  <c r="FF8" i="25"/>
  <c r="FQ8" i="25"/>
  <c r="CZ8" i="26"/>
  <c r="DA8" i="26" s="1"/>
  <c r="DB8" i="26" s="1"/>
  <c r="FM8" i="26" s="1"/>
  <c r="AN8" i="26" s="1"/>
  <c r="DR8" i="26"/>
  <c r="DS8" i="26" s="1"/>
  <c r="DT8" i="26" s="1"/>
  <c r="FP8" i="26" s="1"/>
  <c r="AQ8" i="26" s="1"/>
  <c r="EP8" i="26"/>
  <c r="EQ8" i="26" s="1"/>
  <c r="ER8" i="26" s="1"/>
  <c r="FT8" i="26" s="1"/>
  <c r="AU8" i="26" s="1"/>
  <c r="DX8" i="26"/>
  <c r="DY8" i="26" s="1"/>
  <c r="DZ8" i="26" s="1"/>
  <c r="FQ8" i="26" s="1"/>
  <c r="AR8" i="26" s="1"/>
  <c r="CP8" i="26"/>
  <c r="FG8" i="26" s="1"/>
  <c r="CC8" i="26"/>
  <c r="CQ8" i="26"/>
  <c r="CT8" i="26" s="1"/>
  <c r="CU8" i="26" s="1"/>
  <c r="EM37" i="34"/>
  <c r="EM42" i="34"/>
  <c r="EM41" i="34"/>
  <c r="EM40" i="34"/>
  <c r="EM39" i="34"/>
  <c r="EM38" i="34"/>
  <c r="EI35" i="34"/>
  <c r="EJ34" i="34"/>
  <c r="EN33" i="34"/>
  <c r="EJ28" i="34"/>
  <c r="EI42" i="34"/>
  <c r="EK41" i="34"/>
  <c r="EI41" i="34"/>
  <c r="EK40" i="34"/>
  <c r="EI40" i="34"/>
  <c r="EK39" i="34"/>
  <c r="EI39" i="34"/>
  <c r="EI37" i="34"/>
  <c r="HP37" i="34"/>
  <c r="HQ37" i="34" s="1"/>
  <c r="HR37" i="34" s="1"/>
  <c r="IL37" i="34" s="1"/>
  <c r="EK36" i="34"/>
  <c r="HP36" i="34"/>
  <c r="HQ36" i="34" s="1"/>
  <c r="HR36" i="34" s="1"/>
  <c r="IL36" i="34" s="1"/>
  <c r="EJ36" i="34"/>
  <c r="EL32" i="34"/>
  <c r="EL37" i="34"/>
  <c r="HD42" i="34"/>
  <c r="HE42" i="34" s="1"/>
  <c r="HF42" i="34" s="1"/>
  <c r="IJ42" i="34" s="1"/>
  <c r="HP42" i="34"/>
  <c r="HQ42" i="34" s="1"/>
  <c r="HR42" i="34" s="1"/>
  <c r="IL42" i="34" s="1"/>
  <c r="GR42" i="34"/>
  <c r="GS42" i="34" s="1"/>
  <c r="GT42" i="34" s="1"/>
  <c r="IH42" i="34" s="1"/>
  <c r="HD41" i="34"/>
  <c r="HE41" i="34" s="1"/>
  <c r="HF41" i="34" s="1"/>
  <c r="IJ41" i="34" s="1"/>
  <c r="HP41" i="34"/>
  <c r="HQ41" i="34" s="1"/>
  <c r="HR41" i="34" s="1"/>
  <c r="IL41" i="34" s="1"/>
  <c r="GR41" i="34"/>
  <c r="GS41" i="34" s="1"/>
  <c r="GT41" i="34" s="1"/>
  <c r="IH41" i="34" s="1"/>
  <c r="HD40" i="34"/>
  <c r="HE40" i="34" s="1"/>
  <c r="HF40" i="34" s="1"/>
  <c r="IJ40" i="34" s="1"/>
  <c r="HP40" i="34"/>
  <c r="HQ40" i="34" s="1"/>
  <c r="HR40" i="34" s="1"/>
  <c r="IL40" i="34" s="1"/>
  <c r="GR40" i="34"/>
  <c r="GS40" i="34" s="1"/>
  <c r="GT40" i="34" s="1"/>
  <c r="IH40" i="34" s="1"/>
  <c r="HD39" i="34"/>
  <c r="HE39" i="34" s="1"/>
  <c r="HF39" i="34" s="1"/>
  <c r="IJ39" i="34" s="1"/>
  <c r="HP39" i="34"/>
  <c r="HQ39" i="34" s="1"/>
  <c r="HR39" i="34" s="1"/>
  <c r="IL39" i="34" s="1"/>
  <c r="GR39" i="34"/>
  <c r="GS39" i="34" s="1"/>
  <c r="GT39" i="34" s="1"/>
  <c r="IH39" i="34" s="1"/>
  <c r="EK38" i="34"/>
  <c r="EI38" i="34"/>
  <c r="HP38" i="34"/>
  <c r="HQ38" i="34" s="1"/>
  <c r="HR38" i="34" s="1"/>
  <c r="IL38" i="34" s="1"/>
  <c r="HD35" i="34"/>
  <c r="HE35" i="34" s="1"/>
  <c r="HF35" i="34" s="1"/>
  <c r="IJ35" i="34" s="1"/>
  <c r="EL33" i="34"/>
  <c r="EI36" i="34"/>
  <c r="HP35" i="34"/>
  <c r="HQ35" i="34" s="1"/>
  <c r="HR35" i="34" s="1"/>
  <c r="IL35" i="34" s="1"/>
  <c r="EI34" i="34"/>
  <c r="EJ33" i="34"/>
  <c r="GK33" i="34"/>
  <c r="GB33" i="34"/>
  <c r="EI32" i="34"/>
  <c r="EN28" i="34"/>
  <c r="EM27" i="34"/>
  <c r="EL10" i="34"/>
  <c r="GD42" i="34"/>
  <c r="GF42" i="34" s="1"/>
  <c r="GG42" i="34" s="1"/>
  <c r="GH42" i="34" s="1"/>
  <c r="IF42" i="34" s="1"/>
  <c r="GD41" i="34"/>
  <c r="GF41" i="34" s="1"/>
  <c r="GG41" i="34" s="1"/>
  <c r="GH41" i="34" s="1"/>
  <c r="IF41" i="34" s="1"/>
  <c r="GD40" i="34"/>
  <c r="GF40" i="34" s="1"/>
  <c r="GG40" i="34" s="1"/>
  <c r="GH40" i="34" s="1"/>
  <c r="IF40" i="34" s="1"/>
  <c r="GD39" i="34"/>
  <c r="GF39" i="34" s="1"/>
  <c r="GG39" i="34" s="1"/>
  <c r="GH39" i="34" s="1"/>
  <c r="IF39" i="34" s="1"/>
  <c r="GD37" i="34"/>
  <c r="HJ36" i="34"/>
  <c r="HK36" i="34" s="1"/>
  <c r="HL36" i="34" s="1"/>
  <c r="IK36" i="34" s="1"/>
  <c r="GD35" i="34"/>
  <c r="HJ34" i="34"/>
  <c r="HK34" i="34" s="1"/>
  <c r="HL34" i="34" s="1"/>
  <c r="IK34" i="34" s="1"/>
  <c r="GD32" i="34"/>
  <c r="GX32" i="34"/>
  <c r="GY32" i="34" s="1"/>
  <c r="GZ32" i="34" s="1"/>
  <c r="II32" i="34" s="1"/>
  <c r="HD31" i="34"/>
  <c r="HE31" i="34" s="1"/>
  <c r="HF31" i="34" s="1"/>
  <c r="IJ31" i="34" s="1"/>
  <c r="GD30" i="34"/>
  <c r="EK30" i="34"/>
  <c r="EN30" i="34"/>
  <c r="HD29" i="34"/>
  <c r="HE29" i="34" s="1"/>
  <c r="HF29" i="34" s="1"/>
  <c r="IJ29" i="34" s="1"/>
  <c r="HD36" i="34"/>
  <c r="HE36" i="34" s="1"/>
  <c r="HF36" i="34" s="1"/>
  <c r="IJ36" i="34" s="1"/>
  <c r="HD38" i="34"/>
  <c r="HE38" i="34" s="1"/>
  <c r="HF38" i="34" s="1"/>
  <c r="IJ38" i="34" s="1"/>
  <c r="GX37" i="34"/>
  <c r="GY37" i="34" s="1"/>
  <c r="GZ37" i="34" s="1"/>
  <c r="II37" i="34" s="1"/>
  <c r="GB37" i="34"/>
  <c r="GX35" i="34"/>
  <c r="GY35" i="34" s="1"/>
  <c r="GZ35" i="34" s="1"/>
  <c r="II35" i="34" s="1"/>
  <c r="GB35" i="34"/>
  <c r="EK33" i="34"/>
  <c r="EH33" i="34"/>
  <c r="HJ33" i="34"/>
  <c r="HK33" i="34" s="1"/>
  <c r="HL33" i="34" s="1"/>
  <c r="IK33" i="34" s="1"/>
  <c r="GI33" i="34"/>
  <c r="GD27" i="34"/>
  <c r="GX27" i="34"/>
  <c r="GY27" i="34" s="1"/>
  <c r="GZ27" i="34" s="1"/>
  <c r="II27" i="34" s="1"/>
  <c r="EN27" i="34"/>
  <c r="EJ25" i="34"/>
  <c r="EJ23" i="34"/>
  <c r="HD34" i="34"/>
  <c r="HE34" i="34" s="1"/>
  <c r="HF34" i="34" s="1"/>
  <c r="IJ34" i="34" s="1"/>
  <c r="GE38" i="34"/>
  <c r="GF38" i="34" s="1"/>
  <c r="GG38" i="34" s="1"/>
  <c r="GH38" i="34" s="1"/>
  <c r="IF38" i="34" s="1"/>
  <c r="GC37" i="34"/>
  <c r="GF37" i="34" s="1"/>
  <c r="GG37" i="34" s="1"/>
  <c r="GH37" i="34" s="1"/>
  <c r="IF37" i="34" s="1"/>
  <c r="GD36" i="34"/>
  <c r="GF36" i="34" s="1"/>
  <c r="GG36" i="34" s="1"/>
  <c r="GH36" i="34" s="1"/>
  <c r="IF36" i="34" s="1"/>
  <c r="HJ35" i="34"/>
  <c r="HK35" i="34" s="1"/>
  <c r="HL35" i="34" s="1"/>
  <c r="IK35" i="34" s="1"/>
  <c r="GC35" i="34"/>
  <c r="GD34" i="34"/>
  <c r="GF34" i="34" s="1"/>
  <c r="GG34" i="34" s="1"/>
  <c r="GH34" i="34" s="1"/>
  <c r="IF34" i="34" s="1"/>
  <c r="EJ31" i="34"/>
  <c r="GD31" i="34"/>
  <c r="EK31" i="34"/>
  <c r="EN31" i="34"/>
  <c r="EL30" i="34"/>
  <c r="EJ29" i="34"/>
  <c r="GD29" i="34"/>
  <c r="EN29" i="34"/>
  <c r="EN26" i="34"/>
  <c r="GE25" i="34"/>
  <c r="GF25" i="34" s="1"/>
  <c r="GG25" i="34" s="1"/>
  <c r="GH25" i="34" s="1"/>
  <c r="IF25" i="34" s="1"/>
  <c r="GB25" i="34"/>
  <c r="GE32" i="34"/>
  <c r="GF32" i="34" s="1"/>
  <c r="GG32" i="34" s="1"/>
  <c r="GH32" i="34" s="1"/>
  <c r="IF32" i="34" s="1"/>
  <c r="GB32" i="34"/>
  <c r="GE31" i="34"/>
  <c r="GB31" i="34"/>
  <c r="GE30" i="34"/>
  <c r="GB30" i="34"/>
  <c r="GE29" i="34"/>
  <c r="GB29" i="34"/>
  <c r="HD28" i="34"/>
  <c r="HE28" i="34" s="1"/>
  <c r="HF28" i="34" s="1"/>
  <c r="IJ28" i="34" s="1"/>
  <c r="GL28" i="34"/>
  <c r="GM28" i="34" s="1"/>
  <c r="GN28" i="34" s="1"/>
  <c r="IG28" i="34" s="1"/>
  <c r="GE27" i="34"/>
  <c r="GB27" i="34"/>
  <c r="HD26" i="34"/>
  <c r="HE26" i="34" s="1"/>
  <c r="HF26" i="34" s="1"/>
  <c r="IJ26" i="34" s="1"/>
  <c r="HJ25" i="34"/>
  <c r="HK25" i="34" s="1"/>
  <c r="HL25" i="34" s="1"/>
  <c r="IK25" i="34" s="1"/>
  <c r="GL25" i="34"/>
  <c r="GM25" i="34" s="1"/>
  <c r="GN25" i="34" s="1"/>
  <c r="IG25" i="34" s="1"/>
  <c r="EJ24" i="34"/>
  <c r="EL23" i="34"/>
  <c r="EK15" i="34"/>
  <c r="EM31" i="34"/>
  <c r="EI31" i="34"/>
  <c r="EI30" i="34"/>
  <c r="EI29" i="34"/>
  <c r="EM28" i="34"/>
  <c r="GD28" i="34"/>
  <c r="GX28" i="34"/>
  <c r="GY28" i="34" s="1"/>
  <c r="GZ28" i="34" s="1"/>
  <c r="II28" i="34" s="1"/>
  <c r="GL26" i="34"/>
  <c r="GM26" i="34" s="1"/>
  <c r="GN26" i="34" s="1"/>
  <c r="IG26" i="34" s="1"/>
  <c r="GD26" i="34"/>
  <c r="GX26" i="34"/>
  <c r="GY26" i="34" s="1"/>
  <c r="GZ26" i="34" s="1"/>
  <c r="II26" i="34" s="1"/>
  <c r="HD25" i="34"/>
  <c r="HE25" i="34" s="1"/>
  <c r="HF25" i="34" s="1"/>
  <c r="IJ25" i="34" s="1"/>
  <c r="GD24" i="34"/>
  <c r="EM22" i="34"/>
  <c r="EL21" i="34"/>
  <c r="GX21" i="34"/>
  <c r="GY21" i="34" s="1"/>
  <c r="GZ21" i="34" s="1"/>
  <c r="II21" i="34" s="1"/>
  <c r="GI20" i="34"/>
  <c r="EL19" i="34"/>
  <c r="EN16" i="34"/>
  <c r="EI16" i="34"/>
  <c r="GB16" i="34"/>
  <c r="GE16" i="34"/>
  <c r="GF16" i="34" s="1"/>
  <c r="GG16" i="34" s="1"/>
  <c r="GH16" i="34" s="1"/>
  <c r="IF16" i="34" s="1"/>
  <c r="GE28" i="34"/>
  <c r="GB28" i="34"/>
  <c r="HD27" i="34"/>
  <c r="HE27" i="34" s="1"/>
  <c r="HF27" i="34" s="1"/>
  <c r="IJ27" i="34" s="1"/>
  <c r="GL27" i="34"/>
  <c r="GM27" i="34" s="1"/>
  <c r="GN27" i="34" s="1"/>
  <c r="IG27" i="34" s="1"/>
  <c r="HJ26" i="34"/>
  <c r="HK26" i="34" s="1"/>
  <c r="HL26" i="34" s="1"/>
  <c r="IK26" i="34" s="1"/>
  <c r="GE26" i="34"/>
  <c r="GB26" i="34"/>
  <c r="EJ20" i="34"/>
  <c r="GE24" i="34"/>
  <c r="GF24" i="34" s="1"/>
  <c r="GG24" i="34" s="1"/>
  <c r="GH24" i="34" s="1"/>
  <c r="IF24" i="34" s="1"/>
  <c r="GB24" i="34"/>
  <c r="GX23" i="34"/>
  <c r="GY23" i="34" s="1"/>
  <c r="GZ23" i="34" s="1"/>
  <c r="II23" i="34" s="1"/>
  <c r="EJ22" i="34"/>
  <c r="GI22" i="34"/>
  <c r="EN21" i="34"/>
  <c r="EN20" i="34"/>
  <c r="EK20" i="34"/>
  <c r="GJ20" i="34"/>
  <c r="EK12" i="34"/>
  <c r="GI12" i="34"/>
  <c r="EK24" i="34"/>
  <c r="GL24" i="34"/>
  <c r="GM24" i="34" s="1"/>
  <c r="GN24" i="34" s="1"/>
  <c r="IG24" i="34" s="1"/>
  <c r="EI23" i="34"/>
  <c r="EN22" i="34"/>
  <c r="EK22" i="34"/>
  <c r="GJ22" i="34"/>
  <c r="EJ21" i="34"/>
  <c r="EL20" i="34"/>
  <c r="GK20" i="34"/>
  <c r="GB20" i="34"/>
  <c r="EL17" i="34"/>
  <c r="EH17" i="34"/>
  <c r="EI15" i="34"/>
  <c r="HP24" i="34"/>
  <c r="HQ24" i="34" s="1"/>
  <c r="HR24" i="34" s="1"/>
  <c r="IL24" i="34" s="1"/>
  <c r="HD24" i="34"/>
  <c r="HE24" i="34" s="1"/>
  <c r="HF24" i="34" s="1"/>
  <c r="IJ24" i="34" s="1"/>
  <c r="EN23" i="34"/>
  <c r="EM23" i="34"/>
  <c r="EL22" i="34"/>
  <c r="GK22" i="34"/>
  <c r="GB22" i="34"/>
  <c r="EM21" i="34"/>
  <c r="EH20" i="34"/>
  <c r="EJ17" i="34"/>
  <c r="EK14" i="34"/>
  <c r="EN19" i="34"/>
  <c r="GX19" i="34"/>
  <c r="GY19" i="34" s="1"/>
  <c r="GZ19" i="34" s="1"/>
  <c r="II19" i="34" s="1"/>
  <c r="EL18" i="34"/>
  <c r="HJ18" i="34"/>
  <c r="HK18" i="34" s="1"/>
  <c r="HL18" i="34" s="1"/>
  <c r="IK18" i="34" s="1"/>
  <c r="GL18" i="34"/>
  <c r="GM18" i="34" s="1"/>
  <c r="GN18" i="34" s="1"/>
  <c r="IG18" i="34" s="1"/>
  <c r="EN17" i="34"/>
  <c r="GX17" i="34"/>
  <c r="GY17" i="34" s="1"/>
  <c r="GZ17" i="34" s="1"/>
  <c r="II17" i="34" s="1"/>
  <c r="GB11" i="34"/>
  <c r="GK11" i="34"/>
  <c r="EK11" i="34"/>
  <c r="HJ16" i="34"/>
  <c r="HK16" i="34" s="1"/>
  <c r="HL16" i="34" s="1"/>
  <c r="IK16" i="34" s="1"/>
  <c r="EN14" i="34"/>
  <c r="HJ19" i="34"/>
  <c r="HK19" i="34" s="1"/>
  <c r="HL19" i="34" s="1"/>
  <c r="IK19" i="34" s="1"/>
  <c r="GL19" i="34"/>
  <c r="GM19" i="34" s="1"/>
  <c r="GN19" i="34" s="1"/>
  <c r="IG19" i="34" s="1"/>
  <c r="EN18" i="34"/>
  <c r="GX18" i="34"/>
  <c r="GY18" i="34" s="1"/>
  <c r="GZ18" i="34" s="1"/>
  <c r="II18" i="34" s="1"/>
  <c r="HJ17" i="34"/>
  <c r="HK17" i="34" s="1"/>
  <c r="HL17" i="34" s="1"/>
  <c r="IK17" i="34" s="1"/>
  <c r="GL17" i="34"/>
  <c r="GM17" i="34" s="1"/>
  <c r="GN17" i="34" s="1"/>
  <c r="IG17" i="34" s="1"/>
  <c r="EK16" i="34"/>
  <c r="HJ15" i="34"/>
  <c r="HK15" i="34" s="1"/>
  <c r="HL15" i="34" s="1"/>
  <c r="IK15" i="34" s="1"/>
  <c r="GK13" i="34"/>
  <c r="GB13" i="34"/>
  <c r="EM13" i="34"/>
  <c r="GB15" i="34"/>
  <c r="GR15" i="34"/>
  <c r="GS15" i="34" s="1"/>
  <c r="GT15" i="34" s="1"/>
  <c r="IH15" i="34" s="1"/>
  <c r="EL13" i="34"/>
  <c r="HD16" i="34"/>
  <c r="HE16" i="34" s="1"/>
  <c r="HF16" i="34" s="1"/>
  <c r="IJ16" i="34" s="1"/>
  <c r="HD14" i="34"/>
  <c r="HE14" i="34" s="1"/>
  <c r="HF14" i="34" s="1"/>
  <c r="IJ14" i="34" s="1"/>
  <c r="GI13" i="34"/>
  <c r="HJ11" i="34"/>
  <c r="HK11" i="34" s="1"/>
  <c r="HL11" i="34" s="1"/>
  <c r="IK11" i="34" s="1"/>
  <c r="EK10" i="34"/>
  <c r="EL9" i="34"/>
  <c r="EK9" i="34"/>
  <c r="EJ9" i="34"/>
  <c r="EM9" i="34"/>
  <c r="GI9" i="34"/>
  <c r="HP15" i="34"/>
  <c r="HQ15" i="34" s="1"/>
  <c r="HR15" i="34" s="1"/>
  <c r="IL15" i="34" s="1"/>
  <c r="HD15" i="34"/>
  <c r="HE15" i="34" s="1"/>
  <c r="HF15" i="34" s="1"/>
  <c r="IJ15" i="34" s="1"/>
  <c r="HJ14" i="34"/>
  <c r="HK14" i="34" s="1"/>
  <c r="HL14" i="34" s="1"/>
  <c r="IK14" i="34" s="1"/>
  <c r="EI14" i="34"/>
  <c r="EK13" i="34"/>
  <c r="EL11" i="34"/>
  <c r="GI10" i="34"/>
  <c r="EN12" i="34"/>
  <c r="EH12" i="34"/>
  <c r="GJ12" i="34"/>
  <c r="EN10" i="34"/>
  <c r="GJ10" i="34"/>
  <c r="EH9" i="34"/>
  <c r="GJ9" i="34"/>
  <c r="GB12" i="34"/>
  <c r="GK12" i="34"/>
  <c r="GI11" i="34"/>
  <c r="GB10" i="34"/>
  <c r="GK10" i="34"/>
  <c r="GB9" i="34"/>
  <c r="GK9" i="34"/>
  <c r="GJ11" i="34"/>
  <c r="GR8" i="34"/>
  <c r="GS8" i="34" s="1"/>
  <c r="GT8" i="34" s="1"/>
  <c r="IH8" i="34" s="1"/>
  <c r="HP8" i="34"/>
  <c r="HQ8" i="34" s="1"/>
  <c r="HR8" i="34" s="1"/>
  <c r="IL8" i="34" s="1"/>
  <c r="GL8" i="34"/>
  <c r="GM8" i="34" s="1"/>
  <c r="GN8" i="34" s="1"/>
  <c r="IG8" i="34" s="1"/>
  <c r="HJ8" i="34"/>
  <c r="HK8" i="34" s="1"/>
  <c r="HL8" i="34" s="1"/>
  <c r="IK8" i="34" s="1"/>
  <c r="FF8" i="34"/>
  <c r="DE39" i="36"/>
  <c r="DI42" i="36"/>
  <c r="DH42" i="36"/>
  <c r="DE41" i="36"/>
  <c r="DJ38" i="36"/>
  <c r="DD36" i="36"/>
  <c r="DD42" i="36"/>
  <c r="DJ40" i="36"/>
  <c r="DI36" i="36"/>
  <c r="DI34" i="36"/>
  <c r="DJ42" i="36"/>
  <c r="DG42" i="36"/>
  <c r="DE37" i="36"/>
  <c r="DH38" i="36"/>
  <c r="FL33" i="36"/>
  <c r="FM33" i="36" s="1"/>
  <c r="FN33" i="36" s="1"/>
  <c r="GP33" i="36" s="1"/>
  <c r="DF29" i="36"/>
  <c r="DE26" i="36"/>
  <c r="DJ9" i="36"/>
  <c r="DJ41" i="36"/>
  <c r="GD41" i="36"/>
  <c r="GE41" i="36" s="1"/>
  <c r="GF41" i="36" s="1"/>
  <c r="GS41" i="36" s="1"/>
  <c r="DD41" i="36"/>
  <c r="FR41" i="36"/>
  <c r="FS41" i="36" s="1"/>
  <c r="FT41" i="36" s="1"/>
  <c r="GQ41" i="36" s="1"/>
  <c r="DJ39" i="36"/>
  <c r="GD39" i="36"/>
  <c r="GE39" i="36" s="1"/>
  <c r="GF39" i="36" s="1"/>
  <c r="GS39" i="36" s="1"/>
  <c r="DD39" i="36"/>
  <c r="FR39" i="36"/>
  <c r="FS39" i="36" s="1"/>
  <c r="FT39" i="36" s="1"/>
  <c r="GQ39" i="36" s="1"/>
  <c r="DJ37" i="36"/>
  <c r="GD37" i="36"/>
  <c r="GE37" i="36" s="1"/>
  <c r="GF37" i="36" s="1"/>
  <c r="GS37" i="36" s="1"/>
  <c r="DD37" i="36"/>
  <c r="FR37" i="36"/>
  <c r="FS37" i="36" s="1"/>
  <c r="FT37" i="36" s="1"/>
  <c r="GQ37" i="36" s="1"/>
  <c r="FX36" i="36"/>
  <c r="FY36" i="36" s="1"/>
  <c r="FZ36" i="36" s="1"/>
  <c r="GR36" i="36" s="1"/>
  <c r="DF36" i="36"/>
  <c r="DZ36" i="36"/>
  <c r="DD35" i="36"/>
  <c r="FR35" i="36"/>
  <c r="FS35" i="36" s="1"/>
  <c r="FT35" i="36" s="1"/>
  <c r="GQ35" i="36" s="1"/>
  <c r="DD34" i="36"/>
  <c r="FR34" i="36"/>
  <c r="FS34" i="36" s="1"/>
  <c r="FT34" i="36" s="1"/>
  <c r="GQ34" i="36" s="1"/>
  <c r="DJ32" i="36"/>
  <c r="DD32" i="36"/>
  <c r="FR32" i="36"/>
  <c r="FS32" i="36" s="1"/>
  <c r="FT32" i="36" s="1"/>
  <c r="GQ32" i="36" s="1"/>
  <c r="DJ30" i="36"/>
  <c r="FR30" i="36"/>
  <c r="FS30" i="36" s="1"/>
  <c r="FT30" i="36" s="1"/>
  <c r="GQ30" i="36" s="1"/>
  <c r="DJ28" i="36"/>
  <c r="DD28" i="36"/>
  <c r="FR28" i="36"/>
  <c r="FS28" i="36" s="1"/>
  <c r="FT28" i="36" s="1"/>
  <c r="GQ28" i="36" s="1"/>
  <c r="DJ27" i="36"/>
  <c r="DI27" i="36"/>
  <c r="DH27" i="36"/>
  <c r="DG27" i="36"/>
  <c r="DJ26" i="36"/>
  <c r="DD26" i="36"/>
  <c r="DE17" i="36"/>
  <c r="DF41" i="36"/>
  <c r="DF39" i="36"/>
  <c r="DF37" i="36"/>
  <c r="DI35" i="36"/>
  <c r="FK42" i="36"/>
  <c r="FL42" i="36" s="1"/>
  <c r="FM42" i="36" s="1"/>
  <c r="FN42" i="36" s="1"/>
  <c r="GP42" i="36" s="1"/>
  <c r="FF42" i="36"/>
  <c r="FG42" i="36" s="1"/>
  <c r="FH42" i="36" s="1"/>
  <c r="GO42" i="36" s="1"/>
  <c r="DH41" i="36"/>
  <c r="FF40" i="36"/>
  <c r="FG40" i="36" s="1"/>
  <c r="FH40" i="36" s="1"/>
  <c r="GO40" i="36" s="1"/>
  <c r="DH39" i="36"/>
  <c r="FF38" i="36"/>
  <c r="FG38" i="36" s="1"/>
  <c r="FH38" i="36" s="1"/>
  <c r="GO38" i="36" s="1"/>
  <c r="DH37" i="36"/>
  <c r="FC36" i="36"/>
  <c r="FD36" i="36"/>
  <c r="EK36" i="36"/>
  <c r="DE35" i="36"/>
  <c r="FL35" i="36"/>
  <c r="FM35" i="36" s="1"/>
  <c r="FN35" i="36" s="1"/>
  <c r="GP35" i="36" s="1"/>
  <c r="DH35" i="36"/>
  <c r="GJ34" i="36"/>
  <c r="GK34" i="36" s="1"/>
  <c r="GL34" i="36" s="1"/>
  <c r="GT34" i="36" s="1"/>
  <c r="FL34" i="36"/>
  <c r="FM34" i="36" s="1"/>
  <c r="FN34" i="36" s="1"/>
  <c r="GP34" i="36" s="1"/>
  <c r="FL32" i="36"/>
  <c r="FM32" i="36" s="1"/>
  <c r="FN32" i="36" s="1"/>
  <c r="GP32" i="36" s="1"/>
  <c r="FL30" i="36"/>
  <c r="FM30" i="36" s="1"/>
  <c r="FN30" i="36" s="1"/>
  <c r="GP30" i="36" s="1"/>
  <c r="FL28" i="36"/>
  <c r="FM28" i="36" s="1"/>
  <c r="FN28" i="36" s="1"/>
  <c r="GP28" i="36" s="1"/>
  <c r="DI23" i="36"/>
  <c r="DH23" i="36"/>
  <c r="DH20" i="36"/>
  <c r="DH40" i="36"/>
  <c r="FL31" i="36"/>
  <c r="FM31" i="36" s="1"/>
  <c r="FN31" i="36" s="1"/>
  <c r="GP31" i="36" s="1"/>
  <c r="DH22" i="36"/>
  <c r="EK42" i="36"/>
  <c r="DZ42" i="36"/>
  <c r="GD40" i="36"/>
  <c r="GE40" i="36" s="1"/>
  <c r="GF40" i="36" s="1"/>
  <c r="GS40" i="36" s="1"/>
  <c r="DD40" i="36"/>
  <c r="FR40" i="36"/>
  <c r="FS40" i="36" s="1"/>
  <c r="FT40" i="36" s="1"/>
  <c r="GQ40" i="36" s="1"/>
  <c r="GD38" i="36"/>
  <c r="GE38" i="36" s="1"/>
  <c r="GF38" i="36" s="1"/>
  <c r="GS38" i="36" s="1"/>
  <c r="DD38" i="36"/>
  <c r="FR38" i="36"/>
  <c r="FS38" i="36" s="1"/>
  <c r="FT38" i="36" s="1"/>
  <c r="GQ38" i="36" s="1"/>
  <c r="DG36" i="36"/>
  <c r="FE36" i="36"/>
  <c r="EV36" i="36"/>
  <c r="DJ33" i="36"/>
  <c r="DD33" i="36"/>
  <c r="FR33" i="36"/>
  <c r="FS33" i="36" s="1"/>
  <c r="FT33" i="36" s="1"/>
  <c r="GQ33" i="36" s="1"/>
  <c r="DJ31" i="36"/>
  <c r="DD31" i="36"/>
  <c r="FR31" i="36"/>
  <c r="FS31" i="36" s="1"/>
  <c r="FT31" i="36" s="1"/>
  <c r="GQ31" i="36" s="1"/>
  <c r="DJ29" i="36"/>
  <c r="FR29" i="36"/>
  <c r="FS29" i="36" s="1"/>
  <c r="FT29" i="36" s="1"/>
  <c r="GQ29" i="36" s="1"/>
  <c r="GJ22" i="36"/>
  <c r="GK22" i="36" s="1"/>
  <c r="GL22" i="36" s="1"/>
  <c r="GT22" i="36" s="1"/>
  <c r="FL22" i="36"/>
  <c r="FM22" i="36" s="1"/>
  <c r="FN22" i="36" s="1"/>
  <c r="GP22" i="36" s="1"/>
  <c r="GD33" i="36"/>
  <c r="GE33" i="36" s="1"/>
  <c r="GF33" i="36" s="1"/>
  <c r="GS33" i="36" s="1"/>
  <c r="GD32" i="36"/>
  <c r="GE32" i="36" s="1"/>
  <c r="GF32" i="36" s="1"/>
  <c r="GS32" i="36" s="1"/>
  <c r="GD31" i="36"/>
  <c r="GE31" i="36" s="1"/>
  <c r="GF31" i="36" s="1"/>
  <c r="GS31" i="36" s="1"/>
  <c r="GD30" i="36"/>
  <c r="GE30" i="36" s="1"/>
  <c r="GF30" i="36" s="1"/>
  <c r="GS30" i="36" s="1"/>
  <c r="GD29" i="36"/>
  <c r="GE29" i="36" s="1"/>
  <c r="GF29" i="36" s="1"/>
  <c r="GS29" i="36" s="1"/>
  <c r="GD28" i="36"/>
  <c r="GE28" i="36" s="1"/>
  <c r="GF28" i="36" s="1"/>
  <c r="GS28" i="36" s="1"/>
  <c r="DD27" i="36"/>
  <c r="DH26" i="36"/>
  <c r="DE24" i="36"/>
  <c r="GD24" i="36"/>
  <c r="GE24" i="36" s="1"/>
  <c r="GF24" i="36" s="1"/>
  <c r="GS24" i="36" s="1"/>
  <c r="DD23" i="36"/>
  <c r="FR23" i="36"/>
  <c r="FS23" i="36" s="1"/>
  <c r="FT23" i="36" s="1"/>
  <c r="GQ23" i="36" s="1"/>
  <c r="FR21" i="36"/>
  <c r="FS21" i="36" s="1"/>
  <c r="FT21" i="36" s="1"/>
  <c r="GQ21" i="36" s="1"/>
  <c r="DG19" i="36"/>
  <c r="DH18" i="36"/>
  <c r="EV18" i="36"/>
  <c r="DF27" i="36"/>
  <c r="DF26" i="36"/>
  <c r="FR26" i="36"/>
  <c r="FS26" i="36" s="1"/>
  <c r="FT26" i="36" s="1"/>
  <c r="GQ26" i="36" s="1"/>
  <c r="GJ25" i="36"/>
  <c r="GK25" i="36" s="1"/>
  <c r="GL25" i="36" s="1"/>
  <c r="GT25" i="36" s="1"/>
  <c r="FL25" i="36"/>
  <c r="FM25" i="36" s="1"/>
  <c r="FN25" i="36" s="1"/>
  <c r="GP25" i="36" s="1"/>
  <c r="DJ24" i="36"/>
  <c r="DF24" i="36"/>
  <c r="FR24" i="36"/>
  <c r="FS24" i="36" s="1"/>
  <c r="FT24" i="36" s="1"/>
  <c r="GQ24" i="36" s="1"/>
  <c r="GJ23" i="36"/>
  <c r="GK23" i="36" s="1"/>
  <c r="GL23" i="36" s="1"/>
  <c r="GT23" i="36" s="1"/>
  <c r="FL23" i="36"/>
  <c r="FM23" i="36" s="1"/>
  <c r="FN23" i="36" s="1"/>
  <c r="GP23" i="36" s="1"/>
  <c r="DH21" i="36"/>
  <c r="GJ21" i="36"/>
  <c r="GK21" i="36" s="1"/>
  <c r="GL21" i="36" s="1"/>
  <c r="GT21" i="36" s="1"/>
  <c r="FL21" i="36"/>
  <c r="FM21" i="36" s="1"/>
  <c r="FN21" i="36" s="1"/>
  <c r="GP21" i="36" s="1"/>
  <c r="DH19" i="36"/>
  <c r="FF34" i="36"/>
  <c r="FG34" i="36" s="1"/>
  <c r="FH34" i="36" s="1"/>
  <c r="GO34" i="36" s="1"/>
  <c r="DH34" i="36"/>
  <c r="FF33" i="36"/>
  <c r="FG33" i="36" s="1"/>
  <c r="FH33" i="36" s="1"/>
  <c r="GO33" i="36" s="1"/>
  <c r="DH33" i="36"/>
  <c r="FF32" i="36"/>
  <c r="FG32" i="36" s="1"/>
  <c r="FH32" i="36" s="1"/>
  <c r="GO32" i="36" s="1"/>
  <c r="DH32" i="36"/>
  <c r="FF31" i="36"/>
  <c r="FG31" i="36" s="1"/>
  <c r="FH31" i="36" s="1"/>
  <c r="GO31" i="36" s="1"/>
  <c r="DH31" i="36"/>
  <c r="FF30" i="36"/>
  <c r="FG30" i="36" s="1"/>
  <c r="FH30" i="36" s="1"/>
  <c r="GO30" i="36" s="1"/>
  <c r="DH30" i="36"/>
  <c r="FF29" i="36"/>
  <c r="FG29" i="36" s="1"/>
  <c r="FH29" i="36" s="1"/>
  <c r="GO29" i="36" s="1"/>
  <c r="DH29" i="36"/>
  <c r="FF28" i="36"/>
  <c r="FG28" i="36" s="1"/>
  <c r="FH28" i="36" s="1"/>
  <c r="GO28" i="36" s="1"/>
  <c r="DH28" i="36"/>
  <c r="DH25" i="36"/>
  <c r="DD22" i="36"/>
  <c r="FR22" i="36"/>
  <c r="FS22" i="36" s="1"/>
  <c r="FT22" i="36" s="1"/>
  <c r="GQ22" i="36" s="1"/>
  <c r="GJ20" i="36"/>
  <c r="GK20" i="36" s="1"/>
  <c r="GL20" i="36" s="1"/>
  <c r="GT20" i="36" s="1"/>
  <c r="FL20" i="36"/>
  <c r="FM20" i="36" s="1"/>
  <c r="FN20" i="36" s="1"/>
  <c r="GP20" i="36" s="1"/>
  <c r="DJ19" i="36"/>
  <c r="DG16" i="36"/>
  <c r="DE16" i="36"/>
  <c r="GD26" i="36"/>
  <c r="GE26" i="36" s="1"/>
  <c r="GF26" i="36" s="1"/>
  <c r="GS26" i="36" s="1"/>
  <c r="FF25" i="36"/>
  <c r="FG25" i="36" s="1"/>
  <c r="FH25" i="36" s="1"/>
  <c r="GO25" i="36" s="1"/>
  <c r="GD19" i="36"/>
  <c r="GE19" i="36" s="1"/>
  <c r="GF19" i="36" s="1"/>
  <c r="GS19" i="36" s="1"/>
  <c r="FF19" i="36"/>
  <c r="FG19" i="36" s="1"/>
  <c r="FH19" i="36" s="1"/>
  <c r="GO19" i="36" s="1"/>
  <c r="EK19" i="36"/>
  <c r="EX19" i="36"/>
  <c r="EZ19" i="36" s="1"/>
  <c r="FA19" i="36" s="1"/>
  <c r="FB19" i="36" s="1"/>
  <c r="GN19" i="36" s="1"/>
  <c r="DJ17" i="36"/>
  <c r="EX17" i="36"/>
  <c r="EK17" i="36"/>
  <c r="DJ15" i="36"/>
  <c r="GD25" i="36"/>
  <c r="GE25" i="36" s="1"/>
  <c r="GF25" i="36" s="1"/>
  <c r="GS25" i="36" s="1"/>
  <c r="DD25" i="36"/>
  <c r="FR25" i="36"/>
  <c r="FS25" i="36" s="1"/>
  <c r="FT25" i="36" s="1"/>
  <c r="GQ25" i="36" s="1"/>
  <c r="FF23" i="36"/>
  <c r="FG23" i="36" s="1"/>
  <c r="FH23" i="36" s="1"/>
  <c r="GO23" i="36" s="1"/>
  <c r="GD22" i="36"/>
  <c r="GE22" i="36" s="1"/>
  <c r="GF22" i="36" s="1"/>
  <c r="GS22" i="36" s="1"/>
  <c r="FF22" i="36"/>
  <c r="FG22" i="36" s="1"/>
  <c r="FH22" i="36" s="1"/>
  <c r="GO22" i="36" s="1"/>
  <c r="GD21" i="36"/>
  <c r="GE21" i="36" s="1"/>
  <c r="GF21" i="36" s="1"/>
  <c r="GS21" i="36" s="1"/>
  <c r="FF21" i="36"/>
  <c r="FG21" i="36" s="1"/>
  <c r="FH21" i="36" s="1"/>
  <c r="GO21" i="36" s="1"/>
  <c r="GD20" i="36"/>
  <c r="GE20" i="36" s="1"/>
  <c r="GF20" i="36" s="1"/>
  <c r="GS20" i="36" s="1"/>
  <c r="FR20" i="36"/>
  <c r="FS20" i="36" s="1"/>
  <c r="FT20" i="36" s="1"/>
  <c r="GQ20" i="36" s="1"/>
  <c r="DG18" i="36"/>
  <c r="DI15" i="36"/>
  <c r="DG14" i="36"/>
  <c r="FL19" i="36"/>
  <c r="FM19" i="36" s="1"/>
  <c r="FN19" i="36" s="1"/>
  <c r="GP19" i="36" s="1"/>
  <c r="EV19" i="36"/>
  <c r="GJ18" i="36"/>
  <c r="GK18" i="36" s="1"/>
  <c r="GL18" i="36" s="1"/>
  <c r="GT18" i="36" s="1"/>
  <c r="DI17" i="36"/>
  <c r="EY17" i="36"/>
  <c r="EV17" i="36"/>
  <c r="DE15" i="36"/>
  <c r="FF18" i="36"/>
  <c r="FG18" i="36" s="1"/>
  <c r="FH18" i="36" s="1"/>
  <c r="GO18" i="36" s="1"/>
  <c r="DZ18" i="36"/>
  <c r="FR17" i="36"/>
  <c r="FS17" i="36" s="1"/>
  <c r="FT17" i="36" s="1"/>
  <c r="GQ17" i="36" s="1"/>
  <c r="EY15" i="36"/>
  <c r="EZ15" i="36" s="1"/>
  <c r="FA15" i="36" s="1"/>
  <c r="FB15" i="36" s="1"/>
  <c r="GN15" i="36" s="1"/>
  <c r="EV15" i="36"/>
  <c r="DZ19" i="36"/>
  <c r="FL18" i="36"/>
  <c r="FM18" i="36" s="1"/>
  <c r="FN18" i="36" s="1"/>
  <c r="GP18" i="36" s="1"/>
  <c r="EX18" i="36"/>
  <c r="EZ18" i="36" s="1"/>
  <c r="FA18" i="36" s="1"/>
  <c r="FB18" i="36" s="1"/>
  <c r="GN18" i="36" s="1"/>
  <c r="EK18" i="36"/>
  <c r="FX17" i="36"/>
  <c r="FY17" i="36" s="1"/>
  <c r="FZ17" i="36" s="1"/>
  <c r="GR17" i="36" s="1"/>
  <c r="DZ17" i="36"/>
  <c r="DH13" i="36"/>
  <c r="DI13" i="36"/>
  <c r="FX16" i="36"/>
  <c r="FY16" i="36" s="1"/>
  <c r="FZ16" i="36" s="1"/>
  <c r="GR16" i="36" s="1"/>
  <c r="DZ16" i="36"/>
  <c r="GJ14" i="36"/>
  <c r="GK14" i="36" s="1"/>
  <c r="GL14" i="36" s="1"/>
  <c r="GT14" i="36" s="1"/>
  <c r="FX14" i="36"/>
  <c r="FY14" i="36" s="1"/>
  <c r="FZ14" i="36" s="1"/>
  <c r="GR14" i="36" s="1"/>
  <c r="FL14" i="36"/>
  <c r="FM14" i="36" s="1"/>
  <c r="FN14" i="36" s="1"/>
  <c r="GP14" i="36" s="1"/>
  <c r="EZ14" i="36"/>
  <c r="FA14" i="36" s="1"/>
  <c r="FB14" i="36" s="1"/>
  <c r="GN14" i="36" s="1"/>
  <c r="FF13" i="36"/>
  <c r="FG13" i="36" s="1"/>
  <c r="FH13" i="36" s="1"/>
  <c r="GO13" i="36" s="1"/>
  <c r="EK13" i="36"/>
  <c r="DI12" i="36"/>
  <c r="EV12" i="36"/>
  <c r="FE12" i="36"/>
  <c r="EK16" i="36"/>
  <c r="FX15" i="36"/>
  <c r="FY15" i="36" s="1"/>
  <c r="FZ15" i="36" s="1"/>
  <c r="GR15" i="36" s="1"/>
  <c r="DZ15" i="36"/>
  <c r="DZ14" i="36"/>
  <c r="GJ13" i="36"/>
  <c r="GK13" i="36" s="1"/>
  <c r="GL13" i="36" s="1"/>
  <c r="GT13" i="36" s="1"/>
  <c r="DH12" i="36"/>
  <c r="DD12" i="36"/>
  <c r="DH11" i="36"/>
  <c r="DH9" i="36"/>
  <c r="DG9" i="36"/>
  <c r="DE9" i="36"/>
  <c r="DI9" i="36"/>
  <c r="GJ16" i="36"/>
  <c r="GK16" i="36" s="1"/>
  <c r="GL16" i="36" s="1"/>
  <c r="GT16" i="36" s="1"/>
  <c r="EX16" i="36"/>
  <c r="EZ16" i="36" s="1"/>
  <c r="FA16" i="36" s="1"/>
  <c r="FB16" i="36" s="1"/>
  <c r="GN16" i="36" s="1"/>
  <c r="EY16" i="36"/>
  <c r="EV16" i="36"/>
  <c r="FL15" i="36"/>
  <c r="FM15" i="36" s="1"/>
  <c r="FN15" i="36" s="1"/>
  <c r="GP15" i="36" s="1"/>
  <c r="EK15" i="36"/>
  <c r="EK14" i="36"/>
  <c r="DG13" i="36"/>
  <c r="EZ13" i="36"/>
  <c r="FA13" i="36" s="1"/>
  <c r="FB13" i="36" s="1"/>
  <c r="GN13" i="36" s="1"/>
  <c r="DJ12" i="36"/>
  <c r="DD11" i="36"/>
  <c r="DF10" i="36"/>
  <c r="DG10" i="36"/>
  <c r="FC10" i="36"/>
  <c r="DZ10" i="36"/>
  <c r="DJ11" i="36"/>
  <c r="DI11" i="36"/>
  <c r="DF11" i="36"/>
  <c r="FC11" i="36"/>
  <c r="DZ11" i="36"/>
  <c r="DH10" i="36"/>
  <c r="EK10" i="36"/>
  <c r="FD10" i="36"/>
  <c r="DZ9" i="36"/>
  <c r="EV14" i="36"/>
  <c r="FC12" i="36"/>
  <c r="DZ12" i="36"/>
  <c r="EK11" i="36"/>
  <c r="FD11" i="36"/>
  <c r="EV10" i="36"/>
  <c r="FE10" i="36"/>
  <c r="EK9" i="36"/>
  <c r="EV13" i="36"/>
  <c r="EK12" i="36"/>
  <c r="FD12" i="36"/>
  <c r="EV11" i="36"/>
  <c r="FE11" i="36"/>
  <c r="EV9" i="36"/>
  <c r="FR8" i="36"/>
  <c r="FS8" i="36" s="1"/>
  <c r="FT8" i="36" s="1"/>
  <c r="GQ8" i="36" s="1"/>
  <c r="DG8" i="36" s="1"/>
  <c r="FX8" i="36"/>
  <c r="FY8" i="36" s="1"/>
  <c r="FZ8" i="36" s="1"/>
  <c r="GR8" i="36" s="1"/>
  <c r="DH8" i="36" s="1"/>
  <c r="EY8" i="36"/>
  <c r="EZ8" i="36" s="1"/>
  <c r="FA8" i="36" s="1"/>
  <c r="FB8" i="36" s="1"/>
  <c r="GN8" i="36" s="1"/>
  <c r="DZ8" i="36"/>
  <c r="CJ41" i="28"/>
  <c r="CL39" i="28"/>
  <c r="CL38" i="28"/>
  <c r="CM35" i="28"/>
  <c r="CL33" i="28"/>
  <c r="CM30" i="28"/>
  <c r="CO28" i="28"/>
  <c r="CO42" i="28"/>
  <c r="FC41" i="28"/>
  <c r="FD41" i="28" s="1"/>
  <c r="FE41" i="28" s="1"/>
  <c r="FW41" i="28" s="1"/>
  <c r="CO41" i="28"/>
  <c r="FC40" i="28"/>
  <c r="FD40" i="28" s="1"/>
  <c r="FE40" i="28" s="1"/>
  <c r="FW40" i="28" s="1"/>
  <c r="CO40" i="28"/>
  <c r="CK40" i="28"/>
  <c r="FC39" i="28"/>
  <c r="FD39" i="28" s="1"/>
  <c r="FE39" i="28" s="1"/>
  <c r="FW39" i="28" s="1"/>
  <c r="CO39" i="28"/>
  <c r="CK39" i="28"/>
  <c r="FC38" i="28"/>
  <c r="FD38" i="28" s="1"/>
  <c r="FE38" i="28" s="1"/>
  <c r="FW38" i="28" s="1"/>
  <c r="CO38" i="28"/>
  <c r="CK38" i="28"/>
  <c r="CL37" i="28"/>
  <c r="CJ37" i="28"/>
  <c r="CI36" i="28"/>
  <c r="CL36" i="28"/>
  <c r="CJ35" i="28"/>
  <c r="CO35" i="28"/>
  <c r="CJ34" i="28"/>
  <c r="CK34" i="28"/>
  <c r="CJ33" i="28"/>
  <c r="CK33" i="28"/>
  <c r="CO33" i="28"/>
  <c r="CJ32" i="28"/>
  <c r="CL42" i="28"/>
  <c r="CL41" i="28"/>
  <c r="CJ40" i="28"/>
  <c r="CL31" i="28"/>
  <c r="CK41" i="28"/>
  <c r="CM37" i="28"/>
  <c r="CM36" i="28"/>
  <c r="CK36" i="28"/>
  <c r="CO36" i="28"/>
  <c r="CI34" i="28"/>
  <c r="CM33" i="28"/>
  <c r="CI33" i="28"/>
  <c r="CN32" i="28"/>
  <c r="CI32" i="28"/>
  <c r="FO32" i="28"/>
  <c r="FP32" i="28" s="1"/>
  <c r="FQ32" i="28" s="1"/>
  <c r="FY32" i="28" s="1"/>
  <c r="CL29" i="28"/>
  <c r="CJ42" i="28"/>
  <c r="CL40" i="28"/>
  <c r="CJ39" i="28"/>
  <c r="CJ38" i="28"/>
  <c r="CI35" i="28"/>
  <c r="CO29" i="28"/>
  <c r="FC42" i="28"/>
  <c r="FD42" i="28" s="1"/>
  <c r="FE42" i="28" s="1"/>
  <c r="FW42" i="28" s="1"/>
  <c r="CN42" i="28"/>
  <c r="CN41" i="28"/>
  <c r="CN40" i="28"/>
  <c r="CN39" i="28"/>
  <c r="CN38" i="28"/>
  <c r="CN37" i="28"/>
  <c r="FO37" i="28"/>
  <c r="FP37" i="28" s="1"/>
  <c r="FQ37" i="28" s="1"/>
  <c r="FY37" i="28" s="1"/>
  <c r="CN35" i="28"/>
  <c r="CO34" i="28"/>
  <c r="CM31" i="28"/>
  <c r="CI29" i="28"/>
  <c r="CN28" i="28"/>
  <c r="DE28" i="28"/>
  <c r="EB28" i="28"/>
  <c r="EE28" i="28" s="1"/>
  <c r="EF28" i="28" s="1"/>
  <c r="EG28" i="28" s="1"/>
  <c r="FS28" i="28" s="1"/>
  <c r="CK25" i="28"/>
  <c r="EC42" i="28"/>
  <c r="EE42" i="28" s="1"/>
  <c r="EF42" i="28" s="1"/>
  <c r="EG42" i="28" s="1"/>
  <c r="FS42" i="28" s="1"/>
  <c r="EC41" i="28"/>
  <c r="EE41" i="28" s="1"/>
  <c r="EF41" i="28" s="1"/>
  <c r="EG41" i="28" s="1"/>
  <c r="FS41" i="28" s="1"/>
  <c r="EC40" i="28"/>
  <c r="EE40" i="28" s="1"/>
  <c r="EF40" i="28" s="1"/>
  <c r="EG40" i="28" s="1"/>
  <c r="FS40" i="28" s="1"/>
  <c r="EC39" i="28"/>
  <c r="EE39" i="28" s="1"/>
  <c r="EF39" i="28" s="1"/>
  <c r="EG39" i="28" s="1"/>
  <c r="FS39" i="28" s="1"/>
  <c r="EC38" i="28"/>
  <c r="EE38" i="28" s="1"/>
  <c r="EF38" i="28" s="1"/>
  <c r="EG38" i="28" s="1"/>
  <c r="FS38" i="28" s="1"/>
  <c r="EO37" i="28"/>
  <c r="EK36" i="28"/>
  <c r="EL36" i="28" s="1"/>
  <c r="EM36" i="28" s="1"/>
  <c r="FT36" i="28" s="1"/>
  <c r="FI34" i="28"/>
  <c r="FJ34" i="28" s="1"/>
  <c r="FK34" i="28" s="1"/>
  <c r="FX34" i="28" s="1"/>
  <c r="EW34" i="28"/>
  <c r="EX34" i="28" s="1"/>
  <c r="EY34" i="28" s="1"/>
  <c r="FV34" i="28" s="1"/>
  <c r="EA34" i="28"/>
  <c r="DP34" i="28"/>
  <c r="DE34" i="28"/>
  <c r="DP32" i="28"/>
  <c r="EO32" i="28"/>
  <c r="CN30" i="28"/>
  <c r="CI30" i="28"/>
  <c r="EI24" i="28"/>
  <c r="DP24" i="28"/>
  <c r="CI19" i="28"/>
  <c r="DE32" i="28"/>
  <c r="EN32" i="28"/>
  <c r="CO30" i="28"/>
  <c r="EN37" i="28"/>
  <c r="EP35" i="28"/>
  <c r="EQ35" i="28" s="1"/>
  <c r="ER35" i="28" s="1"/>
  <c r="ES35" i="28" s="1"/>
  <c r="FU35" i="28" s="1"/>
  <c r="EA32" i="28"/>
  <c r="CN31" i="28"/>
  <c r="CJ31" i="28"/>
  <c r="CL28" i="28"/>
  <c r="FO27" i="28"/>
  <c r="FP27" i="28" s="1"/>
  <c r="FQ27" i="28" s="1"/>
  <c r="FY27" i="28" s="1"/>
  <c r="CL27" i="28"/>
  <c r="CO26" i="28"/>
  <c r="EJ26" i="28"/>
  <c r="EA26" i="28"/>
  <c r="CL26" i="28"/>
  <c r="CK23" i="28"/>
  <c r="CM34" i="28"/>
  <c r="CI31" i="28"/>
  <c r="CL30" i="28"/>
  <c r="CN29" i="28"/>
  <c r="CM29" i="28"/>
  <c r="FI36" i="28"/>
  <c r="FJ36" i="28" s="1"/>
  <c r="FK36" i="28" s="1"/>
  <c r="FX36" i="28" s="1"/>
  <c r="DP35" i="28"/>
  <c r="DE35" i="28"/>
  <c r="FI33" i="28"/>
  <c r="FJ33" i="28" s="1"/>
  <c r="FK33" i="28" s="1"/>
  <c r="FX33" i="28" s="1"/>
  <c r="EW32" i="28"/>
  <c r="EX32" i="28" s="1"/>
  <c r="EY32" i="28" s="1"/>
  <c r="FV32" i="28" s="1"/>
  <c r="CK26" i="28"/>
  <c r="CO24" i="28"/>
  <c r="CO23" i="28"/>
  <c r="CJ18" i="28"/>
  <c r="EC18" i="28"/>
  <c r="DP18" i="28"/>
  <c r="CL18" i="28"/>
  <c r="EO31" i="28"/>
  <c r="EK30" i="28"/>
  <c r="EL30" i="28" s="1"/>
  <c r="EM30" i="28" s="1"/>
  <c r="FT30" i="28" s="1"/>
  <c r="EK29" i="28"/>
  <c r="EL29" i="28" s="1"/>
  <c r="EM29" i="28" s="1"/>
  <c r="FT29" i="28" s="1"/>
  <c r="EK28" i="28"/>
  <c r="EL28" i="28" s="1"/>
  <c r="EM28" i="28" s="1"/>
  <c r="FT28" i="28" s="1"/>
  <c r="FC27" i="28"/>
  <c r="FD27" i="28" s="1"/>
  <c r="FE27" i="28" s="1"/>
  <c r="FW27" i="28" s="1"/>
  <c r="DE27" i="28"/>
  <c r="CL24" i="28"/>
  <c r="EJ24" i="28"/>
  <c r="EA24" i="28"/>
  <c r="FI22" i="28"/>
  <c r="FJ22" i="28" s="1"/>
  <c r="FK22" i="28" s="1"/>
  <c r="FX22" i="28" s="1"/>
  <c r="CL22" i="28"/>
  <c r="CL21" i="28"/>
  <c r="CL14" i="28"/>
  <c r="EN31" i="28"/>
  <c r="DP30" i="28"/>
  <c r="DP29" i="28"/>
  <c r="DP28" i="28"/>
  <c r="EK27" i="28"/>
  <c r="EL27" i="28" s="1"/>
  <c r="EM27" i="28" s="1"/>
  <c r="FT27" i="28" s="1"/>
  <c r="EC27" i="28"/>
  <c r="EE27" i="28" s="1"/>
  <c r="EF27" i="28" s="1"/>
  <c r="EG27" i="28" s="1"/>
  <c r="FS27" i="28" s="1"/>
  <c r="DP27" i="28"/>
  <c r="CI26" i="28"/>
  <c r="FI26" i="28"/>
  <c r="FJ26" i="28" s="1"/>
  <c r="FK26" i="28" s="1"/>
  <c r="FX26" i="28" s="1"/>
  <c r="DE26" i="28"/>
  <c r="CN25" i="28"/>
  <c r="CI24" i="28"/>
  <c r="CN23" i="28"/>
  <c r="CI22" i="28"/>
  <c r="CM21" i="28"/>
  <c r="CL20" i="28"/>
  <c r="CL19" i="28"/>
  <c r="CK16" i="28"/>
  <c r="CN27" i="28"/>
  <c r="EQ27" i="28"/>
  <c r="ER27" i="28" s="1"/>
  <c r="ES27" i="28" s="1"/>
  <c r="FU27" i="28" s="1"/>
  <c r="ED27" i="28"/>
  <c r="EA27" i="28"/>
  <c r="CM26" i="28"/>
  <c r="EI26" i="28"/>
  <c r="DP26" i="28"/>
  <c r="CO25" i="28"/>
  <c r="EW25" i="28"/>
  <c r="EX25" i="28" s="1"/>
  <c r="EY25" i="28" s="1"/>
  <c r="FV25" i="28" s="1"/>
  <c r="CM24" i="28"/>
  <c r="CK24" i="28"/>
  <c r="FI24" i="28"/>
  <c r="FJ24" i="28" s="1"/>
  <c r="FK24" i="28" s="1"/>
  <c r="FX24" i="28" s="1"/>
  <c r="DE24" i="28"/>
  <c r="CI23" i="28"/>
  <c r="EW23" i="28"/>
  <c r="EX23" i="28" s="1"/>
  <c r="EY23" i="28" s="1"/>
  <c r="FV23" i="28" s="1"/>
  <c r="CO22" i="28"/>
  <c r="CM22" i="28"/>
  <c r="CM20" i="28"/>
  <c r="CO18" i="28"/>
  <c r="ED17" i="28"/>
  <c r="EA17" i="28"/>
  <c r="CL15" i="28"/>
  <c r="CJ15" i="28"/>
  <c r="EA22" i="28"/>
  <c r="EA21" i="28"/>
  <c r="EE20" i="28"/>
  <c r="EF20" i="28" s="1"/>
  <c r="EG20" i="28" s="1"/>
  <c r="FS20" i="28" s="1"/>
  <c r="CO20" i="28"/>
  <c r="EQ20" i="28"/>
  <c r="ER20" i="28" s="1"/>
  <c r="ES20" i="28" s="1"/>
  <c r="FU20" i="28" s="1"/>
  <c r="CN19" i="28"/>
  <c r="FC19" i="28"/>
  <c r="FD19" i="28" s="1"/>
  <c r="FE19" i="28" s="1"/>
  <c r="FW19" i="28" s="1"/>
  <c r="ED18" i="28"/>
  <c r="EE18" i="28" s="1"/>
  <c r="EF18" i="28" s="1"/>
  <c r="EG18" i="28" s="1"/>
  <c r="FS18" i="28" s="1"/>
  <c r="EA18" i="28"/>
  <c r="CO15" i="28"/>
  <c r="CK14" i="28"/>
  <c r="CI13" i="28"/>
  <c r="EQ22" i="28"/>
  <c r="ER22" i="28" s="1"/>
  <c r="ES22" i="28" s="1"/>
  <c r="FU22" i="28" s="1"/>
  <c r="FI21" i="28"/>
  <c r="FJ21" i="28" s="1"/>
  <c r="FK21" i="28" s="1"/>
  <c r="FX21" i="28" s="1"/>
  <c r="EE21" i="28"/>
  <c r="EF21" i="28" s="1"/>
  <c r="EG21" i="28" s="1"/>
  <c r="FS21" i="28" s="1"/>
  <c r="FO21" i="28"/>
  <c r="FP21" i="28" s="1"/>
  <c r="FQ21" i="28" s="1"/>
  <c r="FY21" i="28" s="1"/>
  <c r="EQ21" i="28"/>
  <c r="ER21" i="28" s="1"/>
  <c r="ES21" i="28" s="1"/>
  <c r="FU21" i="28" s="1"/>
  <c r="FI20" i="28"/>
  <c r="FJ20" i="28" s="1"/>
  <c r="FK20" i="28" s="1"/>
  <c r="FX20" i="28" s="1"/>
  <c r="DE20" i="28"/>
  <c r="CO17" i="28"/>
  <c r="CM15" i="28"/>
  <c r="EC15" i="28"/>
  <c r="DP15" i="28"/>
  <c r="CO13" i="28"/>
  <c r="CN12" i="28"/>
  <c r="DP12" i="28"/>
  <c r="DE22" i="28"/>
  <c r="DE21" i="28"/>
  <c r="DP20" i="28"/>
  <c r="FO19" i="28"/>
  <c r="FP19" i="28" s="1"/>
  <c r="FQ19" i="28" s="1"/>
  <c r="FY19" i="28" s="1"/>
  <c r="EQ19" i="28"/>
  <c r="ER19" i="28" s="1"/>
  <c r="ES19" i="28" s="1"/>
  <c r="FU19" i="28" s="1"/>
  <c r="FC18" i="28"/>
  <c r="FD18" i="28" s="1"/>
  <c r="FE18" i="28" s="1"/>
  <c r="FW18" i="28" s="1"/>
  <c r="DE18" i="28"/>
  <c r="CK17" i="28"/>
  <c r="ED16" i="28"/>
  <c r="EA16" i="28"/>
  <c r="FI17" i="28"/>
  <c r="FJ17" i="28" s="1"/>
  <c r="FK17" i="28" s="1"/>
  <c r="FX17" i="28" s="1"/>
  <c r="CJ17" i="28"/>
  <c r="FI16" i="28"/>
  <c r="FJ16" i="28" s="1"/>
  <c r="FK16" i="28" s="1"/>
  <c r="FX16" i="28" s="1"/>
  <c r="FI15" i="28"/>
  <c r="FJ15" i="28" s="1"/>
  <c r="FK15" i="28" s="1"/>
  <c r="FX15" i="28" s="1"/>
  <c r="ED15" i="28"/>
  <c r="EA15" i="28"/>
  <c r="CO14" i="28"/>
  <c r="CL9" i="28"/>
  <c r="CK9" i="28"/>
  <c r="EJ22" i="28"/>
  <c r="EK22" i="28" s="1"/>
  <c r="EL22" i="28" s="1"/>
  <c r="EM22" i="28" s="1"/>
  <c r="FT22" i="28" s="1"/>
  <c r="EJ21" i="28"/>
  <c r="EK21" i="28" s="1"/>
  <c r="EL21" i="28" s="1"/>
  <c r="EM21" i="28" s="1"/>
  <c r="FT21" i="28" s="1"/>
  <c r="EJ20" i="28"/>
  <c r="EJ19" i="28"/>
  <c r="DE17" i="28"/>
  <c r="DE16" i="28"/>
  <c r="CM14" i="28"/>
  <c r="CL12" i="28"/>
  <c r="CN10" i="28"/>
  <c r="EI20" i="28"/>
  <c r="EI19" i="28"/>
  <c r="FC17" i="28"/>
  <c r="FD17" i="28" s="1"/>
  <c r="FE17" i="28" s="1"/>
  <c r="FW17" i="28" s="1"/>
  <c r="EC17" i="28"/>
  <c r="DP17" i="28"/>
  <c r="EW17" i="28"/>
  <c r="EX17" i="28" s="1"/>
  <c r="EY17" i="28" s="1"/>
  <c r="FV17" i="28" s="1"/>
  <c r="FC16" i="28"/>
  <c r="FD16" i="28" s="1"/>
  <c r="FE16" i="28" s="1"/>
  <c r="FW16" i="28" s="1"/>
  <c r="EC16" i="28"/>
  <c r="DP16" i="28"/>
  <c r="EW16" i="28"/>
  <c r="EX16" i="28" s="1"/>
  <c r="EY16" i="28" s="1"/>
  <c r="FV16" i="28" s="1"/>
  <c r="CK15" i="28"/>
  <c r="DE15" i="28"/>
  <c r="CK13" i="28"/>
  <c r="CO12" i="28"/>
  <c r="CM12" i="28"/>
  <c r="CL11" i="28"/>
  <c r="CN11" i="28"/>
  <c r="CJ11" i="28"/>
  <c r="FI13" i="28"/>
  <c r="FJ13" i="28" s="1"/>
  <c r="FK13" i="28" s="1"/>
  <c r="FX13" i="28" s="1"/>
  <c r="CI12" i="28"/>
  <c r="EA12" i="28"/>
  <c r="CK11" i="28"/>
  <c r="FO11" i="28"/>
  <c r="FP11" i="28" s="1"/>
  <c r="FQ11" i="28" s="1"/>
  <c r="FY11" i="28" s="1"/>
  <c r="CJ10" i="28"/>
  <c r="EK14" i="28"/>
  <c r="EL14" i="28" s="1"/>
  <c r="EM14" i="28" s="1"/>
  <c r="FT14" i="28" s="1"/>
  <c r="DP14" i="28"/>
  <c r="DE14" i="28"/>
  <c r="FC13" i="28"/>
  <c r="FD13" i="28" s="1"/>
  <c r="FE13" i="28" s="1"/>
  <c r="FW13" i="28" s="1"/>
  <c r="EQ12" i="28"/>
  <c r="ER12" i="28" s="1"/>
  <c r="ES12" i="28" s="1"/>
  <c r="FU12" i="28" s="1"/>
  <c r="CL10" i="28"/>
  <c r="EW13" i="28"/>
  <c r="EX13" i="28" s="1"/>
  <c r="EY13" i="28" s="1"/>
  <c r="FV13" i="28" s="1"/>
  <c r="EH12" i="28"/>
  <c r="EK12" i="28" s="1"/>
  <c r="EL12" i="28" s="1"/>
  <c r="EM12" i="28" s="1"/>
  <c r="FT12" i="28" s="1"/>
  <c r="DE12" i="28"/>
  <c r="ED11" i="28"/>
  <c r="EE11" i="28" s="1"/>
  <c r="EF11" i="28" s="1"/>
  <c r="EG11" i="28" s="1"/>
  <c r="FS11" i="28" s="1"/>
  <c r="EA11" i="28"/>
  <c r="ED10" i="28"/>
  <c r="EE10" i="28" s="1"/>
  <c r="EF10" i="28" s="1"/>
  <c r="EG10" i="28" s="1"/>
  <c r="FS10" i="28" s="1"/>
  <c r="EA10" i="28"/>
  <c r="CN9" i="28"/>
  <c r="CJ9" i="28"/>
  <c r="DP9" i="28"/>
  <c r="EC9" i="28"/>
  <c r="FO10" i="28"/>
  <c r="FP10" i="28" s="1"/>
  <c r="FQ10" i="28" s="1"/>
  <c r="FY10" i="28" s="1"/>
  <c r="FO9" i="28"/>
  <c r="FP9" i="28" s="1"/>
  <c r="FQ9" i="28" s="1"/>
  <c r="FY9" i="28" s="1"/>
  <c r="ED9" i="28"/>
  <c r="EA9" i="28"/>
  <c r="DE11" i="28"/>
  <c r="DE10" i="28"/>
  <c r="FC11" i="28"/>
  <c r="FD11" i="28" s="1"/>
  <c r="FE11" i="28" s="1"/>
  <c r="FW11" i="28" s="1"/>
  <c r="DP11" i="28"/>
  <c r="FC10" i="28"/>
  <c r="FD10" i="28" s="1"/>
  <c r="FE10" i="28" s="1"/>
  <c r="FW10" i="28" s="1"/>
  <c r="DP10" i="28"/>
  <c r="FC9" i="28"/>
  <c r="FD9" i="28" s="1"/>
  <c r="FE9" i="28" s="1"/>
  <c r="FW9" i="28" s="1"/>
  <c r="DE9" i="28"/>
  <c r="EW8" i="28"/>
  <c r="EX8" i="28" s="1"/>
  <c r="EY8" i="28" s="1"/>
  <c r="FV8" i="28" s="1"/>
  <c r="FI8" i="28"/>
  <c r="FJ8" i="28" s="1"/>
  <c r="FK8" i="28" s="1"/>
  <c r="FX8" i="28" s="1"/>
  <c r="FC8" i="28"/>
  <c r="FD8" i="28" s="1"/>
  <c r="FE8" i="28" s="1"/>
  <c r="FW8" i="28" s="1"/>
  <c r="ED8" i="28"/>
  <c r="EE8" i="28" s="1"/>
  <c r="EF8" i="28" s="1"/>
  <c r="EG8" i="28" s="1"/>
  <c r="FS8" i="28" s="1"/>
  <c r="EH8" i="28"/>
  <c r="EK8" i="28" s="1"/>
  <c r="EL8" i="28" s="1"/>
  <c r="EM8" i="28" s="1"/>
  <c r="FT8" i="28" s="1"/>
  <c r="DP8" i="28"/>
  <c r="DF34" i="27"/>
  <c r="DF26" i="27"/>
  <c r="DH9" i="27"/>
  <c r="DI10" i="27"/>
  <c r="FU8" i="27"/>
  <c r="FV8" i="27" s="1"/>
  <c r="FW8" i="27" s="1"/>
  <c r="HR8" i="27" s="1"/>
  <c r="GS8" i="27"/>
  <c r="GT8" i="27" s="1"/>
  <c r="GU8" i="27" s="1"/>
  <c r="GA8" i="27"/>
  <c r="GB8" i="27" s="1"/>
  <c r="GC8" i="27" s="1"/>
  <c r="HS8" i="27" s="1"/>
  <c r="GY8" i="27"/>
  <c r="GZ8" i="27" s="1"/>
  <c r="HA8" i="27" s="1"/>
  <c r="GM8" i="27"/>
  <c r="GN8" i="27" s="1"/>
  <c r="GO8" i="27" s="1"/>
  <c r="HU8" i="27" s="1"/>
  <c r="FI8" i="27"/>
  <c r="FJ8" i="27" s="1"/>
  <c r="FK8" i="27" s="1"/>
  <c r="HP8" i="27" s="1"/>
  <c r="GG8" i="27"/>
  <c r="GH8" i="27" s="1"/>
  <c r="GI8" i="27" s="1"/>
  <c r="HT8" i="27" s="1"/>
  <c r="FN8" i="27"/>
  <c r="FM8" i="27"/>
  <c r="EA8" i="27"/>
  <c r="GA36" i="28" l="1"/>
  <c r="EE9" i="28"/>
  <c r="EF9" i="28" s="1"/>
  <c r="EG9" i="28" s="1"/>
  <c r="FS9" i="28" s="1"/>
  <c r="GF31" i="34"/>
  <c r="GG31" i="34" s="1"/>
  <c r="GH31" i="34" s="1"/>
  <c r="IF31" i="34" s="1"/>
  <c r="IP31" i="34" s="1"/>
  <c r="GF17" i="25"/>
  <c r="GG17" i="25" s="1"/>
  <c r="GH17" i="25" s="1"/>
  <c r="IH17" i="25" s="1"/>
  <c r="EZ29" i="7"/>
  <c r="FA29" i="7" s="1"/>
  <c r="FB29" i="7" s="1"/>
  <c r="GN29" i="7" s="1"/>
  <c r="EZ21" i="7"/>
  <c r="FA21" i="7" s="1"/>
  <c r="FB21" i="7" s="1"/>
  <c r="GN21" i="7" s="1"/>
  <c r="GF21" i="34"/>
  <c r="GG21" i="34" s="1"/>
  <c r="GH21" i="34" s="1"/>
  <c r="IF21" i="34" s="1"/>
  <c r="EH21" i="34" s="1"/>
  <c r="IO31" i="34"/>
  <c r="IQ31" i="34"/>
  <c r="DD41" i="7"/>
  <c r="GV41" i="7"/>
  <c r="GU41" i="7"/>
  <c r="DK41" i="7" s="1"/>
  <c r="GW41" i="7"/>
  <c r="HO41" i="7" s="1"/>
  <c r="GZ41" i="7"/>
  <c r="GA9" i="28"/>
  <c r="GG9" i="28" s="1"/>
  <c r="FZ9" i="28"/>
  <c r="CP9" i="28" s="1"/>
  <c r="GB9" i="28"/>
  <c r="GT9" i="28" s="1"/>
  <c r="GH36" i="28"/>
  <c r="GE36" i="28"/>
  <c r="GA11" i="28"/>
  <c r="GJ11" i="28" s="1"/>
  <c r="GB11" i="28"/>
  <c r="GT11" i="28" s="1"/>
  <c r="GE11" i="28"/>
  <c r="FZ11" i="28"/>
  <c r="CP11" i="28" s="1"/>
  <c r="AE9" i="6" s="1"/>
  <c r="GA10" i="28"/>
  <c r="GF10" i="28" s="1"/>
  <c r="FZ10" i="28"/>
  <c r="CP10" i="28" s="1"/>
  <c r="AE8" i="6" s="1"/>
  <c r="GB10" i="28"/>
  <c r="GZ10" i="28" s="1"/>
  <c r="EK19" i="28"/>
  <c r="EL19" i="28" s="1"/>
  <c r="EM19" i="28" s="1"/>
  <c r="FT19" i="28" s="1"/>
  <c r="FZ18" i="28"/>
  <c r="CP18" i="28" s="1"/>
  <c r="GB18" i="28"/>
  <c r="GX18" i="28" s="1"/>
  <c r="GA18" i="28"/>
  <c r="GF18" i="28" s="1"/>
  <c r="FZ39" i="28"/>
  <c r="CP39" i="28" s="1"/>
  <c r="GB39" i="28"/>
  <c r="GE39" i="28"/>
  <c r="GA39" i="28"/>
  <c r="GT39" i="28"/>
  <c r="GA41" i="28"/>
  <c r="GG41" i="28" s="1"/>
  <c r="FZ41" i="28"/>
  <c r="CP41" i="28" s="1"/>
  <c r="GB41" i="28"/>
  <c r="GT41" i="28" s="1"/>
  <c r="GE41" i="28"/>
  <c r="GI41" i="28"/>
  <c r="GX41" i="28"/>
  <c r="DD8" i="36"/>
  <c r="GU8" i="36"/>
  <c r="DK8" i="36" s="1"/>
  <c r="GV13" i="36"/>
  <c r="HF13" i="36" s="1"/>
  <c r="GW13" i="36"/>
  <c r="HO13" i="36" s="1"/>
  <c r="GZ13" i="36"/>
  <c r="GU13" i="36"/>
  <c r="DK13" i="36" s="1"/>
  <c r="HA13" i="36"/>
  <c r="GU18" i="36"/>
  <c r="DK18" i="36" s="1"/>
  <c r="GW18" i="36"/>
  <c r="HO18" i="36" s="1"/>
  <c r="GV18" i="36"/>
  <c r="GZ18" i="36" s="1"/>
  <c r="GV15" i="36"/>
  <c r="HD15" i="36" s="1"/>
  <c r="GW15" i="36"/>
  <c r="HS15" i="36" s="1"/>
  <c r="GZ15" i="36"/>
  <c r="GU15" i="36"/>
  <c r="DK15" i="36" s="1"/>
  <c r="EZ17" i="36"/>
  <c r="FA17" i="36" s="1"/>
  <c r="FB17" i="36" s="1"/>
  <c r="GN17" i="36" s="1"/>
  <c r="DD17" i="36" s="1"/>
  <c r="GU19" i="36"/>
  <c r="DK19" i="36" s="1"/>
  <c r="GW19" i="36"/>
  <c r="HU19" i="36" s="1"/>
  <c r="GV19" i="36"/>
  <c r="HB19" i="36" s="1"/>
  <c r="HO19" i="36"/>
  <c r="HA19" i="36"/>
  <c r="HP19" i="36"/>
  <c r="IQ16" i="34"/>
  <c r="JN16" i="34" s="1"/>
  <c r="IP16" i="34"/>
  <c r="IX16" i="34" s="1"/>
  <c r="IO16" i="34"/>
  <c r="EQ16" i="34" s="1"/>
  <c r="IO36" i="34"/>
  <c r="IP36" i="34"/>
  <c r="IQ36" i="34"/>
  <c r="JM36" i="34" s="1"/>
  <c r="IO38" i="34"/>
  <c r="IP38" i="34"/>
  <c r="IT38" i="34" s="1"/>
  <c r="IQ38" i="34"/>
  <c r="JO38" i="34" s="1"/>
  <c r="IX36" i="34"/>
  <c r="IQ39" i="34"/>
  <c r="IP39" i="34"/>
  <c r="IO39" i="34"/>
  <c r="IO41" i="34"/>
  <c r="IQ41" i="34"/>
  <c r="IP41" i="34"/>
  <c r="IZ38" i="34"/>
  <c r="JO39" i="34"/>
  <c r="IZ39" i="34"/>
  <c r="JO41" i="34"/>
  <c r="IZ36" i="34"/>
  <c r="JO36" i="34"/>
  <c r="GF38" i="25"/>
  <c r="GG38" i="25" s="1"/>
  <c r="GH38" i="25" s="1"/>
  <c r="IH38" i="25" s="1"/>
  <c r="GF35" i="25"/>
  <c r="GG35" i="25" s="1"/>
  <c r="GH35" i="25" s="1"/>
  <c r="IH35" i="25" s="1"/>
  <c r="GV14" i="7"/>
  <c r="HB14" i="7" s="1"/>
  <c r="GU14" i="7"/>
  <c r="DK14" i="7" s="1"/>
  <c r="GW14" i="7"/>
  <c r="HO14" i="7" s="1"/>
  <c r="GU13" i="7"/>
  <c r="DK13" i="7" s="1"/>
  <c r="GW13" i="7"/>
  <c r="HO13" i="7" s="1"/>
  <c r="GV13" i="7"/>
  <c r="GZ13" i="7" s="1"/>
  <c r="HS14" i="7"/>
  <c r="DJ16" i="7"/>
  <c r="DI24" i="7"/>
  <c r="DF27" i="7"/>
  <c r="DI9" i="7"/>
  <c r="DJ26" i="7"/>
  <c r="HT14" i="7"/>
  <c r="FL19" i="7"/>
  <c r="FM19" i="7" s="1"/>
  <c r="FN19" i="7" s="1"/>
  <c r="GP19" i="7" s="1"/>
  <c r="DD21" i="7"/>
  <c r="GU21" i="7"/>
  <c r="DK21" i="7" s="1"/>
  <c r="GW21" i="7"/>
  <c r="HS21" i="7" s="1"/>
  <c r="GV21" i="7"/>
  <c r="GZ21" i="7" s="1"/>
  <c r="DJ25" i="7"/>
  <c r="DG31" i="7"/>
  <c r="DH36" i="7"/>
  <c r="IN9" i="25"/>
  <c r="EN9" i="25" s="1"/>
  <c r="DH15" i="7"/>
  <c r="HD21" i="7"/>
  <c r="DJ24" i="7"/>
  <c r="GV39" i="7"/>
  <c r="HA39" i="7" s="1"/>
  <c r="GU39" i="7"/>
  <c r="DK39" i="7" s="1"/>
  <c r="GW39" i="7"/>
  <c r="HP39" i="7" s="1"/>
  <c r="DH42" i="7"/>
  <c r="DD10" i="7"/>
  <c r="DD16" i="7"/>
  <c r="DD24" i="7"/>
  <c r="GV24" i="7"/>
  <c r="HE24" i="7" s="1"/>
  <c r="GU24" i="7"/>
  <c r="DK24" i="7" s="1"/>
  <c r="GW24" i="7"/>
  <c r="HT24" i="7" s="1"/>
  <c r="HO24" i="7"/>
  <c r="DI29" i="7"/>
  <c r="DJ33" i="7"/>
  <c r="DE37" i="7"/>
  <c r="HD41" i="7"/>
  <c r="HS41" i="7"/>
  <c r="HU41" i="7"/>
  <c r="HF41" i="7"/>
  <c r="GV15" i="7"/>
  <c r="HA15" i="7" s="1"/>
  <c r="GU15" i="7"/>
  <c r="DK15" i="7" s="1"/>
  <c r="GW15" i="7"/>
  <c r="HQ15" i="7" s="1"/>
  <c r="DF33" i="7"/>
  <c r="DG29" i="7"/>
  <c r="DF42" i="7"/>
  <c r="EN28" i="25"/>
  <c r="IN28" i="25"/>
  <c r="EK41" i="25"/>
  <c r="IK41" i="25"/>
  <c r="IR41" i="25" s="1"/>
  <c r="EQ41" i="25" s="1"/>
  <c r="EN39" i="25"/>
  <c r="IN39" i="25"/>
  <c r="IY38" i="34"/>
  <c r="JN38" i="34"/>
  <c r="DG12" i="36"/>
  <c r="JK31" i="34"/>
  <c r="IO17" i="34"/>
  <c r="EQ17" i="34" s="1"/>
  <c r="IP17" i="34"/>
  <c r="IY17" i="34" s="1"/>
  <c r="IQ17" i="34"/>
  <c r="JM17" i="34" s="1"/>
  <c r="IO19" i="34"/>
  <c r="EQ19" i="34" s="1"/>
  <c r="IQ19" i="34"/>
  <c r="IP19" i="34"/>
  <c r="IY19" i="34" s="1"/>
  <c r="JJ31" i="34"/>
  <c r="IW39" i="34"/>
  <c r="JL39" i="34"/>
  <c r="IW41" i="34"/>
  <c r="JL41" i="34"/>
  <c r="DF16" i="36"/>
  <c r="HR19" i="36"/>
  <c r="HC19" i="36"/>
  <c r="DF40" i="36"/>
  <c r="GV42" i="36"/>
  <c r="HE42" i="36" s="1"/>
  <c r="GW42" i="36"/>
  <c r="HT42" i="36" s="1"/>
  <c r="GZ42" i="36"/>
  <c r="GU42" i="36"/>
  <c r="DK42" i="36" s="1"/>
  <c r="DI10" i="36"/>
  <c r="DG11" i="36"/>
  <c r="HE13" i="36"/>
  <c r="DF38" i="36"/>
  <c r="GY11" i="28"/>
  <c r="CJ13" i="28"/>
  <c r="CJ16" i="28"/>
  <c r="FZ19" i="28"/>
  <c r="CP19" i="28" s="1"/>
  <c r="GB19" i="28"/>
  <c r="GT19" i="28" s="1"/>
  <c r="GA19" i="28"/>
  <c r="GK19" i="28" s="1"/>
  <c r="DG15" i="36"/>
  <c r="HC15" i="36"/>
  <c r="HR15" i="36"/>
  <c r="DI16" i="36"/>
  <c r="FF20" i="36"/>
  <c r="FG20" i="36" s="1"/>
  <c r="FH20" i="36" s="1"/>
  <c r="GO20" i="36" s="1"/>
  <c r="CN18" i="28"/>
  <c r="GJ18" i="28"/>
  <c r="CM32" i="28"/>
  <c r="DJ10" i="36"/>
  <c r="DI18" i="36"/>
  <c r="HE18" i="36"/>
  <c r="GF9" i="28"/>
  <c r="GY10" i="28"/>
  <c r="GJ10" i="28"/>
  <c r="CI14" i="28"/>
  <c r="FZ14" i="28"/>
  <c r="CP14" i="28" s="1"/>
  <c r="GB14" i="28"/>
  <c r="GV14" i="28" s="1"/>
  <c r="GA14" i="28"/>
  <c r="GE14" i="28" s="1"/>
  <c r="GT14" i="28"/>
  <c r="DD24" i="36"/>
  <c r="GU24" i="36"/>
  <c r="DK24" i="36" s="1"/>
  <c r="GW24" i="36"/>
  <c r="HO24" i="36" s="1"/>
  <c r="GV24" i="36"/>
  <c r="GZ24" i="36" s="1"/>
  <c r="DJ35" i="36"/>
  <c r="GW18" i="28"/>
  <c r="CM23" i="28"/>
  <c r="CI25" i="28"/>
  <c r="CM28" i="28"/>
  <c r="CL35" i="28"/>
  <c r="GV25" i="36"/>
  <c r="GZ25" i="36" s="1"/>
  <c r="GU25" i="36"/>
  <c r="DK25" i="36" s="1"/>
  <c r="GW25" i="36"/>
  <c r="HP25" i="36" s="1"/>
  <c r="GV37" i="36"/>
  <c r="HB37" i="36" s="1"/>
  <c r="GU37" i="36"/>
  <c r="DK37" i="36" s="1"/>
  <c r="GW37" i="36"/>
  <c r="HO37" i="36" s="1"/>
  <c r="FZ22" i="28"/>
  <c r="CP22" i="28" s="1"/>
  <c r="GB22" i="28"/>
  <c r="GU22" i="28" s="1"/>
  <c r="GA22" i="28"/>
  <c r="GF22" i="28" s="1"/>
  <c r="CK30" i="28"/>
  <c r="DE27" i="36"/>
  <c r="GK36" i="28"/>
  <c r="GH14" i="28"/>
  <c r="GW14" i="28"/>
  <c r="GZ18" i="28"/>
  <c r="FZ30" i="28"/>
  <c r="CP30" i="28" s="1"/>
  <c r="GB30" i="28"/>
  <c r="GZ30" i="28" s="1"/>
  <c r="GA30" i="28"/>
  <c r="GT30" i="28"/>
  <c r="GG39" i="28"/>
  <c r="GV41" i="28"/>
  <c r="CI37" i="28"/>
  <c r="DH20" i="7"/>
  <c r="DH35" i="7"/>
  <c r="DE15" i="7"/>
  <c r="DH24" i="7"/>
  <c r="HD24" i="7"/>
  <c r="HS24" i="7"/>
  <c r="DE42" i="7"/>
  <c r="DG11" i="7"/>
  <c r="DF23" i="7"/>
  <c r="GU32" i="7"/>
  <c r="DK32" i="7" s="1"/>
  <c r="GW32" i="7"/>
  <c r="GV32" i="7"/>
  <c r="HA32" i="7" s="1"/>
  <c r="HO32" i="7"/>
  <c r="HQ39" i="7"/>
  <c r="HB39" i="7"/>
  <c r="GV22" i="7"/>
  <c r="HA22" i="7" s="1"/>
  <c r="GU22" i="7"/>
  <c r="DK22" i="7" s="1"/>
  <c r="GW22" i="7"/>
  <c r="HO22" i="7" s="1"/>
  <c r="JJ16" i="34"/>
  <c r="IZ17" i="34"/>
  <c r="JO17" i="34"/>
  <c r="IZ19" i="34"/>
  <c r="JO19" i="34"/>
  <c r="GU9" i="36"/>
  <c r="DK9" i="36" s="1"/>
  <c r="GW9" i="36"/>
  <c r="HS9" i="36" s="1"/>
  <c r="GV9" i="36"/>
  <c r="HB9" i="36" s="1"/>
  <c r="HO9" i="36"/>
  <c r="GZ9" i="36"/>
  <c r="HU15" i="36"/>
  <c r="HQ24" i="36"/>
  <c r="HB24" i="36"/>
  <c r="HQ37" i="36"/>
  <c r="HS42" i="36"/>
  <c r="HD42" i="36"/>
  <c r="GH10" i="28"/>
  <c r="GW10" i="28"/>
  <c r="JL38" i="34"/>
  <c r="IW38" i="34"/>
  <c r="GV28" i="36"/>
  <c r="GU28" i="36"/>
  <c r="DK28" i="36" s="1"/>
  <c r="GW28" i="36"/>
  <c r="HP28" i="36" s="1"/>
  <c r="GV32" i="36"/>
  <c r="HA32" i="36" s="1"/>
  <c r="GW32" i="36"/>
  <c r="GZ32" i="36"/>
  <c r="GU32" i="36"/>
  <c r="DK32" i="36" s="1"/>
  <c r="GU40" i="36"/>
  <c r="DK40" i="36" s="1"/>
  <c r="GW40" i="36"/>
  <c r="HQ40" i="36" s="1"/>
  <c r="GZ40" i="36"/>
  <c r="GV40" i="36"/>
  <c r="HA40" i="36" s="1"/>
  <c r="HO40" i="36"/>
  <c r="DD29" i="36"/>
  <c r="GU29" i="36"/>
  <c r="DK29" i="36" s="1"/>
  <c r="GW29" i="36"/>
  <c r="HU29" i="36" s="1"/>
  <c r="GV29" i="36"/>
  <c r="GV31" i="36"/>
  <c r="HE31" i="36" s="1"/>
  <c r="GU31" i="36"/>
  <c r="DK31" i="36" s="1"/>
  <c r="GW31" i="36"/>
  <c r="HO31" i="36"/>
  <c r="HU32" i="36"/>
  <c r="HF32" i="36"/>
  <c r="GU39" i="36"/>
  <c r="DK39" i="36" s="1"/>
  <c r="GW39" i="36"/>
  <c r="GV39" i="36"/>
  <c r="HD39" i="36" s="1"/>
  <c r="GG36" i="28"/>
  <c r="DE14" i="36"/>
  <c r="HF19" i="36"/>
  <c r="HD31" i="36"/>
  <c r="HS31" i="36"/>
  <c r="GW9" i="28"/>
  <c r="GX14" i="28"/>
  <c r="GI14" i="28"/>
  <c r="GZ22" i="28"/>
  <c r="GU33" i="36"/>
  <c r="DK33" i="36" s="1"/>
  <c r="GW33" i="36"/>
  <c r="HP33" i="36" s="1"/>
  <c r="GV33" i="36"/>
  <c r="HA33" i="36" s="1"/>
  <c r="HO33" i="36"/>
  <c r="GZ33" i="36"/>
  <c r="GU41" i="28"/>
  <c r="GF41" i="28"/>
  <c r="GF39" i="28"/>
  <c r="GU39" i="28"/>
  <c r="JL16" i="34"/>
  <c r="HA9" i="36"/>
  <c r="GU22" i="36"/>
  <c r="DK22" i="36" s="1"/>
  <c r="GW22" i="36"/>
  <c r="HP22" i="36" s="1"/>
  <c r="GV22" i="36"/>
  <c r="HF22" i="36" s="1"/>
  <c r="HU28" i="36"/>
  <c r="HF28" i="36"/>
  <c r="GU10" i="28"/>
  <c r="GI36" i="28"/>
  <c r="GU20" i="7"/>
  <c r="DK20" i="7" s="1"/>
  <c r="GA13" i="28"/>
  <c r="GB13" i="28"/>
  <c r="GT13" i="28" s="1"/>
  <c r="GB36" i="28"/>
  <c r="GW21" i="36"/>
  <c r="HO21" i="36" s="1"/>
  <c r="GU21" i="36"/>
  <c r="DK21" i="36" s="1"/>
  <c r="GX9" i="28"/>
  <c r="GI11" i="28"/>
  <c r="GX11" i="28"/>
  <c r="GH13" i="28"/>
  <c r="GW13" i="28"/>
  <c r="GK11" i="28"/>
  <c r="GZ11" i="28"/>
  <c r="GG19" i="28"/>
  <c r="GA21" i="28"/>
  <c r="GG21" i="28" s="1"/>
  <c r="GB21" i="28"/>
  <c r="GT21" i="28" s="1"/>
  <c r="FZ21" i="28"/>
  <c r="CP21" i="28" s="1"/>
  <c r="GV22" i="28"/>
  <c r="GX19" i="28"/>
  <c r="FZ27" i="28"/>
  <c r="CP27" i="28" s="1"/>
  <c r="GB27" i="28"/>
  <c r="GV27" i="28" s="1"/>
  <c r="GE27" i="28"/>
  <c r="GA27" i="28"/>
  <c r="GF27" i="28" s="1"/>
  <c r="GT27" i="28"/>
  <c r="GI27" i="28"/>
  <c r="GX27" i="28"/>
  <c r="GJ36" i="28"/>
  <c r="GY36" i="28"/>
  <c r="GK27" i="28"/>
  <c r="GZ27" i="28"/>
  <c r="GF36" i="28"/>
  <c r="FZ38" i="28"/>
  <c r="CP38" i="28" s="1"/>
  <c r="GB38" i="28"/>
  <c r="GZ38" i="28" s="1"/>
  <c r="GA38" i="28"/>
  <c r="GF38" i="28" s="1"/>
  <c r="FZ40" i="28"/>
  <c r="CP40" i="28" s="1"/>
  <c r="GB40" i="28"/>
  <c r="GT40" i="28" s="1"/>
  <c r="GA40" i="28"/>
  <c r="GE40" i="28" s="1"/>
  <c r="FZ42" i="28"/>
  <c r="CP42" i="28" s="1"/>
  <c r="GB42" i="28"/>
  <c r="GZ42" i="28" s="1"/>
  <c r="GA42" i="28"/>
  <c r="GF42" i="28" s="1"/>
  <c r="FZ28" i="28"/>
  <c r="CP28" i="28" s="1"/>
  <c r="GB28" i="28"/>
  <c r="GU28" i="28" s="1"/>
  <c r="GA28" i="28"/>
  <c r="GH28" i="28" s="1"/>
  <c r="GX42" i="28"/>
  <c r="GI39" i="28"/>
  <c r="GX39" i="28"/>
  <c r="GV16" i="36"/>
  <c r="GZ16" i="36" s="1"/>
  <c r="GU16" i="36"/>
  <c r="DK16" i="36" s="1"/>
  <c r="GW16" i="36"/>
  <c r="HO16" i="36" s="1"/>
  <c r="GV14" i="36"/>
  <c r="HA14" i="36" s="1"/>
  <c r="GW14" i="36"/>
  <c r="HQ14" i="36" s="1"/>
  <c r="GU14" i="36"/>
  <c r="DK14" i="36" s="1"/>
  <c r="HB18" i="36"/>
  <c r="HA18" i="36"/>
  <c r="HR25" i="36"/>
  <c r="HC25" i="36"/>
  <c r="HT25" i="36"/>
  <c r="HE25" i="36"/>
  <c r="HE19" i="36"/>
  <c r="HR24" i="36"/>
  <c r="HU25" i="36"/>
  <c r="HF25" i="36"/>
  <c r="HE24" i="36"/>
  <c r="HT24" i="36"/>
  <c r="HE28" i="36"/>
  <c r="HT28" i="36"/>
  <c r="HE32" i="36"/>
  <c r="HT32" i="36"/>
  <c r="HB22" i="36"/>
  <c r="HC29" i="36"/>
  <c r="HR29" i="36"/>
  <c r="HC31" i="36"/>
  <c r="HR31" i="36"/>
  <c r="HR40" i="36"/>
  <c r="HE40" i="36"/>
  <c r="HT40" i="36"/>
  <c r="HB31" i="36"/>
  <c r="HR28" i="36"/>
  <c r="HQ33" i="36"/>
  <c r="IU17" i="34"/>
  <c r="JJ17" i="34"/>
  <c r="IU19" i="34"/>
  <c r="JJ19" i="34"/>
  <c r="JL19" i="34"/>
  <c r="JJ24" i="34"/>
  <c r="IO24" i="34"/>
  <c r="IP24" i="34"/>
  <c r="IW24" i="34" s="1"/>
  <c r="IQ24" i="34"/>
  <c r="JO24" i="34" s="1"/>
  <c r="JJ25" i="34"/>
  <c r="IQ32" i="34"/>
  <c r="JL32" i="34" s="1"/>
  <c r="IO32" i="34"/>
  <c r="IP32" i="34"/>
  <c r="IY32" i="34" s="1"/>
  <c r="JI25" i="34"/>
  <c r="IQ25" i="34"/>
  <c r="IP25" i="34"/>
  <c r="IY25" i="34" s="1"/>
  <c r="IO25" i="34"/>
  <c r="IQ34" i="34"/>
  <c r="JJ34" i="34" s="1"/>
  <c r="IO34" i="34"/>
  <c r="IP34" i="34"/>
  <c r="IY34" i="34" s="1"/>
  <c r="IO37" i="34"/>
  <c r="IP37" i="34"/>
  <c r="IW37" i="34" s="1"/>
  <c r="IQ37" i="34"/>
  <c r="JI37" i="34" s="1"/>
  <c r="IX38" i="34"/>
  <c r="JM38" i="34"/>
  <c r="JM31" i="34"/>
  <c r="IO40" i="34"/>
  <c r="IQ40" i="34"/>
  <c r="IP40" i="34"/>
  <c r="IV40" i="34" s="1"/>
  <c r="IQ42" i="34"/>
  <c r="JO42" i="34" s="1"/>
  <c r="IO42" i="34"/>
  <c r="IP42" i="34"/>
  <c r="IT42" i="34" s="1"/>
  <c r="JK39" i="34"/>
  <c r="IV39" i="34"/>
  <c r="JM39" i="34"/>
  <c r="IX39" i="34"/>
  <c r="JO40" i="34"/>
  <c r="IV41" i="34"/>
  <c r="JK41" i="34"/>
  <c r="IX41" i="34"/>
  <c r="JM41" i="34"/>
  <c r="IZ42" i="34"/>
  <c r="HU14" i="7"/>
  <c r="HR15" i="7"/>
  <c r="HE22" i="7"/>
  <c r="HC24" i="7"/>
  <c r="HR24" i="7"/>
  <c r="GU29" i="7"/>
  <c r="DK29" i="7" s="1"/>
  <c r="GW29" i="7"/>
  <c r="HO29" i="7" s="1"/>
  <c r="GV29" i="7"/>
  <c r="HD29" i="7" s="1"/>
  <c r="GU30" i="7"/>
  <c r="DK30" i="7" s="1"/>
  <c r="GW30" i="7"/>
  <c r="GZ30" i="7"/>
  <c r="GV30" i="7"/>
  <c r="HO30" i="7"/>
  <c r="GU31" i="7"/>
  <c r="DK31" i="7" s="1"/>
  <c r="GW31" i="7"/>
  <c r="HR31" i="7" s="1"/>
  <c r="GV31" i="7"/>
  <c r="HD31" i="7" s="1"/>
  <c r="HP30" i="7"/>
  <c r="GV34" i="7"/>
  <c r="GU34" i="7"/>
  <c r="DK34" i="7" s="1"/>
  <c r="GW34" i="7"/>
  <c r="HU34" i="7" s="1"/>
  <c r="GZ34" i="7"/>
  <c r="DG13" i="7"/>
  <c r="HC13" i="7"/>
  <c r="DJ18" i="7"/>
  <c r="DJ20" i="7"/>
  <c r="DG26" i="7"/>
  <c r="DJ27" i="7"/>
  <c r="HE31" i="7"/>
  <c r="DF11" i="7"/>
  <c r="DD11" i="7"/>
  <c r="DG14" i="7"/>
  <c r="DD17" i="7"/>
  <c r="DF22" i="7"/>
  <c r="HQ22" i="7"/>
  <c r="DI17" i="7"/>
  <c r="DG10" i="7"/>
  <c r="HR25" i="7"/>
  <c r="DF29" i="7"/>
  <c r="HQ29" i="7"/>
  <c r="HB29" i="7"/>
  <c r="DG32" i="7"/>
  <c r="HC32" i="7"/>
  <c r="HR32" i="7"/>
  <c r="DJ34" i="7"/>
  <c r="HF34" i="7"/>
  <c r="DI39" i="7"/>
  <c r="HE39" i="7"/>
  <c r="HT39" i="7"/>
  <c r="DF16" i="7"/>
  <c r="GU18" i="7"/>
  <c r="DK18" i="7" s="1"/>
  <c r="GW18" i="7"/>
  <c r="HO18" i="7" s="1"/>
  <c r="GV18" i="7"/>
  <c r="HA18" i="7" s="1"/>
  <c r="HB24" i="7"/>
  <c r="HQ24" i="7"/>
  <c r="HS25" i="7"/>
  <c r="HT30" i="7"/>
  <c r="HE30" i="7"/>
  <c r="DF38" i="7"/>
  <c r="DI42" i="7"/>
  <c r="DH12" i="7"/>
  <c r="DI20" i="7"/>
  <c r="GV25" i="7"/>
  <c r="HA25" i="7" s="1"/>
  <c r="GU25" i="7"/>
  <c r="DK25" i="7" s="1"/>
  <c r="GW25" i="7"/>
  <c r="HO25" i="7" s="1"/>
  <c r="GZ25" i="7"/>
  <c r="DF28" i="7"/>
  <c r="HU29" i="7"/>
  <c r="HF29" i="7"/>
  <c r="HD32" i="7"/>
  <c r="HS32" i="7"/>
  <c r="DH37" i="7"/>
  <c r="DE38" i="7"/>
  <c r="HS39" i="7"/>
  <c r="HD39" i="7"/>
  <c r="HQ41" i="7"/>
  <c r="HB41" i="7"/>
  <c r="DI26" i="7"/>
  <c r="HA41" i="7"/>
  <c r="HP41" i="7"/>
  <c r="DJ10" i="7"/>
  <c r="DJ31" i="7"/>
  <c r="HF31" i="7"/>
  <c r="HU31" i="7"/>
  <c r="DJ28" i="7"/>
  <c r="HU39" i="7"/>
  <c r="HF39" i="7"/>
  <c r="IN30" i="25"/>
  <c r="EN30" i="25" s="1"/>
  <c r="IN34" i="25"/>
  <c r="EN34" i="25" s="1"/>
  <c r="IQ15" i="34"/>
  <c r="JI15" i="34" s="1"/>
  <c r="IO15" i="34"/>
  <c r="EQ15" i="34" s="1"/>
  <c r="IP15" i="34"/>
  <c r="IU15" i="34" s="1"/>
  <c r="IY24" i="34"/>
  <c r="JN24" i="34"/>
  <c r="IZ34" i="34"/>
  <c r="JO34" i="34"/>
  <c r="DD10" i="36"/>
  <c r="JL31" i="34"/>
  <c r="IP8" i="34"/>
  <c r="IZ8" i="34" s="1"/>
  <c r="IQ8" i="34"/>
  <c r="IO8" i="34"/>
  <c r="EQ8" i="34" s="1"/>
  <c r="JO31" i="34"/>
  <c r="JN31" i="34"/>
  <c r="IV36" i="34"/>
  <c r="JK36" i="34"/>
  <c r="IW36" i="34"/>
  <c r="JL36" i="34"/>
  <c r="IU39" i="34"/>
  <c r="JJ39" i="34"/>
  <c r="IU40" i="34"/>
  <c r="JJ40" i="34"/>
  <c r="JJ41" i="34"/>
  <c r="IU41" i="34"/>
  <c r="IU42" i="34"/>
  <c r="JJ42" i="34"/>
  <c r="DF13" i="36"/>
  <c r="HU40" i="36"/>
  <c r="HF40" i="36"/>
  <c r="HT15" i="36"/>
  <c r="GU11" i="28"/>
  <c r="GW11" i="28"/>
  <c r="HA39" i="36"/>
  <c r="HP39" i="36"/>
  <c r="HU42" i="36"/>
  <c r="HF42" i="36"/>
  <c r="CN14" i="28"/>
  <c r="GY14" i="28"/>
  <c r="GJ14" i="28"/>
  <c r="GW28" i="28"/>
  <c r="HC18" i="36"/>
  <c r="HD19" i="36"/>
  <c r="GJ9" i="28"/>
  <c r="GU23" i="36"/>
  <c r="DK23" i="36" s="1"/>
  <c r="GW23" i="36"/>
  <c r="HP23" i="36" s="1"/>
  <c r="GV23" i="36"/>
  <c r="HA23" i="36" s="1"/>
  <c r="DH24" i="36"/>
  <c r="HD24" i="36"/>
  <c r="HS24" i="36"/>
  <c r="GV27" i="36"/>
  <c r="HA27" i="36" s="1"/>
  <c r="GW27" i="36"/>
  <c r="HP27" i="36" s="1"/>
  <c r="GZ27" i="36"/>
  <c r="GU27" i="36"/>
  <c r="DK27" i="36" s="1"/>
  <c r="CM25" i="28"/>
  <c r="CK28" i="28"/>
  <c r="GV28" i="28"/>
  <c r="GG28" i="28"/>
  <c r="GZ28" i="28"/>
  <c r="GK28" i="28"/>
  <c r="CK29" i="28"/>
  <c r="GH38" i="28"/>
  <c r="GW38" i="28"/>
  <c r="GH39" i="28"/>
  <c r="GW39" i="28"/>
  <c r="GW40" i="28"/>
  <c r="GH41" i="28"/>
  <c r="GW41" i="28"/>
  <c r="GH42" i="28"/>
  <c r="GW42" i="28"/>
  <c r="DJ36" i="36"/>
  <c r="HD37" i="36"/>
  <c r="HS37" i="36"/>
  <c r="CO16" i="28"/>
  <c r="HS25" i="36"/>
  <c r="HD25" i="36"/>
  <c r="CO31" i="28"/>
  <c r="GA34" i="28"/>
  <c r="GF34" i="28" s="1"/>
  <c r="GT34" i="28"/>
  <c r="GB34" i="28"/>
  <c r="GW34" i="28" s="1"/>
  <c r="GE34" i="28"/>
  <c r="FZ34" i="28"/>
  <c r="CP34" i="28" s="1"/>
  <c r="GA12" i="28"/>
  <c r="GG12" i="28" s="1"/>
  <c r="FZ12" i="28"/>
  <c r="CP12" i="28" s="1"/>
  <c r="AE10" i="6" s="1"/>
  <c r="GB12" i="28"/>
  <c r="GU12" i="28" s="1"/>
  <c r="GV13" i="28"/>
  <c r="CK18" i="28"/>
  <c r="GG18" i="28"/>
  <c r="GH30" i="28"/>
  <c r="GW30" i="28"/>
  <c r="GG34" i="28"/>
  <c r="GV34" i="28"/>
  <c r="GG38" i="28"/>
  <c r="GV38" i="28"/>
  <c r="GK39" i="28"/>
  <c r="GZ39" i="28"/>
  <c r="GV40" i="28"/>
  <c r="GG40" i="28"/>
  <c r="GZ41" i="28"/>
  <c r="GK41" i="28"/>
  <c r="CK42" i="28"/>
  <c r="GG42" i="28"/>
  <c r="GV42" i="28"/>
  <c r="HC18" i="7"/>
  <c r="HR18" i="7"/>
  <c r="GV23" i="7"/>
  <c r="HA23" i="7" s="1"/>
  <c r="GU23" i="7"/>
  <c r="DK23" i="7" s="1"/>
  <c r="GW23" i="7"/>
  <c r="HT23" i="7" s="1"/>
  <c r="GZ23" i="7"/>
  <c r="HP34" i="7"/>
  <c r="HB31" i="7"/>
  <c r="HQ31" i="7"/>
  <c r="HT41" i="7"/>
  <c r="HE41" i="7"/>
  <c r="GV42" i="7"/>
  <c r="GZ42" i="7" s="1"/>
  <c r="GU42" i="7"/>
  <c r="DK42" i="7" s="1"/>
  <c r="GW42" i="7"/>
  <c r="HU42" i="7" s="1"/>
  <c r="HD22" i="7"/>
  <c r="HU23" i="7"/>
  <c r="HE32" i="7"/>
  <c r="HT32" i="7"/>
  <c r="DJ15" i="7"/>
  <c r="DE24" i="7"/>
  <c r="HA24" i="7"/>
  <c r="HC39" i="7"/>
  <c r="HR39" i="7"/>
  <c r="IN16" i="25"/>
  <c r="EN16" i="25" s="1"/>
  <c r="JK19" i="34"/>
  <c r="DG41" i="7"/>
  <c r="HR41" i="7"/>
  <c r="HC41" i="7"/>
  <c r="IY39" i="34"/>
  <c r="JN39" i="34"/>
  <c r="JN41" i="34"/>
  <c r="IY41" i="34"/>
  <c r="HA24" i="36"/>
  <c r="HU24" i="36"/>
  <c r="HF24" i="36"/>
  <c r="IV25" i="34"/>
  <c r="JK25" i="34"/>
  <c r="IU38" i="34"/>
  <c r="JJ38" i="34"/>
  <c r="HB27" i="36"/>
  <c r="HP37" i="36"/>
  <c r="HA37" i="36"/>
  <c r="HU37" i="36"/>
  <c r="HF37" i="36"/>
  <c r="HB39" i="36"/>
  <c r="HC42" i="36"/>
  <c r="HR42" i="36"/>
  <c r="GG10" i="28"/>
  <c r="GV10" i="28"/>
  <c r="IP21" i="34"/>
  <c r="IV21" i="34" s="1"/>
  <c r="IQ21" i="34"/>
  <c r="JL21" i="34" s="1"/>
  <c r="IT23" i="34"/>
  <c r="IP23" i="34"/>
  <c r="IO23" i="34"/>
  <c r="IQ23" i="34"/>
  <c r="JJ23" i="34" s="1"/>
  <c r="IW34" i="34"/>
  <c r="JL34" i="34"/>
  <c r="JJ37" i="34"/>
  <c r="IU37" i="34"/>
  <c r="IV38" i="34"/>
  <c r="JK38" i="34"/>
  <c r="HS33" i="36"/>
  <c r="HD33" i="36"/>
  <c r="HD40" i="36"/>
  <c r="HS40" i="36"/>
  <c r="GJ12" i="28"/>
  <c r="GJ28" i="28"/>
  <c r="GY28" i="28"/>
  <c r="GZ34" i="28"/>
  <c r="GK34" i="28"/>
  <c r="HR14" i="36"/>
  <c r="HD27" i="36"/>
  <c r="HS27" i="36"/>
  <c r="HS29" i="36"/>
  <c r="HD29" i="36"/>
  <c r="HD32" i="36"/>
  <c r="HS32" i="36"/>
  <c r="GU35" i="36"/>
  <c r="DK35" i="36" s="1"/>
  <c r="GW35" i="36"/>
  <c r="HQ35" i="36" s="1"/>
  <c r="GV35" i="36"/>
  <c r="HB35" i="36" s="1"/>
  <c r="GU38" i="36"/>
  <c r="DK38" i="36" s="1"/>
  <c r="GW38" i="36"/>
  <c r="HR38" i="36" s="1"/>
  <c r="GZ38" i="36"/>
  <c r="GV38" i="36"/>
  <c r="HA38" i="36" s="1"/>
  <c r="HO38" i="36"/>
  <c r="GA35" i="28"/>
  <c r="GG35" i="28" s="1"/>
  <c r="FZ35" i="28"/>
  <c r="CP35" i="28" s="1"/>
  <c r="GB35" i="28"/>
  <c r="GY35" i="28" s="1"/>
  <c r="GT35" i="28"/>
  <c r="GU38" i="28"/>
  <c r="GF40" i="28"/>
  <c r="IP14" i="34"/>
  <c r="IX14" i="34" s="1"/>
  <c r="IO14" i="34"/>
  <c r="EQ14" i="34" s="1"/>
  <c r="IQ14" i="34"/>
  <c r="JK14" i="34" s="1"/>
  <c r="DI14" i="36"/>
  <c r="HT14" i="36"/>
  <c r="HD23" i="36"/>
  <c r="HS23" i="36"/>
  <c r="DD30" i="36"/>
  <c r="GV30" i="36"/>
  <c r="HF30" i="36" s="1"/>
  <c r="GU30" i="36"/>
  <c r="DK30" i="36" s="1"/>
  <c r="GW30" i="36"/>
  <c r="HU30" i="36" s="1"/>
  <c r="GZ30" i="36"/>
  <c r="HF31" i="36"/>
  <c r="HU31" i="36"/>
  <c r="GU34" i="36"/>
  <c r="DK34" i="36" s="1"/>
  <c r="GW34" i="36"/>
  <c r="HP34" i="36" s="1"/>
  <c r="GV34" i="36"/>
  <c r="HF34" i="36" s="1"/>
  <c r="HD38" i="36"/>
  <c r="HS38" i="36"/>
  <c r="GV41" i="36"/>
  <c r="HB41" i="36" s="1"/>
  <c r="HO41" i="36"/>
  <c r="GW41" i="36"/>
  <c r="HR41" i="36" s="1"/>
  <c r="GZ41" i="36"/>
  <c r="GU41" i="36"/>
  <c r="DK41" i="36" s="1"/>
  <c r="HP41" i="36"/>
  <c r="HA41" i="36"/>
  <c r="GK14" i="28"/>
  <c r="GZ14" i="28"/>
  <c r="GH22" i="28"/>
  <c r="GA29" i="28"/>
  <c r="GK29" i="28" s="1"/>
  <c r="GB29" i="28"/>
  <c r="FZ29" i="28"/>
  <c r="CP29" i="28" s="1"/>
  <c r="FZ33" i="28"/>
  <c r="CP33" i="28" s="1"/>
  <c r="GB33" i="28"/>
  <c r="GT33" i="28" s="1"/>
  <c r="GA33" i="28"/>
  <c r="GG33" i="28" s="1"/>
  <c r="GU42" i="28"/>
  <c r="HQ41" i="36"/>
  <c r="GY41" i="28"/>
  <c r="GJ41" i="28"/>
  <c r="GQ41" i="28" s="1"/>
  <c r="GV26" i="36"/>
  <c r="HC26" i="36" s="1"/>
  <c r="GW26" i="36"/>
  <c r="HP26" i="36" s="1"/>
  <c r="GU26" i="36"/>
  <c r="DK26" i="36" s="1"/>
  <c r="GI22" i="28"/>
  <c r="GJ39" i="28"/>
  <c r="GQ39" i="28" s="1"/>
  <c r="GY39" i="28"/>
  <c r="IN15" i="25"/>
  <c r="EN15" i="25" s="1"/>
  <c r="IN31" i="25"/>
  <c r="EN31" i="25" s="1"/>
  <c r="IV24" i="34"/>
  <c r="JK24" i="34"/>
  <c r="IU36" i="34"/>
  <c r="JJ36" i="34"/>
  <c r="GU19" i="7"/>
  <c r="DK19" i="7" s="1"/>
  <c r="GW19" i="7"/>
  <c r="HU19" i="7" s="1"/>
  <c r="GV19" i="7"/>
  <c r="HA19" i="7" s="1"/>
  <c r="HQ25" i="7"/>
  <c r="HB25" i="7"/>
  <c r="GV40" i="7"/>
  <c r="HB40" i="7" s="1"/>
  <c r="GU40" i="7"/>
  <c r="DK40" i="7" s="1"/>
  <c r="GW40" i="7"/>
  <c r="HR40" i="7" s="1"/>
  <c r="HP40" i="7"/>
  <c r="IX32" i="34"/>
  <c r="JM32" i="34"/>
  <c r="HD18" i="36"/>
  <c r="HS18" i="36"/>
  <c r="HB26" i="36"/>
  <c r="HD28" i="36"/>
  <c r="HS28" i="36"/>
  <c r="HA35" i="36"/>
  <c r="HP35" i="36"/>
  <c r="GZ13" i="28"/>
  <c r="GK13" i="28"/>
  <c r="GX30" i="28"/>
  <c r="GI30" i="28"/>
  <c r="GY30" i="28"/>
  <c r="GJ30" i="28"/>
  <c r="GV20" i="7"/>
  <c r="GZ20" i="7" s="1"/>
  <c r="GW20" i="7"/>
  <c r="HS30" i="36"/>
  <c r="HD30" i="36"/>
  <c r="GW12" i="28"/>
  <c r="FZ13" i="28"/>
  <c r="CP13" i="28" s="1"/>
  <c r="FZ36" i="28"/>
  <c r="CP36" i="28" s="1"/>
  <c r="GV21" i="36"/>
  <c r="EQ32" i="34"/>
  <c r="EQ34" i="34"/>
  <c r="EQ37" i="34"/>
  <c r="EQ42" i="34"/>
  <c r="EM12" i="34"/>
  <c r="EM29" i="34"/>
  <c r="EN34" i="34"/>
  <c r="EN11" i="34"/>
  <c r="EM20" i="34"/>
  <c r="EL12" i="34"/>
  <c r="EJ16" i="34"/>
  <c r="EJ19" i="34"/>
  <c r="EK34" i="34"/>
  <c r="EJ38" i="34"/>
  <c r="EQ36" i="34"/>
  <c r="EQ41" i="34"/>
  <c r="EJ14" i="34"/>
  <c r="EN25" i="34"/>
  <c r="EK29" i="34"/>
  <c r="EJ32" i="34"/>
  <c r="EN32" i="34"/>
  <c r="GF28" i="34"/>
  <c r="GG28" i="34" s="1"/>
  <c r="GH28" i="34" s="1"/>
  <c r="IF28" i="34" s="1"/>
  <c r="EQ24" i="34"/>
  <c r="EQ25" i="34"/>
  <c r="EQ40" i="34"/>
  <c r="EM24" i="34"/>
  <c r="EM30" i="34"/>
  <c r="EJ35" i="34"/>
  <c r="EM10" i="34"/>
  <c r="EJ27" i="34"/>
  <c r="EJ26" i="34"/>
  <c r="EH23" i="34"/>
  <c r="EQ23" i="34"/>
  <c r="EI21" i="34"/>
  <c r="EQ31" i="34"/>
  <c r="EQ38" i="34"/>
  <c r="EQ39" i="34"/>
  <c r="EJ12" i="34"/>
  <c r="EN13" i="34"/>
  <c r="EH19" i="34"/>
  <c r="EK25" i="34"/>
  <c r="EJ30" i="34"/>
  <c r="EM32" i="34"/>
  <c r="EJ37" i="34"/>
  <c r="EK42" i="34"/>
  <c r="EJ10" i="34"/>
  <c r="EN9" i="34"/>
  <c r="GF18" i="34"/>
  <c r="GG18" i="34" s="1"/>
  <c r="GH18" i="34" s="1"/>
  <c r="IF18" i="34" s="1"/>
  <c r="DD38" i="27"/>
  <c r="DI33" i="27"/>
  <c r="EH8" i="34"/>
  <c r="FU8" i="26"/>
  <c r="AV8" i="26" s="1"/>
  <c r="CV8" i="26"/>
  <c r="FL8" i="26" s="1"/>
  <c r="JL38" i="25"/>
  <c r="IT38" i="25"/>
  <c r="JN38" i="25" s="1"/>
  <c r="IR38" i="25"/>
  <c r="EQ38" i="25" s="1"/>
  <c r="IS38" i="25"/>
  <c r="IL36" i="25"/>
  <c r="IK39" i="25"/>
  <c r="EK39" i="25" s="1"/>
  <c r="JM38" i="25"/>
  <c r="IX38" i="25"/>
  <c r="II40" i="25"/>
  <c r="JO38" i="25"/>
  <c r="II39" i="25"/>
  <c r="IM37" i="25"/>
  <c r="IL35" i="25"/>
  <c r="EL35" i="25" s="1"/>
  <c r="JP38" i="25"/>
  <c r="IJ35" i="25"/>
  <c r="EJ35" i="25" s="1"/>
  <c r="IJ39" i="25"/>
  <c r="II35" i="25"/>
  <c r="IS35" i="25" s="1"/>
  <c r="EK36" i="25"/>
  <c r="IJ15" i="25"/>
  <c r="EJ15" i="25" s="1"/>
  <c r="IH10" i="25"/>
  <c r="EH10" i="25" s="1"/>
  <c r="IM16" i="25"/>
  <c r="IM23" i="25"/>
  <c r="EM23" i="25" s="1"/>
  <c r="IS29" i="25"/>
  <c r="IY29" i="25" s="1"/>
  <c r="IT29" i="25"/>
  <c r="JL29" i="25" s="1"/>
  <c r="IR29" i="25"/>
  <c r="EQ29" i="25" s="1"/>
  <c r="IH12" i="25"/>
  <c r="EH12" i="25" s="1"/>
  <c r="IK14" i="25"/>
  <c r="EK14" i="25" s="1"/>
  <c r="JN29" i="25"/>
  <c r="EJ11" i="25"/>
  <c r="IJ11" i="25"/>
  <c r="IR13" i="25"/>
  <c r="EQ13" i="25" s="1"/>
  <c r="IS13" i="25"/>
  <c r="IY13" i="25" s="1"/>
  <c r="IT13" i="25"/>
  <c r="IK26" i="25"/>
  <c r="EK26" i="25" s="1"/>
  <c r="IH27" i="25"/>
  <c r="EH27" i="25" s="1"/>
  <c r="IL33" i="25"/>
  <c r="EL33" i="25" s="1"/>
  <c r="II16" i="25"/>
  <c r="EI16" i="25" s="1"/>
  <c r="IH20" i="25"/>
  <c r="IL27" i="25"/>
  <c r="EL27" i="25" s="1"/>
  <c r="IR19" i="25"/>
  <c r="EQ19" i="25" s="1"/>
  <c r="IT19" i="25"/>
  <c r="JM19" i="25" s="1"/>
  <c r="IS19" i="25"/>
  <c r="JA19" i="25" s="1"/>
  <c r="IK23" i="25"/>
  <c r="EK23" i="25" s="1"/>
  <c r="JQ29" i="25"/>
  <c r="IJ18" i="25"/>
  <c r="EJ18" i="25" s="1"/>
  <c r="JM29" i="25"/>
  <c r="IL10" i="25"/>
  <c r="EL10" i="25" s="1"/>
  <c r="IZ13" i="25"/>
  <c r="IJ14" i="25"/>
  <c r="IX19" i="25"/>
  <c r="IH30" i="25"/>
  <c r="EH30" i="25" s="1"/>
  <c r="IM15" i="25"/>
  <c r="EM15" i="25" s="1"/>
  <c r="IK17" i="25"/>
  <c r="JO29" i="25"/>
  <c r="EH13" i="25"/>
  <c r="EL11" i="25"/>
  <c r="EM28" i="25"/>
  <c r="EK30" i="25"/>
  <c r="EK25" i="25"/>
  <c r="EI30" i="25"/>
  <c r="EJ30" i="25"/>
  <c r="IH14" i="25"/>
  <c r="EH14" i="25" s="1"/>
  <c r="II21" i="25"/>
  <c r="EI21" i="25" s="1"/>
  <c r="JP29" i="25"/>
  <c r="IL12" i="25"/>
  <c r="EL12" i="25" s="1"/>
  <c r="IM10" i="25"/>
  <c r="EM10" i="25" s="1"/>
  <c r="IM12" i="25"/>
  <c r="EM12" i="25" s="1"/>
  <c r="II31" i="25"/>
  <c r="EI31" i="25" s="1"/>
  <c r="IK18" i="25"/>
  <c r="EK18" i="25" s="1"/>
  <c r="IL22" i="25"/>
  <c r="EL22" i="25" s="1"/>
  <c r="EL24" i="25"/>
  <c r="IL24" i="25"/>
  <c r="IR24" i="25" s="1"/>
  <c r="EQ24" i="25" s="1"/>
  <c r="IH26" i="25"/>
  <c r="EH26" i="25" s="1"/>
  <c r="IK31" i="25"/>
  <c r="EK31" i="25" s="1"/>
  <c r="IK16" i="25"/>
  <c r="EK16" i="25" s="1"/>
  <c r="IJ21" i="25"/>
  <c r="EJ21" i="25" s="1"/>
  <c r="II22" i="25"/>
  <c r="EI22" i="25" s="1"/>
  <c r="IK28" i="25"/>
  <c r="EK28" i="25" s="1"/>
  <c r="IM30" i="25"/>
  <c r="EM30" i="25" s="1"/>
  <c r="IM17" i="25"/>
  <c r="EM17" i="25" s="1"/>
  <c r="IK22" i="25"/>
  <c r="EK22" i="25" s="1"/>
  <c r="II34" i="25"/>
  <c r="EI34" i="25" s="1"/>
  <c r="IK21" i="25"/>
  <c r="EK21" i="25" s="1"/>
  <c r="IH28" i="25"/>
  <c r="EH28" i="25" s="1"/>
  <c r="IH25" i="25"/>
  <c r="EH25" i="25" s="1"/>
  <c r="IM11" i="25"/>
  <c r="EM11" i="25" s="1"/>
  <c r="EH19" i="25"/>
  <c r="EK11" i="25"/>
  <c r="EH29" i="25"/>
  <c r="EL29" i="25"/>
  <c r="EL31" i="25"/>
  <c r="IL31" i="25"/>
  <c r="IJ31" i="25"/>
  <c r="EJ31" i="25" s="1"/>
  <c r="IJ32" i="25"/>
  <c r="EJ32" i="25" s="1"/>
  <c r="IK10" i="25"/>
  <c r="EK10" i="25" s="1"/>
  <c r="IM26" i="25"/>
  <c r="EM26" i="25" s="1"/>
  <c r="EH8" i="25"/>
  <c r="IT8" i="25"/>
  <c r="IR8" i="25"/>
  <c r="EQ8" i="25" s="1"/>
  <c r="IS8" i="25"/>
  <c r="GF34" i="25"/>
  <c r="GG34" i="25" s="1"/>
  <c r="GH34" i="25" s="1"/>
  <c r="GF40" i="25"/>
  <c r="GG40" i="25" s="1"/>
  <c r="GH40" i="25" s="1"/>
  <c r="IH40" i="25" s="1"/>
  <c r="FZ8" i="28"/>
  <c r="CP8" i="28" s="1"/>
  <c r="DD8" i="7"/>
  <c r="GU8" i="7"/>
  <c r="DK8" i="7" s="1"/>
  <c r="DQ1" i="27"/>
  <c r="CU1" i="28"/>
  <c r="DP1" i="36"/>
  <c r="EV1" i="34"/>
  <c r="EV1" i="25"/>
  <c r="BE1" i="26"/>
  <c r="DP1" i="7"/>
  <c r="DQ1" i="33"/>
  <c r="DQ1" i="21"/>
  <c r="FQ1" i="20"/>
  <c r="CD1" i="8"/>
  <c r="AW1" i="22"/>
  <c r="DQ1" i="19"/>
  <c r="DQ1" i="35"/>
  <c r="DD39" i="7"/>
  <c r="DL39" i="7" s="1"/>
  <c r="GL13" i="34"/>
  <c r="GM13" i="34" s="1"/>
  <c r="GN13" i="34" s="1"/>
  <c r="IG13" i="34" s="1"/>
  <c r="IO13" i="34" s="1"/>
  <c r="GF26" i="34"/>
  <c r="GG26" i="34" s="1"/>
  <c r="GH26" i="34" s="1"/>
  <c r="IF26" i="34" s="1"/>
  <c r="GL26" i="25"/>
  <c r="GM26" i="25" s="1"/>
  <c r="GN26" i="25" s="1"/>
  <c r="II26" i="25" s="1"/>
  <c r="EZ27" i="7"/>
  <c r="FA27" i="7" s="1"/>
  <c r="FB27" i="7" s="1"/>
  <c r="GN27" i="7" s="1"/>
  <c r="EK25" i="28"/>
  <c r="EL25" i="28" s="1"/>
  <c r="EM25" i="28" s="1"/>
  <c r="FT25" i="28" s="1"/>
  <c r="GA25" i="28" s="1"/>
  <c r="GL11" i="25"/>
  <c r="GM11" i="25" s="1"/>
  <c r="GN11" i="25" s="1"/>
  <c r="II11" i="25" s="1"/>
  <c r="IR11" i="25" s="1"/>
  <c r="EQ11" i="25" s="1"/>
  <c r="DH32" i="7"/>
  <c r="EK20" i="28"/>
  <c r="EL20" i="28" s="1"/>
  <c r="EM20" i="28" s="1"/>
  <c r="FT20" i="28" s="1"/>
  <c r="DD19" i="27"/>
  <c r="EK26" i="28"/>
  <c r="EL26" i="28" s="1"/>
  <c r="EM26" i="28" s="1"/>
  <c r="FT26" i="28" s="1"/>
  <c r="EK24" i="28"/>
  <c r="EL24" i="28" s="1"/>
  <c r="EM24" i="28" s="1"/>
  <c r="FT24" i="28" s="1"/>
  <c r="FZ24" i="28" s="1"/>
  <c r="CP24" i="28" s="1"/>
  <c r="GF31" i="25"/>
  <c r="GG31" i="25" s="1"/>
  <c r="GH31" i="25" s="1"/>
  <c r="IH31" i="25" s="1"/>
  <c r="EZ35" i="7"/>
  <c r="FA35" i="7" s="1"/>
  <c r="FB35" i="7" s="1"/>
  <c r="GN35" i="7" s="1"/>
  <c r="DG37" i="27"/>
  <c r="CL8" i="28"/>
  <c r="CK8" i="28"/>
  <c r="EK23" i="28"/>
  <c r="EL23" i="28" s="1"/>
  <c r="EM23" i="28" s="1"/>
  <c r="FT23" i="28" s="1"/>
  <c r="FE8" i="27"/>
  <c r="HO8" i="27" s="1"/>
  <c r="CJ8" i="28"/>
  <c r="DJ8" i="27"/>
  <c r="GA8" i="28"/>
  <c r="GH8" i="28" s="1"/>
  <c r="CI8" i="28"/>
  <c r="GB8" i="28"/>
  <c r="GU8" i="28" s="1"/>
  <c r="EE16" i="28"/>
  <c r="EF16" i="28" s="1"/>
  <c r="EG16" i="28" s="1"/>
  <c r="FS16" i="28" s="1"/>
  <c r="EE17" i="28"/>
  <c r="EF17" i="28" s="1"/>
  <c r="EG17" i="28" s="1"/>
  <c r="FS17" i="28" s="1"/>
  <c r="GF29" i="34"/>
  <c r="GG29" i="34" s="1"/>
  <c r="GH29" i="34" s="1"/>
  <c r="IF29" i="34" s="1"/>
  <c r="GL33" i="34"/>
  <c r="GM33" i="34" s="1"/>
  <c r="GN33" i="34" s="1"/>
  <c r="IG33" i="34" s="1"/>
  <c r="GF32" i="25"/>
  <c r="GG32" i="25" s="1"/>
  <c r="GH32" i="25" s="1"/>
  <c r="IH32" i="25" s="1"/>
  <c r="GF33" i="25"/>
  <c r="GG33" i="25" s="1"/>
  <c r="GH33" i="25" s="1"/>
  <c r="IH33" i="25" s="1"/>
  <c r="EH33" i="25" s="1"/>
  <c r="DE26" i="7"/>
  <c r="DE21" i="7"/>
  <c r="DF32" i="7"/>
  <c r="DL32" i="7" s="1"/>
  <c r="EZ37" i="7"/>
  <c r="FA37" i="7" s="1"/>
  <c r="FB37" i="7" s="1"/>
  <c r="GN37" i="7" s="1"/>
  <c r="DJ40" i="7"/>
  <c r="DG40" i="7"/>
  <c r="DE41" i="7"/>
  <c r="DE8" i="27"/>
  <c r="GW8" i="7"/>
  <c r="HO8" i="7" s="1"/>
  <c r="DG8" i="27"/>
  <c r="CM8" i="28"/>
  <c r="EQ37" i="28"/>
  <c r="ER37" i="28" s="1"/>
  <c r="ES37" i="28" s="1"/>
  <c r="FU37" i="28" s="1"/>
  <c r="FZ37" i="28" s="1"/>
  <c r="CP37" i="28" s="1"/>
  <c r="GL12" i="34"/>
  <c r="GM12" i="34" s="1"/>
  <c r="GN12" i="34" s="1"/>
  <c r="IG12" i="34" s="1"/>
  <c r="EI12" i="34" s="1"/>
  <c r="GL28" i="25"/>
  <c r="GM28" i="25" s="1"/>
  <c r="GN28" i="25" s="1"/>
  <c r="II28" i="25" s="1"/>
  <c r="GL25" i="25"/>
  <c r="GM25" i="25" s="1"/>
  <c r="GN25" i="25" s="1"/>
  <c r="II25" i="25" s="1"/>
  <c r="GF37" i="25"/>
  <c r="GG37" i="25" s="1"/>
  <c r="GH37" i="25" s="1"/>
  <c r="FF17" i="7"/>
  <c r="FG17" i="7" s="1"/>
  <c r="FH17" i="7" s="1"/>
  <c r="GO17" i="7" s="1"/>
  <c r="DE17" i="7" s="1"/>
  <c r="FL26" i="7"/>
  <c r="FM26" i="7" s="1"/>
  <c r="FN26" i="7" s="1"/>
  <c r="GP26" i="7" s="1"/>
  <c r="GU26" i="7" s="1"/>
  <c r="DK26" i="7" s="1"/>
  <c r="EZ36" i="7"/>
  <c r="FA36" i="7" s="1"/>
  <c r="FB36" i="7" s="1"/>
  <c r="GN36" i="7" s="1"/>
  <c r="EZ38" i="7"/>
  <c r="FA38" i="7" s="1"/>
  <c r="FB38" i="7" s="1"/>
  <c r="GN38" i="7" s="1"/>
  <c r="GV8" i="36"/>
  <c r="HA8" i="36" s="1"/>
  <c r="GF15" i="25"/>
  <c r="GG15" i="25" s="1"/>
  <c r="GH15" i="25" s="1"/>
  <c r="EE15" i="28"/>
  <c r="EF15" i="28" s="1"/>
  <c r="EG15" i="28" s="1"/>
  <c r="FS15" i="28" s="1"/>
  <c r="DI8" i="27"/>
  <c r="DH8" i="27"/>
  <c r="CN8" i="28"/>
  <c r="GF27" i="34"/>
  <c r="GG27" i="34" s="1"/>
  <c r="GH27" i="34" s="1"/>
  <c r="IF27" i="34" s="1"/>
  <c r="GF30" i="34"/>
  <c r="GG30" i="34" s="1"/>
  <c r="GH30" i="34" s="1"/>
  <c r="IF30" i="34" s="1"/>
  <c r="GL27" i="25"/>
  <c r="GM27" i="25" s="1"/>
  <c r="GN27" i="25" s="1"/>
  <c r="II27" i="25" s="1"/>
  <c r="GF36" i="25"/>
  <c r="GG36" i="25" s="1"/>
  <c r="GH36" i="25" s="1"/>
  <c r="IH36" i="25" s="1"/>
  <c r="CO8" i="28"/>
  <c r="GW8" i="36"/>
  <c r="HQ8" i="36" s="1"/>
  <c r="DE14" i="7"/>
  <c r="DD37" i="7"/>
  <c r="DD27" i="7"/>
  <c r="DD29" i="7"/>
  <c r="DD31" i="7"/>
  <c r="DD35" i="7"/>
  <c r="DD36" i="7"/>
  <c r="DD14" i="7"/>
  <c r="DI23" i="7"/>
  <c r="DD30" i="7"/>
  <c r="DF9" i="7"/>
  <c r="FF10" i="7"/>
  <c r="FG10" i="7" s="1"/>
  <c r="FH10" i="7" s="1"/>
  <c r="GO10" i="7" s="1"/>
  <c r="GW10" i="7" s="1"/>
  <c r="FF12" i="7"/>
  <c r="FG12" i="7" s="1"/>
  <c r="FH12" i="7" s="1"/>
  <c r="GO12" i="7" s="1"/>
  <c r="DE13" i="7"/>
  <c r="DD13" i="7"/>
  <c r="DG15" i="7"/>
  <c r="DG19" i="7"/>
  <c r="DG23" i="7"/>
  <c r="DH29" i="7"/>
  <c r="DH31" i="7"/>
  <c r="DE27" i="7"/>
  <c r="DE28" i="7"/>
  <c r="DE30" i="7"/>
  <c r="DF35" i="7"/>
  <c r="DF36" i="7"/>
  <c r="DH38" i="7"/>
  <c r="DE35" i="7"/>
  <c r="DE36" i="7"/>
  <c r="DJ37" i="7"/>
  <c r="DJ36" i="7"/>
  <c r="DJ13" i="7"/>
  <c r="DF15" i="7"/>
  <c r="DG20" i="7"/>
  <c r="DI22" i="7"/>
  <c r="DF37" i="7"/>
  <c r="DJ9" i="7"/>
  <c r="FF11" i="7"/>
  <c r="FG11" i="7" s="1"/>
  <c r="FH11" i="7" s="1"/>
  <c r="GO11" i="7" s="1"/>
  <c r="DF14" i="7"/>
  <c r="FF9" i="7"/>
  <c r="FG9" i="7" s="1"/>
  <c r="FH9" i="7" s="1"/>
  <c r="GO9" i="7" s="1"/>
  <c r="DI12" i="7"/>
  <c r="DH16" i="7"/>
  <c r="DE18" i="7"/>
  <c r="DI16" i="7"/>
  <c r="DG22" i="7"/>
  <c r="DG24" i="7"/>
  <c r="DL24" i="7" s="1"/>
  <c r="DI27" i="7"/>
  <c r="DE29" i="7"/>
  <c r="DI28" i="7"/>
  <c r="DG35" i="7"/>
  <c r="DG36" i="7"/>
  <c r="EZ28" i="7"/>
  <c r="FA28" i="7" s="1"/>
  <c r="FB28" i="7" s="1"/>
  <c r="GN28" i="7" s="1"/>
  <c r="EZ33" i="7"/>
  <c r="FA33" i="7" s="1"/>
  <c r="FB33" i="7" s="1"/>
  <c r="GN33" i="7" s="1"/>
  <c r="DL40" i="7"/>
  <c r="DL41" i="7"/>
  <c r="DF10" i="7"/>
  <c r="DH17" i="7"/>
  <c r="DD34" i="7"/>
  <c r="DJ12" i="7"/>
  <c r="DJ14" i="7"/>
  <c r="DF13" i="7"/>
  <c r="DH14" i="7"/>
  <c r="FF16" i="7"/>
  <c r="FG16" i="7" s="1"/>
  <c r="FH16" i="7" s="1"/>
  <c r="GO16" i="7" s="1"/>
  <c r="GU16" i="7" s="1"/>
  <c r="DK16" i="7" s="1"/>
  <c r="DI18" i="7"/>
  <c r="DG21" i="7"/>
  <c r="DL21" i="7" s="1"/>
  <c r="DE23" i="7"/>
  <c r="DE22" i="7"/>
  <c r="DH30" i="7"/>
  <c r="DE25" i="7"/>
  <c r="DL25" i="7" s="1"/>
  <c r="DG28" i="7"/>
  <c r="DH34" i="7"/>
  <c r="DJ38" i="7"/>
  <c r="DJ35" i="7"/>
  <c r="DG42" i="7"/>
  <c r="DL42" i="7" s="1"/>
  <c r="DG8" i="7"/>
  <c r="DI8" i="7"/>
  <c r="GV8" i="7"/>
  <c r="HE8" i="7" s="1"/>
  <c r="DE8" i="7"/>
  <c r="EH17" i="25"/>
  <c r="EH38" i="25"/>
  <c r="EH41" i="25"/>
  <c r="EH35" i="25"/>
  <c r="EH18" i="25"/>
  <c r="EI24" i="25"/>
  <c r="EH16" i="25"/>
  <c r="EJ29" i="25"/>
  <c r="EN12" i="25"/>
  <c r="EL17" i="25"/>
  <c r="EJ23" i="25"/>
  <c r="EM35" i="25"/>
  <c r="EH39" i="25"/>
  <c r="EL9" i="25"/>
  <c r="EN17" i="25"/>
  <c r="EL16" i="25"/>
  <c r="EK15" i="25"/>
  <c r="EM18" i="25"/>
  <c r="GL14" i="25"/>
  <c r="GM14" i="25" s="1"/>
  <c r="GN14" i="25" s="1"/>
  <c r="II14" i="25" s="1"/>
  <c r="EI17" i="25"/>
  <c r="EL18" i="25"/>
  <c r="EL20" i="25"/>
  <c r="EH21" i="25"/>
  <c r="EJ25" i="25"/>
  <c r="EJ27" i="25"/>
  <c r="EM32" i="25"/>
  <c r="EN40" i="25"/>
  <c r="EN33" i="25"/>
  <c r="EI37" i="25"/>
  <c r="EN32" i="25"/>
  <c r="EM34" i="25"/>
  <c r="EK37" i="25"/>
  <c r="EM39" i="25"/>
  <c r="EI28" i="25"/>
  <c r="EI25" i="25"/>
  <c r="EK40" i="25"/>
  <c r="GL10" i="25"/>
  <c r="GM10" i="25" s="1"/>
  <c r="GN10" i="25" s="1"/>
  <c r="II10" i="25" s="1"/>
  <c r="EI13" i="25"/>
  <c r="EJ20" i="25"/>
  <c r="EJ19" i="25"/>
  <c r="EH22" i="25"/>
  <c r="EL19" i="25"/>
  <c r="EJ22" i="25"/>
  <c r="EH23" i="25"/>
  <c r="EN25" i="25"/>
  <c r="EN27" i="25"/>
  <c r="EJ28" i="25"/>
  <c r="EL38" i="25"/>
  <c r="EH40" i="25"/>
  <c r="EN37" i="25"/>
  <c r="EL41" i="25"/>
  <c r="EL39" i="25"/>
  <c r="EN29" i="25"/>
  <c r="EI36" i="25"/>
  <c r="EN13" i="25"/>
  <c r="EI20" i="25"/>
  <c r="EJ26" i="25"/>
  <c r="EL34" i="25"/>
  <c r="EI33" i="25"/>
  <c r="EK38" i="25"/>
  <c r="EI32" i="25"/>
  <c r="EI12" i="25"/>
  <c r="EJ16" i="25"/>
  <c r="GL9" i="25"/>
  <c r="GM9" i="25" s="1"/>
  <c r="GN9" i="25" s="1"/>
  <c r="II9" i="25" s="1"/>
  <c r="IT9" i="25" s="1"/>
  <c r="JQ9" i="25" s="1"/>
  <c r="EJ12" i="25"/>
  <c r="EJ13" i="25"/>
  <c r="EN10" i="25"/>
  <c r="EJ17" i="25"/>
  <c r="EN20" i="25"/>
  <c r="EN19" i="25"/>
  <c r="EM19" i="25"/>
  <c r="EN22" i="25"/>
  <c r="EL23" i="25"/>
  <c r="EN24" i="25"/>
  <c r="EM27" i="25"/>
  <c r="EM36" i="25"/>
  <c r="EM40" i="25"/>
  <c r="EM31" i="25"/>
  <c r="EK34" i="25"/>
  <c r="EI29" i="25"/>
  <c r="EK33" i="25"/>
  <c r="EN36" i="25"/>
  <c r="EM38" i="25"/>
  <c r="EL40" i="25"/>
  <c r="EJ8" i="25"/>
  <c r="EK8" i="25"/>
  <c r="EI8" i="25"/>
  <c r="EM8" i="25"/>
  <c r="IX8" i="25"/>
  <c r="EH24" i="34"/>
  <c r="EH26" i="34"/>
  <c r="EH41" i="34"/>
  <c r="EH29" i="34"/>
  <c r="EH42" i="34"/>
  <c r="EH25" i="34"/>
  <c r="EH34" i="34"/>
  <c r="EH36" i="34"/>
  <c r="EH38" i="34"/>
  <c r="EH16" i="34"/>
  <c r="EH30" i="34"/>
  <c r="EH15" i="34"/>
  <c r="EM26" i="34"/>
  <c r="EH31" i="34"/>
  <c r="EM35" i="34"/>
  <c r="EL35" i="34"/>
  <c r="EN40" i="34"/>
  <c r="EL15" i="34"/>
  <c r="EM19" i="34"/>
  <c r="EK17" i="34"/>
  <c r="EK28" i="34"/>
  <c r="EH32" i="34"/>
  <c r="EI33" i="34"/>
  <c r="EL38" i="34"/>
  <c r="EN38" i="34"/>
  <c r="EN39" i="34"/>
  <c r="EL40" i="34"/>
  <c r="EJ42" i="34"/>
  <c r="EN36" i="34"/>
  <c r="EH40" i="34"/>
  <c r="EI13" i="34"/>
  <c r="GL22" i="34"/>
  <c r="GM22" i="34" s="1"/>
  <c r="GN22" i="34" s="1"/>
  <c r="IG22" i="34" s="1"/>
  <c r="IP22" i="34" s="1"/>
  <c r="EH28" i="34"/>
  <c r="EK32" i="34"/>
  <c r="EJ39" i="34"/>
  <c r="EN37" i="34"/>
  <c r="GL11" i="34"/>
  <c r="GM11" i="34" s="1"/>
  <c r="GN11" i="34" s="1"/>
  <c r="IG11" i="34" s="1"/>
  <c r="GL9" i="34"/>
  <c r="GM9" i="34" s="1"/>
  <c r="GN9" i="34" s="1"/>
  <c r="EI17" i="34"/>
  <c r="EI18" i="34"/>
  <c r="EI26" i="34"/>
  <c r="EN15" i="34"/>
  <c r="EL16" i="34"/>
  <c r="EM15" i="34"/>
  <c r="EM17" i="34"/>
  <c r="EM18" i="34"/>
  <c r="EL24" i="34"/>
  <c r="EI24" i="34"/>
  <c r="EI27" i="34"/>
  <c r="GL20" i="34"/>
  <c r="GM20" i="34" s="1"/>
  <c r="GN20" i="34" s="1"/>
  <c r="EK26" i="34"/>
  <c r="EL26" i="34"/>
  <c r="EI28" i="34"/>
  <c r="EL34" i="34"/>
  <c r="EK27" i="34"/>
  <c r="EM33" i="34"/>
  <c r="EL36" i="34"/>
  <c r="EM36" i="34"/>
  <c r="EN35" i="34"/>
  <c r="EL39" i="34"/>
  <c r="EJ41" i="34"/>
  <c r="EN42" i="34"/>
  <c r="EM11" i="34"/>
  <c r="EI19" i="34"/>
  <c r="EK23" i="34"/>
  <c r="ER23" i="34" s="1"/>
  <c r="EM25" i="34"/>
  <c r="EL41" i="34"/>
  <c r="EH39" i="34"/>
  <c r="EJ15" i="34"/>
  <c r="EK19" i="34"/>
  <c r="EL25" i="34"/>
  <c r="GL10" i="34"/>
  <c r="GM10" i="34" s="1"/>
  <c r="GN10" i="34" s="1"/>
  <c r="IG10" i="34" s="1"/>
  <c r="IQ10" i="34" s="1"/>
  <c r="EM14" i="34"/>
  <c r="EL14" i="34"/>
  <c r="EK18" i="34"/>
  <c r="EM16" i="34"/>
  <c r="EN24" i="34"/>
  <c r="EL27" i="34"/>
  <c r="EK21" i="34"/>
  <c r="EI25" i="34"/>
  <c r="EL28" i="34"/>
  <c r="GF35" i="34"/>
  <c r="GG35" i="34" s="1"/>
  <c r="GH35" i="34" s="1"/>
  <c r="IF35" i="34" s="1"/>
  <c r="EH37" i="34"/>
  <c r="EK35" i="34"/>
  <c r="EK37" i="34"/>
  <c r="EL29" i="34"/>
  <c r="EL31" i="34"/>
  <c r="EM34" i="34"/>
  <c r="EJ40" i="34"/>
  <c r="EN41" i="34"/>
  <c r="EL42" i="34"/>
  <c r="EJ8" i="34"/>
  <c r="EM8" i="34"/>
  <c r="EI8" i="34"/>
  <c r="EN8" i="34"/>
  <c r="DD15" i="36"/>
  <c r="DD16" i="36"/>
  <c r="DE13" i="36"/>
  <c r="DE20" i="36"/>
  <c r="DE29" i="36"/>
  <c r="DG24" i="36"/>
  <c r="DF35" i="36"/>
  <c r="FF36" i="36"/>
  <c r="FG36" i="36" s="1"/>
  <c r="FH36" i="36" s="1"/>
  <c r="GO36" i="36" s="1"/>
  <c r="DJ13" i="36"/>
  <c r="DH14" i="36"/>
  <c r="DH16" i="36"/>
  <c r="DG17" i="36"/>
  <c r="DI20" i="36"/>
  <c r="DI22" i="36"/>
  <c r="DF20" i="36"/>
  <c r="DF21" i="36"/>
  <c r="DJ25" i="36"/>
  <c r="DI28" i="36"/>
  <c r="DI30" i="36"/>
  <c r="DI32" i="36"/>
  <c r="DG31" i="36"/>
  <c r="DF34" i="36"/>
  <c r="DE42" i="36"/>
  <c r="DG34" i="36"/>
  <c r="DL34" i="36" s="1"/>
  <c r="DI37" i="36"/>
  <c r="DG39" i="36"/>
  <c r="DF14" i="36"/>
  <c r="DJ18" i="36"/>
  <c r="DE22" i="36"/>
  <c r="DG22" i="36"/>
  <c r="DE33" i="36"/>
  <c r="DF25" i="36"/>
  <c r="DG29" i="36"/>
  <c r="DE38" i="36"/>
  <c r="DG37" i="36"/>
  <c r="DF42" i="36"/>
  <c r="FF12" i="36"/>
  <c r="FG12" i="36" s="1"/>
  <c r="FH12" i="36" s="1"/>
  <c r="GO12" i="36" s="1"/>
  <c r="GU12" i="36" s="1"/>
  <c r="DK12" i="36" s="1"/>
  <c r="Y10" i="6" s="1"/>
  <c r="DJ14" i="36"/>
  <c r="DF18" i="36"/>
  <c r="DF19" i="36"/>
  <c r="DE21" i="36"/>
  <c r="DE23" i="36"/>
  <c r="DE19" i="36"/>
  <c r="DE25" i="36"/>
  <c r="DJ20" i="36"/>
  <c r="DE28" i="36"/>
  <c r="DE30" i="36"/>
  <c r="DE32" i="36"/>
  <c r="DE34" i="36"/>
  <c r="DJ21" i="36"/>
  <c r="DF23" i="36"/>
  <c r="DG26" i="36"/>
  <c r="DG23" i="36"/>
  <c r="DL27" i="36"/>
  <c r="DF22" i="36"/>
  <c r="DG33" i="36"/>
  <c r="DG40" i="36"/>
  <c r="DF31" i="36"/>
  <c r="DF28" i="36"/>
  <c r="DJ34" i="36"/>
  <c r="DG28" i="36"/>
  <c r="DI39" i="36"/>
  <c r="DG41" i="36"/>
  <c r="DI41" i="36"/>
  <c r="DF33" i="36"/>
  <c r="DL33" i="36" s="1"/>
  <c r="DD13" i="36"/>
  <c r="DH15" i="36"/>
  <c r="DD19" i="36"/>
  <c r="DI25" i="36"/>
  <c r="DE31" i="36"/>
  <c r="DG21" i="36"/>
  <c r="DI38" i="36"/>
  <c r="DF32" i="36"/>
  <c r="DE40" i="36"/>
  <c r="DG32" i="36"/>
  <c r="FF11" i="36"/>
  <c r="FG11" i="36" s="1"/>
  <c r="FH11" i="36" s="1"/>
  <c r="GO11" i="36" s="1"/>
  <c r="FF10" i="36"/>
  <c r="FG10" i="36" s="1"/>
  <c r="FH10" i="36" s="1"/>
  <c r="GO10" i="36" s="1"/>
  <c r="GU10" i="36" s="1"/>
  <c r="DK10" i="36" s="1"/>
  <c r="Y8" i="6" s="1"/>
  <c r="DF15" i="36"/>
  <c r="DJ16" i="36"/>
  <c r="DD14" i="36"/>
  <c r="DH17" i="36"/>
  <c r="DE18" i="36"/>
  <c r="DD18" i="36"/>
  <c r="DG20" i="36"/>
  <c r="DI21" i="36"/>
  <c r="DG25" i="36"/>
  <c r="DI19" i="36"/>
  <c r="DI26" i="36"/>
  <c r="DJ23" i="36"/>
  <c r="DI24" i="36"/>
  <c r="DL24" i="36" s="1"/>
  <c r="DI29" i="36"/>
  <c r="DI31" i="36"/>
  <c r="DI33" i="36"/>
  <c r="DJ22" i="36"/>
  <c r="DG38" i="36"/>
  <c r="DI40" i="36"/>
  <c r="DF30" i="36"/>
  <c r="DG30" i="36"/>
  <c r="DG35" i="36"/>
  <c r="DL35" i="36" s="1"/>
  <c r="DH36" i="36"/>
  <c r="DL41" i="36"/>
  <c r="CJ26" i="28"/>
  <c r="CI10" i="28"/>
  <c r="CJ19" i="28"/>
  <c r="CI41" i="28"/>
  <c r="CJ20" i="28"/>
  <c r="CJ21" i="28"/>
  <c r="CI15" i="28"/>
  <c r="CI18" i="28"/>
  <c r="CI27" i="28"/>
  <c r="CJ24" i="28"/>
  <c r="CI38" i="28"/>
  <c r="CI42" i="28"/>
  <c r="CI16" i="28"/>
  <c r="CI17" i="28"/>
  <c r="CJ22" i="28"/>
  <c r="CK35" i="28"/>
  <c r="CQ35" i="28" s="1"/>
  <c r="CI39" i="28"/>
  <c r="CI9" i="28"/>
  <c r="CI11" i="28"/>
  <c r="CN20" i="28"/>
  <c r="CM42" i="28"/>
  <c r="CI40" i="28"/>
  <c r="CM40" i="28"/>
  <c r="CM10" i="28"/>
  <c r="CO9" i="28"/>
  <c r="CL13" i="28"/>
  <c r="CK12" i="28"/>
  <c r="CJ14" i="28"/>
  <c r="CQ12" i="28"/>
  <c r="CK21" i="28"/>
  <c r="CK22" i="28"/>
  <c r="CM19" i="28"/>
  <c r="CK20" i="28"/>
  <c r="CL23" i="28"/>
  <c r="CL25" i="28"/>
  <c r="CM27" i="28"/>
  <c r="CN33" i="28"/>
  <c r="CQ33" i="28" s="1"/>
  <c r="CN36" i="28"/>
  <c r="CK37" i="28"/>
  <c r="CJ36" i="28"/>
  <c r="CQ36" i="28" s="1"/>
  <c r="CO37" i="28"/>
  <c r="CM39" i="28"/>
  <c r="CO11" i="28"/>
  <c r="CL16" i="28"/>
  <c r="CN21" i="28"/>
  <c r="CJ30" i="28"/>
  <c r="CQ30" i="28" s="1"/>
  <c r="CO27" i="28"/>
  <c r="CN34" i="28"/>
  <c r="CO32" i="28"/>
  <c r="CM13" i="28"/>
  <c r="CN13" i="28"/>
  <c r="CQ14" i="28"/>
  <c r="CN16" i="28"/>
  <c r="CN17" i="28"/>
  <c r="CM18" i="28"/>
  <c r="CK19" i="28"/>
  <c r="CO21" i="28"/>
  <c r="CJ27" i="28"/>
  <c r="EQ31" i="28"/>
  <c r="ER31" i="28" s="1"/>
  <c r="ES31" i="28" s="1"/>
  <c r="FU31" i="28" s="1"/>
  <c r="CJ28" i="28"/>
  <c r="CI28" i="28"/>
  <c r="CM38" i="28"/>
  <c r="CJ12" i="28"/>
  <c r="CL17" i="28"/>
  <c r="CI20" i="28"/>
  <c r="CL32" i="28"/>
  <c r="CM41" i="28"/>
  <c r="CM9" i="28"/>
  <c r="CM11" i="28"/>
  <c r="CO10" i="28"/>
  <c r="CM16" i="28"/>
  <c r="CM17" i="28"/>
  <c r="CN15" i="28"/>
  <c r="CO19" i="28"/>
  <c r="CI21" i="28"/>
  <c r="CN24" i="28"/>
  <c r="CK27" i="28"/>
  <c r="CN26" i="28"/>
  <c r="CN22" i="28"/>
  <c r="CJ29" i="28"/>
  <c r="CQ29" i="28" s="1"/>
  <c r="EQ32" i="28"/>
  <c r="ER32" i="28" s="1"/>
  <c r="ES32" i="28" s="1"/>
  <c r="FU32" i="28" s="1"/>
  <c r="CL34" i="28"/>
  <c r="DE25" i="27"/>
  <c r="DD27" i="27"/>
  <c r="DD24" i="27"/>
  <c r="DE28" i="27"/>
  <c r="DE26" i="27"/>
  <c r="DD25" i="27"/>
  <c r="DD12" i="27"/>
  <c r="DI12" i="27"/>
  <c r="DF14" i="27"/>
  <c r="DE21" i="27"/>
  <c r="DF27" i="27"/>
  <c r="DD26" i="27"/>
  <c r="DH42" i="27"/>
  <c r="DD10" i="27"/>
  <c r="DE12" i="27"/>
  <c r="DH13" i="27"/>
  <c r="DJ12" i="27"/>
  <c r="DF16" i="27"/>
  <c r="DG14" i="27"/>
  <c r="DI14" i="27"/>
  <c r="DI15" i="27"/>
  <c r="DH17" i="27"/>
  <c r="DE20" i="27"/>
  <c r="DD23" i="27"/>
  <c r="DD22" i="27"/>
  <c r="DE32" i="27"/>
  <c r="DE27" i="27"/>
  <c r="DI28" i="27"/>
  <c r="DJ27" i="27"/>
  <c r="DJ30" i="27"/>
  <c r="DE31" i="27"/>
  <c r="DH32" i="27"/>
  <c r="DH25" i="27"/>
  <c r="DG28" i="27"/>
  <c r="DD35" i="27"/>
  <c r="DF42" i="27"/>
  <c r="DF41" i="27"/>
  <c r="DJ42" i="27"/>
  <c r="DD40" i="27"/>
  <c r="DH41" i="27"/>
  <c r="DF13" i="27"/>
  <c r="DH16" i="27"/>
  <c r="DI30" i="27"/>
  <c r="DG30" i="27"/>
  <c r="DD41" i="27"/>
  <c r="DF12" i="27"/>
  <c r="DE14" i="27"/>
  <c r="DD13" i="27"/>
  <c r="DD14" i="27"/>
  <c r="DD15" i="27"/>
  <c r="DF17" i="27"/>
  <c r="DJ14" i="27"/>
  <c r="DJ15" i="27"/>
  <c r="DD21" i="27"/>
  <c r="DH23" i="27"/>
  <c r="DF20" i="27"/>
  <c r="DE30" i="27"/>
  <c r="DH27" i="27"/>
  <c r="DI31" i="27"/>
  <c r="DE36" i="27"/>
  <c r="DI35" i="27"/>
  <c r="DG35" i="27"/>
  <c r="DI29" i="27"/>
  <c r="DF39" i="27"/>
  <c r="DJ40" i="27"/>
  <c r="DJ41" i="27"/>
  <c r="DD39" i="27"/>
  <c r="DH40" i="27"/>
  <c r="DG13" i="27"/>
  <c r="DD9" i="27"/>
  <c r="DJ18" i="27"/>
  <c r="DF40" i="27"/>
  <c r="DE35" i="27"/>
  <c r="DE13" i="27"/>
  <c r="DF11" i="27"/>
  <c r="DE15" i="27"/>
  <c r="DJ13" i="27"/>
  <c r="DD16" i="27"/>
  <c r="DF18" i="27"/>
  <c r="DD11" i="27"/>
  <c r="DD18" i="27"/>
  <c r="DD20" i="27"/>
  <c r="DJ21" i="27"/>
  <c r="DE22" i="27"/>
  <c r="DG23" i="27"/>
  <c r="DE17" i="27"/>
  <c r="DE29" i="27"/>
  <c r="DI32" i="27"/>
  <c r="DD34" i="27"/>
  <c r="DI36" i="27"/>
  <c r="DI34" i="27"/>
  <c r="DG36" i="27"/>
  <c r="DH19" i="27"/>
  <c r="DJ39" i="27"/>
  <c r="DH39" i="27"/>
  <c r="DD42" i="27"/>
  <c r="FO8" i="27"/>
  <c r="FP8" i="27" s="1"/>
  <c r="FQ8" i="27" s="1"/>
  <c r="HQ8" i="27" s="1"/>
  <c r="IT31" i="34" l="1"/>
  <c r="IV31" i="34"/>
  <c r="IW31" i="34"/>
  <c r="IZ31" i="34"/>
  <c r="IU31" i="34"/>
  <c r="IX31" i="34"/>
  <c r="IY31" i="34"/>
  <c r="DL17" i="27"/>
  <c r="DL15" i="27"/>
  <c r="DL20" i="27"/>
  <c r="DL22" i="27"/>
  <c r="DL11" i="27"/>
  <c r="DL19" i="27"/>
  <c r="DL18" i="27"/>
  <c r="DL10" i="27"/>
  <c r="DL16" i="27"/>
  <c r="DL21" i="27"/>
  <c r="DL9" i="27"/>
  <c r="DL12" i="27"/>
  <c r="DL13" i="27"/>
  <c r="DL14" i="27"/>
  <c r="CQ13" i="28"/>
  <c r="HO40" i="7"/>
  <c r="HO34" i="36"/>
  <c r="GE35" i="28"/>
  <c r="HF41" i="36"/>
  <c r="HL41" i="7"/>
  <c r="IX34" i="34"/>
  <c r="GT28" i="28"/>
  <c r="GE28" i="28"/>
  <c r="DL20" i="7"/>
  <c r="HO28" i="36"/>
  <c r="DL9" i="36"/>
  <c r="GZ37" i="36"/>
  <c r="DL15" i="7"/>
  <c r="GZ24" i="7"/>
  <c r="GZ39" i="7"/>
  <c r="JN36" i="34"/>
  <c r="HF18" i="36"/>
  <c r="GE10" i="28"/>
  <c r="AZ14" i="26"/>
  <c r="AZ12" i="26"/>
  <c r="AZ16" i="26"/>
  <c r="AZ22" i="26"/>
  <c r="AZ17" i="26"/>
  <c r="AZ21" i="26"/>
  <c r="AZ19" i="26"/>
  <c r="AZ18" i="26"/>
  <c r="AZ13" i="26"/>
  <c r="AZ20" i="26"/>
  <c r="AZ11" i="26"/>
  <c r="AZ9" i="26"/>
  <c r="AZ10" i="26"/>
  <c r="AZ15" i="26"/>
  <c r="GE21" i="28"/>
  <c r="GX22" i="28"/>
  <c r="GW22" i="28"/>
  <c r="GG22" i="28"/>
  <c r="GK22" i="28"/>
  <c r="GT22" i="28"/>
  <c r="GE22" i="28"/>
  <c r="GI19" i="28"/>
  <c r="GE19" i="28"/>
  <c r="GZ9" i="28"/>
  <c r="CQ22" i="28"/>
  <c r="GI18" i="28"/>
  <c r="GU18" i="28"/>
  <c r="GV18" i="28"/>
  <c r="GK18" i="28"/>
  <c r="GH18" i="28"/>
  <c r="GY18" i="28"/>
  <c r="GT18" i="28"/>
  <c r="GE18" i="28"/>
  <c r="GY12" i="28"/>
  <c r="GT12" i="28"/>
  <c r="GH11" i="28"/>
  <c r="GF11" i="28"/>
  <c r="GG11" i="28"/>
  <c r="GY9" i="28"/>
  <c r="GI9" i="28"/>
  <c r="GH9" i="28"/>
  <c r="GU9" i="28"/>
  <c r="GV9" i="28"/>
  <c r="GK9" i="28"/>
  <c r="GE9" i="28"/>
  <c r="GK8" i="28"/>
  <c r="GK10" i="28"/>
  <c r="GY8" i="28"/>
  <c r="GJ8" i="28"/>
  <c r="GI8" i="28"/>
  <c r="HE22" i="36"/>
  <c r="HR18" i="36"/>
  <c r="HP18" i="36"/>
  <c r="HT18" i="36"/>
  <c r="HE14" i="36"/>
  <c r="HD13" i="36"/>
  <c r="HS19" i="36"/>
  <c r="HA16" i="36"/>
  <c r="HC13" i="36"/>
  <c r="HC9" i="36"/>
  <c r="HF9" i="36"/>
  <c r="HQ18" i="36"/>
  <c r="HU18" i="36"/>
  <c r="HR9" i="36"/>
  <c r="HU9" i="36"/>
  <c r="HT19" i="36"/>
  <c r="HP15" i="36"/>
  <c r="HO15" i="36"/>
  <c r="HC14" i="36"/>
  <c r="HR13" i="36"/>
  <c r="HS13" i="36"/>
  <c r="HQ22" i="36"/>
  <c r="HT22" i="36"/>
  <c r="HR21" i="36"/>
  <c r="HU21" i="36"/>
  <c r="HQ13" i="36"/>
  <c r="HU13" i="36"/>
  <c r="HT13" i="36"/>
  <c r="HR16" i="36"/>
  <c r="HE9" i="36"/>
  <c r="GZ19" i="36"/>
  <c r="HK19" i="36" s="1"/>
  <c r="GY19" i="36" s="1"/>
  <c r="HP13" i="36"/>
  <c r="HE15" i="36"/>
  <c r="HA15" i="36"/>
  <c r="HF15" i="36"/>
  <c r="HD14" i="36"/>
  <c r="HS21" i="36"/>
  <c r="HT21" i="36"/>
  <c r="HT9" i="36"/>
  <c r="HP9" i="36"/>
  <c r="JJ21" i="34"/>
  <c r="IV17" i="34"/>
  <c r="IX17" i="34"/>
  <c r="JJ15" i="34"/>
  <c r="IW19" i="34"/>
  <c r="JK16" i="34"/>
  <c r="JO16" i="34"/>
  <c r="IV19" i="34"/>
  <c r="IY21" i="34"/>
  <c r="JK17" i="34"/>
  <c r="JN21" i="34"/>
  <c r="IU21" i="34"/>
  <c r="IO21" i="34"/>
  <c r="EQ21" i="34" s="1"/>
  <c r="ER21" i="34" s="1"/>
  <c r="IT16" i="34"/>
  <c r="IZ16" i="34"/>
  <c r="IV16" i="34"/>
  <c r="IW16" i="34"/>
  <c r="IU16" i="34"/>
  <c r="IY16" i="34"/>
  <c r="IS17" i="25"/>
  <c r="JB19" i="25"/>
  <c r="IZ19" i="25"/>
  <c r="JA13" i="25"/>
  <c r="HU21" i="7"/>
  <c r="HR14" i="7"/>
  <c r="HS22" i="7"/>
  <c r="HP22" i="7"/>
  <c r="HB22" i="7"/>
  <c r="HR22" i="7"/>
  <c r="HF13" i="7"/>
  <c r="HA13" i="7"/>
  <c r="HF21" i="7"/>
  <c r="HC21" i="7"/>
  <c r="HF15" i="7"/>
  <c r="HT15" i="7"/>
  <c r="HT22" i="7"/>
  <c r="HC22" i="7"/>
  <c r="GZ22" i="7"/>
  <c r="DL19" i="7"/>
  <c r="HR21" i="7"/>
  <c r="HU15" i="7"/>
  <c r="HE15" i="7"/>
  <c r="HC15" i="7"/>
  <c r="HS13" i="7"/>
  <c r="HU13" i="7"/>
  <c r="HP13" i="7"/>
  <c r="HU8" i="7"/>
  <c r="DL22" i="7"/>
  <c r="HD13" i="7"/>
  <c r="HE13" i="7"/>
  <c r="HT13" i="7"/>
  <c r="HR13" i="7"/>
  <c r="HP15" i="7"/>
  <c r="GZ15" i="7"/>
  <c r="HP14" i="7"/>
  <c r="HC14" i="7"/>
  <c r="HF14" i="7"/>
  <c r="HE14" i="7"/>
  <c r="HD14" i="7"/>
  <c r="GZ14" i="7"/>
  <c r="HT8" i="7"/>
  <c r="HQ8" i="7"/>
  <c r="HP8" i="7"/>
  <c r="HR8" i="7"/>
  <c r="HS8" i="7"/>
  <c r="JA22" i="34"/>
  <c r="JB22" i="34"/>
  <c r="IY22" i="34"/>
  <c r="IX22" i="34"/>
  <c r="IW22" i="34"/>
  <c r="IV22" i="34"/>
  <c r="IZ22" i="34"/>
  <c r="IT22" i="34"/>
  <c r="HQ10" i="7"/>
  <c r="HO10" i="7"/>
  <c r="HT10" i="7"/>
  <c r="HR10" i="7"/>
  <c r="HS10" i="7"/>
  <c r="HU10" i="7"/>
  <c r="JQ10" i="34"/>
  <c r="JP10" i="34"/>
  <c r="JL10" i="34"/>
  <c r="JI10" i="34"/>
  <c r="JK10" i="34"/>
  <c r="JM10" i="34"/>
  <c r="JN10" i="34"/>
  <c r="JO10" i="34"/>
  <c r="GG25" i="28"/>
  <c r="GH25" i="28"/>
  <c r="GE25" i="28"/>
  <c r="GJ25" i="28"/>
  <c r="GK25" i="28"/>
  <c r="GI25" i="28"/>
  <c r="GU33" i="7"/>
  <c r="DK33" i="7" s="1"/>
  <c r="GW33" i="7"/>
  <c r="GV33" i="7"/>
  <c r="GZ33" i="7" s="1"/>
  <c r="IP27" i="34"/>
  <c r="IT27" i="34" s="1"/>
  <c r="IO27" i="34"/>
  <c r="IQ27" i="34"/>
  <c r="FZ15" i="28"/>
  <c r="CP15" i="28" s="1"/>
  <c r="GB15" i="28"/>
  <c r="GT15" i="28" s="1"/>
  <c r="GA15" i="28"/>
  <c r="GE15" i="28" s="1"/>
  <c r="GV36" i="7"/>
  <c r="GZ36" i="7" s="1"/>
  <c r="GU36" i="7"/>
  <c r="DK36" i="7" s="1"/>
  <c r="GW36" i="7"/>
  <c r="HO36" i="7" s="1"/>
  <c r="GV37" i="7"/>
  <c r="GZ37" i="7" s="1"/>
  <c r="GU37" i="7"/>
  <c r="DK37" i="7" s="1"/>
  <c r="GW37" i="7"/>
  <c r="GA17" i="28"/>
  <c r="GE17" i="28" s="1"/>
  <c r="FZ17" i="28"/>
  <c r="CP17" i="28" s="1"/>
  <c r="GB17" i="28"/>
  <c r="CJ23" i="28"/>
  <c r="GV35" i="7"/>
  <c r="GU35" i="7"/>
  <c r="DK35" i="7" s="1"/>
  <c r="GW35" i="7"/>
  <c r="GZ35" i="7"/>
  <c r="GU27" i="7"/>
  <c r="DK27" i="7" s="1"/>
  <c r="GW27" i="7"/>
  <c r="HO27" i="7" s="1"/>
  <c r="GV27" i="7"/>
  <c r="GZ27" i="7" s="1"/>
  <c r="IO26" i="34"/>
  <c r="IQ26" i="34"/>
  <c r="IP26" i="34"/>
  <c r="JQ19" i="25"/>
  <c r="IS24" i="25"/>
  <c r="IS23" i="25"/>
  <c r="JA23" i="25" s="1"/>
  <c r="IR39" i="25"/>
  <c r="EQ39" i="25" s="1"/>
  <c r="IT35" i="25"/>
  <c r="JQ38" i="25"/>
  <c r="IO18" i="34"/>
  <c r="EQ18" i="34" s="1"/>
  <c r="ER18" i="34" s="1"/>
  <c r="IP18" i="34"/>
  <c r="IT18" i="34" s="1"/>
  <c r="IQ18" i="34"/>
  <c r="JI18" i="34" s="1"/>
  <c r="HB21" i="36"/>
  <c r="GZ21" i="36"/>
  <c r="HP20" i="7"/>
  <c r="HO20" i="7"/>
  <c r="GU12" i="7"/>
  <c r="DK12" i="7" s="1"/>
  <c r="Q10" i="6" s="1"/>
  <c r="HQ26" i="36"/>
  <c r="HA40" i="7"/>
  <c r="GZ40" i="7"/>
  <c r="HO19" i="7"/>
  <c r="GZ19" i="7"/>
  <c r="IP11" i="34"/>
  <c r="GZ26" i="36"/>
  <c r="HO26" i="36"/>
  <c r="GE33" i="28"/>
  <c r="GE29" i="28"/>
  <c r="GT29" i="28"/>
  <c r="GY29" i="28"/>
  <c r="FZ26" i="28"/>
  <c r="CP26" i="28" s="1"/>
  <c r="CQ26" i="28" s="1"/>
  <c r="JI14" i="34"/>
  <c r="GV35" i="28"/>
  <c r="HU41" i="36"/>
  <c r="HO35" i="36"/>
  <c r="GZ35" i="36"/>
  <c r="HT34" i="36"/>
  <c r="GJ35" i="28"/>
  <c r="JP23" i="34"/>
  <c r="JQ23" i="34"/>
  <c r="JA23" i="34"/>
  <c r="JB23" i="34"/>
  <c r="JI23" i="34"/>
  <c r="JI21" i="34"/>
  <c r="HS26" i="36"/>
  <c r="IU23" i="34"/>
  <c r="HD19" i="7"/>
  <c r="HF23" i="7"/>
  <c r="HA42" i="7"/>
  <c r="HF42" i="7"/>
  <c r="HT19" i="7"/>
  <c r="HO23" i="7"/>
  <c r="GX33" i="28"/>
  <c r="GK35" i="28"/>
  <c r="GE12" i="28"/>
  <c r="GV29" i="28"/>
  <c r="GA23" i="28"/>
  <c r="GB23" i="28"/>
  <c r="HO27" i="36"/>
  <c r="HO23" i="36"/>
  <c r="GZ23" i="36"/>
  <c r="GZ12" i="28"/>
  <c r="IZ14" i="34"/>
  <c r="HE35" i="36"/>
  <c r="IO22" i="34"/>
  <c r="EQ22" i="34" s="1"/>
  <c r="IQ12" i="34"/>
  <c r="HU38" i="36"/>
  <c r="GU36" i="36"/>
  <c r="DK36" i="36" s="1"/>
  <c r="JM23" i="34"/>
  <c r="JO21" i="34"/>
  <c r="JQ8" i="34"/>
  <c r="JP8" i="34"/>
  <c r="IW14" i="34"/>
  <c r="JA15" i="34"/>
  <c r="JB15" i="34"/>
  <c r="JP15" i="34"/>
  <c r="JQ15" i="34"/>
  <c r="IT15" i="34"/>
  <c r="HC42" i="7"/>
  <c r="HU40" i="7"/>
  <c r="HE20" i="7"/>
  <c r="HT42" i="7"/>
  <c r="HD25" i="7"/>
  <c r="HD23" i="7"/>
  <c r="GZ18" i="7"/>
  <c r="HC25" i="7"/>
  <c r="HF19" i="7"/>
  <c r="GU17" i="7"/>
  <c r="DK17" i="7" s="1"/>
  <c r="DL17" i="7" s="1"/>
  <c r="GU11" i="7"/>
  <c r="DK11" i="7" s="1"/>
  <c r="Q9" i="6" s="1"/>
  <c r="HT31" i="7"/>
  <c r="HF20" i="7"/>
  <c r="HF18" i="7"/>
  <c r="HA34" i="7"/>
  <c r="HE34" i="7"/>
  <c r="HC34" i="7"/>
  <c r="HD34" i="7"/>
  <c r="HO31" i="7"/>
  <c r="GZ31" i="7"/>
  <c r="HA30" i="7"/>
  <c r="HB30" i="7"/>
  <c r="HQ30" i="7"/>
  <c r="GZ29" i="7"/>
  <c r="HP23" i="7"/>
  <c r="HC20" i="7"/>
  <c r="HT18" i="7"/>
  <c r="IZ40" i="34"/>
  <c r="JB42" i="34"/>
  <c r="JA42" i="34"/>
  <c r="JQ42" i="34"/>
  <c r="JP42" i="34"/>
  <c r="JI42" i="34"/>
  <c r="JQ40" i="34"/>
  <c r="JP40" i="34"/>
  <c r="JI40" i="34"/>
  <c r="JM34" i="34"/>
  <c r="JP37" i="34"/>
  <c r="JQ37" i="34"/>
  <c r="IT37" i="34"/>
  <c r="JI34" i="34"/>
  <c r="JQ25" i="34"/>
  <c r="JP25" i="34"/>
  <c r="IT25" i="34"/>
  <c r="JI32" i="34"/>
  <c r="IU25" i="34"/>
  <c r="JM25" i="34"/>
  <c r="JP24" i="34"/>
  <c r="JQ24" i="34"/>
  <c r="JI24" i="34"/>
  <c r="IW23" i="34"/>
  <c r="IU24" i="34"/>
  <c r="IZ24" i="34"/>
  <c r="JN15" i="34"/>
  <c r="IX15" i="34"/>
  <c r="HC35" i="36"/>
  <c r="HC34" i="36"/>
  <c r="HB34" i="36"/>
  <c r="HQ30" i="36"/>
  <c r="HE30" i="36"/>
  <c r="HR23" i="36"/>
  <c r="HB23" i="36"/>
  <c r="HE26" i="36"/>
  <c r="HK18" i="36"/>
  <c r="GY18" i="36" s="1"/>
  <c r="HS14" i="36"/>
  <c r="GZ14" i="36"/>
  <c r="HO14" i="36"/>
  <c r="HP16" i="36"/>
  <c r="HC16" i="36"/>
  <c r="GI42" i="28"/>
  <c r="GT42" i="28"/>
  <c r="GE42" i="28"/>
  <c r="GH40" i="28"/>
  <c r="GU40" i="28"/>
  <c r="GT38" i="28"/>
  <c r="GE38" i="28"/>
  <c r="GH34" i="28"/>
  <c r="GU29" i="28"/>
  <c r="GG27" i="28"/>
  <c r="GA20" i="28"/>
  <c r="GB20" i="28"/>
  <c r="GV21" i="28"/>
  <c r="GF21" i="28"/>
  <c r="GU36" i="28"/>
  <c r="GT36" i="28"/>
  <c r="GG13" i="28"/>
  <c r="GE13" i="28"/>
  <c r="HD34" i="36"/>
  <c r="HC27" i="36"/>
  <c r="GX36" i="28"/>
  <c r="GW29" i="28"/>
  <c r="HU26" i="36"/>
  <c r="HT40" i="7"/>
  <c r="HS40" i="7"/>
  <c r="HC30" i="7"/>
  <c r="HP19" i="7"/>
  <c r="IU32" i="34"/>
  <c r="IO10" i="34"/>
  <c r="EQ10" i="34" s="1"/>
  <c r="W8" i="6" s="1"/>
  <c r="JJ14" i="34"/>
  <c r="GP39" i="28"/>
  <c r="GD39" i="28" s="1"/>
  <c r="GJ42" i="28"/>
  <c r="GX34" i="28"/>
  <c r="GX21" i="28"/>
  <c r="HD41" i="36"/>
  <c r="HU27" i="36"/>
  <c r="HS22" i="36"/>
  <c r="HP14" i="36"/>
  <c r="GY40" i="28"/>
  <c r="GJ38" i="28"/>
  <c r="GX35" i="28"/>
  <c r="FZ31" i="28"/>
  <c r="CP31" i="28" s="1"/>
  <c r="HQ39" i="36"/>
  <c r="HS39" i="36"/>
  <c r="HS35" i="36"/>
  <c r="HQ31" i="36"/>
  <c r="HB29" i="36"/>
  <c r="HF29" i="36"/>
  <c r="GF35" i="28"/>
  <c r="GA32" i="28"/>
  <c r="FZ32" i="28"/>
  <c r="CP32" i="28" s="1"/>
  <c r="HU33" i="36"/>
  <c r="HP32" i="36"/>
  <c r="HC28" i="36"/>
  <c r="HA26" i="36"/>
  <c r="JO32" i="34"/>
  <c r="JN37" i="34"/>
  <c r="IX21" i="34"/>
  <c r="HF39" i="36"/>
  <c r="IW15" i="34"/>
  <c r="IY42" i="34"/>
  <c r="IY40" i="34"/>
  <c r="JO23" i="34"/>
  <c r="IY23" i="34"/>
  <c r="HQ18" i="7"/>
  <c r="HQ23" i="7"/>
  <c r="HD20" i="7"/>
  <c r="GU33" i="28"/>
  <c r="GK42" i="28"/>
  <c r="GK40" i="28"/>
  <c r="GK38" i="28"/>
  <c r="GU34" i="28"/>
  <c r="GZ33" i="28"/>
  <c r="GF30" i="28"/>
  <c r="GK30" i="28"/>
  <c r="GY27" i="28"/>
  <c r="HE27" i="28" s="1"/>
  <c r="HF27" i="28" s="1"/>
  <c r="GX12" i="28"/>
  <c r="GW21" i="28"/>
  <c r="GG30" i="28"/>
  <c r="HB25" i="36"/>
  <c r="GH35" i="28"/>
  <c r="GW33" i="28"/>
  <c r="GX29" i="28"/>
  <c r="GX28" i="28"/>
  <c r="HE28" i="28" s="1"/>
  <c r="GB25" i="28"/>
  <c r="HU35" i="36"/>
  <c r="HE27" i="36"/>
  <c r="HC24" i="36"/>
  <c r="HL24" i="36" s="1"/>
  <c r="HM24" i="36" s="1"/>
  <c r="HP24" i="36"/>
  <c r="HZ24" i="36" s="1"/>
  <c r="IA24" i="36" s="1"/>
  <c r="HE23" i="36"/>
  <c r="GF14" i="28"/>
  <c r="GG14" i="28"/>
  <c r="HQ9" i="36"/>
  <c r="GW27" i="28"/>
  <c r="HT16" i="36"/>
  <c r="GU13" i="28"/>
  <c r="HQ38" i="36"/>
  <c r="IQ33" i="34"/>
  <c r="IV23" i="34"/>
  <c r="HB16" i="36"/>
  <c r="IW42" i="34"/>
  <c r="IW40" i="34"/>
  <c r="IV37" i="34"/>
  <c r="JL25" i="34"/>
  <c r="JP19" i="34"/>
  <c r="JQ19" i="34"/>
  <c r="JI19" i="34"/>
  <c r="JP17" i="34"/>
  <c r="JQ17" i="34"/>
  <c r="JI17" i="34"/>
  <c r="JK32" i="34"/>
  <c r="IZ25" i="34"/>
  <c r="IX19" i="34"/>
  <c r="JM37" i="34"/>
  <c r="GU11" i="36"/>
  <c r="DK11" i="36" s="1"/>
  <c r="Y9" i="6" s="1"/>
  <c r="IV34" i="34"/>
  <c r="HQ42" i="7"/>
  <c r="HB34" i="7"/>
  <c r="HQ40" i="7"/>
  <c r="HC29" i="7"/>
  <c r="HC40" i="7"/>
  <c r="HF32" i="7"/>
  <c r="HB32" i="7"/>
  <c r="HT29" i="7"/>
  <c r="GV10" i="7"/>
  <c r="GU9" i="7"/>
  <c r="DK9" i="7" s="1"/>
  <c r="HS42" i="7"/>
  <c r="HU30" i="7"/>
  <c r="HF24" i="7"/>
  <c r="HL24" i="7" s="1"/>
  <c r="HM24" i="7" s="1"/>
  <c r="HS18" i="7"/>
  <c r="HS15" i="7"/>
  <c r="HP32" i="7"/>
  <c r="HC31" i="7"/>
  <c r="HU25" i="7"/>
  <c r="HB21" i="7"/>
  <c r="HE21" i="7"/>
  <c r="HO21" i="7"/>
  <c r="HT21" i="7"/>
  <c r="HF22" i="7"/>
  <c r="HP21" i="7"/>
  <c r="HP31" i="7"/>
  <c r="HT25" i="7"/>
  <c r="HB20" i="7"/>
  <c r="HP29" i="7"/>
  <c r="HP25" i="7"/>
  <c r="HS31" i="7"/>
  <c r="HS30" i="7"/>
  <c r="HS29" i="7"/>
  <c r="HR23" i="7"/>
  <c r="HE23" i="7"/>
  <c r="HR19" i="7"/>
  <c r="HP18" i="7"/>
  <c r="HB15" i="7"/>
  <c r="IT41" i="25"/>
  <c r="JO37" i="34"/>
  <c r="IX42" i="34"/>
  <c r="JK42" i="34"/>
  <c r="JM40" i="34"/>
  <c r="JB41" i="34"/>
  <c r="JA41" i="34"/>
  <c r="IT41" i="34"/>
  <c r="JA39" i="34"/>
  <c r="JB39" i="34"/>
  <c r="IT39" i="34"/>
  <c r="JQ38" i="34"/>
  <c r="JP38" i="34"/>
  <c r="JB36" i="34"/>
  <c r="JA36" i="34"/>
  <c r="IT36" i="34"/>
  <c r="JQ16" i="34"/>
  <c r="JP16" i="34"/>
  <c r="JM24" i="34"/>
  <c r="IW17" i="34"/>
  <c r="IV15" i="34"/>
  <c r="IZ15" i="34"/>
  <c r="JN14" i="34"/>
  <c r="HT41" i="36"/>
  <c r="HC41" i="36"/>
  <c r="HE39" i="36"/>
  <c r="HC39" i="36"/>
  <c r="HT37" i="36"/>
  <c r="HR37" i="36"/>
  <c r="HR30" i="36"/>
  <c r="HP42" i="36"/>
  <c r="HP38" i="36"/>
  <c r="HU34" i="36"/>
  <c r="HB32" i="36"/>
  <c r="HL32" i="36" s="1"/>
  <c r="HM32" i="36" s="1"/>
  <c r="HB28" i="36"/>
  <c r="HE38" i="36"/>
  <c r="HC38" i="36"/>
  <c r="HR33" i="36"/>
  <c r="HU22" i="36"/>
  <c r="HE33" i="36"/>
  <c r="HT31" i="36"/>
  <c r="HE29" i="36"/>
  <c r="HR26" i="36"/>
  <c r="HQ25" i="36"/>
  <c r="HF23" i="36"/>
  <c r="HA34" i="36"/>
  <c r="HA31" i="36"/>
  <c r="HA30" i="36"/>
  <c r="HP29" i="36"/>
  <c r="HC22" i="36"/>
  <c r="HA25" i="36"/>
  <c r="HA22" i="36"/>
  <c r="HA21" i="36"/>
  <c r="HS16" i="36"/>
  <c r="HF14" i="36"/>
  <c r="HB14" i="36"/>
  <c r="HF16" i="36"/>
  <c r="HB15" i="36"/>
  <c r="HE41" i="28"/>
  <c r="GX40" i="28"/>
  <c r="HE40" i="28" s="1"/>
  <c r="HF40" i="28" s="1"/>
  <c r="GX38" i="28"/>
  <c r="GP41" i="28"/>
  <c r="GD41" i="28" s="1"/>
  <c r="GY34" i="28"/>
  <c r="GJ33" i="28"/>
  <c r="GU30" i="28"/>
  <c r="GJ22" i="28"/>
  <c r="GU27" i="28"/>
  <c r="GY21" i="28"/>
  <c r="GZ21" i="28"/>
  <c r="GF19" i="28"/>
  <c r="GU19" i="28"/>
  <c r="GX13" i="28"/>
  <c r="GF12" i="28"/>
  <c r="GT10" i="28"/>
  <c r="GY13" i="28"/>
  <c r="GX10" i="28"/>
  <c r="GP36" i="28"/>
  <c r="GD36" i="28" s="1"/>
  <c r="GP9" i="28"/>
  <c r="GD9" i="28" s="1"/>
  <c r="HK41" i="7"/>
  <c r="GY41" i="7" s="1"/>
  <c r="HB42" i="36"/>
  <c r="IP35" i="34"/>
  <c r="IT35" i="34" s="1"/>
  <c r="IO35" i="34"/>
  <c r="IQ35" i="34"/>
  <c r="JJ10" i="34"/>
  <c r="IG20" i="34"/>
  <c r="EI20" i="34" s="1"/>
  <c r="IG9" i="34"/>
  <c r="IU22" i="34"/>
  <c r="GU28" i="7"/>
  <c r="DK28" i="7" s="1"/>
  <c r="GW28" i="7"/>
  <c r="HO28" i="7" s="1"/>
  <c r="GV28" i="7"/>
  <c r="GZ28" i="7" s="1"/>
  <c r="HP10" i="7"/>
  <c r="IP30" i="34"/>
  <c r="IO30" i="34"/>
  <c r="IQ30" i="34"/>
  <c r="JI30" i="34" s="1"/>
  <c r="DD38" i="7"/>
  <c r="GV38" i="7"/>
  <c r="GZ38" i="7" s="1"/>
  <c r="GU38" i="7"/>
  <c r="DK38" i="7" s="1"/>
  <c r="GW38" i="7"/>
  <c r="IP29" i="34"/>
  <c r="IQ29" i="34"/>
  <c r="IO29" i="34"/>
  <c r="FZ16" i="28"/>
  <c r="CP16" i="28" s="1"/>
  <c r="GB16" i="28"/>
  <c r="GE16" i="28"/>
  <c r="GA16" i="28"/>
  <c r="GT16" i="28"/>
  <c r="CJ25" i="28"/>
  <c r="GU25" i="28"/>
  <c r="GF25" i="28"/>
  <c r="IP28" i="34"/>
  <c r="IQ28" i="34"/>
  <c r="IO28" i="34"/>
  <c r="GV12" i="7"/>
  <c r="GW12" i="7"/>
  <c r="IO11" i="34"/>
  <c r="EQ11" i="34" s="1"/>
  <c r="W9" i="6" s="1"/>
  <c r="IQ11" i="34"/>
  <c r="GG29" i="28"/>
  <c r="GJ29" i="28"/>
  <c r="GA26" i="28"/>
  <c r="GB26" i="28"/>
  <c r="GU26" i="28" s="1"/>
  <c r="GZ34" i="36"/>
  <c r="HO30" i="36"/>
  <c r="JQ14" i="34"/>
  <c r="JP14" i="34"/>
  <c r="JB14" i="34"/>
  <c r="JA14" i="34"/>
  <c r="IT14" i="34"/>
  <c r="HE34" i="36"/>
  <c r="JP21" i="34"/>
  <c r="JQ21" i="34"/>
  <c r="JA21" i="34"/>
  <c r="JB21" i="34"/>
  <c r="IT21" i="34"/>
  <c r="GV12" i="36"/>
  <c r="HA12" i="36" s="1"/>
  <c r="GW12" i="36"/>
  <c r="HD26" i="36"/>
  <c r="HK26" i="36" s="1"/>
  <c r="GY26" i="36" s="1"/>
  <c r="HD21" i="36"/>
  <c r="JF39" i="34"/>
  <c r="JG39" i="34" s="1"/>
  <c r="HS19" i="7"/>
  <c r="HO42" i="7"/>
  <c r="HE19" i="7"/>
  <c r="GI33" i="28"/>
  <c r="GZ35" i="28"/>
  <c r="GH12" i="28"/>
  <c r="GA24" i="28"/>
  <c r="GB24" i="28"/>
  <c r="FZ23" i="28"/>
  <c r="CP23" i="28" s="1"/>
  <c r="CQ23" i="28" s="1"/>
  <c r="HQ27" i="36"/>
  <c r="HQ23" i="36"/>
  <c r="GK12" i="28"/>
  <c r="JO14" i="34"/>
  <c r="HT35" i="36"/>
  <c r="IQ22" i="34"/>
  <c r="IP12" i="34"/>
  <c r="IO12" i="34"/>
  <c r="EQ12" i="34" s="1"/>
  <c r="W10" i="6" s="1"/>
  <c r="HF38" i="36"/>
  <c r="GV36" i="36"/>
  <c r="GW36" i="36"/>
  <c r="IX23" i="34"/>
  <c r="JE23" i="34" s="1"/>
  <c r="IZ21" i="34"/>
  <c r="JB8" i="34"/>
  <c r="JA8" i="34"/>
  <c r="JL14" i="34"/>
  <c r="GV10" i="36"/>
  <c r="GW10" i="36"/>
  <c r="HR42" i="7"/>
  <c r="HL39" i="7"/>
  <c r="HF40" i="7"/>
  <c r="HT20" i="7"/>
  <c r="HE42" i="7"/>
  <c r="HZ25" i="7"/>
  <c r="HS23" i="7"/>
  <c r="GW26" i="7"/>
  <c r="HQ26" i="7" s="1"/>
  <c r="GV26" i="7"/>
  <c r="HB26" i="7" s="1"/>
  <c r="GW17" i="7"/>
  <c r="GV17" i="7"/>
  <c r="GV11" i="7"/>
  <c r="GW11" i="7"/>
  <c r="HU20" i="7"/>
  <c r="HU18" i="7"/>
  <c r="HR34" i="7"/>
  <c r="HT34" i="7"/>
  <c r="HO34" i="7"/>
  <c r="HS34" i="7"/>
  <c r="HR20" i="7"/>
  <c r="HE18" i="7"/>
  <c r="JB40" i="34"/>
  <c r="JA40" i="34"/>
  <c r="IT40" i="34"/>
  <c r="JA37" i="34"/>
  <c r="JB37" i="34"/>
  <c r="JA34" i="34"/>
  <c r="JB34" i="34"/>
  <c r="JP34" i="34"/>
  <c r="JQ34" i="34"/>
  <c r="IT34" i="34"/>
  <c r="JB25" i="34"/>
  <c r="JA25" i="34"/>
  <c r="JA32" i="34"/>
  <c r="JB32" i="34"/>
  <c r="JP32" i="34"/>
  <c r="JQ32" i="34"/>
  <c r="IT32" i="34"/>
  <c r="IX25" i="34"/>
  <c r="JA24" i="34"/>
  <c r="JB24" i="34"/>
  <c r="IT24" i="34"/>
  <c r="JL23" i="34"/>
  <c r="IY15" i="34"/>
  <c r="JM14" i="34"/>
  <c r="JM15" i="34"/>
  <c r="HR35" i="36"/>
  <c r="HR34" i="36"/>
  <c r="HQ34" i="36"/>
  <c r="HB30" i="36"/>
  <c r="HT30" i="36"/>
  <c r="HC23" i="36"/>
  <c r="HC21" i="36"/>
  <c r="HF21" i="36"/>
  <c r="HT26" i="36"/>
  <c r="HE21" i="36"/>
  <c r="GQ36" i="28"/>
  <c r="GF29" i="28"/>
  <c r="FZ20" i="28"/>
  <c r="CP20" i="28" s="1"/>
  <c r="GU21" i="28"/>
  <c r="HS34" i="36"/>
  <c r="HZ34" i="36" s="1"/>
  <c r="HR27" i="36"/>
  <c r="GH29" i="28"/>
  <c r="HF26" i="36"/>
  <c r="HO22" i="36"/>
  <c r="GZ22" i="36"/>
  <c r="HE40" i="7"/>
  <c r="HL40" i="7" s="1"/>
  <c r="HD40" i="7"/>
  <c r="HR30" i="7"/>
  <c r="JJ32" i="34"/>
  <c r="JL24" i="34"/>
  <c r="IP10" i="34"/>
  <c r="IU14" i="34"/>
  <c r="HB33" i="36"/>
  <c r="GY42" i="28"/>
  <c r="HE42" i="28" s="1"/>
  <c r="HF42" i="28" s="1"/>
  <c r="GI34" i="28"/>
  <c r="GZ29" i="28"/>
  <c r="GI21" i="28"/>
  <c r="HS41" i="36"/>
  <c r="HF27" i="36"/>
  <c r="HD22" i="36"/>
  <c r="GJ40" i="28"/>
  <c r="GY38" i="28"/>
  <c r="GV36" i="28"/>
  <c r="GI35" i="28"/>
  <c r="GA31" i="28"/>
  <c r="GG31" i="28" s="1"/>
  <c r="GB31" i="28"/>
  <c r="HO39" i="36"/>
  <c r="GZ39" i="36"/>
  <c r="HK39" i="36" s="1"/>
  <c r="GY39" i="36" s="1"/>
  <c r="HD35" i="36"/>
  <c r="GZ31" i="36"/>
  <c r="GZ29" i="36"/>
  <c r="HO29" i="36"/>
  <c r="GU35" i="28"/>
  <c r="GV33" i="28"/>
  <c r="GB32" i="28"/>
  <c r="GV32" i="28" s="1"/>
  <c r="HC40" i="36"/>
  <c r="HP40" i="36"/>
  <c r="HZ40" i="36" s="1"/>
  <c r="IA40" i="36" s="1"/>
  <c r="HF33" i="36"/>
  <c r="HL33" i="36" s="1"/>
  <c r="HM33" i="36" s="1"/>
  <c r="HO32" i="36"/>
  <c r="HC32" i="36"/>
  <c r="GZ28" i="36"/>
  <c r="IZ32" i="34"/>
  <c r="IY37" i="34"/>
  <c r="JM21" i="34"/>
  <c r="HU39" i="36"/>
  <c r="JL15" i="34"/>
  <c r="JN42" i="34"/>
  <c r="JN40" i="34"/>
  <c r="IU34" i="34"/>
  <c r="IZ23" i="34"/>
  <c r="JN23" i="34"/>
  <c r="HB18" i="7"/>
  <c r="HK39" i="7"/>
  <c r="GY39" i="7" s="1"/>
  <c r="GZ32" i="7"/>
  <c r="HB23" i="7"/>
  <c r="HA20" i="7"/>
  <c r="HP42" i="7"/>
  <c r="HS20" i="7"/>
  <c r="GB37" i="28"/>
  <c r="GA37" i="28"/>
  <c r="GF33" i="28"/>
  <c r="GZ40" i="28"/>
  <c r="GW36" i="28"/>
  <c r="GK33" i="28"/>
  <c r="GE30" i="28"/>
  <c r="GP30" i="28" s="1"/>
  <c r="GD30" i="28" s="1"/>
  <c r="GJ27" i="28"/>
  <c r="GI12" i="28"/>
  <c r="GZ36" i="28"/>
  <c r="GH21" i="28"/>
  <c r="GV30" i="28"/>
  <c r="HO25" i="36"/>
  <c r="HZ25" i="36" s="1"/>
  <c r="IA25" i="36" s="1"/>
  <c r="GW35" i="28"/>
  <c r="GH33" i="28"/>
  <c r="GI29" i="28"/>
  <c r="GI28" i="28"/>
  <c r="FZ25" i="28"/>
  <c r="CP25" i="28" s="1"/>
  <c r="CQ25" i="28" s="1"/>
  <c r="HF35" i="36"/>
  <c r="HT27" i="36"/>
  <c r="HZ27" i="36" s="1"/>
  <c r="IA27" i="36" s="1"/>
  <c r="HK24" i="36"/>
  <c r="GY24" i="36" s="1"/>
  <c r="HT23" i="36"/>
  <c r="GP14" i="28"/>
  <c r="GD14" i="28" s="1"/>
  <c r="HQ29" i="36"/>
  <c r="GH27" i="28"/>
  <c r="GU20" i="36"/>
  <c r="DK20" i="36" s="1"/>
  <c r="GW20" i="36"/>
  <c r="GV20" i="36"/>
  <c r="HA20" i="36" s="1"/>
  <c r="HE16" i="36"/>
  <c r="JK21" i="34"/>
  <c r="GJ19" i="28"/>
  <c r="GH19" i="28"/>
  <c r="GV19" i="28"/>
  <c r="GY19" i="28"/>
  <c r="GW19" i="28"/>
  <c r="GF13" i="28"/>
  <c r="HB38" i="36"/>
  <c r="HK38" i="36" s="1"/>
  <c r="GY38" i="36" s="1"/>
  <c r="IO33" i="34"/>
  <c r="IP33" i="34"/>
  <c r="JK23" i="34"/>
  <c r="HO42" i="36"/>
  <c r="HB40" i="36"/>
  <c r="HQ16" i="36"/>
  <c r="JL42" i="34"/>
  <c r="JL40" i="34"/>
  <c r="JK37" i="34"/>
  <c r="JN32" i="34"/>
  <c r="JT32" i="34" s="1"/>
  <c r="IW25" i="34"/>
  <c r="JA19" i="34"/>
  <c r="JB19" i="34"/>
  <c r="IT19" i="34"/>
  <c r="JA17" i="34"/>
  <c r="JB17" i="34"/>
  <c r="IT17" i="34"/>
  <c r="IV32" i="34"/>
  <c r="JO25" i="34"/>
  <c r="JM19" i="34"/>
  <c r="IP13" i="34"/>
  <c r="IQ13" i="34"/>
  <c r="JJ13" i="34" s="1"/>
  <c r="IX37" i="34"/>
  <c r="GV11" i="36"/>
  <c r="HA11" i="36" s="1"/>
  <c r="GW11" i="36"/>
  <c r="HD9" i="36"/>
  <c r="JK34" i="34"/>
  <c r="JO41" i="25"/>
  <c r="HB42" i="7"/>
  <c r="HQ34" i="7"/>
  <c r="HR29" i="7"/>
  <c r="HO15" i="7"/>
  <c r="HZ41" i="7"/>
  <c r="HU32" i="7"/>
  <c r="HZ32" i="7" s="1"/>
  <c r="IA32" i="7" s="1"/>
  <c r="HQ32" i="7"/>
  <c r="HE29" i="7"/>
  <c r="HP24" i="7"/>
  <c r="HZ24" i="7"/>
  <c r="IA24" i="7" s="1"/>
  <c r="GW16" i="7"/>
  <c r="GV16" i="7"/>
  <c r="GU10" i="7"/>
  <c r="DK10" i="7" s="1"/>
  <c r="Q8" i="6" s="1"/>
  <c r="GV9" i="7"/>
  <c r="GW9" i="7"/>
  <c r="HD42" i="7"/>
  <c r="HL42" i="7" s="1"/>
  <c r="HM42" i="7" s="1"/>
  <c r="HO39" i="7"/>
  <c r="HZ39" i="7" s="1"/>
  <c r="IA39" i="7" s="1"/>
  <c r="HF30" i="7"/>
  <c r="HU24" i="7"/>
  <c r="HD18" i="7"/>
  <c r="HD15" i="7"/>
  <c r="HF25" i="7"/>
  <c r="DF19" i="7"/>
  <c r="HB19" i="7"/>
  <c r="HQ19" i="7"/>
  <c r="HQ21" i="7"/>
  <c r="HU22" i="7"/>
  <c r="HA21" i="7"/>
  <c r="HA31" i="7"/>
  <c r="HL31" i="7" s="1"/>
  <c r="HM31" i="7" s="1"/>
  <c r="HE25" i="7"/>
  <c r="HK25" i="7" s="1"/>
  <c r="GY25" i="7" s="1"/>
  <c r="HQ20" i="7"/>
  <c r="HA29" i="7"/>
  <c r="HD30" i="7"/>
  <c r="HC23" i="7"/>
  <c r="HC19" i="7"/>
  <c r="HB13" i="7"/>
  <c r="HQ13" i="7"/>
  <c r="HA14" i="7"/>
  <c r="HQ14" i="7"/>
  <c r="IS41" i="25"/>
  <c r="IZ37" i="34"/>
  <c r="JM42" i="34"/>
  <c r="IV42" i="34"/>
  <c r="JE42" i="34" s="1"/>
  <c r="IS42" i="34" s="1"/>
  <c r="IZ41" i="34"/>
  <c r="JF41" i="34" s="1"/>
  <c r="JG41" i="34" s="1"/>
  <c r="IX40" i="34"/>
  <c r="JK40" i="34"/>
  <c r="JQ41" i="34"/>
  <c r="JP41" i="34"/>
  <c r="JT41" i="34" s="1"/>
  <c r="JI41" i="34"/>
  <c r="JP39" i="34"/>
  <c r="JQ39" i="34"/>
  <c r="JI39" i="34"/>
  <c r="IY36" i="34"/>
  <c r="JF36" i="34" s="1"/>
  <c r="JG36" i="34" s="1"/>
  <c r="JN34" i="34"/>
  <c r="JT34" i="34" s="1"/>
  <c r="JU34" i="34" s="1"/>
  <c r="IW32" i="34"/>
  <c r="JL37" i="34"/>
  <c r="JB38" i="34"/>
  <c r="JA38" i="34"/>
  <c r="JF38" i="34" s="1"/>
  <c r="JG38" i="34" s="1"/>
  <c r="JI38" i="34"/>
  <c r="JT38" i="34" s="1"/>
  <c r="JQ36" i="34"/>
  <c r="JP36" i="34"/>
  <c r="JI36" i="34"/>
  <c r="JN25" i="34"/>
  <c r="IW21" i="34"/>
  <c r="JB16" i="34"/>
  <c r="JA16" i="34"/>
  <c r="JI16" i="34"/>
  <c r="IX24" i="34"/>
  <c r="JF24" i="34" s="1"/>
  <c r="JG24" i="34" s="1"/>
  <c r="JL17" i="34"/>
  <c r="JN19" i="34"/>
  <c r="JN17" i="34"/>
  <c r="JK15" i="34"/>
  <c r="JM16" i="34"/>
  <c r="JO15" i="34"/>
  <c r="IY14" i="34"/>
  <c r="HE41" i="36"/>
  <c r="HL41" i="36" s="1"/>
  <c r="HT39" i="36"/>
  <c r="HR39" i="36"/>
  <c r="HE37" i="36"/>
  <c r="HC37" i="36"/>
  <c r="HK37" i="36" s="1"/>
  <c r="GY37" i="36" s="1"/>
  <c r="HR32" i="36"/>
  <c r="HC30" i="36"/>
  <c r="HA42" i="36"/>
  <c r="HL42" i="36" s="1"/>
  <c r="HM42" i="36" s="1"/>
  <c r="HQ32" i="36"/>
  <c r="HZ32" i="36" s="1"/>
  <c r="IA32" i="36" s="1"/>
  <c r="HQ28" i="36"/>
  <c r="HZ28" i="36" s="1"/>
  <c r="IA28" i="36" s="1"/>
  <c r="HT38" i="36"/>
  <c r="HZ38" i="36" s="1"/>
  <c r="IA38" i="36" s="1"/>
  <c r="HC33" i="36"/>
  <c r="HT33" i="36"/>
  <c r="HZ33" i="36" s="1"/>
  <c r="HT29" i="36"/>
  <c r="HU23" i="36"/>
  <c r="HQ21" i="36"/>
  <c r="HP31" i="36"/>
  <c r="HP30" i="36"/>
  <c r="HA29" i="36"/>
  <c r="HA28" i="36"/>
  <c r="HR22" i="36"/>
  <c r="HQ19" i="36"/>
  <c r="GU17" i="36"/>
  <c r="DK17" i="36" s="1"/>
  <c r="DL17" i="36" s="1"/>
  <c r="GW17" i="36"/>
  <c r="GV17" i="36"/>
  <c r="GZ17" i="36" s="1"/>
  <c r="HO17" i="36"/>
  <c r="HP21" i="36"/>
  <c r="HQ15" i="36"/>
  <c r="HD16" i="36"/>
  <c r="HU14" i="36"/>
  <c r="HU16" i="36"/>
  <c r="HB13" i="36"/>
  <c r="GI40" i="28"/>
  <c r="GQ40" i="28" s="1"/>
  <c r="GR40" i="28" s="1"/>
  <c r="GI38" i="28"/>
  <c r="GV39" i="28"/>
  <c r="HE39" i="28" s="1"/>
  <c r="HF39" i="28" s="1"/>
  <c r="GJ34" i="28"/>
  <c r="GQ34" i="28" s="1"/>
  <c r="GY33" i="28"/>
  <c r="GF28" i="28"/>
  <c r="GP28" i="28" s="1"/>
  <c r="GD28" i="28" s="1"/>
  <c r="GY22" i="28"/>
  <c r="GJ21" i="28"/>
  <c r="GK21" i="28"/>
  <c r="GZ19" i="28"/>
  <c r="GI13" i="28"/>
  <c r="GV11" i="28"/>
  <c r="GJ13" i="28"/>
  <c r="GU14" i="28"/>
  <c r="GV12" i="28"/>
  <c r="GI10" i="28"/>
  <c r="GP10" i="28" s="1"/>
  <c r="GD10" i="28" s="1"/>
  <c r="IV14" i="34"/>
  <c r="JQ31" i="34"/>
  <c r="JP31" i="34"/>
  <c r="JB31" i="34"/>
  <c r="JA31" i="34"/>
  <c r="JI31" i="34"/>
  <c r="HQ42" i="36"/>
  <c r="EQ27" i="34"/>
  <c r="ER27" i="34" s="1"/>
  <c r="EH18" i="34"/>
  <c r="EQ30" i="34"/>
  <c r="ER30" i="34" s="1"/>
  <c r="EH27" i="34"/>
  <c r="EQ33" i="34"/>
  <c r="EQ35" i="34"/>
  <c r="EQ26" i="34"/>
  <c r="EQ13" i="34"/>
  <c r="ER13" i="34" s="1"/>
  <c r="EQ29" i="34"/>
  <c r="ER29" i="34" s="1"/>
  <c r="EQ28" i="34"/>
  <c r="GQ34" i="26"/>
  <c r="GQ36" i="26"/>
  <c r="HF31" i="26"/>
  <c r="HF37" i="26"/>
  <c r="GQ25" i="26"/>
  <c r="GQ30" i="26"/>
  <c r="GQ41" i="26"/>
  <c r="HF35" i="26"/>
  <c r="GQ35" i="26"/>
  <c r="HF30" i="26"/>
  <c r="GQ31" i="26"/>
  <c r="GQ33" i="26"/>
  <c r="GQ39" i="26"/>
  <c r="HF33" i="26"/>
  <c r="HF25" i="26"/>
  <c r="HF41" i="26"/>
  <c r="GQ37" i="26"/>
  <c r="HG37" i="26" s="1"/>
  <c r="BA37" i="26" s="1"/>
  <c r="HF39" i="26"/>
  <c r="HF29" i="26"/>
  <c r="HF42" i="26"/>
  <c r="HF32" i="26"/>
  <c r="GQ32" i="26"/>
  <c r="HF24" i="26"/>
  <c r="HF26" i="26"/>
  <c r="HF28" i="26"/>
  <c r="GQ42" i="26"/>
  <c r="HG42" i="26" s="1"/>
  <c r="BA42" i="26" s="1"/>
  <c r="HF40" i="26"/>
  <c r="HF27" i="26"/>
  <c r="GQ29" i="26"/>
  <c r="HF36" i="26"/>
  <c r="GQ40" i="26"/>
  <c r="GQ27" i="26"/>
  <c r="HF34" i="26"/>
  <c r="GQ28" i="26"/>
  <c r="GQ23" i="26"/>
  <c r="HF23" i="26"/>
  <c r="GQ24" i="26"/>
  <c r="GQ38" i="26"/>
  <c r="HF38" i="26"/>
  <c r="GQ26" i="26"/>
  <c r="HM40" i="7"/>
  <c r="HM39" i="7"/>
  <c r="IA25" i="7"/>
  <c r="HM41" i="7"/>
  <c r="IA41" i="7"/>
  <c r="IA33" i="36"/>
  <c r="IA34" i="36"/>
  <c r="HM41" i="36"/>
  <c r="GR39" i="28"/>
  <c r="GR34" i="28"/>
  <c r="HF41" i="28"/>
  <c r="HF28" i="28"/>
  <c r="GR36" i="28"/>
  <c r="GR41" i="28"/>
  <c r="IR28" i="27"/>
  <c r="IR32" i="27"/>
  <c r="JF28" i="27"/>
  <c r="JF29" i="27"/>
  <c r="JF31" i="27"/>
  <c r="JF35" i="27"/>
  <c r="JF39" i="27"/>
  <c r="IR25" i="27"/>
  <c r="JF25" i="27"/>
  <c r="JF40" i="27"/>
  <c r="JF33" i="27"/>
  <c r="JF23" i="27"/>
  <c r="JF37" i="27"/>
  <c r="IR40" i="27"/>
  <c r="IR39" i="27"/>
  <c r="IR29" i="27"/>
  <c r="IR23" i="27"/>
  <c r="JF32" i="27"/>
  <c r="IR37" i="27"/>
  <c r="JG37" i="27" s="1"/>
  <c r="DM37" i="27" s="1"/>
  <c r="JF24" i="27"/>
  <c r="IR42" i="27"/>
  <c r="JF42" i="27"/>
  <c r="IR31" i="27"/>
  <c r="IR33" i="27"/>
  <c r="IR24" i="27"/>
  <c r="JF41" i="27"/>
  <c r="IR30" i="27"/>
  <c r="JF38" i="27"/>
  <c r="IR41" i="27"/>
  <c r="IR38" i="27"/>
  <c r="IR36" i="27"/>
  <c r="IR26" i="27"/>
  <c r="JF34" i="27"/>
  <c r="JF26" i="27"/>
  <c r="JF27" i="27"/>
  <c r="IR34" i="27"/>
  <c r="IR35" i="27"/>
  <c r="JF36" i="27"/>
  <c r="IR27" i="27"/>
  <c r="JG27" i="27" s="1"/>
  <c r="DM27" i="27" s="1"/>
  <c r="JF30" i="27"/>
  <c r="HZ8" i="27"/>
  <c r="DK8" i="27" s="1"/>
  <c r="IA8" i="27"/>
  <c r="IB8" i="27"/>
  <c r="DE34" i="27"/>
  <c r="DD28" i="27"/>
  <c r="AB8" i="6"/>
  <c r="AA8" i="6"/>
  <c r="AM8" i="26"/>
  <c r="FH8" i="26"/>
  <c r="FI8" i="26" s="1"/>
  <c r="FJ8" i="26" s="1"/>
  <c r="FW8" i="26" s="1"/>
  <c r="JE35" i="25"/>
  <c r="JD35" i="25"/>
  <c r="JC35" i="25"/>
  <c r="JB35" i="25"/>
  <c r="IZ35" i="25"/>
  <c r="IW35" i="25"/>
  <c r="IR36" i="25"/>
  <c r="EQ36" i="25" s="1"/>
  <c r="IT36" i="25"/>
  <c r="JL36" i="25" s="1"/>
  <c r="IS36" i="25"/>
  <c r="JA36" i="25" s="1"/>
  <c r="JS35" i="25"/>
  <c r="JR35" i="25"/>
  <c r="JT35" i="25"/>
  <c r="JD38" i="25"/>
  <c r="JC38" i="25"/>
  <c r="JE38" i="25"/>
  <c r="IR22" i="25"/>
  <c r="EQ22" i="25" s="1"/>
  <c r="ER22" i="25" s="1"/>
  <c r="IT39" i="25"/>
  <c r="JM39" i="25" s="1"/>
  <c r="JQ35" i="25"/>
  <c r="JB13" i="25"/>
  <c r="IX13" i="25"/>
  <c r="IT18" i="25"/>
  <c r="JM18" i="25" s="1"/>
  <c r="JA29" i="25"/>
  <c r="IT16" i="25"/>
  <c r="JS16" i="25" s="1"/>
  <c r="JO19" i="25"/>
  <c r="EI35" i="25"/>
  <c r="JA38" i="25"/>
  <c r="EI39" i="25"/>
  <c r="JO35" i="25"/>
  <c r="IW38" i="25"/>
  <c r="JB38" i="25"/>
  <c r="IS40" i="25"/>
  <c r="IW40" i="25" s="1"/>
  <c r="IR40" i="25"/>
  <c r="EQ40" i="25" s="1"/>
  <c r="IT40" i="25"/>
  <c r="IX35" i="25"/>
  <c r="JM35" i="25"/>
  <c r="JN35" i="25"/>
  <c r="IY35" i="25"/>
  <c r="JA35" i="25"/>
  <c r="JP35" i="25"/>
  <c r="JO39" i="25"/>
  <c r="JR38" i="25"/>
  <c r="JS38" i="25"/>
  <c r="JT38" i="25"/>
  <c r="IR17" i="25"/>
  <c r="EQ17" i="25" s="1"/>
  <c r="ER17" i="25" s="1"/>
  <c r="JL19" i="25"/>
  <c r="IW13" i="25"/>
  <c r="IR35" i="25"/>
  <c r="EQ35" i="25" s="1"/>
  <c r="IY38" i="25"/>
  <c r="IH37" i="25"/>
  <c r="EH37" i="25" s="1"/>
  <c r="EH36" i="25"/>
  <c r="IR16" i="25"/>
  <c r="EQ16" i="25" s="1"/>
  <c r="ER16" i="25" s="1"/>
  <c r="EJ39" i="25"/>
  <c r="EM37" i="25"/>
  <c r="IZ38" i="25"/>
  <c r="JL35" i="25"/>
  <c r="IS39" i="25"/>
  <c r="IZ39" i="25" s="1"/>
  <c r="EI40" i="25"/>
  <c r="EL36" i="25"/>
  <c r="JD17" i="25"/>
  <c r="JC17" i="25"/>
  <c r="JE17" i="25"/>
  <c r="IW17" i="25"/>
  <c r="IY17" i="25"/>
  <c r="JA17" i="25"/>
  <c r="IX17" i="25"/>
  <c r="IT32" i="25"/>
  <c r="JL32" i="25" s="1"/>
  <c r="IR32" i="25"/>
  <c r="EQ32" i="25" s="1"/>
  <c r="ER32" i="25" s="1"/>
  <c r="IS32" i="25"/>
  <c r="JR16" i="25"/>
  <c r="JD24" i="25"/>
  <c r="JC24" i="25"/>
  <c r="JE24" i="25"/>
  <c r="IY24" i="25"/>
  <c r="IS20" i="25"/>
  <c r="IW20" i="25" s="1"/>
  <c r="IR20" i="25"/>
  <c r="EQ20" i="25" s="1"/>
  <c r="ER20" i="25" s="1"/>
  <c r="IT20" i="25"/>
  <c r="JT9" i="25"/>
  <c r="JS9" i="25"/>
  <c r="JR9" i="25"/>
  <c r="JO9" i="25"/>
  <c r="JD23" i="25"/>
  <c r="JC23" i="25"/>
  <c r="JE23" i="25"/>
  <c r="JS13" i="25"/>
  <c r="JR13" i="25"/>
  <c r="JT13" i="25"/>
  <c r="IS31" i="25"/>
  <c r="IW31" i="25" s="1"/>
  <c r="IR31" i="25"/>
  <c r="EQ31" i="25" s="1"/>
  <c r="IT31" i="25"/>
  <c r="JN31" i="25" s="1"/>
  <c r="IZ31" i="25"/>
  <c r="JO18" i="25"/>
  <c r="IZ23" i="25"/>
  <c r="IS27" i="25"/>
  <c r="IW27" i="25" s="1"/>
  <c r="IR27" i="25"/>
  <c r="EQ27" i="25" s="1"/>
  <c r="IT27" i="25"/>
  <c r="JM27" i="25" s="1"/>
  <c r="IS12" i="25"/>
  <c r="IW12" i="25" s="1"/>
  <c r="IT12" i="25"/>
  <c r="JL12" i="25" s="1"/>
  <c r="IR12" i="25"/>
  <c r="EQ12" i="25" s="1"/>
  <c r="S10" i="6" s="1"/>
  <c r="JD29" i="25"/>
  <c r="JC29" i="25"/>
  <c r="JE29" i="25"/>
  <c r="JM9" i="25"/>
  <c r="IH34" i="25"/>
  <c r="EH34" i="25" s="1"/>
  <c r="IR30" i="25"/>
  <c r="EQ30" i="25" s="1"/>
  <c r="ER30" i="25" s="1"/>
  <c r="IS30" i="25"/>
  <c r="IW30" i="25" s="1"/>
  <c r="IT30" i="25"/>
  <c r="JL30" i="25" s="1"/>
  <c r="JN18" i="25"/>
  <c r="JS19" i="25"/>
  <c r="JR19" i="25"/>
  <c r="JT19" i="25"/>
  <c r="JM16" i="25"/>
  <c r="JR29" i="25"/>
  <c r="JT29" i="25"/>
  <c r="JS29" i="25"/>
  <c r="JB23" i="25"/>
  <c r="IS10" i="25"/>
  <c r="IX10" i="25" s="1"/>
  <c r="IR10" i="25"/>
  <c r="EQ10" i="25" s="1"/>
  <c r="IT10" i="25"/>
  <c r="JM10" i="25" s="1"/>
  <c r="JL9" i="25"/>
  <c r="EI11" i="25"/>
  <c r="JQ13" i="25"/>
  <c r="JN9" i="25"/>
  <c r="IS21" i="25"/>
  <c r="IY21" i="25" s="1"/>
  <c r="IR18" i="25"/>
  <c r="EQ18" i="25" s="1"/>
  <c r="ER18" i="25" s="1"/>
  <c r="IS11" i="25"/>
  <c r="IX11" i="25" s="1"/>
  <c r="JP9" i="25"/>
  <c r="IW24" i="25"/>
  <c r="IT23" i="25"/>
  <c r="JL13" i="25"/>
  <c r="IX24" i="25"/>
  <c r="JN13" i="25"/>
  <c r="EI26" i="25"/>
  <c r="EH32" i="25"/>
  <c r="EH31" i="25"/>
  <c r="JM13" i="25"/>
  <c r="IR21" i="25"/>
  <c r="EQ21" i="25" s="1"/>
  <c r="ER21" i="25" s="1"/>
  <c r="IS18" i="25"/>
  <c r="IZ18" i="25" s="1"/>
  <c r="IY23" i="25"/>
  <c r="IZ29" i="25"/>
  <c r="EK17" i="25"/>
  <c r="IZ24" i="25"/>
  <c r="IX23" i="25"/>
  <c r="JB24" i="25"/>
  <c r="JP13" i="25"/>
  <c r="IX29" i="25"/>
  <c r="IS22" i="25"/>
  <c r="JA22" i="25" s="1"/>
  <c r="JB29" i="25"/>
  <c r="IR9" i="25"/>
  <c r="EQ9" i="25" s="1"/>
  <c r="IW23" i="25"/>
  <c r="JN19" i="25"/>
  <c r="JR18" i="25"/>
  <c r="IR33" i="25"/>
  <c r="EQ33" i="25" s="1"/>
  <c r="IS33" i="25"/>
  <c r="JA33" i="25" s="1"/>
  <c r="IT33" i="25"/>
  <c r="JP33" i="25" s="1"/>
  <c r="IR25" i="25"/>
  <c r="EQ25" i="25" s="1"/>
  <c r="ER25" i="25" s="1"/>
  <c r="IS25" i="25"/>
  <c r="IW25" i="25" s="1"/>
  <c r="IT25" i="25"/>
  <c r="JL25" i="25" s="1"/>
  <c r="JB17" i="25"/>
  <c r="JA24" i="25"/>
  <c r="IR14" i="25"/>
  <c r="EQ14" i="25" s="1"/>
  <c r="IT14" i="25"/>
  <c r="JO14" i="25" s="1"/>
  <c r="IS14" i="25"/>
  <c r="IX14" i="25" s="1"/>
  <c r="IH15" i="25"/>
  <c r="EH15" i="25" s="1"/>
  <c r="IY31" i="25"/>
  <c r="IS28" i="25"/>
  <c r="IX28" i="25" s="1"/>
  <c r="IT28" i="25"/>
  <c r="JO28" i="25" s="1"/>
  <c r="IR28" i="25"/>
  <c r="EQ28" i="25" s="1"/>
  <c r="ER28" i="25" s="1"/>
  <c r="JB30" i="25"/>
  <c r="IZ28" i="25"/>
  <c r="IT26" i="25"/>
  <c r="JM26" i="25" s="1"/>
  <c r="IR26" i="25"/>
  <c r="EQ26" i="25" s="1"/>
  <c r="ER26" i="25" s="1"/>
  <c r="IS26" i="25"/>
  <c r="IW26" i="25" s="1"/>
  <c r="IZ17" i="25"/>
  <c r="JE19" i="25"/>
  <c r="JD19" i="25"/>
  <c r="JC19" i="25"/>
  <c r="JE13" i="25"/>
  <c r="JD13" i="25"/>
  <c r="JC13" i="25"/>
  <c r="IT21" i="25"/>
  <c r="JN21" i="25" s="1"/>
  <c r="IS16" i="25"/>
  <c r="JB16" i="25" s="1"/>
  <c r="IT11" i="25"/>
  <c r="EJ14" i="25"/>
  <c r="JO13" i="25"/>
  <c r="IT22" i="25"/>
  <c r="JP22" i="25" s="1"/>
  <c r="IT17" i="25"/>
  <c r="JO17" i="25" s="1"/>
  <c r="IT24" i="25"/>
  <c r="IW19" i="25"/>
  <c r="EH20" i="25"/>
  <c r="IS9" i="25"/>
  <c r="IX9" i="25" s="1"/>
  <c r="IR23" i="25"/>
  <c r="EQ23" i="25" s="1"/>
  <c r="ER23" i="25" s="1"/>
  <c r="JP19" i="25"/>
  <c r="IY19" i="25"/>
  <c r="IW29" i="25"/>
  <c r="EM16" i="25"/>
  <c r="JT8" i="25"/>
  <c r="JS8" i="25"/>
  <c r="JM8" i="25"/>
  <c r="JD8" i="25"/>
  <c r="JE8" i="25"/>
  <c r="ER13" i="25"/>
  <c r="ER11" i="25"/>
  <c r="T9" i="6" s="1"/>
  <c r="S9" i="6"/>
  <c r="EI27" i="25"/>
  <c r="JB8" i="25"/>
  <c r="GZ8" i="28"/>
  <c r="GE8" i="28"/>
  <c r="GX8" i="28"/>
  <c r="CQ40" i="28"/>
  <c r="DL38" i="7"/>
  <c r="GT8" i="28"/>
  <c r="DL19" i="36"/>
  <c r="ER19" i="34"/>
  <c r="DL30" i="7"/>
  <c r="HC8" i="36"/>
  <c r="CQ24" i="28"/>
  <c r="DL29" i="36"/>
  <c r="ER17" i="34"/>
  <c r="CQ37" i="28"/>
  <c r="DL26" i="36"/>
  <c r="DL28" i="36"/>
  <c r="ER33" i="34"/>
  <c r="ER24" i="25"/>
  <c r="DL23" i="7"/>
  <c r="DD8" i="27"/>
  <c r="CQ16" i="28"/>
  <c r="DL21" i="36"/>
  <c r="ER19" i="25"/>
  <c r="DL29" i="7"/>
  <c r="DL40" i="36"/>
  <c r="DL23" i="36"/>
  <c r="DL22" i="36"/>
  <c r="ER14" i="34"/>
  <c r="DL18" i="7"/>
  <c r="HB8" i="36"/>
  <c r="HD8" i="36"/>
  <c r="GF8" i="28"/>
  <c r="GV8" i="28"/>
  <c r="GW8" i="28"/>
  <c r="DL31" i="36"/>
  <c r="DL25" i="36"/>
  <c r="DL42" i="36"/>
  <c r="DL20" i="36"/>
  <c r="ER37" i="34"/>
  <c r="ER39" i="34"/>
  <c r="ER29" i="25"/>
  <c r="HF8" i="36"/>
  <c r="HE8" i="36"/>
  <c r="DF8" i="27"/>
  <c r="CQ34" i="28"/>
  <c r="CQ19" i="28"/>
  <c r="DL32" i="36"/>
  <c r="DL39" i="36"/>
  <c r="DL30" i="36"/>
  <c r="DL38" i="36"/>
  <c r="DL37" i="36"/>
  <c r="DF26" i="7"/>
  <c r="DL26" i="7" s="1"/>
  <c r="GZ8" i="36"/>
  <c r="GG8" i="28"/>
  <c r="HT8" i="36"/>
  <c r="HU8" i="36"/>
  <c r="HR8" i="36"/>
  <c r="HO8" i="36"/>
  <c r="HP8" i="36"/>
  <c r="HS8" i="36"/>
  <c r="HA8" i="7"/>
  <c r="DL34" i="7"/>
  <c r="DE9" i="7"/>
  <c r="DL9" i="7" s="1"/>
  <c r="DD28" i="7"/>
  <c r="DL28" i="7" s="1"/>
  <c r="DE12" i="7"/>
  <c r="DL12" i="7" s="1"/>
  <c r="R10" i="6" s="1"/>
  <c r="DL35" i="7"/>
  <c r="DL27" i="7"/>
  <c r="DD33" i="7"/>
  <c r="DL33" i="7" s="1"/>
  <c r="DL13" i="7"/>
  <c r="DE16" i="7"/>
  <c r="DL16" i="7" s="1"/>
  <c r="DE10" i="7"/>
  <c r="DL14" i="7"/>
  <c r="DL37" i="7"/>
  <c r="DE11" i="7"/>
  <c r="DL11" i="7" s="1"/>
  <c r="R9" i="6" s="1"/>
  <c r="DL36" i="7"/>
  <c r="DL31" i="7"/>
  <c r="GZ8" i="7"/>
  <c r="HB8" i="7"/>
  <c r="HF8" i="7"/>
  <c r="HD8" i="7"/>
  <c r="HC8" i="7"/>
  <c r="ER36" i="25"/>
  <c r="ER35" i="25"/>
  <c r="ER31" i="25"/>
  <c r="EI10" i="25"/>
  <c r="ER39" i="25"/>
  <c r="ER33" i="25"/>
  <c r="ER41" i="25"/>
  <c r="EI9" i="25"/>
  <c r="EI14" i="25"/>
  <c r="ER40" i="25"/>
  <c r="ER38" i="25"/>
  <c r="JR8" i="25"/>
  <c r="JL8" i="25"/>
  <c r="JP8" i="25"/>
  <c r="JN8" i="25"/>
  <c r="JC8" i="25"/>
  <c r="IW8" i="25"/>
  <c r="JA8" i="25"/>
  <c r="JQ8" i="25"/>
  <c r="IZ8" i="25"/>
  <c r="JO8" i="25"/>
  <c r="IY8" i="25"/>
  <c r="EI22" i="34"/>
  <c r="ER40" i="34"/>
  <c r="ER38" i="34"/>
  <c r="ER34" i="34"/>
  <c r="ER42" i="34"/>
  <c r="EH35" i="34"/>
  <c r="ER35" i="34" s="1"/>
  <c r="ER28" i="34"/>
  <c r="ER15" i="34"/>
  <c r="ER16" i="34"/>
  <c r="ER25" i="34"/>
  <c r="ER26" i="34"/>
  <c r="EI9" i="34"/>
  <c r="ER32" i="34"/>
  <c r="ER31" i="34"/>
  <c r="ER41" i="34"/>
  <c r="EI10" i="34"/>
  <c r="EI11" i="34"/>
  <c r="ER36" i="34"/>
  <c r="ER24" i="34"/>
  <c r="IT8" i="34"/>
  <c r="IX8" i="34"/>
  <c r="IW8" i="34"/>
  <c r="JM8" i="34"/>
  <c r="JL8" i="34"/>
  <c r="JI8" i="34"/>
  <c r="JK8" i="34"/>
  <c r="IU8" i="34"/>
  <c r="IY8" i="34"/>
  <c r="JO8" i="34"/>
  <c r="JJ8" i="34"/>
  <c r="JN8" i="34"/>
  <c r="IV8" i="34"/>
  <c r="DE10" i="36"/>
  <c r="DL10" i="36" s="1"/>
  <c r="Z8" i="6" s="1"/>
  <c r="DL18" i="36"/>
  <c r="DL14" i="36"/>
  <c r="DE11" i="36"/>
  <c r="DL15" i="36"/>
  <c r="DE12" i="36"/>
  <c r="DL12" i="36" s="1"/>
  <c r="Z10" i="6" s="1"/>
  <c r="DL13" i="36"/>
  <c r="DE36" i="36"/>
  <c r="DL36" i="36" s="1"/>
  <c r="DL16" i="36"/>
  <c r="CQ42" i="28"/>
  <c r="CQ18" i="28"/>
  <c r="CK32" i="28"/>
  <c r="CQ32" i="28" s="1"/>
  <c r="CQ21" i="28"/>
  <c r="CQ28" i="28"/>
  <c r="CQ39" i="28"/>
  <c r="CQ15" i="28"/>
  <c r="CQ41" i="28"/>
  <c r="CQ20" i="28"/>
  <c r="CK31" i="28"/>
  <c r="CQ31" i="28" s="1"/>
  <c r="CQ11" i="28"/>
  <c r="CQ17" i="28"/>
  <c r="CQ38" i="28"/>
  <c r="CQ27" i="28"/>
  <c r="IX31" i="25" l="1"/>
  <c r="JN32" i="25"/>
  <c r="JW29" i="25"/>
  <c r="JX29" i="25" s="1"/>
  <c r="JA31" i="25"/>
  <c r="JF31" i="34"/>
  <c r="JG31" i="34" s="1"/>
  <c r="JT31" i="34"/>
  <c r="HK28" i="36"/>
  <c r="GY28" i="36" s="1"/>
  <c r="HZ29" i="36"/>
  <c r="IA29" i="36" s="1"/>
  <c r="HL37" i="36"/>
  <c r="HM37" i="36" s="1"/>
  <c r="JT36" i="34"/>
  <c r="HK30" i="7"/>
  <c r="GY30" i="7" s="1"/>
  <c r="HK42" i="7"/>
  <c r="GY42" i="7" s="1"/>
  <c r="JF37" i="34"/>
  <c r="JG37" i="34" s="1"/>
  <c r="HK40" i="36"/>
  <c r="GY40" i="36" s="1"/>
  <c r="HZ23" i="36"/>
  <c r="IA23" i="36" s="1"/>
  <c r="GQ29" i="28"/>
  <c r="GR29" i="28" s="1"/>
  <c r="HK32" i="7"/>
  <c r="GY32" i="7" s="1"/>
  <c r="JF32" i="34"/>
  <c r="JG32" i="34" s="1"/>
  <c r="HL40" i="36"/>
  <c r="HM40" i="36" s="1"/>
  <c r="GP34" i="28"/>
  <c r="GD34" i="28" s="1"/>
  <c r="HK33" i="36"/>
  <c r="GY33" i="36" s="1"/>
  <c r="HL26" i="36"/>
  <c r="HM26" i="36" s="1"/>
  <c r="HZ30" i="36"/>
  <c r="IA30" i="36" s="1"/>
  <c r="JF25" i="34"/>
  <c r="JG25" i="34" s="1"/>
  <c r="JF34" i="34"/>
  <c r="JG34" i="34" s="1"/>
  <c r="HZ23" i="7"/>
  <c r="IA23" i="7" s="1"/>
  <c r="HK24" i="7"/>
  <c r="GY24" i="7" s="1"/>
  <c r="HE30" i="28"/>
  <c r="HF30" i="28" s="1"/>
  <c r="HK25" i="36"/>
  <c r="GY25" i="36" s="1"/>
  <c r="HL31" i="36"/>
  <c r="HM31" i="36" s="1"/>
  <c r="HZ31" i="36"/>
  <c r="IA31" i="36" s="1"/>
  <c r="HZ42" i="36"/>
  <c r="IA42" i="36" s="1"/>
  <c r="JT24" i="34"/>
  <c r="JU24" i="34" s="1"/>
  <c r="HZ31" i="7"/>
  <c r="IA31" i="7" s="1"/>
  <c r="HK34" i="7"/>
  <c r="GY34" i="7" s="1"/>
  <c r="JT37" i="34"/>
  <c r="JU37" i="34" s="1"/>
  <c r="HE35" i="28"/>
  <c r="HF35" i="28" s="1"/>
  <c r="HE36" i="28"/>
  <c r="HF36" i="28" s="1"/>
  <c r="HL34" i="36"/>
  <c r="HM34" i="36" s="1"/>
  <c r="JT25" i="34"/>
  <c r="JT23" i="34"/>
  <c r="HK23" i="36"/>
  <c r="GY23" i="36" s="1"/>
  <c r="HK15" i="36"/>
  <c r="GY15" i="36" s="1"/>
  <c r="JT39" i="34"/>
  <c r="GQ28" i="28"/>
  <c r="GR28" i="28" s="1"/>
  <c r="HK23" i="7"/>
  <c r="GY23" i="7" s="1"/>
  <c r="JT42" i="34"/>
  <c r="JU42" i="34" s="1"/>
  <c r="HL29" i="36"/>
  <c r="HM29" i="36" s="1"/>
  <c r="HK32" i="36"/>
  <c r="GY32" i="36" s="1"/>
  <c r="HZ30" i="7"/>
  <c r="IA30" i="7" s="1"/>
  <c r="HZ39" i="36"/>
  <c r="IA39" i="36" s="1"/>
  <c r="HK27" i="36"/>
  <c r="GY27" i="36" s="1"/>
  <c r="GP27" i="28"/>
  <c r="GD27" i="28" s="1"/>
  <c r="GP40" i="28"/>
  <c r="GD40" i="28" s="1"/>
  <c r="HL30" i="36"/>
  <c r="HM30" i="36" s="1"/>
  <c r="JE25" i="34"/>
  <c r="HK35" i="36"/>
  <c r="GY35" i="36" s="1"/>
  <c r="GP18" i="28"/>
  <c r="GD18" i="28" s="1"/>
  <c r="GP11" i="28"/>
  <c r="GD11" i="28" s="1"/>
  <c r="GP21" i="28"/>
  <c r="GD21" i="28" s="1"/>
  <c r="HK13" i="36"/>
  <c r="GY13" i="36" s="1"/>
  <c r="DL11" i="36"/>
  <c r="Z9" i="6" s="1"/>
  <c r="HK22" i="36"/>
  <c r="GY22" i="36" s="1"/>
  <c r="ER22" i="34"/>
  <c r="JE19" i="34"/>
  <c r="IS19" i="34" s="1"/>
  <c r="IX21" i="25"/>
  <c r="JQ18" i="25"/>
  <c r="JA12" i="25"/>
  <c r="JQ10" i="25"/>
  <c r="JS18" i="25"/>
  <c r="JH13" i="25"/>
  <c r="IV13" i="25" s="1"/>
  <c r="JP18" i="25"/>
  <c r="JT18" i="25"/>
  <c r="ER14" i="25"/>
  <c r="IZ14" i="25"/>
  <c r="JB11" i="25"/>
  <c r="JP12" i="25"/>
  <c r="IZ10" i="25"/>
  <c r="ER9" i="25"/>
  <c r="HK15" i="7"/>
  <c r="GY15" i="7" s="1"/>
  <c r="HK22" i="7"/>
  <c r="GY22" i="7" s="1"/>
  <c r="HK21" i="7"/>
  <c r="GY21" i="7" s="1"/>
  <c r="HK13" i="7"/>
  <c r="GY13" i="7" s="1"/>
  <c r="HK20" i="7"/>
  <c r="GY20" i="7" s="1"/>
  <c r="DL10" i="7"/>
  <c r="R8" i="6" s="1"/>
  <c r="HK14" i="7"/>
  <c r="GY14" i="7" s="1"/>
  <c r="JE8" i="34"/>
  <c r="IS8" i="34" s="1"/>
  <c r="HK8" i="7"/>
  <c r="GY8" i="7" s="1"/>
  <c r="HK8" i="36"/>
  <c r="GY8" i="36" s="1"/>
  <c r="GP8" i="28"/>
  <c r="GD8" i="28" s="1"/>
  <c r="JB10" i="25"/>
  <c r="JO10" i="25"/>
  <c r="JL18" i="25"/>
  <c r="IW10" i="25"/>
  <c r="JB12" i="25"/>
  <c r="JW38" i="25"/>
  <c r="JX38" i="25" s="1"/>
  <c r="JP36" i="25"/>
  <c r="JG26" i="27"/>
  <c r="DM26" i="27" s="1"/>
  <c r="JG42" i="27"/>
  <c r="DM42" i="27" s="1"/>
  <c r="JG23" i="27"/>
  <c r="DM23" i="27" s="1"/>
  <c r="HB17" i="36"/>
  <c r="HD17" i="36"/>
  <c r="HA17" i="36"/>
  <c r="HC17" i="36"/>
  <c r="HF17" i="36"/>
  <c r="HE17" i="36"/>
  <c r="HS17" i="36"/>
  <c r="HP17" i="36"/>
  <c r="HR17" i="36"/>
  <c r="HQ17" i="36"/>
  <c r="HU17" i="36"/>
  <c r="HT17" i="36"/>
  <c r="JE41" i="25"/>
  <c r="JD41" i="25"/>
  <c r="IW41" i="25"/>
  <c r="JC41" i="25"/>
  <c r="IY41" i="25"/>
  <c r="IX41" i="25"/>
  <c r="JA41" i="25"/>
  <c r="JB41" i="25"/>
  <c r="HO9" i="7"/>
  <c r="HT9" i="7"/>
  <c r="HQ9" i="7"/>
  <c r="HS9" i="7"/>
  <c r="HU9" i="7"/>
  <c r="HR9" i="7"/>
  <c r="HP16" i="7"/>
  <c r="HS16" i="7"/>
  <c r="HU16" i="7"/>
  <c r="HO16" i="7"/>
  <c r="HT16" i="7"/>
  <c r="HQ16" i="7"/>
  <c r="HR16" i="7"/>
  <c r="IZ41" i="25"/>
  <c r="HQ11" i="36"/>
  <c r="HR11" i="36"/>
  <c r="HS11" i="36"/>
  <c r="HU11" i="36"/>
  <c r="HO11" i="36"/>
  <c r="HT11" i="36"/>
  <c r="JB13" i="34"/>
  <c r="JA13" i="34"/>
  <c r="IZ13" i="34"/>
  <c r="IT13" i="34"/>
  <c r="IV13" i="34"/>
  <c r="IY13" i="34"/>
  <c r="IX13" i="34"/>
  <c r="IW13" i="34"/>
  <c r="JE17" i="34"/>
  <c r="IS17" i="34" s="1"/>
  <c r="HC20" i="36"/>
  <c r="GZ20" i="36"/>
  <c r="HE20" i="36"/>
  <c r="HB20" i="36"/>
  <c r="HF20" i="36"/>
  <c r="HD20" i="36"/>
  <c r="GQ27" i="28"/>
  <c r="GR27" i="28" s="1"/>
  <c r="HG27" i="28" s="1"/>
  <c r="GG37" i="28"/>
  <c r="GF37" i="28"/>
  <c r="GI37" i="28"/>
  <c r="GK37" i="28"/>
  <c r="GE37" i="28"/>
  <c r="GJ37" i="28"/>
  <c r="GQ37" i="28" s="1"/>
  <c r="GR37" i="28" s="1"/>
  <c r="GH37" i="28"/>
  <c r="HK18" i="7"/>
  <c r="GY18" i="7" s="1"/>
  <c r="JT40" i="34"/>
  <c r="JE37" i="34"/>
  <c r="IS37" i="34" s="1"/>
  <c r="GV31" i="28"/>
  <c r="GX31" i="28"/>
  <c r="GU31" i="28"/>
  <c r="GZ31" i="28"/>
  <c r="GY31" i="28"/>
  <c r="GW31" i="28"/>
  <c r="GT31" i="28"/>
  <c r="JB10" i="34"/>
  <c r="JA10" i="34"/>
  <c r="IV10" i="34"/>
  <c r="IX10" i="34"/>
  <c r="IY10" i="34"/>
  <c r="IZ10" i="34"/>
  <c r="IW10" i="34"/>
  <c r="IT10" i="34"/>
  <c r="HK16" i="36"/>
  <c r="GY16" i="36" s="1"/>
  <c r="HK30" i="36"/>
  <c r="GY30" i="36" s="1"/>
  <c r="HZ34" i="7"/>
  <c r="IA34" i="7" s="1"/>
  <c r="HA11" i="7"/>
  <c r="HF11" i="7"/>
  <c r="HD11" i="7"/>
  <c r="HC11" i="7"/>
  <c r="HB11" i="7"/>
  <c r="GZ11" i="7"/>
  <c r="HE11" i="7"/>
  <c r="HO17" i="7"/>
  <c r="HR17" i="7"/>
  <c r="HU17" i="7"/>
  <c r="HS17" i="7"/>
  <c r="HT17" i="7"/>
  <c r="HQ17" i="7"/>
  <c r="HO26" i="7"/>
  <c r="HU26" i="7"/>
  <c r="HT26" i="7"/>
  <c r="HP26" i="7"/>
  <c r="HS26" i="7"/>
  <c r="HR26" i="7"/>
  <c r="HD10" i="36"/>
  <c r="HE10" i="36"/>
  <c r="HC10" i="36"/>
  <c r="HF10" i="36"/>
  <c r="GZ10" i="36"/>
  <c r="HB10" i="36"/>
  <c r="HC36" i="36"/>
  <c r="HD36" i="36"/>
  <c r="HE36" i="36"/>
  <c r="HF36" i="36"/>
  <c r="HB36" i="36"/>
  <c r="GZ36" i="36"/>
  <c r="JB12" i="34"/>
  <c r="JA12" i="34"/>
  <c r="IW12" i="34"/>
  <c r="IV12" i="34"/>
  <c r="IY12" i="34"/>
  <c r="IZ12" i="34"/>
  <c r="IT12" i="34"/>
  <c r="IX12" i="34"/>
  <c r="GH24" i="28"/>
  <c r="GG24" i="28"/>
  <c r="GI24" i="28"/>
  <c r="GK24" i="28"/>
  <c r="GJ24" i="28"/>
  <c r="GE24" i="28"/>
  <c r="HL32" i="7"/>
  <c r="HM32" i="7" s="1"/>
  <c r="IB32" i="7" s="1"/>
  <c r="HC12" i="36"/>
  <c r="HD12" i="36"/>
  <c r="HB12" i="36"/>
  <c r="HE12" i="36"/>
  <c r="HF12" i="36"/>
  <c r="GZ12" i="36"/>
  <c r="JE21" i="34"/>
  <c r="JE14" i="34"/>
  <c r="IS14" i="34" s="1"/>
  <c r="HK41" i="36"/>
  <c r="GY41" i="36" s="1"/>
  <c r="GF26" i="28"/>
  <c r="GG26" i="28"/>
  <c r="GI26" i="28"/>
  <c r="GH26" i="28"/>
  <c r="GJ26" i="28"/>
  <c r="GK26" i="28"/>
  <c r="GE26" i="28"/>
  <c r="GP26" i="28" s="1"/>
  <c r="GD26" i="28" s="1"/>
  <c r="JP11" i="34"/>
  <c r="JQ11" i="34"/>
  <c r="JK11" i="34"/>
  <c r="JO11" i="34"/>
  <c r="JN11" i="34"/>
  <c r="JL11" i="34"/>
  <c r="JM11" i="34"/>
  <c r="JI11" i="34"/>
  <c r="GQ30" i="28"/>
  <c r="GR30" i="28" s="1"/>
  <c r="HF12" i="7"/>
  <c r="HD12" i="7"/>
  <c r="HB12" i="7"/>
  <c r="HC12" i="7"/>
  <c r="HE12" i="7"/>
  <c r="GZ12" i="7"/>
  <c r="JA28" i="34"/>
  <c r="JB28" i="34"/>
  <c r="IU28" i="34"/>
  <c r="IV28" i="34"/>
  <c r="IW28" i="34"/>
  <c r="IX28" i="34"/>
  <c r="IZ28" i="34"/>
  <c r="IY28" i="34"/>
  <c r="IT28" i="34"/>
  <c r="JE28" i="34" s="1"/>
  <c r="GF24" i="28"/>
  <c r="GH16" i="28"/>
  <c r="GI16" i="28"/>
  <c r="GJ16" i="28"/>
  <c r="GF16" i="28"/>
  <c r="GG16" i="28"/>
  <c r="GK16" i="28"/>
  <c r="GU16" i="28"/>
  <c r="GW16" i="28"/>
  <c r="GV16" i="28"/>
  <c r="GZ16" i="28"/>
  <c r="GX16" i="28"/>
  <c r="GY16" i="28"/>
  <c r="JB29" i="34"/>
  <c r="JA29" i="34"/>
  <c r="IU29" i="34"/>
  <c r="IW29" i="34"/>
  <c r="IX29" i="34"/>
  <c r="IV29" i="34"/>
  <c r="IY29" i="34"/>
  <c r="IZ29" i="34"/>
  <c r="IT29" i="34"/>
  <c r="JE29" i="34" s="1"/>
  <c r="HA38" i="7"/>
  <c r="HE38" i="7"/>
  <c r="HD38" i="7"/>
  <c r="HF38" i="7"/>
  <c r="HB38" i="7"/>
  <c r="HC38" i="7"/>
  <c r="JQ30" i="34"/>
  <c r="JP30" i="34"/>
  <c r="JJ30" i="34"/>
  <c r="JK30" i="34"/>
  <c r="JL30" i="34"/>
  <c r="JO30" i="34"/>
  <c r="JN30" i="34"/>
  <c r="JM30" i="34"/>
  <c r="JA30" i="34"/>
  <c r="JB30" i="34"/>
  <c r="IY30" i="34"/>
  <c r="IX30" i="34"/>
  <c r="IU30" i="34"/>
  <c r="IV30" i="34"/>
  <c r="IW30" i="34"/>
  <c r="IZ30" i="34"/>
  <c r="IT30" i="34"/>
  <c r="IQ9" i="34"/>
  <c r="JJ9" i="34" s="1"/>
  <c r="IO9" i="34"/>
  <c r="EQ9" i="34" s="1"/>
  <c r="ER9" i="34" s="1"/>
  <c r="IP9" i="34"/>
  <c r="IO20" i="34"/>
  <c r="EQ20" i="34" s="1"/>
  <c r="ER20" i="34" s="1"/>
  <c r="IQ20" i="34"/>
  <c r="IP20" i="34"/>
  <c r="JQ35" i="34"/>
  <c r="JP35" i="34"/>
  <c r="JO35" i="34"/>
  <c r="JJ35" i="34"/>
  <c r="JN35" i="34"/>
  <c r="JM35" i="34"/>
  <c r="JK35" i="34"/>
  <c r="JL35" i="34"/>
  <c r="JB35" i="34"/>
  <c r="JA35" i="34"/>
  <c r="IW35" i="34"/>
  <c r="IZ35" i="34"/>
  <c r="IU35" i="34"/>
  <c r="IY35" i="34"/>
  <c r="IX35" i="34"/>
  <c r="IV35" i="34"/>
  <c r="JI35" i="34"/>
  <c r="HA10" i="36"/>
  <c r="HK42" i="36"/>
  <c r="GY42" i="36" s="1"/>
  <c r="IB42" i="36" s="1"/>
  <c r="GP19" i="28"/>
  <c r="GD19" i="28" s="1"/>
  <c r="HE38" i="28"/>
  <c r="HF38" i="28" s="1"/>
  <c r="HK14" i="36"/>
  <c r="GY14" i="36" s="1"/>
  <c r="HZ37" i="36"/>
  <c r="IA37" i="36" s="1"/>
  <c r="HL39" i="36"/>
  <c r="HM39" i="36" s="1"/>
  <c r="IB39" i="36" s="1"/>
  <c r="HZ41" i="36"/>
  <c r="IA41" i="36" s="1"/>
  <c r="JE16" i="34"/>
  <c r="IS16" i="34" s="1"/>
  <c r="JE38" i="34"/>
  <c r="IS38" i="34" s="1"/>
  <c r="JE39" i="34"/>
  <c r="JS41" i="25"/>
  <c r="JT41" i="25"/>
  <c r="JN41" i="25"/>
  <c r="JM41" i="25"/>
  <c r="JP41" i="25"/>
  <c r="JQ41" i="25"/>
  <c r="JL41" i="25"/>
  <c r="JR41" i="25"/>
  <c r="HZ42" i="7"/>
  <c r="IA42" i="7" s="1"/>
  <c r="HA10" i="7"/>
  <c r="GZ10" i="7"/>
  <c r="HE10" i="7"/>
  <c r="HC10" i="7"/>
  <c r="HD10" i="7"/>
  <c r="HF10" i="7"/>
  <c r="HB10" i="7"/>
  <c r="JP33" i="34"/>
  <c r="JQ33" i="34"/>
  <c r="JN33" i="34"/>
  <c r="JO33" i="34"/>
  <c r="JK33" i="34"/>
  <c r="JL33" i="34"/>
  <c r="JI33" i="34"/>
  <c r="JM33" i="34"/>
  <c r="HL27" i="36"/>
  <c r="HM27" i="36" s="1"/>
  <c r="GT25" i="28"/>
  <c r="GZ25" i="28"/>
  <c r="GX25" i="28"/>
  <c r="GW25" i="28"/>
  <c r="GV25" i="28"/>
  <c r="GY25" i="28"/>
  <c r="HE29" i="28"/>
  <c r="HF29" i="28" s="1"/>
  <c r="GP22" i="28"/>
  <c r="GD22" i="28" s="1"/>
  <c r="JF42" i="34"/>
  <c r="JG42" i="34" s="1"/>
  <c r="GP35" i="28"/>
  <c r="GD35" i="28" s="1"/>
  <c r="HZ35" i="36"/>
  <c r="IA35" i="36" s="1"/>
  <c r="GQ38" i="28"/>
  <c r="GR38" i="28" s="1"/>
  <c r="GQ42" i="28"/>
  <c r="GR42" i="28" s="1"/>
  <c r="GP13" i="28"/>
  <c r="GD13" i="28" s="1"/>
  <c r="GH20" i="28"/>
  <c r="GI20" i="28"/>
  <c r="GE20" i="28"/>
  <c r="GK20" i="28"/>
  <c r="GJ20" i="28"/>
  <c r="GG20" i="28"/>
  <c r="GP38" i="28"/>
  <c r="GD38" i="28" s="1"/>
  <c r="GP42" i="28"/>
  <c r="GD42" i="28" s="1"/>
  <c r="HK34" i="36"/>
  <c r="GY34" i="36" s="1"/>
  <c r="HK29" i="7"/>
  <c r="GY29" i="7" s="1"/>
  <c r="HL30" i="7"/>
  <c r="HM30" i="7" s="1"/>
  <c r="HK31" i="7"/>
  <c r="GY31" i="7" s="1"/>
  <c r="JE31" i="34"/>
  <c r="IS31" i="34" s="1"/>
  <c r="JQ12" i="34"/>
  <c r="JP12" i="34"/>
  <c r="JM12" i="34"/>
  <c r="JL12" i="34"/>
  <c r="JK12" i="34"/>
  <c r="JN12" i="34"/>
  <c r="JO12" i="34"/>
  <c r="JI12" i="34"/>
  <c r="HL35" i="36"/>
  <c r="HM35" i="36" s="1"/>
  <c r="GV23" i="28"/>
  <c r="GZ23" i="28"/>
  <c r="GT23" i="28"/>
  <c r="GY23" i="28"/>
  <c r="GW23" i="28"/>
  <c r="GX23" i="28"/>
  <c r="HZ26" i="36"/>
  <c r="IA26" i="36" s="1"/>
  <c r="GP33" i="28"/>
  <c r="GD33" i="28" s="1"/>
  <c r="JB11" i="34"/>
  <c r="JA11" i="34"/>
  <c r="IY11" i="34"/>
  <c r="IW11" i="34"/>
  <c r="IX11" i="34"/>
  <c r="IT11" i="34"/>
  <c r="IV11" i="34"/>
  <c r="IZ11" i="34"/>
  <c r="HK21" i="36"/>
  <c r="GY21" i="36" s="1"/>
  <c r="JP18" i="34"/>
  <c r="JQ18" i="34"/>
  <c r="JM18" i="34"/>
  <c r="JK18" i="34"/>
  <c r="JJ18" i="34"/>
  <c r="JL18" i="34"/>
  <c r="JN18" i="34"/>
  <c r="JO18" i="34"/>
  <c r="JQ26" i="34"/>
  <c r="JP26" i="34"/>
  <c r="JL26" i="34"/>
  <c r="JO26" i="34"/>
  <c r="JJ26" i="34"/>
  <c r="JN26" i="34"/>
  <c r="JM26" i="34"/>
  <c r="JK26" i="34"/>
  <c r="JI26" i="34"/>
  <c r="HQ35" i="7"/>
  <c r="HS35" i="7"/>
  <c r="HT35" i="7"/>
  <c r="HU35" i="7"/>
  <c r="HP35" i="7"/>
  <c r="HR35" i="7"/>
  <c r="HO35" i="7"/>
  <c r="GU23" i="28"/>
  <c r="GT17" i="28"/>
  <c r="GY17" i="28"/>
  <c r="GW17" i="28"/>
  <c r="GV17" i="28"/>
  <c r="GU17" i="28"/>
  <c r="GX17" i="28"/>
  <c r="GZ17" i="28"/>
  <c r="GG17" i="28"/>
  <c r="GI17" i="28"/>
  <c r="GK17" i="28"/>
  <c r="GJ17" i="28"/>
  <c r="GH17" i="28"/>
  <c r="GF17" i="28"/>
  <c r="JJ33" i="34"/>
  <c r="HO37" i="7"/>
  <c r="HU37" i="7"/>
  <c r="HP37" i="7"/>
  <c r="HQ37" i="7"/>
  <c r="HS37" i="7"/>
  <c r="HT37" i="7"/>
  <c r="HR37" i="7"/>
  <c r="HF37" i="7"/>
  <c r="HA37" i="7"/>
  <c r="HB37" i="7"/>
  <c r="HD37" i="7"/>
  <c r="HE37" i="7"/>
  <c r="HC37" i="7"/>
  <c r="JJ12" i="34"/>
  <c r="HP17" i="7"/>
  <c r="HA12" i="7"/>
  <c r="HP9" i="7"/>
  <c r="HO33" i="7"/>
  <c r="HU33" i="7"/>
  <c r="HP33" i="7"/>
  <c r="HS33" i="7"/>
  <c r="HT33" i="7"/>
  <c r="HQ33" i="7"/>
  <c r="HR33" i="7"/>
  <c r="IU11" i="34"/>
  <c r="HA36" i="36"/>
  <c r="HK36" i="36" s="1"/>
  <c r="GY36" i="36" s="1"/>
  <c r="GP25" i="28"/>
  <c r="GD25" i="28" s="1"/>
  <c r="JE22" i="34"/>
  <c r="HB9" i="7"/>
  <c r="HF9" i="7"/>
  <c r="HC9" i="7"/>
  <c r="HE9" i="7"/>
  <c r="GZ9" i="7"/>
  <c r="HD9" i="7"/>
  <c r="HC16" i="7"/>
  <c r="HD16" i="7"/>
  <c r="HF16" i="7"/>
  <c r="GZ16" i="7"/>
  <c r="HE16" i="7"/>
  <c r="HB16" i="7"/>
  <c r="HL29" i="7"/>
  <c r="HM29" i="7" s="1"/>
  <c r="HE11" i="36"/>
  <c r="HB11" i="36"/>
  <c r="GZ11" i="36"/>
  <c r="HC11" i="36"/>
  <c r="HD11" i="36"/>
  <c r="HF11" i="36"/>
  <c r="JQ13" i="34"/>
  <c r="JP13" i="34"/>
  <c r="JN13" i="34"/>
  <c r="JM13" i="34"/>
  <c r="JL13" i="34"/>
  <c r="JO13" i="34"/>
  <c r="JI13" i="34"/>
  <c r="JK13" i="34"/>
  <c r="JB33" i="34"/>
  <c r="JA33" i="34"/>
  <c r="IT33" i="34"/>
  <c r="IX33" i="34"/>
  <c r="IY33" i="34"/>
  <c r="IZ33" i="34"/>
  <c r="IV33" i="34"/>
  <c r="IW33" i="34"/>
  <c r="HP20" i="36"/>
  <c r="HO20" i="36"/>
  <c r="HU20" i="36"/>
  <c r="HS20" i="36"/>
  <c r="HR20" i="36"/>
  <c r="HT20" i="36"/>
  <c r="HQ20" i="36"/>
  <c r="GT37" i="28"/>
  <c r="GZ37" i="28"/>
  <c r="GY37" i="28"/>
  <c r="GW37" i="28"/>
  <c r="GU37" i="28"/>
  <c r="GX37" i="28"/>
  <c r="GU32" i="28"/>
  <c r="GX32" i="28"/>
  <c r="GY32" i="28"/>
  <c r="GT32" i="28"/>
  <c r="GW32" i="28"/>
  <c r="GZ32" i="28"/>
  <c r="HK29" i="36"/>
  <c r="GY29" i="36" s="1"/>
  <c r="IB29" i="36" s="1"/>
  <c r="GI31" i="28"/>
  <c r="GH31" i="28"/>
  <c r="GF31" i="28"/>
  <c r="GE31" i="28"/>
  <c r="GK31" i="28"/>
  <c r="GJ31" i="28"/>
  <c r="JE24" i="34"/>
  <c r="JE32" i="34"/>
  <c r="IS32" i="34" s="1"/>
  <c r="JE34" i="34"/>
  <c r="IS34" i="34" s="1"/>
  <c r="JE40" i="34"/>
  <c r="HT11" i="7"/>
  <c r="HU11" i="7"/>
  <c r="HS11" i="7"/>
  <c r="HR11" i="7"/>
  <c r="HQ11" i="7"/>
  <c r="HO11" i="7"/>
  <c r="HB17" i="7"/>
  <c r="HC17" i="7"/>
  <c r="HF17" i="7"/>
  <c r="HD17" i="7"/>
  <c r="GZ17" i="7"/>
  <c r="HE17" i="7"/>
  <c r="HA26" i="7"/>
  <c r="HD26" i="7"/>
  <c r="HC26" i="7"/>
  <c r="HF26" i="7"/>
  <c r="GZ26" i="7"/>
  <c r="HE26" i="7"/>
  <c r="HT10" i="36"/>
  <c r="HR10" i="36"/>
  <c r="HU10" i="36"/>
  <c r="HQ10" i="36"/>
  <c r="HS10" i="36"/>
  <c r="HO10" i="36"/>
  <c r="HP36" i="36"/>
  <c r="HQ36" i="36"/>
  <c r="HR36" i="36"/>
  <c r="HS36" i="36"/>
  <c r="HT36" i="36"/>
  <c r="HO36" i="36"/>
  <c r="HU36" i="36"/>
  <c r="HL38" i="36"/>
  <c r="HM38" i="36" s="1"/>
  <c r="IB38" i="36" s="1"/>
  <c r="JP22" i="34"/>
  <c r="JQ22" i="34"/>
  <c r="JL22" i="34"/>
  <c r="JK22" i="34"/>
  <c r="JO22" i="34"/>
  <c r="JI22" i="34"/>
  <c r="JN22" i="34"/>
  <c r="JM22" i="34"/>
  <c r="GU24" i="28"/>
  <c r="GV24" i="28"/>
  <c r="GZ24" i="28"/>
  <c r="GY24" i="28"/>
  <c r="GW24" i="28"/>
  <c r="GX24" i="28"/>
  <c r="GT24" i="28"/>
  <c r="HP12" i="36"/>
  <c r="HU12" i="36"/>
  <c r="HR12" i="36"/>
  <c r="HS12" i="36"/>
  <c r="HQ12" i="36"/>
  <c r="HO12" i="36"/>
  <c r="HT12" i="36"/>
  <c r="GY26" i="28"/>
  <c r="GZ26" i="28"/>
  <c r="GV26" i="28"/>
  <c r="GX26" i="28"/>
  <c r="GW26" i="28"/>
  <c r="GT26" i="28"/>
  <c r="HP12" i="7"/>
  <c r="HR12" i="7"/>
  <c r="HT12" i="7"/>
  <c r="HU12" i="7"/>
  <c r="HS12" i="7"/>
  <c r="HQ12" i="7"/>
  <c r="HO12" i="7"/>
  <c r="JP28" i="34"/>
  <c r="JQ28" i="34"/>
  <c r="JN28" i="34"/>
  <c r="JJ28" i="34"/>
  <c r="JK28" i="34"/>
  <c r="JL28" i="34"/>
  <c r="JM28" i="34"/>
  <c r="JO28" i="34"/>
  <c r="JI28" i="34"/>
  <c r="IU13" i="34"/>
  <c r="JQ29" i="34"/>
  <c r="JP29" i="34"/>
  <c r="JK29" i="34"/>
  <c r="JN29" i="34"/>
  <c r="JO29" i="34"/>
  <c r="JJ29" i="34"/>
  <c r="JL29" i="34"/>
  <c r="JM29" i="34"/>
  <c r="JT29" i="34" s="1"/>
  <c r="JI29" i="34"/>
  <c r="GV37" i="28"/>
  <c r="HT38" i="7"/>
  <c r="HS38" i="7"/>
  <c r="HU38" i="7"/>
  <c r="HQ38" i="7"/>
  <c r="HR38" i="7"/>
  <c r="HP38" i="7"/>
  <c r="HO38" i="7"/>
  <c r="HA28" i="7"/>
  <c r="HC28" i="7"/>
  <c r="HE28" i="7"/>
  <c r="HB28" i="7"/>
  <c r="HD28" i="7"/>
  <c r="HF28" i="7"/>
  <c r="HS28" i="7"/>
  <c r="HU28" i="7"/>
  <c r="HP28" i="7"/>
  <c r="HR28" i="7"/>
  <c r="HT28" i="7"/>
  <c r="HQ28" i="7"/>
  <c r="HA16" i="7"/>
  <c r="JJ22" i="34"/>
  <c r="IU10" i="34"/>
  <c r="HP10" i="36"/>
  <c r="GP12" i="28"/>
  <c r="GD12" i="28" s="1"/>
  <c r="GQ33" i="28"/>
  <c r="GR33" i="28" s="1"/>
  <c r="HK31" i="36"/>
  <c r="GY31" i="36" s="1"/>
  <c r="IB31" i="36" s="1"/>
  <c r="JE36" i="34"/>
  <c r="JE41" i="34"/>
  <c r="HL23" i="7"/>
  <c r="HM23" i="7" s="1"/>
  <c r="IB23" i="7" s="1"/>
  <c r="HZ29" i="7"/>
  <c r="IA29" i="7" s="1"/>
  <c r="HL23" i="36"/>
  <c r="HM23" i="36" s="1"/>
  <c r="IB23" i="36" s="1"/>
  <c r="HL25" i="36"/>
  <c r="HM25" i="36" s="1"/>
  <c r="IB25" i="36" s="1"/>
  <c r="JF23" i="34"/>
  <c r="JG23" i="34" s="1"/>
  <c r="JF40" i="34"/>
  <c r="JG40" i="34" s="1"/>
  <c r="HK9" i="36"/>
  <c r="GY9" i="36" s="1"/>
  <c r="HL28" i="36"/>
  <c r="HM28" i="36" s="1"/>
  <c r="GH32" i="28"/>
  <c r="GE32" i="28"/>
  <c r="GK32" i="28"/>
  <c r="GF32" i="28"/>
  <c r="GI32" i="28"/>
  <c r="GJ32" i="28"/>
  <c r="HE34" i="28"/>
  <c r="HF34" i="28" s="1"/>
  <c r="HG34" i="28" s="1"/>
  <c r="HZ40" i="7"/>
  <c r="IA40" i="7" s="1"/>
  <c r="GU20" i="28"/>
  <c r="GY20" i="28"/>
  <c r="GV20" i="28"/>
  <c r="GT20" i="28"/>
  <c r="GW20" i="28"/>
  <c r="GX20" i="28"/>
  <c r="GZ20" i="28"/>
  <c r="HL34" i="7"/>
  <c r="HM34" i="7" s="1"/>
  <c r="IB34" i="7" s="1"/>
  <c r="HL25" i="7"/>
  <c r="HM25" i="7" s="1"/>
  <c r="JE15" i="34"/>
  <c r="IS15" i="34" s="1"/>
  <c r="GK23" i="28"/>
  <c r="GH23" i="28"/>
  <c r="GG23" i="28"/>
  <c r="GI23" i="28"/>
  <c r="GE23" i="28"/>
  <c r="GJ23" i="28"/>
  <c r="HE33" i="28"/>
  <c r="HF33" i="28" s="1"/>
  <c r="HG33" i="28" s="1"/>
  <c r="GQ35" i="28"/>
  <c r="GR35" i="28" s="1"/>
  <c r="GP29" i="28"/>
  <c r="GD29" i="28" s="1"/>
  <c r="HG29" i="28" s="1"/>
  <c r="HK19" i="7"/>
  <c r="GY19" i="7" s="1"/>
  <c r="HK40" i="7"/>
  <c r="GY40" i="7" s="1"/>
  <c r="JA18" i="34"/>
  <c r="JB18" i="34"/>
  <c r="IU18" i="34"/>
  <c r="IW18" i="34"/>
  <c r="IY18" i="34"/>
  <c r="IZ18" i="34"/>
  <c r="IX18" i="34"/>
  <c r="IV18" i="34"/>
  <c r="JB26" i="34"/>
  <c r="JA26" i="34"/>
  <c r="IU26" i="34"/>
  <c r="IY26" i="34"/>
  <c r="IX26" i="34"/>
  <c r="IV26" i="34"/>
  <c r="IW26" i="34"/>
  <c r="IZ26" i="34"/>
  <c r="IT26" i="34"/>
  <c r="HC27" i="7"/>
  <c r="HD27" i="7"/>
  <c r="HE27" i="7"/>
  <c r="HB27" i="7"/>
  <c r="HA27" i="7"/>
  <c r="HK27" i="7" s="1"/>
  <c r="GY27" i="7" s="1"/>
  <c r="HF27" i="7"/>
  <c r="HT27" i="7"/>
  <c r="HQ27" i="7"/>
  <c r="HP27" i="7"/>
  <c r="HU27" i="7"/>
  <c r="HR27" i="7"/>
  <c r="HS27" i="7"/>
  <c r="GF20" i="28"/>
  <c r="GP20" i="28" s="1"/>
  <c r="GD20" i="28" s="1"/>
  <c r="HA35" i="7"/>
  <c r="HC35" i="7"/>
  <c r="HB35" i="7"/>
  <c r="HD35" i="7"/>
  <c r="HE35" i="7"/>
  <c r="HF35" i="7"/>
  <c r="HL35" i="7" s="1"/>
  <c r="HM35" i="7" s="1"/>
  <c r="GF23" i="28"/>
  <c r="GP17" i="28"/>
  <c r="GD17" i="28" s="1"/>
  <c r="IU33" i="34"/>
  <c r="HK37" i="7"/>
  <c r="GY37" i="7" s="1"/>
  <c r="IU12" i="34"/>
  <c r="HA17" i="7"/>
  <c r="HS36" i="7"/>
  <c r="HT36" i="7"/>
  <c r="HP36" i="7"/>
  <c r="HQ36" i="7"/>
  <c r="HR36" i="7"/>
  <c r="HU36" i="7"/>
  <c r="HA36" i="7"/>
  <c r="HB36" i="7"/>
  <c r="HC36" i="7"/>
  <c r="HF36" i="7"/>
  <c r="HD36" i="7"/>
  <c r="HE36" i="7"/>
  <c r="GK15" i="28"/>
  <c r="GI15" i="28"/>
  <c r="GG15" i="28"/>
  <c r="GJ15" i="28"/>
  <c r="GH15" i="28"/>
  <c r="GF15" i="28"/>
  <c r="GV15" i="28"/>
  <c r="GY15" i="28"/>
  <c r="GW15" i="28"/>
  <c r="GU15" i="28"/>
  <c r="GZ15" i="28"/>
  <c r="GX15" i="28"/>
  <c r="JP27" i="34"/>
  <c r="JQ27" i="34"/>
  <c r="JJ27" i="34"/>
  <c r="JO27" i="34"/>
  <c r="JN27" i="34"/>
  <c r="JM27" i="34"/>
  <c r="JL27" i="34"/>
  <c r="JK27" i="34"/>
  <c r="JA27" i="34"/>
  <c r="JB27" i="34"/>
  <c r="IW27" i="34"/>
  <c r="IV27" i="34"/>
  <c r="IU27" i="34"/>
  <c r="IZ27" i="34"/>
  <c r="IY27" i="34"/>
  <c r="IX27" i="34"/>
  <c r="JI27" i="34"/>
  <c r="HP11" i="7"/>
  <c r="HA9" i="7"/>
  <c r="HB33" i="7"/>
  <c r="HC33" i="7"/>
  <c r="HF33" i="7"/>
  <c r="HA33" i="7"/>
  <c r="HD33" i="7"/>
  <c r="HE33" i="7"/>
  <c r="JJ11" i="34"/>
  <c r="HP11" i="36"/>
  <c r="GG32" i="28"/>
  <c r="GQ25" i="28"/>
  <c r="GR25" i="28" s="1"/>
  <c r="ER11" i="34"/>
  <c r="X9" i="6" s="1"/>
  <c r="JU36" i="34"/>
  <c r="JU25" i="34"/>
  <c r="JU23" i="34"/>
  <c r="IS40" i="34"/>
  <c r="ER10" i="34"/>
  <c r="X8" i="6" s="1"/>
  <c r="JU32" i="34"/>
  <c r="JV32" i="34" s="1"/>
  <c r="IS23" i="34"/>
  <c r="IS39" i="34"/>
  <c r="IS21" i="34"/>
  <c r="JU40" i="34"/>
  <c r="IS24" i="34"/>
  <c r="JV24" i="34" s="1"/>
  <c r="JV37" i="34"/>
  <c r="JU41" i="34"/>
  <c r="IS36" i="34"/>
  <c r="JU31" i="34"/>
  <c r="JV31" i="34" s="1"/>
  <c r="ER12" i="34"/>
  <c r="X10" i="6" s="1"/>
  <c r="IS41" i="34"/>
  <c r="IS25" i="34"/>
  <c r="JU38" i="34"/>
  <c r="JU39" i="34"/>
  <c r="JG39" i="27"/>
  <c r="DM39" i="27" s="1"/>
  <c r="JG35" i="27"/>
  <c r="DM35" i="27" s="1"/>
  <c r="IB32" i="36"/>
  <c r="IB28" i="36"/>
  <c r="IB37" i="36"/>
  <c r="JG24" i="27"/>
  <c r="DM24" i="27" s="1"/>
  <c r="JG28" i="27"/>
  <c r="DM28" i="27" s="1"/>
  <c r="HG36" i="28"/>
  <c r="HG28" i="28"/>
  <c r="HG27" i="26"/>
  <c r="BA27" i="26" s="1"/>
  <c r="HG39" i="26"/>
  <c r="BA39" i="26" s="1"/>
  <c r="HG35" i="26"/>
  <c r="BA35" i="26" s="1"/>
  <c r="JG31" i="27"/>
  <c r="DM31" i="27" s="1"/>
  <c r="JG32" i="27"/>
  <c r="DM32" i="27" s="1"/>
  <c r="JG25" i="27"/>
  <c r="DM25" i="27" s="1"/>
  <c r="HG39" i="28"/>
  <c r="HG40" i="28"/>
  <c r="HG38" i="28"/>
  <c r="HG30" i="28"/>
  <c r="HG42" i="28"/>
  <c r="HG24" i="26"/>
  <c r="BA24" i="26" s="1"/>
  <c r="HG32" i="26"/>
  <c r="BA32" i="26" s="1"/>
  <c r="HG31" i="26"/>
  <c r="BA31" i="26" s="1"/>
  <c r="HG25" i="26"/>
  <c r="BA25" i="26" s="1"/>
  <c r="IB40" i="7"/>
  <c r="IB31" i="7"/>
  <c r="IB42" i="7"/>
  <c r="JV42" i="34"/>
  <c r="IB30" i="7"/>
  <c r="JG36" i="27"/>
  <c r="DM36" i="27" s="1"/>
  <c r="JG38" i="27"/>
  <c r="DM38" i="27" s="1"/>
  <c r="JG41" i="27"/>
  <c r="DM41" i="27" s="1"/>
  <c r="IB27" i="36"/>
  <c r="IB30" i="36"/>
  <c r="IB34" i="36"/>
  <c r="IB39" i="7"/>
  <c r="HG38" i="26"/>
  <c r="BA38" i="26" s="1"/>
  <c r="HG28" i="26"/>
  <c r="BA28" i="26" s="1"/>
  <c r="HG40" i="26"/>
  <c r="BA40" i="26" s="1"/>
  <c r="HG30" i="26"/>
  <c r="BA30" i="26" s="1"/>
  <c r="HG34" i="26"/>
  <c r="BA34" i="26" s="1"/>
  <c r="IB24" i="36"/>
  <c r="IB33" i="36"/>
  <c r="HG26" i="26"/>
  <c r="BA26" i="26" s="1"/>
  <c r="JG34" i="27"/>
  <c r="DM34" i="27" s="1"/>
  <c r="JG30" i="27"/>
  <c r="DM30" i="27" s="1"/>
  <c r="JG33" i="27"/>
  <c r="DM33" i="27" s="1"/>
  <c r="JG29" i="27"/>
  <c r="DM29" i="27" s="1"/>
  <c r="JG40" i="27"/>
  <c r="DM40" i="27" s="1"/>
  <c r="HG35" i="28"/>
  <c r="HG41" i="28"/>
  <c r="JV34" i="34"/>
  <c r="IB40" i="36"/>
  <c r="IB41" i="36"/>
  <c r="IB35" i="36"/>
  <c r="IB26" i="36"/>
  <c r="IB24" i="7"/>
  <c r="IB25" i="7"/>
  <c r="IB41" i="7"/>
  <c r="HG23" i="26"/>
  <c r="BA23" i="26" s="1"/>
  <c r="HG29" i="26"/>
  <c r="BA29" i="26" s="1"/>
  <c r="HG33" i="26"/>
  <c r="BA33" i="26" s="1"/>
  <c r="HG41" i="26"/>
  <c r="BA41" i="26" s="1"/>
  <c r="HG36" i="26"/>
  <c r="BA36" i="26" s="1"/>
  <c r="AB9" i="6"/>
  <c r="AA9" i="6"/>
  <c r="AB10" i="6"/>
  <c r="AA10" i="6"/>
  <c r="FY8" i="26"/>
  <c r="GE8" i="26" s="1"/>
  <c r="AX8" i="26"/>
  <c r="FZ8" i="26"/>
  <c r="FX8" i="26"/>
  <c r="AY8" i="26" s="1"/>
  <c r="V9" i="6"/>
  <c r="U9" i="6"/>
  <c r="V10" i="6"/>
  <c r="U10" i="6"/>
  <c r="V8" i="6"/>
  <c r="U8" i="6"/>
  <c r="IR37" i="25"/>
  <c r="EQ37" i="25" s="1"/>
  <c r="ER37" i="25" s="1"/>
  <c r="IT37" i="25"/>
  <c r="IS37" i="25"/>
  <c r="JT36" i="25"/>
  <c r="JS36" i="25"/>
  <c r="JR36" i="25"/>
  <c r="JO36" i="25"/>
  <c r="JQ36" i="25"/>
  <c r="JN36" i="25"/>
  <c r="JM36" i="25"/>
  <c r="IY39" i="25"/>
  <c r="JP16" i="25"/>
  <c r="JL16" i="25"/>
  <c r="JI23" i="25"/>
  <c r="JJ23" i="25" s="1"/>
  <c r="JO26" i="25"/>
  <c r="JA10" i="25"/>
  <c r="IZ22" i="25"/>
  <c r="JH35" i="25"/>
  <c r="IV35" i="25" s="1"/>
  <c r="JT40" i="25"/>
  <c r="JS40" i="25"/>
  <c r="JR40" i="25"/>
  <c r="JN40" i="25"/>
  <c r="JP40" i="25"/>
  <c r="JO40" i="25"/>
  <c r="JQ40" i="25"/>
  <c r="JE40" i="25"/>
  <c r="JC40" i="25"/>
  <c r="JD40" i="25"/>
  <c r="JB40" i="25"/>
  <c r="IY40" i="25"/>
  <c r="JA40" i="25"/>
  <c r="IZ40" i="25"/>
  <c r="JS39" i="25"/>
  <c r="JT39" i="25"/>
  <c r="JR39" i="25"/>
  <c r="JL39" i="25"/>
  <c r="JP39" i="25"/>
  <c r="JQ39" i="25"/>
  <c r="JC36" i="25"/>
  <c r="JE36" i="25"/>
  <c r="JD36" i="25"/>
  <c r="IZ36" i="25"/>
  <c r="IY36" i="25"/>
  <c r="IX36" i="25"/>
  <c r="JB36" i="25"/>
  <c r="ER12" i="25"/>
  <c r="T10" i="6" s="1"/>
  <c r="JL28" i="25"/>
  <c r="JO16" i="25"/>
  <c r="JQ16" i="25"/>
  <c r="JT16" i="25"/>
  <c r="JH17" i="25"/>
  <c r="IV17" i="25" s="1"/>
  <c r="JW35" i="25"/>
  <c r="JX35" i="25" s="1"/>
  <c r="JH38" i="25"/>
  <c r="IV38" i="25" s="1"/>
  <c r="IX40" i="25"/>
  <c r="JI35" i="25"/>
  <c r="JJ35" i="25" s="1"/>
  <c r="JE39" i="25"/>
  <c r="JD39" i="25"/>
  <c r="JC39" i="25"/>
  <c r="IW39" i="25"/>
  <c r="JA39" i="25"/>
  <c r="JB39" i="25"/>
  <c r="JM28" i="25"/>
  <c r="IX39" i="25"/>
  <c r="JL40" i="25"/>
  <c r="JQ30" i="25"/>
  <c r="IW14" i="25"/>
  <c r="IZ16" i="25"/>
  <c r="JH23" i="25"/>
  <c r="IV23" i="25" s="1"/>
  <c r="JN16" i="25"/>
  <c r="JP27" i="25"/>
  <c r="IY18" i="25"/>
  <c r="JI38" i="25"/>
  <c r="JJ38" i="25" s="1"/>
  <c r="JM40" i="25"/>
  <c r="JN39" i="25"/>
  <c r="IW36" i="25"/>
  <c r="JR11" i="25"/>
  <c r="JT11" i="25"/>
  <c r="JS11" i="25"/>
  <c r="JL11" i="25"/>
  <c r="JP11" i="25"/>
  <c r="JO11" i="25"/>
  <c r="JT14" i="25"/>
  <c r="JS14" i="25"/>
  <c r="JR14" i="25"/>
  <c r="JQ14" i="25"/>
  <c r="JP14" i="25"/>
  <c r="JR23" i="25"/>
  <c r="JT23" i="25"/>
  <c r="JS23" i="25"/>
  <c r="JN23" i="25"/>
  <c r="JP23" i="25"/>
  <c r="JL23" i="25"/>
  <c r="JM23" i="25"/>
  <c r="JS31" i="25"/>
  <c r="JR31" i="25"/>
  <c r="JT31" i="25"/>
  <c r="JQ31" i="25"/>
  <c r="JT20" i="25"/>
  <c r="JS20" i="25"/>
  <c r="JR20" i="25"/>
  <c r="JQ20" i="25"/>
  <c r="JP20" i="25"/>
  <c r="JO20" i="25"/>
  <c r="JM20" i="25"/>
  <c r="JN20" i="25"/>
  <c r="JE32" i="25"/>
  <c r="JC32" i="25"/>
  <c r="JD32" i="25"/>
  <c r="IX32" i="25"/>
  <c r="IZ32" i="25"/>
  <c r="JA32" i="25"/>
  <c r="JB32" i="25"/>
  <c r="JC9" i="25"/>
  <c r="JD9" i="25"/>
  <c r="JE9" i="25"/>
  <c r="IZ9" i="25"/>
  <c r="JB9" i="25"/>
  <c r="IY9" i="25"/>
  <c r="JA9" i="25"/>
  <c r="IW9" i="25"/>
  <c r="JR17" i="25"/>
  <c r="JT17" i="25"/>
  <c r="JS17" i="25"/>
  <c r="JP17" i="25"/>
  <c r="JN17" i="25"/>
  <c r="JM17" i="25"/>
  <c r="JL17" i="25"/>
  <c r="JT21" i="25"/>
  <c r="JS21" i="25"/>
  <c r="JR21" i="25"/>
  <c r="JL21" i="25"/>
  <c r="JQ21" i="25"/>
  <c r="JP21" i="25"/>
  <c r="JE26" i="25"/>
  <c r="JC26" i="25"/>
  <c r="JD26" i="25"/>
  <c r="JA26" i="25"/>
  <c r="IY26" i="25"/>
  <c r="JE14" i="25"/>
  <c r="JC14" i="25"/>
  <c r="JD14" i="25"/>
  <c r="JA14" i="25"/>
  <c r="JB14" i="25"/>
  <c r="JT33" i="25"/>
  <c r="JS33" i="25"/>
  <c r="JR33" i="25"/>
  <c r="JM33" i="25"/>
  <c r="JO33" i="25"/>
  <c r="JN33" i="25"/>
  <c r="JQ33" i="25"/>
  <c r="JC22" i="25"/>
  <c r="JD22" i="25"/>
  <c r="JE22" i="25"/>
  <c r="JB22" i="25"/>
  <c r="IW22" i="25"/>
  <c r="IY22" i="25"/>
  <c r="JD11" i="25"/>
  <c r="JC11" i="25"/>
  <c r="JE11" i="25"/>
  <c r="IW11" i="25"/>
  <c r="JA11" i="25"/>
  <c r="IZ11" i="25"/>
  <c r="JC10" i="25"/>
  <c r="JE10" i="25"/>
  <c r="JD10" i="25"/>
  <c r="IY10" i="25"/>
  <c r="JT27" i="25"/>
  <c r="JS27" i="25"/>
  <c r="JR27" i="25"/>
  <c r="JN27" i="25"/>
  <c r="JO27" i="25"/>
  <c r="JQ27" i="25"/>
  <c r="JW27" i="25" s="1"/>
  <c r="JX27" i="25" s="1"/>
  <c r="JO23" i="25"/>
  <c r="JL20" i="25"/>
  <c r="JH29" i="25"/>
  <c r="IV29" i="25" s="1"/>
  <c r="JM21" i="25"/>
  <c r="JM31" i="25"/>
  <c r="JL26" i="25"/>
  <c r="IW28" i="25"/>
  <c r="JL14" i="25"/>
  <c r="JI24" i="25"/>
  <c r="JJ24" i="25" s="1"/>
  <c r="JQ17" i="25"/>
  <c r="JL33" i="25"/>
  <c r="JQ23" i="25"/>
  <c r="IZ26" i="25"/>
  <c r="JA27" i="25"/>
  <c r="JP10" i="25"/>
  <c r="JM14" i="25"/>
  <c r="JL27" i="25"/>
  <c r="JM22" i="25"/>
  <c r="JO21" i="25"/>
  <c r="JB26" i="25"/>
  <c r="JL31" i="25"/>
  <c r="IX26" i="25"/>
  <c r="IW32" i="25"/>
  <c r="JS25" i="25"/>
  <c r="JT25" i="25"/>
  <c r="JR25" i="25"/>
  <c r="JP25" i="25"/>
  <c r="JO25" i="25"/>
  <c r="JN25" i="25"/>
  <c r="JQ25" i="25"/>
  <c r="JC33" i="25"/>
  <c r="JE33" i="25"/>
  <c r="JD33" i="25"/>
  <c r="JB33" i="25"/>
  <c r="JI33" i="25" s="1"/>
  <c r="JJ33" i="25" s="1"/>
  <c r="IZ33" i="25"/>
  <c r="IY33" i="25"/>
  <c r="IX33" i="25"/>
  <c r="JR24" i="25"/>
  <c r="JS24" i="25"/>
  <c r="JT24" i="25"/>
  <c r="JN24" i="25"/>
  <c r="JO24" i="25"/>
  <c r="JQ24" i="25"/>
  <c r="JM24" i="25"/>
  <c r="JL24" i="25"/>
  <c r="JC16" i="25"/>
  <c r="JD16" i="25"/>
  <c r="JE16" i="25"/>
  <c r="IW16" i="25"/>
  <c r="IY16" i="25"/>
  <c r="JA16" i="25"/>
  <c r="JC28" i="25"/>
  <c r="JD28" i="25"/>
  <c r="JE28" i="25"/>
  <c r="IY28" i="25"/>
  <c r="JB28" i="25"/>
  <c r="JA28" i="25"/>
  <c r="JC21" i="25"/>
  <c r="JD21" i="25"/>
  <c r="JE21" i="25"/>
  <c r="JA21" i="25"/>
  <c r="JB21" i="25"/>
  <c r="IW21" i="25"/>
  <c r="JD12" i="25"/>
  <c r="JE12" i="25"/>
  <c r="JC12" i="25"/>
  <c r="IX12" i="25"/>
  <c r="IZ12" i="25"/>
  <c r="IY12" i="25"/>
  <c r="JE31" i="25"/>
  <c r="JC31" i="25"/>
  <c r="JD31" i="25"/>
  <c r="JB31" i="25"/>
  <c r="JC20" i="25"/>
  <c r="JE20" i="25"/>
  <c r="JD20" i="25"/>
  <c r="JB20" i="25"/>
  <c r="JA20" i="25"/>
  <c r="IX20" i="25"/>
  <c r="IY20" i="25"/>
  <c r="IZ20" i="25"/>
  <c r="JT32" i="25"/>
  <c r="JS32" i="25"/>
  <c r="JR32" i="25"/>
  <c r="JM32" i="25"/>
  <c r="JP32" i="25"/>
  <c r="JQ32" i="25"/>
  <c r="JO32" i="25"/>
  <c r="JM11" i="25"/>
  <c r="JQ11" i="25"/>
  <c r="JP24" i="25"/>
  <c r="IY32" i="25"/>
  <c r="IW33" i="25"/>
  <c r="JM25" i="25"/>
  <c r="JI29" i="25"/>
  <c r="JJ29" i="25" s="1"/>
  <c r="IY11" i="25"/>
  <c r="IX22" i="25"/>
  <c r="IZ21" i="25"/>
  <c r="JQ26" i="25"/>
  <c r="IY14" i="25"/>
  <c r="JS30" i="25"/>
  <c r="JT30" i="25"/>
  <c r="JR30" i="25"/>
  <c r="JN30" i="25"/>
  <c r="JP30" i="25"/>
  <c r="JO30" i="25"/>
  <c r="JM30" i="25"/>
  <c r="JT22" i="25"/>
  <c r="JS22" i="25"/>
  <c r="JR22" i="25"/>
  <c r="JQ22" i="25"/>
  <c r="JN22" i="25"/>
  <c r="JL22" i="25"/>
  <c r="JT26" i="25"/>
  <c r="JS26" i="25"/>
  <c r="JR26" i="25"/>
  <c r="JN26" i="25"/>
  <c r="JP26" i="25"/>
  <c r="JT28" i="25"/>
  <c r="JS28" i="25"/>
  <c r="JR28" i="25"/>
  <c r="JQ28" i="25"/>
  <c r="JP28" i="25"/>
  <c r="JN28" i="25"/>
  <c r="IR15" i="25"/>
  <c r="EQ15" i="25" s="1"/>
  <c r="ER15" i="25" s="1"/>
  <c r="IS15" i="25"/>
  <c r="IW15" i="25" s="1"/>
  <c r="IT15" i="25"/>
  <c r="JE25" i="25"/>
  <c r="JD25" i="25"/>
  <c r="JC25" i="25"/>
  <c r="IZ25" i="25"/>
  <c r="JB25" i="25"/>
  <c r="IY25" i="25"/>
  <c r="JA25" i="25"/>
  <c r="JD18" i="25"/>
  <c r="JC18" i="25"/>
  <c r="JE18" i="25"/>
  <c r="IX18" i="25"/>
  <c r="IW18" i="25"/>
  <c r="JB18" i="25"/>
  <c r="JA18" i="25"/>
  <c r="JT10" i="25"/>
  <c r="JR10" i="25"/>
  <c r="JS10" i="25"/>
  <c r="JN10" i="25"/>
  <c r="JE30" i="25"/>
  <c r="JD30" i="25"/>
  <c r="JC30" i="25"/>
  <c r="IX30" i="25"/>
  <c r="JA30" i="25"/>
  <c r="IY30" i="25"/>
  <c r="IZ30" i="25"/>
  <c r="IR34" i="25"/>
  <c r="EQ34" i="25" s="1"/>
  <c r="ER34" i="25" s="1"/>
  <c r="IT34" i="25"/>
  <c r="JL34" i="25" s="1"/>
  <c r="IS34" i="25"/>
  <c r="JR12" i="25"/>
  <c r="JS12" i="25"/>
  <c r="JT12" i="25"/>
  <c r="JO12" i="25"/>
  <c r="JN12" i="25"/>
  <c r="JM12" i="25"/>
  <c r="JC27" i="25"/>
  <c r="JD27" i="25"/>
  <c r="JE27" i="25"/>
  <c r="JB27" i="25"/>
  <c r="IZ27" i="25"/>
  <c r="IY27" i="25"/>
  <c r="ER27" i="25"/>
  <c r="JH19" i="25"/>
  <c r="IV19" i="25" s="1"/>
  <c r="IX25" i="25"/>
  <c r="JH24" i="25"/>
  <c r="IV24" i="25" s="1"/>
  <c r="JL10" i="25"/>
  <c r="IX16" i="25"/>
  <c r="JN11" i="25"/>
  <c r="JQ12" i="25"/>
  <c r="JO31" i="25"/>
  <c r="JO22" i="25"/>
  <c r="JP31" i="25"/>
  <c r="IX27" i="25"/>
  <c r="JN14" i="25"/>
  <c r="JH8" i="25"/>
  <c r="IV8" i="25" s="1"/>
  <c r="ER10" i="25"/>
  <c r="T8" i="6" s="1"/>
  <c r="S8" i="6"/>
  <c r="JE27" i="34" l="1"/>
  <c r="HK36" i="7"/>
  <c r="GY36" i="7" s="1"/>
  <c r="HZ36" i="7"/>
  <c r="IA36" i="7" s="1"/>
  <c r="HZ27" i="7"/>
  <c r="IA27" i="7" s="1"/>
  <c r="HL27" i="7"/>
  <c r="HM27" i="7" s="1"/>
  <c r="JE26" i="34"/>
  <c r="HE24" i="28"/>
  <c r="HF24" i="28" s="1"/>
  <c r="HL26" i="7"/>
  <c r="HM26" i="7" s="1"/>
  <c r="GQ31" i="28"/>
  <c r="GR31" i="28" s="1"/>
  <c r="HE32" i="28"/>
  <c r="HF32" i="28" s="1"/>
  <c r="HE23" i="28"/>
  <c r="HF23" i="28" s="1"/>
  <c r="JT33" i="34"/>
  <c r="HL38" i="7"/>
  <c r="HM38" i="7" s="1"/>
  <c r="HK38" i="7"/>
  <c r="GY38" i="7" s="1"/>
  <c r="GQ24" i="28"/>
  <c r="GR24" i="28" s="1"/>
  <c r="HL36" i="36"/>
  <c r="HM36" i="36" s="1"/>
  <c r="HZ26" i="7"/>
  <c r="IA26" i="7" s="1"/>
  <c r="HE31" i="28"/>
  <c r="HF31" i="28" s="1"/>
  <c r="HK35" i="7"/>
  <c r="GY35" i="7" s="1"/>
  <c r="IB27" i="7"/>
  <c r="HK28" i="7"/>
  <c r="GY28" i="7" s="1"/>
  <c r="HZ36" i="36"/>
  <c r="IA36" i="36" s="1"/>
  <c r="JI41" i="25"/>
  <c r="JJ41" i="25" s="1"/>
  <c r="HK17" i="36"/>
  <c r="GY17" i="36" s="1"/>
  <c r="HK12" i="36"/>
  <c r="GY12" i="36" s="1"/>
  <c r="HK20" i="36"/>
  <c r="GY20" i="36" s="1"/>
  <c r="HK11" i="36"/>
  <c r="GY11" i="36" s="1"/>
  <c r="JH14" i="25"/>
  <c r="IV14" i="25" s="1"/>
  <c r="HK12" i="7"/>
  <c r="GY12" i="7" s="1"/>
  <c r="HK11" i="7"/>
  <c r="GY11" i="7" s="1"/>
  <c r="HK17" i="7"/>
  <c r="GY17" i="7" s="1"/>
  <c r="HK16" i="7"/>
  <c r="GY16" i="7" s="1"/>
  <c r="IB36" i="36"/>
  <c r="JH27" i="25"/>
  <c r="IV27" i="25" s="1"/>
  <c r="JI36" i="25"/>
  <c r="JJ36" i="25" s="1"/>
  <c r="JW36" i="25"/>
  <c r="JX36" i="25" s="1"/>
  <c r="JV25" i="34"/>
  <c r="JV41" i="34"/>
  <c r="HL33" i="7"/>
  <c r="HM33" i="7" s="1"/>
  <c r="JF27" i="34"/>
  <c r="JG27" i="34" s="1"/>
  <c r="JT27" i="34"/>
  <c r="GP15" i="28"/>
  <c r="GD15" i="28" s="1"/>
  <c r="HL36" i="7"/>
  <c r="HM36" i="7" s="1"/>
  <c r="IB36" i="7" s="1"/>
  <c r="GP23" i="28"/>
  <c r="GD23" i="28" s="1"/>
  <c r="JF26" i="34"/>
  <c r="JG26" i="34" s="1"/>
  <c r="GQ23" i="28"/>
  <c r="GR23" i="28" s="1"/>
  <c r="GQ32" i="28"/>
  <c r="GR32" i="28" s="1"/>
  <c r="GP32" i="28"/>
  <c r="GD32" i="28" s="1"/>
  <c r="HZ28" i="7"/>
  <c r="IA28" i="7" s="1"/>
  <c r="HZ38" i="7"/>
  <c r="IA38" i="7" s="1"/>
  <c r="IB38" i="7" s="1"/>
  <c r="HK26" i="7"/>
  <c r="GY26" i="7" s="1"/>
  <c r="IB26" i="7" s="1"/>
  <c r="GP31" i="28"/>
  <c r="GD31" i="28" s="1"/>
  <c r="HG31" i="28" s="1"/>
  <c r="HZ33" i="7"/>
  <c r="IA33" i="7" s="1"/>
  <c r="HZ37" i="7"/>
  <c r="IA37" i="7" s="1"/>
  <c r="JT26" i="34"/>
  <c r="HE25" i="28"/>
  <c r="HF25" i="28" s="1"/>
  <c r="HG25" i="28" s="1"/>
  <c r="HK10" i="7"/>
  <c r="GY10" i="7" s="1"/>
  <c r="JB20" i="34"/>
  <c r="JA20" i="34"/>
  <c r="IZ20" i="34"/>
  <c r="IW20" i="34"/>
  <c r="IY20" i="34"/>
  <c r="IV20" i="34"/>
  <c r="IT20" i="34"/>
  <c r="IX20" i="34"/>
  <c r="IU20" i="34"/>
  <c r="JE30" i="34"/>
  <c r="IS30" i="34" s="1"/>
  <c r="JF30" i="34"/>
  <c r="JG30" i="34" s="1"/>
  <c r="JT30" i="34"/>
  <c r="JF28" i="34"/>
  <c r="JG28" i="34" s="1"/>
  <c r="GP24" i="28"/>
  <c r="GD24" i="28" s="1"/>
  <c r="HG24" i="28" s="1"/>
  <c r="JE10" i="34"/>
  <c r="IS10" i="34" s="1"/>
  <c r="GP37" i="28"/>
  <c r="GD37" i="28" s="1"/>
  <c r="JE13" i="34"/>
  <c r="IS13" i="34" s="1"/>
  <c r="JH40" i="25"/>
  <c r="IV40" i="25" s="1"/>
  <c r="JE18" i="34"/>
  <c r="IS18" i="34" s="1"/>
  <c r="HL28" i="7"/>
  <c r="HM28" i="7" s="1"/>
  <c r="JT28" i="34"/>
  <c r="HE26" i="28"/>
  <c r="HF26" i="28" s="1"/>
  <c r="HE37" i="28"/>
  <c r="HF37" i="28" s="1"/>
  <c r="JF33" i="34"/>
  <c r="JG33" i="34" s="1"/>
  <c r="JE33" i="34"/>
  <c r="IB29" i="7"/>
  <c r="HK9" i="7"/>
  <c r="GY9" i="7" s="1"/>
  <c r="HL37" i="7"/>
  <c r="HM37" i="7" s="1"/>
  <c r="IB37" i="7" s="1"/>
  <c r="HZ35" i="7"/>
  <c r="IA35" i="7" s="1"/>
  <c r="IB35" i="7" s="1"/>
  <c r="JE11" i="34"/>
  <c r="JW41" i="25"/>
  <c r="JX41" i="25" s="1"/>
  <c r="JE35" i="34"/>
  <c r="IS35" i="34" s="1"/>
  <c r="JF35" i="34"/>
  <c r="JG35" i="34" s="1"/>
  <c r="JT35" i="34"/>
  <c r="JQ20" i="34"/>
  <c r="JP20" i="34"/>
  <c r="JK20" i="34"/>
  <c r="JI20" i="34"/>
  <c r="JM20" i="34"/>
  <c r="JO20" i="34"/>
  <c r="JL20" i="34"/>
  <c r="JN20" i="34"/>
  <c r="JJ20" i="34"/>
  <c r="JA9" i="34"/>
  <c r="JB9" i="34"/>
  <c r="IZ9" i="34"/>
  <c r="IV9" i="34"/>
  <c r="IY9" i="34"/>
  <c r="IX9" i="34"/>
  <c r="IW9" i="34"/>
  <c r="IT9" i="34"/>
  <c r="JP9" i="34"/>
  <c r="JQ9" i="34"/>
  <c r="JN9" i="34"/>
  <c r="JM9" i="34"/>
  <c r="JL9" i="34"/>
  <c r="JI9" i="34"/>
  <c r="JO9" i="34"/>
  <c r="JK9" i="34"/>
  <c r="IU9" i="34"/>
  <c r="JF29" i="34"/>
  <c r="JG29" i="34" s="1"/>
  <c r="GP16" i="28"/>
  <c r="GD16" i="28" s="1"/>
  <c r="GQ26" i="28"/>
  <c r="GR26" i="28" s="1"/>
  <c r="HG26" i="28" s="1"/>
  <c r="JE12" i="34"/>
  <c r="IS12" i="34" s="1"/>
  <c r="HK10" i="36"/>
  <c r="GY10" i="36" s="1"/>
  <c r="JH41" i="25"/>
  <c r="IV41" i="25" s="1"/>
  <c r="JY41" i="25" s="1"/>
  <c r="HK33" i="7"/>
  <c r="GY33" i="7" s="1"/>
  <c r="IB33" i="7" s="1"/>
  <c r="JV36" i="34"/>
  <c r="IS33" i="34"/>
  <c r="IS11" i="34"/>
  <c r="JV40" i="34"/>
  <c r="JU28" i="34"/>
  <c r="JV23" i="34"/>
  <c r="IS28" i="34"/>
  <c r="JV38" i="34"/>
  <c r="JV39" i="34"/>
  <c r="JU26" i="34"/>
  <c r="JU29" i="34"/>
  <c r="IS27" i="34"/>
  <c r="IS26" i="34"/>
  <c r="IS29" i="34"/>
  <c r="JU27" i="34"/>
  <c r="JU30" i="34"/>
  <c r="IS22" i="34"/>
  <c r="JU33" i="34"/>
  <c r="JU35" i="34"/>
  <c r="GH8" i="26"/>
  <c r="GD8" i="26"/>
  <c r="GM8" i="26"/>
  <c r="GL8" i="26"/>
  <c r="HC8" i="26"/>
  <c r="GF8" i="26"/>
  <c r="GJ8" i="26"/>
  <c r="GG8" i="26"/>
  <c r="GI8" i="26"/>
  <c r="GN8" i="26"/>
  <c r="GC8" i="26"/>
  <c r="GK8" i="26"/>
  <c r="HD8" i="26"/>
  <c r="GS8" i="26"/>
  <c r="GU8" i="26"/>
  <c r="HB8" i="26"/>
  <c r="HA8" i="26"/>
  <c r="GX8" i="26"/>
  <c r="GZ8" i="26"/>
  <c r="GT8" i="26"/>
  <c r="GY8" i="26"/>
  <c r="GV8" i="26"/>
  <c r="GW8" i="26"/>
  <c r="JT37" i="25"/>
  <c r="JR37" i="25"/>
  <c r="JS37" i="25"/>
  <c r="JM37" i="25"/>
  <c r="JO37" i="25"/>
  <c r="JP37" i="25"/>
  <c r="JN37" i="25"/>
  <c r="JQ37" i="25"/>
  <c r="JY35" i="25"/>
  <c r="JH30" i="25"/>
  <c r="IV30" i="25" s="1"/>
  <c r="JW30" i="25"/>
  <c r="JX30" i="25" s="1"/>
  <c r="JH20" i="25"/>
  <c r="IV20" i="25" s="1"/>
  <c r="JH12" i="25"/>
  <c r="IV12" i="25" s="1"/>
  <c r="JY38" i="25"/>
  <c r="JI40" i="25"/>
  <c r="JJ40" i="25" s="1"/>
  <c r="JW40" i="25"/>
  <c r="JX40" i="25" s="1"/>
  <c r="JC37" i="25"/>
  <c r="JE37" i="25"/>
  <c r="JD37" i="25"/>
  <c r="IX37" i="25"/>
  <c r="IY37" i="25"/>
  <c r="JA37" i="25"/>
  <c r="IZ37" i="25"/>
  <c r="JB37" i="25"/>
  <c r="JH25" i="25"/>
  <c r="IV25" i="25" s="1"/>
  <c r="JI30" i="25"/>
  <c r="JJ30" i="25" s="1"/>
  <c r="JH10" i="25"/>
  <c r="IV10" i="25" s="1"/>
  <c r="JI39" i="25"/>
  <c r="JJ39" i="25" s="1"/>
  <c r="JL37" i="25"/>
  <c r="JH18" i="25"/>
  <c r="IV18" i="25" s="1"/>
  <c r="JH31" i="25"/>
  <c r="IV31" i="25" s="1"/>
  <c r="JI28" i="25"/>
  <c r="JJ28" i="25" s="1"/>
  <c r="JH26" i="25"/>
  <c r="IV26" i="25" s="1"/>
  <c r="JI27" i="25"/>
  <c r="JJ27" i="25" s="1"/>
  <c r="JY27" i="25" s="1"/>
  <c r="JW33" i="25"/>
  <c r="JX33" i="25" s="1"/>
  <c r="JH36" i="25"/>
  <c r="IV36" i="25" s="1"/>
  <c r="JH39" i="25"/>
  <c r="IV39" i="25" s="1"/>
  <c r="JW39" i="25"/>
  <c r="JX39" i="25" s="1"/>
  <c r="IW37" i="25"/>
  <c r="JT15" i="25"/>
  <c r="JS15" i="25"/>
  <c r="JR15" i="25"/>
  <c r="JO15" i="25"/>
  <c r="JM15" i="25"/>
  <c r="JP15" i="25"/>
  <c r="JQ15" i="25"/>
  <c r="JN15" i="25"/>
  <c r="JT34" i="25"/>
  <c r="JS34" i="25"/>
  <c r="JR34" i="25"/>
  <c r="JN34" i="25"/>
  <c r="JQ34" i="25"/>
  <c r="JO34" i="25"/>
  <c r="JP34" i="25"/>
  <c r="JM34" i="25"/>
  <c r="JH16" i="25"/>
  <c r="IV16" i="25" s="1"/>
  <c r="JH22" i="25"/>
  <c r="IV22" i="25" s="1"/>
  <c r="JW31" i="25"/>
  <c r="JX31" i="25" s="1"/>
  <c r="JW26" i="25"/>
  <c r="JX26" i="25" s="1"/>
  <c r="JW24" i="25"/>
  <c r="JX24" i="25" s="1"/>
  <c r="JY24" i="25" s="1"/>
  <c r="JW25" i="25"/>
  <c r="JX25" i="25" s="1"/>
  <c r="JH32" i="25"/>
  <c r="IV32" i="25" s="1"/>
  <c r="JH28" i="25"/>
  <c r="IV28" i="25" s="1"/>
  <c r="JY29" i="25"/>
  <c r="JC34" i="25"/>
  <c r="JD34" i="25"/>
  <c r="JE34" i="25"/>
  <c r="IZ34" i="25"/>
  <c r="JA34" i="25"/>
  <c r="IY34" i="25"/>
  <c r="JB34" i="25"/>
  <c r="IX34" i="25"/>
  <c r="JW28" i="25"/>
  <c r="JX28" i="25" s="1"/>
  <c r="JI31" i="25"/>
  <c r="JJ31" i="25" s="1"/>
  <c r="JI26" i="25"/>
  <c r="JJ26" i="25" s="1"/>
  <c r="JC15" i="25"/>
  <c r="JD15" i="25"/>
  <c r="JE15" i="25"/>
  <c r="IX15" i="25"/>
  <c r="JA15" i="25"/>
  <c r="IZ15" i="25"/>
  <c r="IY15" i="25"/>
  <c r="JB15" i="25"/>
  <c r="JL15" i="25"/>
  <c r="IW34" i="25"/>
  <c r="JI25" i="25"/>
  <c r="JJ25" i="25" s="1"/>
  <c r="JH11" i="25"/>
  <c r="IV11" i="25" s="1"/>
  <c r="JH33" i="25"/>
  <c r="IV33" i="25" s="1"/>
  <c r="JW32" i="25"/>
  <c r="JX32" i="25" s="1"/>
  <c r="JH21" i="25"/>
  <c r="IV21" i="25" s="1"/>
  <c r="JH9" i="25"/>
  <c r="IV9" i="25" s="1"/>
  <c r="JI32" i="25"/>
  <c r="JJ32" i="25" s="1"/>
  <c r="JW23" i="25"/>
  <c r="JX23" i="25" s="1"/>
  <c r="JY23" i="25" s="1"/>
  <c r="C4" i="27"/>
  <c r="DT2" i="27" s="1"/>
  <c r="C4" i="28"/>
  <c r="CX2" i="28" s="1"/>
  <c r="C4" i="36"/>
  <c r="C4" i="34"/>
  <c r="C4" i="26"/>
  <c r="C4" i="25"/>
  <c r="C46" i="6"/>
  <c r="C4" i="7"/>
  <c r="EE9" i="21"/>
  <c r="EE10" i="21"/>
  <c r="EE11" i="21"/>
  <c r="EE12" i="21"/>
  <c r="EE13" i="21"/>
  <c r="EE14" i="21"/>
  <c r="EE15" i="21"/>
  <c r="EE16" i="21"/>
  <c r="EE17" i="21"/>
  <c r="EE18" i="21"/>
  <c r="EE19" i="21"/>
  <c r="EE20" i="21"/>
  <c r="EE21" i="21"/>
  <c r="EE22" i="21"/>
  <c r="EE23" i="21"/>
  <c r="EE24" i="21"/>
  <c r="EE25" i="21"/>
  <c r="EE26" i="21"/>
  <c r="EE27" i="21"/>
  <c r="EE28" i="21"/>
  <c r="EE29" i="21"/>
  <c r="EE30" i="21"/>
  <c r="EE31" i="21"/>
  <c r="EE32" i="21"/>
  <c r="EE33" i="21"/>
  <c r="EE34" i="21"/>
  <c r="EE35" i="21"/>
  <c r="EE36" i="21"/>
  <c r="EE37" i="21"/>
  <c r="EE38" i="21"/>
  <c r="EE39" i="21"/>
  <c r="EE40" i="21"/>
  <c r="EE41" i="21"/>
  <c r="EE42" i="21"/>
  <c r="EE8" i="21"/>
  <c r="FE6" i="21"/>
  <c r="FT6" i="21" s="1"/>
  <c r="FD6" i="21"/>
  <c r="FS6" i="21" s="1"/>
  <c r="FC6" i="21"/>
  <c r="FR6" i="21" s="1"/>
  <c r="FB6" i="21"/>
  <c r="FQ6" i="21" s="1"/>
  <c r="EO6" i="21"/>
  <c r="EN6" i="21"/>
  <c r="EM6" i="21"/>
  <c r="C4" i="21"/>
  <c r="BK9" i="22"/>
  <c r="BK10" i="22"/>
  <c r="BK11" i="22"/>
  <c r="BK12" i="22"/>
  <c r="BK13" i="22"/>
  <c r="BK14" i="22"/>
  <c r="BK15" i="22"/>
  <c r="BK16" i="22"/>
  <c r="BK17" i="22"/>
  <c r="BK18" i="22"/>
  <c r="BK19" i="22"/>
  <c r="BK20" i="22"/>
  <c r="BK21" i="22"/>
  <c r="BK22" i="22"/>
  <c r="BK23" i="22"/>
  <c r="BK24" i="22"/>
  <c r="BK25" i="22"/>
  <c r="BK26" i="22"/>
  <c r="BK27" i="22"/>
  <c r="BK28" i="22"/>
  <c r="BK29" i="22"/>
  <c r="BK30" i="22"/>
  <c r="BK31" i="22"/>
  <c r="BK32" i="22"/>
  <c r="BK33" i="22"/>
  <c r="BK34" i="22"/>
  <c r="BK35" i="22"/>
  <c r="BK36" i="22"/>
  <c r="BK37" i="22"/>
  <c r="BK38" i="22"/>
  <c r="BK39" i="22"/>
  <c r="BK40" i="22"/>
  <c r="BK41" i="22"/>
  <c r="BK42" i="22"/>
  <c r="CK6" i="22"/>
  <c r="CZ6" i="22" s="1"/>
  <c r="CJ6" i="22"/>
  <c r="CY6" i="22" s="1"/>
  <c r="CI6" i="22"/>
  <c r="CX6" i="22" s="1"/>
  <c r="CH6" i="22"/>
  <c r="CW6" i="22" s="1"/>
  <c r="CG6" i="22"/>
  <c r="CV6" i="22" s="1"/>
  <c r="C4" i="22"/>
  <c r="BK8" i="22"/>
  <c r="BU6" i="22"/>
  <c r="BT6" i="22"/>
  <c r="BS6" i="22"/>
  <c r="BR6" i="22"/>
  <c r="BQ6" i="22"/>
  <c r="BP6" i="22"/>
  <c r="BO6" i="22"/>
  <c r="BN6" i="22"/>
  <c r="BM6" i="22"/>
  <c r="EE9" i="35"/>
  <c r="EE10" i="35"/>
  <c r="EE11" i="35"/>
  <c r="EE12" i="35"/>
  <c r="EE13" i="35"/>
  <c r="EE14" i="35"/>
  <c r="EE15" i="35"/>
  <c r="EE16" i="35"/>
  <c r="EE17" i="35"/>
  <c r="EE18" i="35"/>
  <c r="EE19" i="35"/>
  <c r="EE20" i="35"/>
  <c r="EE21" i="35"/>
  <c r="EE22" i="35"/>
  <c r="EE23" i="35"/>
  <c r="EE24" i="35"/>
  <c r="EE25" i="35"/>
  <c r="EE26" i="35"/>
  <c r="EE27" i="35"/>
  <c r="EE28" i="35"/>
  <c r="EE29" i="35"/>
  <c r="EE30" i="35"/>
  <c r="EE31" i="35"/>
  <c r="EE32" i="35"/>
  <c r="EE33" i="35"/>
  <c r="EE34" i="35"/>
  <c r="EE35" i="35"/>
  <c r="EE36" i="35"/>
  <c r="EE37" i="35"/>
  <c r="EE38" i="35"/>
  <c r="EE39" i="35"/>
  <c r="EE40" i="35"/>
  <c r="EE41" i="35"/>
  <c r="EE42" i="35"/>
  <c r="EE8" i="35"/>
  <c r="FE6" i="35"/>
  <c r="FT6" i="35" s="1"/>
  <c r="JY33" i="25" l="1"/>
  <c r="JY36" i="25"/>
  <c r="IB28" i="7"/>
  <c r="HG23" i="28"/>
  <c r="JE20" i="34"/>
  <c r="IS20" i="34" s="1"/>
  <c r="HG32" i="28"/>
  <c r="JE9" i="34"/>
  <c r="IS9" i="34" s="1"/>
  <c r="HG37" i="28"/>
  <c r="JV28" i="34"/>
  <c r="JV26" i="34"/>
  <c r="JV30" i="34"/>
  <c r="JV35" i="34"/>
  <c r="JV27" i="34"/>
  <c r="JV33" i="34"/>
  <c r="JV29" i="34"/>
  <c r="JY31" i="25"/>
  <c r="JY40" i="25"/>
  <c r="JY25" i="25"/>
  <c r="JY26" i="25"/>
  <c r="GO8" i="26"/>
  <c r="GB8" i="26" s="1"/>
  <c r="JH15" i="25"/>
  <c r="IV15" i="25" s="1"/>
  <c r="JH37" i="25"/>
  <c r="IV37" i="25" s="1"/>
  <c r="JW34" i="25"/>
  <c r="JX34" i="25" s="1"/>
  <c r="JI37" i="25"/>
  <c r="JJ37" i="25" s="1"/>
  <c r="JW37" i="25"/>
  <c r="JX37" i="25" s="1"/>
  <c r="JH34" i="25"/>
  <c r="IV34" i="25" s="1"/>
  <c r="JY39" i="25"/>
  <c r="JY30" i="25"/>
  <c r="JY28" i="25"/>
  <c r="JY32" i="25"/>
  <c r="JI34" i="25"/>
  <c r="JJ34" i="25" s="1"/>
  <c r="DS2" i="7"/>
  <c r="BH2" i="26"/>
  <c r="EY2" i="34"/>
  <c r="CQ9" i="28"/>
  <c r="CQ10" i="28"/>
  <c r="CR36" i="28"/>
  <c r="AJ38" i="10" s="1"/>
  <c r="CR29" i="28"/>
  <c r="AJ31" i="10" s="1"/>
  <c r="CR33" i="28"/>
  <c r="AJ35" i="10" s="1"/>
  <c r="CR26" i="28"/>
  <c r="AJ28" i="10" s="1"/>
  <c r="DS2" i="36"/>
  <c r="EY2" i="25"/>
  <c r="DT2" i="21"/>
  <c r="AZ2" i="22"/>
  <c r="JY34" i="25" l="1"/>
  <c r="JY37" i="25"/>
  <c r="CR40" i="28"/>
  <c r="AJ42" i="10" s="1"/>
  <c r="CR42" i="28"/>
  <c r="AJ44" i="10" s="1"/>
  <c r="CR24" i="28"/>
  <c r="AJ26" i="10" s="1"/>
  <c r="CR28" i="28"/>
  <c r="AJ30" i="10" s="1"/>
  <c r="CR25" i="28"/>
  <c r="AJ27" i="10" s="1"/>
  <c r="CR39" i="28"/>
  <c r="AJ41" i="10" s="1"/>
  <c r="CR32" i="28"/>
  <c r="AJ34" i="10" s="1"/>
  <c r="CR37" i="28"/>
  <c r="AJ39" i="10" s="1"/>
  <c r="ER8" i="34"/>
  <c r="AZ8" i="26"/>
  <c r="DL8" i="7"/>
  <c r="DM42" i="7"/>
  <c r="AC44" i="10" s="1"/>
  <c r="DM24" i="7"/>
  <c r="AC26" i="10" s="1"/>
  <c r="DM26" i="7"/>
  <c r="AC28" i="10" s="1"/>
  <c r="ER8" i="25"/>
  <c r="ES30" i="25"/>
  <c r="AD32" i="10" s="1"/>
  <c r="ES36" i="25"/>
  <c r="AD38" i="10" s="1"/>
  <c r="CR27" i="28"/>
  <c r="AJ29" i="10" s="1"/>
  <c r="CR35" i="28"/>
  <c r="AJ37" i="10" s="1"/>
  <c r="CR41" i="28"/>
  <c r="AJ43" i="10" s="1"/>
  <c r="DL8" i="36"/>
  <c r="DM28" i="36"/>
  <c r="AG30" i="10" s="1"/>
  <c r="DM32" i="36"/>
  <c r="AG34" i="10" s="1"/>
  <c r="CR30" i="28"/>
  <c r="AJ32" i="10" s="1"/>
  <c r="CR38" i="28"/>
  <c r="AJ40" i="10" s="1"/>
  <c r="CR34" i="28"/>
  <c r="AJ36" i="10" s="1"/>
  <c r="CR31" i="28"/>
  <c r="AJ33" i="10" s="1"/>
  <c r="CR23" i="28"/>
  <c r="AJ25" i="10" s="1"/>
  <c r="C4" i="35"/>
  <c r="DT2" i="35" s="1"/>
  <c r="DM25" i="36" l="1"/>
  <c r="AG27" i="10" s="1"/>
  <c r="DM40" i="36"/>
  <c r="AG42" i="10" s="1"/>
  <c r="DM37" i="36"/>
  <c r="AG39" i="10" s="1"/>
  <c r="DM26" i="36"/>
  <c r="AG28" i="10" s="1"/>
  <c r="DM24" i="36"/>
  <c r="AG26" i="10" s="1"/>
  <c r="DM34" i="36"/>
  <c r="AG36" i="10" s="1"/>
  <c r="ES37" i="25"/>
  <c r="AD39" i="10" s="1"/>
  <c r="ES41" i="25"/>
  <c r="AD43" i="10" s="1"/>
  <c r="DM28" i="7"/>
  <c r="AC30" i="10" s="1"/>
  <c r="DM38" i="7"/>
  <c r="AC40" i="10" s="1"/>
  <c r="ES38" i="34"/>
  <c r="AF40" i="10" s="1"/>
  <c r="ES24" i="25"/>
  <c r="AD26" i="10" s="1"/>
  <c r="DM30" i="36"/>
  <c r="AG32" i="10" s="1"/>
  <c r="ES34" i="34"/>
  <c r="AF36" i="10" s="1"/>
  <c r="ES35" i="25"/>
  <c r="AD37" i="10" s="1"/>
  <c r="ES25" i="25"/>
  <c r="AD27" i="10" s="1"/>
  <c r="DM23" i="7"/>
  <c r="AC25" i="10" s="1"/>
  <c r="DM33" i="36"/>
  <c r="AG35" i="10" s="1"/>
  <c r="DM29" i="36"/>
  <c r="AG31" i="10" s="1"/>
  <c r="DM35" i="36"/>
  <c r="AG37" i="10" s="1"/>
  <c r="DM31" i="36"/>
  <c r="AG33" i="10" s="1"/>
  <c r="ES32" i="34"/>
  <c r="AF34" i="10" s="1"/>
  <c r="ES30" i="34"/>
  <c r="AF32" i="10" s="1"/>
  <c r="ES39" i="34"/>
  <c r="AF41" i="10" s="1"/>
  <c r="ES42" i="34"/>
  <c r="AF44" i="10" s="1"/>
  <c r="ES26" i="34"/>
  <c r="AF28" i="10" s="1"/>
  <c r="ES23" i="34"/>
  <c r="AF25" i="10" s="1"/>
  <c r="ES33" i="34"/>
  <c r="AF35" i="10" s="1"/>
  <c r="ES29" i="34"/>
  <c r="AF31" i="10" s="1"/>
  <c r="ES41" i="34"/>
  <c r="AF43" i="10" s="1"/>
  <c r="ES25" i="34"/>
  <c r="AF27" i="10" s="1"/>
  <c r="ES23" i="25"/>
  <c r="AD25" i="10" s="1"/>
  <c r="ES28" i="25"/>
  <c r="AD30" i="10" s="1"/>
  <c r="ES31" i="25"/>
  <c r="AD33" i="10" s="1"/>
  <c r="ES27" i="25"/>
  <c r="AD29" i="10" s="1"/>
  <c r="DM36" i="7"/>
  <c r="AC38" i="10" s="1"/>
  <c r="DM32" i="7"/>
  <c r="AC34" i="10" s="1"/>
  <c r="DM25" i="7"/>
  <c r="AC27" i="10" s="1"/>
  <c r="DM40" i="7"/>
  <c r="AC42" i="10" s="1"/>
  <c r="DM36" i="36"/>
  <c r="AG38" i="10" s="1"/>
  <c r="DM42" i="36"/>
  <c r="AG44" i="10" s="1"/>
  <c r="DM23" i="36"/>
  <c r="AG25" i="10" s="1"/>
  <c r="DM38" i="36"/>
  <c r="AG40" i="10" s="1"/>
  <c r="DM41" i="36"/>
  <c r="AG43" i="10" s="1"/>
  <c r="ES38" i="25"/>
  <c r="AD40" i="10" s="1"/>
  <c r="ES29" i="25"/>
  <c r="AD31" i="10" s="1"/>
  <c r="ES33" i="25"/>
  <c r="AD35" i="10" s="1"/>
  <c r="DM33" i="7"/>
  <c r="AC35" i="10" s="1"/>
  <c r="DM37" i="7"/>
  <c r="AC39" i="10" s="1"/>
  <c r="DM34" i="7"/>
  <c r="AC36" i="10" s="1"/>
  <c r="DM35" i="7"/>
  <c r="AC37" i="10" s="1"/>
  <c r="DM41" i="7"/>
  <c r="AC43" i="10" s="1"/>
  <c r="ES27" i="34"/>
  <c r="AF29" i="10" s="1"/>
  <c r="ES39" i="25"/>
  <c r="AD41" i="10" s="1"/>
  <c r="ES34" i="25"/>
  <c r="AD36" i="10" s="1"/>
  <c r="DM29" i="7"/>
  <c r="AC31" i="10" s="1"/>
  <c r="DM39" i="7"/>
  <c r="AC41" i="10" s="1"/>
  <c r="ES37" i="34"/>
  <c r="AF39" i="10" s="1"/>
  <c r="ES40" i="34"/>
  <c r="AF42" i="10" s="1"/>
  <c r="ES36" i="34"/>
  <c r="AF38" i="10" s="1"/>
  <c r="DM27" i="36"/>
  <c r="AG29" i="10" s="1"/>
  <c r="DM39" i="36"/>
  <c r="AG41" i="10" s="1"/>
  <c r="ES26" i="25"/>
  <c r="AD28" i="10" s="1"/>
  <c r="ES40" i="25"/>
  <c r="AD42" i="10" s="1"/>
  <c r="DM31" i="7"/>
  <c r="AC33" i="10" s="1"/>
  <c r="ES28" i="34"/>
  <c r="AF30" i="10" s="1"/>
  <c r="ES24" i="34"/>
  <c r="AF26" i="10" s="1"/>
  <c r="ES31" i="34"/>
  <c r="AF33" i="10" s="1"/>
  <c r="ES32" i="25"/>
  <c r="AD34" i="10" s="1"/>
  <c r="DM30" i="7"/>
  <c r="AC32" i="10" s="1"/>
  <c r="DM27" i="7"/>
  <c r="AC29" i="10" s="1"/>
  <c r="ES35" i="34"/>
  <c r="AF37" i="10" s="1"/>
  <c r="EE9" i="33"/>
  <c r="EE10" i="33"/>
  <c r="EE11" i="33"/>
  <c r="EE12" i="33"/>
  <c r="EE13" i="33"/>
  <c r="EE14" i="33"/>
  <c r="EE15" i="33"/>
  <c r="EE16" i="33"/>
  <c r="EE17" i="33"/>
  <c r="EE18" i="33"/>
  <c r="EE19" i="33"/>
  <c r="EE20" i="33"/>
  <c r="EE21" i="33"/>
  <c r="EE22" i="33"/>
  <c r="EE23" i="33"/>
  <c r="EE24" i="33"/>
  <c r="EE25" i="33"/>
  <c r="EE26" i="33"/>
  <c r="EE27" i="33"/>
  <c r="EE28" i="33"/>
  <c r="EE29" i="33"/>
  <c r="EE30" i="33"/>
  <c r="EE31" i="33"/>
  <c r="EE32" i="33"/>
  <c r="EE33" i="33"/>
  <c r="EE34" i="33"/>
  <c r="EE35" i="33"/>
  <c r="EE36" i="33"/>
  <c r="EE37" i="33"/>
  <c r="EE38" i="33"/>
  <c r="EE39" i="33"/>
  <c r="EE40" i="33"/>
  <c r="EE41" i="33"/>
  <c r="EE42" i="33"/>
  <c r="EE43" i="33"/>
  <c r="EE8" i="33"/>
  <c r="FE6" i="33"/>
  <c r="FT6" i="33" s="1"/>
  <c r="C4" i="33"/>
  <c r="DT2" i="33" s="1"/>
  <c r="C4" i="20" l="1"/>
  <c r="FT2" i="20" l="1"/>
  <c r="EE9" i="19"/>
  <c r="EE10" i="19"/>
  <c r="EE11" i="19"/>
  <c r="EE12" i="19"/>
  <c r="EE13" i="19"/>
  <c r="EE14" i="19"/>
  <c r="EE15" i="19"/>
  <c r="EE16" i="19"/>
  <c r="EE17" i="19"/>
  <c r="EE18" i="19"/>
  <c r="EE19" i="19"/>
  <c r="EE20" i="19"/>
  <c r="EE21" i="19"/>
  <c r="EE22" i="19"/>
  <c r="EE23" i="19"/>
  <c r="EE24" i="19"/>
  <c r="EE25" i="19"/>
  <c r="EE26" i="19"/>
  <c r="EE27" i="19"/>
  <c r="EE28" i="19"/>
  <c r="EE29" i="19"/>
  <c r="EE30" i="19"/>
  <c r="EE31" i="19"/>
  <c r="EE32" i="19"/>
  <c r="EE33" i="19"/>
  <c r="EE34" i="19"/>
  <c r="EE35" i="19"/>
  <c r="EE36" i="19"/>
  <c r="EE37" i="19"/>
  <c r="EE38" i="19"/>
  <c r="EE39" i="19"/>
  <c r="EE40" i="19"/>
  <c r="EE41" i="19"/>
  <c r="EE42" i="19"/>
  <c r="C4" i="19"/>
  <c r="DT2" i="19" s="1"/>
  <c r="EE8" i="19"/>
  <c r="FE6" i="19"/>
  <c r="FT6" i="19" s="1"/>
  <c r="FD6" i="19"/>
  <c r="FS6" i="19" s="1"/>
  <c r="FC6" i="19"/>
  <c r="FR6" i="19" s="1"/>
  <c r="EO6" i="19"/>
  <c r="EN6" i="19"/>
  <c r="CR41" i="8"/>
  <c r="CR42" i="8"/>
  <c r="DR6" i="8"/>
  <c r="EG6" i="8" s="1"/>
  <c r="DQ6" i="8"/>
  <c r="EF6" i="8" s="1"/>
  <c r="DP6" i="8"/>
  <c r="EE6" i="8" s="1"/>
  <c r="DB6" i="8"/>
  <c r="DA6" i="8"/>
  <c r="C3" i="8"/>
  <c r="C4" i="8"/>
  <c r="CG2" i="8" s="1"/>
  <c r="BQ9" i="4"/>
  <c r="BR9" i="4"/>
  <c r="BQ13" i="4"/>
  <c r="BR13" i="4"/>
  <c r="BQ14" i="4"/>
  <c r="BR14" i="4"/>
  <c r="BQ15" i="4"/>
  <c r="BR15" i="4"/>
  <c r="BR16" i="4"/>
  <c r="BQ20" i="4"/>
  <c r="BR24" i="4"/>
  <c r="BQ25" i="4"/>
  <c r="BR25" i="4"/>
  <c r="BQ29" i="4"/>
  <c r="BQ30" i="4"/>
  <c r="BQ32" i="4"/>
  <c r="BQ35" i="4"/>
  <c r="BQ36" i="4"/>
  <c r="BQ38" i="4"/>
  <c r="BQ39" i="4"/>
  <c r="BQ40" i="4"/>
  <c r="BV7" i="4"/>
  <c r="BN7" i="4"/>
  <c r="BM7" i="4"/>
  <c r="BR7" i="4"/>
  <c r="BI7" i="4"/>
  <c r="BR8" i="4"/>
  <c r="C50" i="3"/>
  <c r="C49" i="3"/>
  <c r="G116" i="40"/>
  <c r="G115" i="40"/>
  <c r="F83" i="40"/>
  <c r="F63" i="40"/>
  <c r="F61" i="40"/>
  <c r="B24" i="40"/>
  <c r="BI9" i="4" l="1"/>
  <c r="BI11" i="4"/>
  <c r="BI16" i="4"/>
  <c r="BI17" i="4"/>
  <c r="BI18" i="4"/>
  <c r="BI19" i="4"/>
  <c r="BI24" i="4"/>
  <c r="BI25" i="4"/>
  <c r="BI26" i="4"/>
  <c r="BI27" i="4"/>
  <c r="BI32" i="4"/>
  <c r="BI33" i="4"/>
  <c r="BI34" i="4"/>
  <c r="BI35" i="4"/>
  <c r="BI36" i="4"/>
  <c r="BI37" i="4"/>
  <c r="BI38" i="4"/>
  <c r="BI39" i="4"/>
  <c r="BI40" i="4"/>
  <c r="BI41" i="4"/>
  <c r="BI42" i="4"/>
  <c r="BI10" i="4"/>
  <c r="BI12" i="4"/>
  <c r="BI13" i="4"/>
  <c r="BI14" i="4"/>
  <c r="BI15" i="4"/>
  <c r="BI20" i="4"/>
  <c r="BI21" i="4"/>
  <c r="BI22" i="4"/>
  <c r="BI23" i="4"/>
  <c r="BI28" i="4"/>
  <c r="BI29" i="4"/>
  <c r="BI30" i="4"/>
  <c r="BI31" i="4"/>
  <c r="BQ12" i="4"/>
  <c r="BJ7" i="4"/>
  <c r="BQ11" i="4"/>
  <c r="BR21" i="4"/>
  <c r="BR27" i="4"/>
  <c r="BM19" i="4"/>
  <c r="BQ10" i="4"/>
  <c r="BR26" i="4"/>
  <c r="BM18" i="4"/>
  <c r="BM35" i="4"/>
  <c r="BR32" i="4"/>
  <c r="CB11" i="4"/>
  <c r="BM25" i="4"/>
  <c r="BR33" i="4"/>
  <c r="BR30" i="4"/>
  <c r="BR20" i="4"/>
  <c r="BM9" i="4"/>
  <c r="BN42" i="3"/>
  <c r="BR38" i="4"/>
  <c r="BQ24" i="4"/>
  <c r="BL16" i="3"/>
  <c r="BR36" i="4"/>
  <c r="BQ18" i="4"/>
  <c r="BR17" i="4"/>
  <c r="BM15" i="4"/>
  <c r="BM11" i="4"/>
  <c r="CB10" i="4"/>
  <c r="BR40" i="4"/>
  <c r="BR28" i="4"/>
  <c r="BR34" i="4"/>
  <c r="CB9" i="4"/>
  <c r="BI8" i="4"/>
  <c r="CB42" i="4"/>
  <c r="CB41" i="4"/>
  <c r="BR39" i="4"/>
  <c r="CB37" i="4"/>
  <c r="BR35" i="4"/>
  <c r="CD34" i="4"/>
  <c r="BQ34" i="4"/>
  <c r="CD29" i="4"/>
  <c r="BM17" i="4"/>
  <c r="BQ16" i="4"/>
  <c r="BR37" i="4"/>
  <c r="CB16" i="4"/>
  <c r="CB39" i="4"/>
  <c r="BQ33" i="4"/>
  <c r="BR41" i="4"/>
  <c r="BQ31" i="4"/>
  <c r="BM8" i="4"/>
  <c r="BR42" i="4"/>
  <c r="BR31" i="4"/>
  <c r="BR19" i="4"/>
  <c r="BQ17" i="4"/>
  <c r="CB15" i="4"/>
  <c r="CB14" i="4"/>
  <c r="BM14" i="4"/>
  <c r="BM10" i="4"/>
  <c r="BM24" i="4"/>
  <c r="CB24" i="4"/>
  <c r="CB12" i="4"/>
  <c r="CB40" i="4"/>
  <c r="CB38" i="4"/>
  <c r="CB36" i="4"/>
  <c r="BR29" i="4"/>
  <c r="BR18" i="4"/>
  <c r="CB13" i="4"/>
  <c r="BM12" i="4"/>
  <c r="CB29" i="4"/>
  <c r="BQ27" i="4"/>
  <c r="CD27" i="4"/>
  <c r="CB25" i="4"/>
  <c r="CD42" i="4"/>
  <c r="CD41" i="4"/>
  <c r="CD40" i="4"/>
  <c r="CD39" i="4"/>
  <c r="CD38" i="4"/>
  <c r="CD37" i="4"/>
  <c r="CD36" i="4"/>
  <c r="CB34" i="4"/>
  <c r="CD33" i="4"/>
  <c r="CB33" i="4"/>
  <c r="CD32" i="4"/>
  <c r="CB32" i="4"/>
  <c r="CD31" i="4"/>
  <c r="CB31" i="4"/>
  <c r="CD30" i="4"/>
  <c r="CB30" i="4"/>
  <c r="BQ28" i="4"/>
  <c r="CD28" i="4"/>
  <c r="CD23" i="4"/>
  <c r="BQ23" i="4"/>
  <c r="CB35" i="4"/>
  <c r="BQ42" i="4"/>
  <c r="BQ41" i="4"/>
  <c r="BM41" i="4"/>
  <c r="BM40" i="4"/>
  <c r="BM38" i="4"/>
  <c r="BQ37" i="4"/>
  <c r="CD35" i="4"/>
  <c r="CD22" i="4"/>
  <c r="BQ22" i="4"/>
  <c r="BQ26" i="4"/>
  <c r="CD26" i="4"/>
  <c r="BQ21" i="4"/>
  <c r="CD21" i="4"/>
  <c r="CB23" i="4"/>
  <c r="CB22" i="4"/>
  <c r="CD25" i="4"/>
  <c r="CB19" i="4"/>
  <c r="CB28" i="4"/>
  <c r="CB27" i="4"/>
  <c r="CB26" i="4"/>
  <c r="CD24" i="4"/>
  <c r="BQ19" i="4"/>
  <c r="CD19" i="4"/>
  <c r="CD18" i="4"/>
  <c r="BR23" i="4"/>
  <c r="BR22" i="4"/>
  <c r="CB20" i="4"/>
  <c r="CD17" i="4"/>
  <c r="CB21" i="4"/>
  <c r="CD20" i="4"/>
  <c r="CD12" i="4"/>
  <c r="BR12" i="4"/>
  <c r="CD11" i="4"/>
  <c r="BR11" i="4"/>
  <c r="CD10" i="4"/>
  <c r="BR10" i="4"/>
  <c r="CB18" i="4"/>
  <c r="CB17" i="4"/>
  <c r="CD16" i="4"/>
  <c r="CD15" i="4"/>
  <c r="CD14" i="4"/>
  <c r="CD13" i="4"/>
  <c r="BS7" i="4"/>
  <c r="BS27" i="4" s="1"/>
  <c r="BK7" i="4"/>
  <c r="BP7" i="4"/>
  <c r="BP25" i="4" s="1"/>
  <c r="BT7" i="4"/>
  <c r="BL7" i="4"/>
  <c r="BQ7" i="4"/>
  <c r="BQ8" i="4" s="1"/>
  <c r="BU7" i="4"/>
  <c r="BU35" i="4" s="1"/>
  <c r="BN21" i="3"/>
  <c r="BN40" i="3"/>
  <c r="BN41" i="3"/>
  <c r="BL29" i="3"/>
  <c r="BL26" i="3"/>
  <c r="BL20" i="3"/>
  <c r="BN28" i="3"/>
  <c r="BN34" i="3"/>
  <c r="BL34" i="3"/>
  <c r="BL32" i="3"/>
  <c r="BN31" i="3"/>
  <c r="BL31" i="3"/>
  <c r="BN30" i="3"/>
  <c r="BL30" i="3"/>
  <c r="BL9" i="3"/>
  <c r="BL35" i="3"/>
  <c r="BL27" i="3"/>
  <c r="BN18" i="3"/>
  <c r="BL17" i="3"/>
  <c r="BL40" i="3"/>
  <c r="BN39" i="3"/>
  <c r="BL39" i="3"/>
  <c r="BN38" i="3"/>
  <c r="BL37" i="3"/>
  <c r="BN37" i="3"/>
  <c r="BL33" i="3"/>
  <c r="BL28" i="3"/>
  <c r="BL21" i="3"/>
  <c r="BL22" i="3"/>
  <c r="BL42" i="3"/>
  <c r="BL41" i="3"/>
  <c r="BL38" i="3"/>
  <c r="BL36" i="3"/>
  <c r="BN36" i="3"/>
  <c r="BL19" i="3"/>
  <c r="BL24" i="3"/>
  <c r="BN35" i="3"/>
  <c r="BN32" i="3"/>
  <c r="BJ31" i="3"/>
  <c r="BN33" i="3"/>
  <c r="BN29" i="3"/>
  <c r="BN27" i="3"/>
  <c r="BN16" i="3"/>
  <c r="BN12" i="3"/>
  <c r="BN25" i="3"/>
  <c r="BN23" i="3"/>
  <c r="BN20" i="3"/>
  <c r="BN14" i="3"/>
  <c r="BN10" i="3"/>
  <c r="BN26" i="3"/>
  <c r="BL25" i="3"/>
  <c r="BL23" i="3"/>
  <c r="BN24" i="3"/>
  <c r="BN22" i="3"/>
  <c r="BL18" i="3"/>
  <c r="BL15" i="3"/>
  <c r="BN19" i="3"/>
  <c r="BN15" i="3"/>
  <c r="BL12" i="3"/>
  <c r="BL10" i="3"/>
  <c r="BL14" i="3"/>
  <c r="BN13" i="3"/>
  <c r="BN11" i="3"/>
  <c r="BN9" i="3"/>
  <c r="BN17" i="3"/>
  <c r="BL13" i="3"/>
  <c r="BL11" i="3"/>
  <c r="BT17" i="4" l="1"/>
  <c r="BT20" i="4"/>
  <c r="BT21" i="4"/>
  <c r="BT27" i="4"/>
  <c r="BT31" i="4"/>
  <c r="BT32" i="4"/>
  <c r="BT33" i="4"/>
  <c r="BT35" i="4"/>
  <c r="BT19" i="4"/>
  <c r="BT28" i="4"/>
  <c r="BT29" i="4"/>
  <c r="BT30" i="4"/>
  <c r="BT34" i="4"/>
  <c r="BS11" i="4"/>
  <c r="BT18" i="4"/>
  <c r="BT26" i="4"/>
  <c r="BS21" i="4"/>
  <c r="BU23" i="4"/>
  <c r="BP16" i="4"/>
  <c r="BT24" i="4"/>
  <c r="BT13" i="4"/>
  <c r="BS29" i="4"/>
  <c r="BS36" i="4"/>
  <c r="BS40" i="4"/>
  <c r="BU13" i="4"/>
  <c r="BU21" i="4"/>
  <c r="BT38" i="4"/>
  <c r="BT12" i="4"/>
  <c r="BU16" i="4"/>
  <c r="BT36" i="4"/>
  <c r="BP14" i="4"/>
  <c r="BS24" i="4"/>
  <c r="BS31" i="4"/>
  <c r="BP37" i="4"/>
  <c r="BT39" i="4"/>
  <c r="BS42" i="4"/>
  <c r="BS16" i="4"/>
  <c r="BS20" i="4"/>
  <c r="BS26" i="4"/>
  <c r="BP39" i="4"/>
  <c r="BU12" i="4"/>
  <c r="BT11" i="4"/>
  <c r="BS23" i="4"/>
  <c r="BS37" i="4"/>
  <c r="BU18" i="4"/>
  <c r="BU19" i="4"/>
  <c r="BT16" i="4"/>
  <c r="BU8" i="4"/>
  <c r="BU26" i="4"/>
  <c r="BU28" i="4"/>
  <c r="BU29" i="4"/>
  <c r="BU30" i="4"/>
  <c r="BU34" i="4"/>
  <c r="BU36" i="4"/>
  <c r="BU39" i="4"/>
  <c r="BU42" i="4"/>
  <c r="BU27" i="4"/>
  <c r="BU31" i="4"/>
  <c r="BU32" i="4"/>
  <c r="BU33" i="4"/>
  <c r="BU37" i="4"/>
  <c r="BU41" i="4"/>
  <c r="BP8" i="4"/>
  <c r="BP20" i="4"/>
  <c r="BP28" i="4"/>
  <c r="BP32" i="4"/>
  <c r="BP34" i="4"/>
  <c r="BP17" i="4"/>
  <c r="BP19" i="4"/>
  <c r="BP21" i="4"/>
  <c r="BP27" i="4"/>
  <c r="BP30" i="4"/>
  <c r="BP31" i="4"/>
  <c r="BP35" i="4"/>
  <c r="BP42" i="4"/>
  <c r="BS8" i="4"/>
  <c r="BS14" i="4"/>
  <c r="BS19" i="4"/>
  <c r="BS13" i="4"/>
  <c r="BS15" i="4"/>
  <c r="BS28" i="4"/>
  <c r="BS35" i="4"/>
  <c r="BS39" i="4"/>
  <c r="BS12" i="4"/>
  <c r="BP18" i="4"/>
  <c r="BP26" i="4"/>
  <c r="BU24" i="4"/>
  <c r="BZ24" i="4" s="1"/>
  <c r="BU22" i="4"/>
  <c r="BU38" i="4"/>
  <c r="BU40" i="4"/>
  <c r="BS25" i="4"/>
  <c r="BU15" i="4"/>
  <c r="BU20" i="4"/>
  <c r="BP33" i="4"/>
  <c r="BT40" i="4"/>
  <c r="BT41" i="4"/>
  <c r="BS18" i="4"/>
  <c r="BT23" i="4"/>
  <c r="BP38" i="4"/>
  <c r="BZ38" i="4" s="1"/>
  <c r="BP23" i="4"/>
  <c r="BP12" i="4"/>
  <c r="BP29" i="4"/>
  <c r="BP36" i="4"/>
  <c r="BT42" i="4"/>
  <c r="BT14" i="4"/>
  <c r="BS22" i="4"/>
  <c r="BS32" i="4"/>
  <c r="BZ32" i="4" s="1"/>
  <c r="BS38" i="4"/>
  <c r="BP11" i="4"/>
  <c r="BT15" i="4"/>
  <c r="BS17" i="4"/>
  <c r="BU25" i="4"/>
  <c r="BS30" i="4"/>
  <c r="BT37" i="4"/>
  <c r="BS34" i="4"/>
  <c r="BP40" i="4"/>
  <c r="BP22" i="4"/>
  <c r="BU14" i="4"/>
  <c r="BT22" i="4"/>
  <c r="BP24" i="4"/>
  <c r="BS41" i="4"/>
  <c r="BS33" i="4"/>
  <c r="BP13" i="4"/>
  <c r="BT25" i="4"/>
  <c r="BU11" i="4"/>
  <c r="BU17" i="4"/>
  <c r="BP15" i="4"/>
  <c r="BP41" i="4"/>
  <c r="BT9" i="4"/>
  <c r="BT8" i="4"/>
  <c r="BS9" i="4"/>
  <c r="BS10" i="4"/>
  <c r="BT10" i="4"/>
  <c r="BP10" i="4"/>
  <c r="BP9" i="4"/>
  <c r="BU9" i="4"/>
  <c r="BU10" i="4"/>
  <c r="BX20" i="4"/>
  <c r="BX38" i="4"/>
  <c r="BM23" i="4"/>
  <c r="BX41" i="4"/>
  <c r="BM29" i="4"/>
  <c r="BZ41" i="4"/>
  <c r="BZ35" i="4"/>
  <c r="BX37" i="4"/>
  <c r="BZ33" i="4"/>
  <c r="BX23" i="4"/>
  <c r="BM21" i="4"/>
  <c r="BZ39" i="4"/>
  <c r="BX31" i="4"/>
  <c r="BX14" i="4"/>
  <c r="BM26" i="4"/>
  <c r="BL8" i="4"/>
  <c r="BX33" i="4"/>
  <c r="BZ29" i="4"/>
  <c r="BK18" i="4"/>
  <c r="BX21" i="4"/>
  <c r="BX35" i="4"/>
  <c r="BX16" i="4"/>
  <c r="BX18" i="4"/>
  <c r="BZ30" i="4"/>
  <c r="BK16" i="4"/>
  <c r="BX22" i="4"/>
  <c r="BX42" i="4"/>
  <c r="BZ37" i="4"/>
  <c r="BZ28" i="4"/>
  <c r="BX11" i="4"/>
  <c r="BX15" i="4"/>
  <c r="BX39" i="4"/>
  <c r="BX34" i="4"/>
  <c r="BM39" i="4"/>
  <c r="BZ25" i="4"/>
  <c r="BZ27" i="4"/>
  <c r="BJ29" i="3"/>
  <c r="BJ30" i="3"/>
  <c r="BJ32" i="3"/>
  <c r="BJ35" i="3"/>
  <c r="BJ26" i="3"/>
  <c r="BJ14" i="3"/>
  <c r="BJ34" i="3"/>
  <c r="BJ33" i="3"/>
  <c r="BJ27" i="3"/>
  <c r="BJ24" i="3"/>
  <c r="BJ28" i="3"/>
  <c r="BJ17" i="3"/>
  <c r="BK13" i="4"/>
  <c r="BL15" i="4"/>
  <c r="BX12" i="4"/>
  <c r="BL12" i="4"/>
  <c r="BX25" i="4"/>
  <c r="BJ15" i="3"/>
  <c r="BJ38" i="3"/>
  <c r="BM27" i="4"/>
  <c r="BL30" i="4"/>
  <c r="BX26" i="4"/>
  <c r="BK35" i="4"/>
  <c r="BM16" i="4"/>
  <c r="BK21" i="4"/>
  <c r="BK20" i="4"/>
  <c r="BK36" i="4"/>
  <c r="BJ12" i="3"/>
  <c r="BX10" i="4"/>
  <c r="BX36" i="4"/>
  <c r="BX40" i="4"/>
  <c r="BM42" i="4"/>
  <c r="BL39" i="4"/>
  <c r="BX24" i="4"/>
  <c r="BK39" i="4"/>
  <c r="BZ31" i="4"/>
  <c r="BK32" i="4"/>
  <c r="BK38" i="4"/>
  <c r="BK24" i="4"/>
  <c r="BK27" i="4"/>
  <c r="BK10" i="4"/>
  <c r="BK12" i="4"/>
  <c r="BL17" i="4"/>
  <c r="BL21" i="4"/>
  <c r="BL18" i="4"/>
  <c r="BL19" i="4"/>
  <c r="BK22" i="4"/>
  <c r="BK34" i="4"/>
  <c r="BZ34" i="4"/>
  <c r="BZ36" i="4"/>
  <c r="BX13" i="4"/>
  <c r="BK11" i="4"/>
  <c r="BX9" i="4"/>
  <c r="BM20" i="4"/>
  <c r="BL32" i="4"/>
  <c r="BL34" i="4"/>
  <c r="BL29" i="4"/>
  <c r="BM37" i="4"/>
  <c r="BL9" i="4"/>
  <c r="BL25" i="4"/>
  <c r="BK8" i="4"/>
  <c r="BX17" i="4"/>
  <c r="BL20" i="4"/>
  <c r="BK19" i="4"/>
  <c r="BK23" i="4"/>
  <c r="BL28" i="4"/>
  <c r="BL24" i="4"/>
  <c r="BZ40" i="4"/>
  <c r="BX28" i="4"/>
  <c r="BM31" i="4"/>
  <c r="BL36" i="4"/>
  <c r="BL11" i="4"/>
  <c r="BK28" i="4"/>
  <c r="BK9" i="4"/>
  <c r="BL26" i="4"/>
  <c r="BK40" i="4"/>
  <c r="BL14" i="4"/>
  <c r="BL31" i="4"/>
  <c r="BL33" i="4"/>
  <c r="BL35" i="4"/>
  <c r="BM36" i="4"/>
  <c r="BL37" i="4"/>
  <c r="BL38" i="4"/>
  <c r="BK31" i="4"/>
  <c r="BK37" i="4"/>
  <c r="BK41" i="4"/>
  <c r="BK17" i="4"/>
  <c r="BL22" i="4"/>
  <c r="BK29" i="4"/>
  <c r="BZ14" i="4"/>
  <c r="BZ12" i="4"/>
  <c r="BL13" i="4"/>
  <c r="BL27" i="4"/>
  <c r="BX27" i="4"/>
  <c r="BM33" i="4"/>
  <c r="BM22" i="4"/>
  <c r="BZ42" i="4"/>
  <c r="BX30" i="4"/>
  <c r="BX32" i="4"/>
  <c r="BM28" i="4"/>
  <c r="BL40" i="4"/>
  <c r="BL41" i="4"/>
  <c r="BL42" i="4"/>
  <c r="BK33" i="4"/>
  <c r="BL10" i="4"/>
  <c r="BL16" i="4"/>
  <c r="BK30" i="4"/>
  <c r="BK42" i="4"/>
  <c r="BL23" i="4"/>
  <c r="BM13" i="4"/>
  <c r="BK26" i="4"/>
  <c r="BX19" i="4"/>
  <c r="BX29" i="4"/>
  <c r="BM34" i="4"/>
  <c r="BK25" i="4"/>
  <c r="BZ11" i="4"/>
  <c r="BK15" i="4"/>
  <c r="BZ23" i="4"/>
  <c r="BM30" i="4"/>
  <c r="BK14" i="4"/>
  <c r="BZ26" i="4"/>
  <c r="BZ21" i="4"/>
  <c r="BM32" i="4"/>
  <c r="BX8" i="4"/>
  <c r="CB8" i="4" s="1"/>
  <c r="BJ22" i="3"/>
  <c r="BJ41" i="3"/>
  <c r="BJ19" i="3"/>
  <c r="BJ13" i="3"/>
  <c r="BJ36" i="3"/>
  <c r="BJ39" i="3"/>
  <c r="BJ25" i="3"/>
  <c r="BJ37" i="3"/>
  <c r="BJ18" i="3"/>
  <c r="BI21" i="3"/>
  <c r="BJ11" i="3"/>
  <c r="BI13" i="3"/>
  <c r="BJ10" i="3"/>
  <c r="BJ20" i="3"/>
  <c r="BJ23" i="3"/>
  <c r="BJ9" i="3"/>
  <c r="BJ21" i="3"/>
  <c r="BJ16" i="3"/>
  <c r="BJ40" i="3"/>
  <c r="BJ42" i="3"/>
  <c r="BJ8" i="3"/>
  <c r="BN8" i="3" s="1"/>
  <c r="BZ8" i="4" l="1"/>
  <c r="CD8" i="4" s="1"/>
  <c r="BZ15" i="4"/>
  <c r="BZ16" i="4"/>
  <c r="BZ20" i="4"/>
  <c r="BZ22" i="4"/>
  <c r="BZ19" i="4"/>
  <c r="BZ13" i="4"/>
  <c r="BZ17" i="4"/>
  <c r="BZ18" i="4"/>
  <c r="BL8" i="3"/>
  <c r="AU8" i="3"/>
  <c r="BF8" i="3" s="1"/>
  <c r="G8" i="3" s="1"/>
  <c r="BZ9" i="4"/>
  <c r="CD9" i="4" s="1"/>
  <c r="BZ10" i="4"/>
  <c r="BY27" i="4"/>
  <c r="BY10" i="4"/>
  <c r="CC10" i="4" s="1"/>
  <c r="CF10" i="4" s="1"/>
  <c r="BY21" i="4"/>
  <c r="BY35" i="4"/>
  <c r="CC35" i="4" s="1"/>
  <c r="CF35" i="4" s="1"/>
  <c r="BY39" i="4"/>
  <c r="BY40" i="4"/>
  <c r="CC40" i="4" s="1"/>
  <c r="CF40" i="4" s="1"/>
  <c r="CC27" i="4"/>
  <c r="CF27" i="4" s="1"/>
  <c r="BY24" i="4"/>
  <c r="CC24" i="4" s="1"/>
  <c r="CF24" i="4" s="1"/>
  <c r="BY9" i="4"/>
  <c r="BY34" i="4"/>
  <c r="BY25" i="4"/>
  <c r="BY16" i="4"/>
  <c r="CC16" i="4" s="1"/>
  <c r="CF16" i="4" s="1"/>
  <c r="BY11" i="4"/>
  <c r="BY42" i="4"/>
  <c r="BY20" i="4"/>
  <c r="CC20" i="4" s="1"/>
  <c r="CF20" i="4" s="1"/>
  <c r="BY18" i="4"/>
  <c r="BY12" i="4"/>
  <c r="CC12" i="4" s="1"/>
  <c r="CF12" i="4" s="1"/>
  <c r="BY23" i="4"/>
  <c r="BI33" i="3"/>
  <c r="BI24" i="3"/>
  <c r="BI28" i="3"/>
  <c r="BM28" i="3" s="1"/>
  <c r="BP28" i="3" s="1"/>
  <c r="BI38" i="3"/>
  <c r="BM38" i="3" s="1"/>
  <c r="BP38" i="3" s="1"/>
  <c r="BI15" i="3"/>
  <c r="BI27" i="3"/>
  <c r="BM27" i="3" s="1"/>
  <c r="BP27" i="3" s="1"/>
  <c r="BI42" i="3"/>
  <c r="BI39" i="3"/>
  <c r="BM39" i="3" s="1"/>
  <c r="BP39" i="3" s="1"/>
  <c r="BI18" i="3"/>
  <c r="BM18" i="3" s="1"/>
  <c r="BP18" i="3" s="1"/>
  <c r="BM33" i="3"/>
  <c r="BP33" i="3" s="1"/>
  <c r="BI32" i="3"/>
  <c r="BM32" i="3" s="1"/>
  <c r="BP32" i="3" s="1"/>
  <c r="BI16" i="3"/>
  <c r="BM36" i="3"/>
  <c r="BP36" i="3" s="1"/>
  <c r="BI36" i="3"/>
  <c r="BY13" i="4"/>
  <c r="BY29" i="4"/>
  <c r="BM15" i="3"/>
  <c r="BP15" i="3" s="1"/>
  <c r="BI10" i="3"/>
  <c r="BI20" i="3"/>
  <c r="BI17" i="3"/>
  <c r="BM17" i="3" s="1"/>
  <c r="BP17" i="3" s="1"/>
  <c r="CC25" i="4"/>
  <c r="CF25" i="4" s="1"/>
  <c r="BI19" i="3"/>
  <c r="BI22" i="3"/>
  <c r="BM22" i="3" s="1"/>
  <c r="BP22" i="3" s="1"/>
  <c r="BI26" i="3"/>
  <c r="BM26" i="3" s="1"/>
  <c r="BP26" i="3" s="1"/>
  <c r="BI9" i="3"/>
  <c r="BM9" i="3" s="1"/>
  <c r="BP9" i="3" s="1"/>
  <c r="BY8" i="4"/>
  <c r="BY19" i="4"/>
  <c r="BY41" i="4"/>
  <c r="CC41" i="4" s="1"/>
  <c r="CF41" i="4" s="1"/>
  <c r="BY26" i="4"/>
  <c r="CC26" i="4" s="1"/>
  <c r="CF26" i="4" s="1"/>
  <c r="BI31" i="3"/>
  <c r="BM31" i="3" s="1"/>
  <c r="BP31" i="3" s="1"/>
  <c r="BI40" i="3"/>
  <c r="BM40" i="3" s="1"/>
  <c r="BP40" i="3" s="1"/>
  <c r="CC11" i="4"/>
  <c r="CF11" i="4" s="1"/>
  <c r="BY36" i="4"/>
  <c r="BI25" i="3"/>
  <c r="BM13" i="3"/>
  <c r="BP13" i="3" s="1"/>
  <c r="BY37" i="4"/>
  <c r="BY14" i="4"/>
  <c r="BY22" i="4"/>
  <c r="BI8" i="3"/>
  <c r="BY38" i="4"/>
  <c r="BY33" i="4"/>
  <c r="BY17" i="4"/>
  <c r="CC17" i="4" s="1"/>
  <c r="CF17" i="4" s="1"/>
  <c r="BY15" i="4"/>
  <c r="BY28" i="4"/>
  <c r="BY30" i="4"/>
  <c r="BY31" i="4"/>
  <c r="BY32" i="4"/>
  <c r="BI37" i="3"/>
  <c r="BM37" i="3" s="1"/>
  <c r="BP37" i="3" s="1"/>
  <c r="BI29" i="3"/>
  <c r="BM29" i="3" s="1"/>
  <c r="BP29" i="3" s="1"/>
  <c r="BI11" i="3"/>
  <c r="BM11" i="3" s="1"/>
  <c r="BP11" i="3" s="1"/>
  <c r="BI41" i="3"/>
  <c r="BM41" i="3" s="1"/>
  <c r="BP41" i="3" s="1"/>
  <c r="BI14" i="3"/>
  <c r="BM14" i="3" s="1"/>
  <c r="BP14" i="3" s="1"/>
  <c r="BI35" i="3"/>
  <c r="BI12" i="3"/>
  <c r="BM12" i="3" s="1"/>
  <c r="BP12" i="3" s="1"/>
  <c r="BM25" i="3"/>
  <c r="BP25" i="3" s="1"/>
  <c r="BM19" i="3"/>
  <c r="BP19" i="3" s="1"/>
  <c r="BM10" i="3"/>
  <c r="BP10" i="3" s="1"/>
  <c r="BI34" i="3"/>
  <c r="BM34" i="3" s="1"/>
  <c r="BP34" i="3" s="1"/>
  <c r="BI30" i="3"/>
  <c r="BM30" i="3" s="1"/>
  <c r="BP30" i="3" s="1"/>
  <c r="BI23" i="3"/>
  <c r="BM23" i="3" s="1"/>
  <c r="BP23" i="3" s="1"/>
  <c r="BM24" i="3"/>
  <c r="BP24" i="3" s="1"/>
  <c r="BM16" i="3"/>
  <c r="BP16" i="3" s="1"/>
  <c r="BM42" i="3"/>
  <c r="BP42" i="3" s="1"/>
  <c r="BM21" i="3"/>
  <c r="BP21" i="3" s="1"/>
  <c r="CC34" i="4" l="1"/>
  <c r="CF34" i="4" s="1"/>
  <c r="CC37" i="4"/>
  <c r="CF37" i="4" s="1"/>
  <c r="CC28" i="4"/>
  <c r="CF28" i="4" s="1"/>
  <c r="CC42" i="4"/>
  <c r="CF42" i="4" s="1"/>
  <c r="CC18" i="4"/>
  <c r="CF18" i="4" s="1"/>
  <c r="CC19" i="4"/>
  <c r="CF19" i="4" s="1"/>
  <c r="CC13" i="4"/>
  <c r="CF13" i="4" s="1"/>
  <c r="CC8" i="4"/>
  <c r="CF8" i="4" s="1"/>
  <c r="CC21" i="4"/>
  <c r="CF21" i="4" s="1"/>
  <c r="CC23" i="4"/>
  <c r="CF23" i="4" s="1"/>
  <c r="CC39" i="4"/>
  <c r="CF39" i="4" s="1"/>
  <c r="CC22" i="4"/>
  <c r="CF22" i="4" s="1"/>
  <c r="CC38" i="4"/>
  <c r="CF38" i="4" s="1"/>
  <c r="CC36" i="4"/>
  <c r="CF36" i="4" s="1"/>
  <c r="CC29" i="4"/>
  <c r="CF29" i="4" s="1"/>
  <c r="CC9" i="4"/>
  <c r="CF9" i="4" s="1"/>
  <c r="CC14" i="4"/>
  <c r="CF14" i="4" s="1"/>
  <c r="BM35" i="3"/>
  <c r="BP35" i="3" s="1"/>
  <c r="BM20" i="3"/>
  <c r="BP20" i="3" s="1"/>
  <c r="CC32" i="4"/>
  <c r="CF32" i="4" s="1"/>
  <c r="CC33" i="4"/>
  <c r="CF33" i="4" s="1"/>
  <c r="CC15" i="4"/>
  <c r="CF15" i="4" s="1"/>
  <c r="BM8" i="3"/>
  <c r="BP8" i="3" s="1"/>
  <c r="CC31" i="4"/>
  <c r="CF31" i="4" s="1"/>
  <c r="CC30" i="4"/>
  <c r="CF30" i="4" s="1"/>
  <c r="H24" i="40" l="1"/>
  <c r="B20" i="40"/>
  <c r="F50" i="40"/>
  <c r="A54" i="37" l="1"/>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18" i="12"/>
  <c r="B15" i="12"/>
  <c r="C40" i="39"/>
  <c r="C39" i="39"/>
  <c r="D3" i="27" l="1"/>
  <c r="B50" i="7" l="1"/>
  <c r="HE6" i="7" s="1"/>
  <c r="HT6" i="7" s="1"/>
  <c r="A50" i="7"/>
  <c r="B49" i="7"/>
  <c r="HD6" i="7" s="1"/>
  <c r="HS6" i="7" s="1"/>
  <c r="A49" i="7"/>
  <c r="B8" i="21"/>
  <c r="EM9" i="20"/>
  <c r="EN9" i="20"/>
  <c r="GF9" i="20" s="1"/>
  <c r="GT9" i="20" s="1"/>
  <c r="EO9" i="20"/>
  <c r="GG9" i="20" s="1"/>
  <c r="GU9" i="20" s="1"/>
  <c r="EM10" i="20"/>
  <c r="EN10" i="20"/>
  <c r="GF10" i="20" s="1"/>
  <c r="GT10" i="20" s="1"/>
  <c r="EO10" i="20"/>
  <c r="GG10" i="20" s="1"/>
  <c r="GU10" i="20" s="1"/>
  <c r="EM11" i="20"/>
  <c r="EN11" i="20"/>
  <c r="GF11" i="20" s="1"/>
  <c r="GT11" i="20" s="1"/>
  <c r="EO11" i="20"/>
  <c r="GG11" i="20" s="1"/>
  <c r="GU11" i="20" s="1"/>
  <c r="EM12" i="20"/>
  <c r="EN12" i="20"/>
  <c r="GF12" i="20" s="1"/>
  <c r="GT12" i="20" s="1"/>
  <c r="EO12" i="20"/>
  <c r="GG12" i="20" s="1"/>
  <c r="GU12" i="20" s="1"/>
  <c r="EM13" i="20"/>
  <c r="EN13" i="20"/>
  <c r="GF13" i="20" s="1"/>
  <c r="GT13" i="20" s="1"/>
  <c r="EO13" i="20"/>
  <c r="GG13" i="20" s="1"/>
  <c r="GU13" i="20" s="1"/>
  <c r="EM14" i="20"/>
  <c r="EN14" i="20"/>
  <c r="GF14" i="20" s="1"/>
  <c r="GT14" i="20" s="1"/>
  <c r="EO14" i="20"/>
  <c r="GG14" i="20" s="1"/>
  <c r="GU14" i="20" s="1"/>
  <c r="EM15" i="20"/>
  <c r="EN15" i="20"/>
  <c r="GF15" i="20" s="1"/>
  <c r="GT15" i="20" s="1"/>
  <c r="EO15" i="20"/>
  <c r="GG15" i="20" s="1"/>
  <c r="GU15" i="20" s="1"/>
  <c r="EM16" i="20"/>
  <c r="EN16" i="20"/>
  <c r="GF16" i="20" s="1"/>
  <c r="GT16" i="20" s="1"/>
  <c r="EO16" i="20"/>
  <c r="EM17" i="20"/>
  <c r="EN17" i="20"/>
  <c r="EO17" i="20"/>
  <c r="GG17" i="20" s="1"/>
  <c r="GU17" i="20" s="1"/>
  <c r="EM18" i="20"/>
  <c r="GE18" i="20" s="1"/>
  <c r="GS18" i="20" s="1"/>
  <c r="EN18" i="20"/>
  <c r="EO18" i="20"/>
  <c r="GG18" i="20" s="1"/>
  <c r="GU18" i="20" s="1"/>
  <c r="EM19" i="20"/>
  <c r="GE19" i="20" s="1"/>
  <c r="GS19" i="20" s="1"/>
  <c r="EN19" i="20"/>
  <c r="EO19" i="20"/>
  <c r="EM20" i="20"/>
  <c r="EN20" i="20"/>
  <c r="EO20" i="20"/>
  <c r="GG20" i="20" s="1"/>
  <c r="GU20" i="20" s="1"/>
  <c r="EM21" i="20"/>
  <c r="EN21" i="20"/>
  <c r="EO21" i="20"/>
  <c r="GG21" i="20" s="1"/>
  <c r="GU21" i="20" s="1"/>
  <c r="EM22" i="20"/>
  <c r="EN22" i="20"/>
  <c r="EO22" i="20"/>
  <c r="EM23" i="20"/>
  <c r="GE23" i="20" s="1"/>
  <c r="GS23" i="20" s="1"/>
  <c r="EN23" i="20"/>
  <c r="EO23" i="20"/>
  <c r="EM24" i="20"/>
  <c r="EN24" i="20"/>
  <c r="EO24" i="20"/>
  <c r="GG24" i="20" s="1"/>
  <c r="GU24" i="20" s="1"/>
  <c r="EM25" i="20"/>
  <c r="EN25" i="20"/>
  <c r="EO25" i="20"/>
  <c r="GG25" i="20" s="1"/>
  <c r="GU25" i="20" s="1"/>
  <c r="EM26" i="20"/>
  <c r="EN26" i="20"/>
  <c r="GF26" i="20" s="1"/>
  <c r="GT26" i="20" s="1"/>
  <c r="EO26" i="20"/>
  <c r="GG26" i="20" s="1"/>
  <c r="GU26" i="20" s="1"/>
  <c r="EM27" i="20"/>
  <c r="EN27" i="20"/>
  <c r="GF27" i="20" s="1"/>
  <c r="GT27" i="20" s="1"/>
  <c r="EO27" i="20"/>
  <c r="GG27" i="20" s="1"/>
  <c r="GU27" i="20" s="1"/>
  <c r="EM28" i="20"/>
  <c r="EN28" i="20"/>
  <c r="GF28" i="20" s="1"/>
  <c r="GT28" i="20" s="1"/>
  <c r="EO28" i="20"/>
  <c r="GG28" i="20" s="1"/>
  <c r="GU28" i="20" s="1"/>
  <c r="EM29" i="20"/>
  <c r="EN29" i="20"/>
  <c r="GF29" i="20" s="1"/>
  <c r="GT29" i="20" s="1"/>
  <c r="EO29" i="20"/>
  <c r="GG29" i="20" s="1"/>
  <c r="GU29" i="20" s="1"/>
  <c r="EM30" i="20"/>
  <c r="EN30" i="20"/>
  <c r="GF30" i="20" s="1"/>
  <c r="GT30" i="20" s="1"/>
  <c r="EO30" i="20"/>
  <c r="GG30" i="20" s="1"/>
  <c r="GU30" i="20" s="1"/>
  <c r="EM31" i="20"/>
  <c r="EN31" i="20"/>
  <c r="EO31" i="20"/>
  <c r="GG31" i="20" s="1"/>
  <c r="GU31" i="20" s="1"/>
  <c r="EM32" i="20"/>
  <c r="EN32" i="20"/>
  <c r="EO32" i="20"/>
  <c r="GG32" i="20" s="1"/>
  <c r="GU32" i="20" s="1"/>
  <c r="EM33" i="20"/>
  <c r="EN33" i="20"/>
  <c r="EO33" i="20"/>
  <c r="GG33" i="20" s="1"/>
  <c r="GU33" i="20" s="1"/>
  <c r="EM34" i="20"/>
  <c r="EN34" i="20"/>
  <c r="EO34" i="20"/>
  <c r="GG34" i="20" s="1"/>
  <c r="GU34" i="20" s="1"/>
  <c r="EM35" i="20"/>
  <c r="EN35" i="20"/>
  <c r="EO35" i="20"/>
  <c r="GG35" i="20" s="1"/>
  <c r="GU35" i="20" s="1"/>
  <c r="EM36" i="20"/>
  <c r="EN36" i="20"/>
  <c r="EO36" i="20"/>
  <c r="GG36" i="20" s="1"/>
  <c r="GU36" i="20" s="1"/>
  <c r="EM37" i="20"/>
  <c r="EN37" i="20"/>
  <c r="EO37" i="20"/>
  <c r="GG37" i="20" s="1"/>
  <c r="GU37" i="20" s="1"/>
  <c r="EM38" i="20"/>
  <c r="EN38" i="20"/>
  <c r="EO38" i="20"/>
  <c r="GG38" i="20" s="1"/>
  <c r="GU38" i="20" s="1"/>
  <c r="EM39" i="20"/>
  <c r="EN39" i="20"/>
  <c r="EO39" i="20"/>
  <c r="GG39" i="20" s="1"/>
  <c r="GU39" i="20" s="1"/>
  <c r="EM40" i="20"/>
  <c r="EN40" i="20"/>
  <c r="EO40" i="20"/>
  <c r="GG40" i="20" s="1"/>
  <c r="GU40" i="20" s="1"/>
  <c r="EM41" i="20"/>
  <c r="EN41" i="20"/>
  <c r="EO41" i="20"/>
  <c r="GG41" i="20" s="1"/>
  <c r="GU41" i="20" s="1"/>
  <c r="EM42" i="20"/>
  <c r="EN42" i="20"/>
  <c r="EO42" i="20"/>
  <c r="GG42" i="20" s="1"/>
  <c r="GU42" i="20" s="1"/>
  <c r="EN8" i="20"/>
  <c r="EO8" i="20"/>
  <c r="EM8" i="20"/>
  <c r="B58" i="20"/>
  <c r="B57" i="20"/>
  <c r="HN6" i="20" s="1"/>
  <c r="IF6" i="20" s="1"/>
  <c r="B56" i="20"/>
  <c r="HM6" i="20" s="1"/>
  <c r="IE6" i="20" s="1"/>
  <c r="A58" i="20"/>
  <c r="A56" i="20"/>
  <c r="GT7" i="20" s="1"/>
  <c r="A57" i="20"/>
  <c r="GU7" i="20" s="1"/>
  <c r="GF40" i="20" l="1"/>
  <c r="GT40" i="20" s="1"/>
  <c r="GE39" i="20"/>
  <c r="GS39" i="20" s="1"/>
  <c r="GF36" i="20"/>
  <c r="GT36" i="20" s="1"/>
  <c r="GE35" i="20"/>
  <c r="GS35" i="20" s="1"/>
  <c r="GF32" i="20"/>
  <c r="GT32" i="20" s="1"/>
  <c r="GF20" i="20"/>
  <c r="GT20" i="20" s="1"/>
  <c r="GF41" i="20"/>
  <c r="GT41" i="20" s="1"/>
  <c r="GE40" i="20"/>
  <c r="GS40" i="20" s="1"/>
  <c r="GF37" i="20"/>
  <c r="GT37" i="20" s="1"/>
  <c r="GE36" i="20"/>
  <c r="GS36" i="20" s="1"/>
  <c r="GF33" i="20"/>
  <c r="GT33" i="20" s="1"/>
  <c r="GG22" i="20"/>
  <c r="GU22" i="20"/>
  <c r="GE16" i="20"/>
  <c r="GS16" i="20" s="1"/>
  <c r="GE12" i="20"/>
  <c r="GS12" i="20" s="1"/>
  <c r="GF42" i="20"/>
  <c r="GT42" i="20" s="1"/>
  <c r="GE41" i="20"/>
  <c r="GS41" i="20" s="1"/>
  <c r="GF38" i="20"/>
  <c r="GT38" i="20" s="1"/>
  <c r="GE37" i="20"/>
  <c r="GS37" i="20" s="1"/>
  <c r="GF34" i="20"/>
  <c r="GT34" i="20"/>
  <c r="GE33" i="20"/>
  <c r="GS33" i="20" s="1"/>
  <c r="GE29" i="20"/>
  <c r="GS29" i="20" s="1"/>
  <c r="GE25" i="20"/>
  <c r="GS25" i="20" s="1"/>
  <c r="GG23" i="20"/>
  <c r="GU23" i="20" s="1"/>
  <c r="GF22" i="20"/>
  <c r="GT22" i="20" s="1"/>
  <c r="GE21" i="20"/>
  <c r="GS21" i="20" s="1"/>
  <c r="GG19" i="20"/>
  <c r="GU19" i="20" s="1"/>
  <c r="GF18" i="20"/>
  <c r="GT18" i="20" s="1"/>
  <c r="GE17" i="20"/>
  <c r="GS17" i="20" s="1"/>
  <c r="GE13" i="20"/>
  <c r="GS13" i="20" s="1"/>
  <c r="GE9" i="20"/>
  <c r="GS9" i="20" s="1"/>
  <c r="GE31" i="20"/>
  <c r="GS31" i="20" s="1"/>
  <c r="GE27" i="20"/>
  <c r="GS27" i="20" s="1"/>
  <c r="GF24" i="20"/>
  <c r="GT24" i="20" s="1"/>
  <c r="GE15" i="20"/>
  <c r="GS15" i="20" s="1"/>
  <c r="GE11" i="20"/>
  <c r="GS11" i="20" s="1"/>
  <c r="GE32" i="20"/>
  <c r="GS32" i="20" s="1"/>
  <c r="GE28" i="20"/>
  <c r="GS28" i="20" s="1"/>
  <c r="GF25" i="20"/>
  <c r="GT25" i="20" s="1"/>
  <c r="GE24" i="20"/>
  <c r="GS24" i="20" s="1"/>
  <c r="GF21" i="20"/>
  <c r="GT21" i="20" s="1"/>
  <c r="GE20" i="20"/>
  <c r="GS20" i="20" s="1"/>
  <c r="GF17" i="20"/>
  <c r="GT17" i="20" s="1"/>
  <c r="GE42" i="20"/>
  <c r="GS42" i="20" s="1"/>
  <c r="GF39" i="20"/>
  <c r="GT39" i="20" s="1"/>
  <c r="GE38" i="20"/>
  <c r="GS38" i="20" s="1"/>
  <c r="GF35" i="20"/>
  <c r="GT35" i="20" s="1"/>
  <c r="GE34" i="20"/>
  <c r="GS34" i="20" s="1"/>
  <c r="GF31" i="20"/>
  <c r="GT31" i="20" s="1"/>
  <c r="GE30" i="20"/>
  <c r="GS30" i="20" s="1"/>
  <c r="GE26" i="20"/>
  <c r="GS26" i="20" s="1"/>
  <c r="GF23" i="20"/>
  <c r="GT23" i="20" s="1"/>
  <c r="GE22" i="20"/>
  <c r="GS22" i="20" s="1"/>
  <c r="GF19" i="20"/>
  <c r="GT19" i="20" s="1"/>
  <c r="GG16" i="20"/>
  <c r="GU16" i="20" s="1"/>
  <c r="GE14" i="20"/>
  <c r="GS14" i="20" s="1"/>
  <c r="GE10" i="20"/>
  <c r="GS10" i="20" s="1"/>
  <c r="GF8" i="20"/>
  <c r="GT8" i="20" s="1"/>
  <c r="GG8" i="20"/>
  <c r="GU8" i="20" s="1"/>
  <c r="GE8" i="20"/>
  <c r="GS8" i="20" s="1"/>
  <c r="O7" i="20"/>
  <c r="AB7" i="20" s="1"/>
  <c r="AO7" i="20" s="1"/>
  <c r="BB7" i="20" s="1"/>
  <c r="BO7" i="20" s="1"/>
  <c r="CB7" i="20" s="1"/>
  <c r="CO7" i="20" s="1"/>
  <c r="DB7" i="20" s="1"/>
  <c r="DO7" i="20" s="1"/>
  <c r="GG7" i="20"/>
  <c r="N7" i="20"/>
  <c r="AA7" i="20" s="1"/>
  <c r="AN7" i="20" s="1"/>
  <c r="BA7" i="20" s="1"/>
  <c r="BN7" i="20" s="1"/>
  <c r="CA7" i="20" s="1"/>
  <c r="CN7" i="20" s="1"/>
  <c r="DA7" i="20" s="1"/>
  <c r="EN7" i="20" s="1"/>
  <c r="GF7" i="20"/>
  <c r="A56" i="27"/>
  <c r="B56" i="27"/>
  <c r="A57" i="27"/>
  <c r="B57" i="27"/>
  <c r="A58" i="27"/>
  <c r="B58" i="27"/>
  <c r="A59" i="27"/>
  <c r="B59" i="27"/>
  <c r="E3" i="36"/>
  <c r="CV7" i="36"/>
  <c r="DC7" i="36" s="1"/>
  <c r="B8" i="19"/>
  <c r="EH42" i="25"/>
  <c r="EI42" i="25"/>
  <c r="EJ42" i="25"/>
  <c r="EK42" i="25"/>
  <c r="EL42" i="25"/>
  <c r="EM42" i="25"/>
  <c r="EN42" i="25"/>
  <c r="HJ8" i="27"/>
  <c r="HK8" i="27" s="1"/>
  <c r="HL8" i="27" s="1"/>
  <c r="HM8" i="27" s="1"/>
  <c r="CO9" i="21"/>
  <c r="DU9" i="21" s="1"/>
  <c r="EG9" i="21" s="1"/>
  <c r="CP9" i="21"/>
  <c r="DV9" i="21" s="1"/>
  <c r="EH9" i="21" s="1"/>
  <c r="CQ9" i="21"/>
  <c r="CR9" i="21"/>
  <c r="CS9" i="21"/>
  <c r="DY9" i="21" s="1"/>
  <c r="EK9" i="21" s="1"/>
  <c r="CT9" i="21"/>
  <c r="DZ9" i="21" s="1"/>
  <c r="EL9" i="21" s="1"/>
  <c r="CU9" i="21"/>
  <c r="CV9" i="21"/>
  <c r="CW9" i="21"/>
  <c r="EC9" i="21" s="1"/>
  <c r="EO9" i="21" s="1"/>
  <c r="CO10" i="21"/>
  <c r="DU10" i="21" s="1"/>
  <c r="EG10" i="21" s="1"/>
  <c r="CP10" i="21"/>
  <c r="DV10" i="21" s="1"/>
  <c r="EH10" i="21" s="1"/>
  <c r="CQ10" i="21"/>
  <c r="CR10" i="21"/>
  <c r="CS10" i="21"/>
  <c r="DY10" i="21" s="1"/>
  <c r="EK10" i="21" s="1"/>
  <c r="CT10" i="21"/>
  <c r="DZ10" i="21" s="1"/>
  <c r="EL10" i="21" s="1"/>
  <c r="CU10" i="21"/>
  <c r="CV10" i="21"/>
  <c r="CW10" i="21"/>
  <c r="EC10" i="21" s="1"/>
  <c r="EO10" i="21" s="1"/>
  <c r="CO11" i="21"/>
  <c r="DU11" i="21" s="1"/>
  <c r="EG11" i="21" s="1"/>
  <c r="CP11" i="21"/>
  <c r="DV11" i="21" s="1"/>
  <c r="EH11" i="21" s="1"/>
  <c r="CQ11" i="21"/>
  <c r="CR11" i="21"/>
  <c r="CS11" i="21"/>
  <c r="DY11" i="21" s="1"/>
  <c r="EK11" i="21" s="1"/>
  <c r="CT11" i="21"/>
  <c r="DZ11" i="21" s="1"/>
  <c r="EL11" i="21" s="1"/>
  <c r="CU11" i="21"/>
  <c r="CV11" i="21"/>
  <c r="CW11" i="21"/>
  <c r="EC11" i="21" s="1"/>
  <c r="EO11" i="21" s="1"/>
  <c r="CO12" i="21"/>
  <c r="DU12" i="21" s="1"/>
  <c r="EG12" i="21" s="1"/>
  <c r="CP12" i="21"/>
  <c r="DV12" i="21" s="1"/>
  <c r="EH12" i="21" s="1"/>
  <c r="CQ12" i="21"/>
  <c r="CR12" i="21"/>
  <c r="CS12" i="21"/>
  <c r="DY12" i="21" s="1"/>
  <c r="EK12" i="21" s="1"/>
  <c r="CT12" i="21"/>
  <c r="DZ12" i="21" s="1"/>
  <c r="EL12" i="21" s="1"/>
  <c r="CU12" i="21"/>
  <c r="CV12" i="21"/>
  <c r="CW12" i="21"/>
  <c r="EC12" i="21" s="1"/>
  <c r="EO12" i="21" s="1"/>
  <c r="CO13" i="21"/>
  <c r="DU13" i="21" s="1"/>
  <c r="EG13" i="21" s="1"/>
  <c r="CP13" i="21"/>
  <c r="DV13" i="21" s="1"/>
  <c r="EH13" i="21" s="1"/>
  <c r="CQ13" i="21"/>
  <c r="CR13" i="21"/>
  <c r="CS13" i="21"/>
  <c r="DY13" i="21" s="1"/>
  <c r="EK13" i="21" s="1"/>
  <c r="CT13" i="21"/>
  <c r="DZ13" i="21" s="1"/>
  <c r="EL13" i="21" s="1"/>
  <c r="CU13" i="21"/>
  <c r="CV13" i="21"/>
  <c r="CW13" i="21"/>
  <c r="EC13" i="21" s="1"/>
  <c r="EO13" i="21" s="1"/>
  <c r="CO14" i="21"/>
  <c r="DU14" i="21" s="1"/>
  <c r="EG14" i="21" s="1"/>
  <c r="CP14" i="21"/>
  <c r="DV14" i="21" s="1"/>
  <c r="EH14" i="21" s="1"/>
  <c r="CQ14" i="21"/>
  <c r="CR14" i="21"/>
  <c r="CS14" i="21"/>
  <c r="DY14" i="21" s="1"/>
  <c r="EK14" i="21" s="1"/>
  <c r="CT14" i="21"/>
  <c r="DZ14" i="21" s="1"/>
  <c r="EL14" i="21" s="1"/>
  <c r="CU14" i="21"/>
  <c r="CV14" i="21"/>
  <c r="CW14" i="21"/>
  <c r="EC14" i="21" s="1"/>
  <c r="EO14" i="21" s="1"/>
  <c r="CO15" i="21"/>
  <c r="DU15" i="21" s="1"/>
  <c r="EG15" i="21" s="1"/>
  <c r="CP15" i="21"/>
  <c r="DV15" i="21" s="1"/>
  <c r="EH15" i="21" s="1"/>
  <c r="CQ15" i="21"/>
  <c r="CR15" i="21"/>
  <c r="CS15" i="21"/>
  <c r="DY15" i="21" s="1"/>
  <c r="EK15" i="21" s="1"/>
  <c r="CT15" i="21"/>
  <c r="DZ15" i="21" s="1"/>
  <c r="EL15" i="21" s="1"/>
  <c r="CU15" i="21"/>
  <c r="CV15" i="21"/>
  <c r="CW15" i="21"/>
  <c r="EC15" i="21" s="1"/>
  <c r="EO15" i="21" s="1"/>
  <c r="CO16" i="21"/>
  <c r="DU16" i="21" s="1"/>
  <c r="EG16" i="21" s="1"/>
  <c r="CP16" i="21"/>
  <c r="DV16" i="21" s="1"/>
  <c r="EH16" i="21" s="1"/>
  <c r="CQ16" i="21"/>
  <c r="CR16" i="21"/>
  <c r="CS16" i="21"/>
  <c r="DY16" i="21" s="1"/>
  <c r="EK16" i="21" s="1"/>
  <c r="CT16" i="21"/>
  <c r="DZ16" i="21" s="1"/>
  <c r="EL16" i="21" s="1"/>
  <c r="CU16" i="21"/>
  <c r="CV16" i="21"/>
  <c r="CW16" i="21"/>
  <c r="EC16" i="21" s="1"/>
  <c r="EO16" i="21" s="1"/>
  <c r="CO17" i="21"/>
  <c r="DU17" i="21" s="1"/>
  <c r="EG17" i="21" s="1"/>
  <c r="CP17" i="21"/>
  <c r="DV17" i="21" s="1"/>
  <c r="EH17" i="21" s="1"/>
  <c r="CQ17" i="21"/>
  <c r="CR17" i="21"/>
  <c r="CS17" i="21"/>
  <c r="CT17" i="21"/>
  <c r="DZ17" i="21" s="1"/>
  <c r="EL17" i="21" s="1"/>
  <c r="CU17" i="21"/>
  <c r="CV17" i="21"/>
  <c r="CW17" i="21"/>
  <c r="CO18" i="21"/>
  <c r="DU18" i="21" s="1"/>
  <c r="EG18" i="21" s="1"/>
  <c r="CP18" i="21"/>
  <c r="DV18" i="21" s="1"/>
  <c r="EH18" i="21" s="1"/>
  <c r="CQ18" i="21"/>
  <c r="DW18" i="21" s="1"/>
  <c r="EI18" i="21" s="1"/>
  <c r="CR18" i="21"/>
  <c r="CS18" i="21"/>
  <c r="CT18" i="21"/>
  <c r="DZ18" i="21" s="1"/>
  <c r="EL18" i="21" s="1"/>
  <c r="CU18" i="21"/>
  <c r="CV18" i="21"/>
  <c r="CW18" i="21"/>
  <c r="CO19" i="21"/>
  <c r="CP19" i="21"/>
  <c r="CQ19" i="21"/>
  <c r="CR19" i="21"/>
  <c r="DX19" i="21" s="1"/>
  <c r="EJ19" i="21" s="1"/>
  <c r="CS19" i="21"/>
  <c r="CT19" i="21"/>
  <c r="CU19" i="21"/>
  <c r="CV19" i="21"/>
  <c r="EB19" i="21" s="1"/>
  <c r="EN19" i="21" s="1"/>
  <c r="CW19" i="21"/>
  <c r="CO20" i="21"/>
  <c r="DU20" i="21" s="1"/>
  <c r="EG20" i="21" s="1"/>
  <c r="CP20" i="21"/>
  <c r="CQ20" i="21"/>
  <c r="CR20" i="21"/>
  <c r="CS20" i="21"/>
  <c r="DY20" i="21" s="1"/>
  <c r="EK20" i="21" s="1"/>
  <c r="CT20" i="21"/>
  <c r="CU20" i="21"/>
  <c r="CV20" i="21"/>
  <c r="CW20" i="21"/>
  <c r="EC20" i="21" s="1"/>
  <c r="EO20" i="21" s="1"/>
  <c r="CO21" i="21"/>
  <c r="CP21" i="21"/>
  <c r="DV21" i="21" s="1"/>
  <c r="EH21" i="21" s="1"/>
  <c r="CQ21" i="21"/>
  <c r="DW21" i="21" s="1"/>
  <c r="EI21" i="21" s="1"/>
  <c r="CR21" i="21"/>
  <c r="CS21" i="21"/>
  <c r="CT21" i="21"/>
  <c r="DZ21" i="21" s="1"/>
  <c r="EL21" i="21" s="1"/>
  <c r="CU21" i="21"/>
  <c r="CV21" i="21"/>
  <c r="CW21" i="21"/>
  <c r="CO22" i="21"/>
  <c r="DU22" i="21" s="1"/>
  <c r="EG22" i="21" s="1"/>
  <c r="CP22" i="21"/>
  <c r="DV22" i="21" s="1"/>
  <c r="EH22" i="21" s="1"/>
  <c r="CQ22" i="21"/>
  <c r="DW22" i="21" s="1"/>
  <c r="EI22" i="21" s="1"/>
  <c r="CR22" i="21"/>
  <c r="CS22" i="21"/>
  <c r="CT22" i="21"/>
  <c r="DZ22" i="21" s="1"/>
  <c r="EL22" i="21" s="1"/>
  <c r="CU22" i="21"/>
  <c r="CV22" i="21"/>
  <c r="CW22" i="21"/>
  <c r="CO23" i="21"/>
  <c r="DU23" i="21" s="1"/>
  <c r="EG23" i="21" s="1"/>
  <c r="CP23" i="21"/>
  <c r="DV23" i="21" s="1"/>
  <c r="EH23" i="21" s="1"/>
  <c r="CQ23" i="21"/>
  <c r="CR23" i="21"/>
  <c r="CS23" i="21"/>
  <c r="DY23" i="21" s="1"/>
  <c r="EK23" i="21" s="1"/>
  <c r="CT23" i="21"/>
  <c r="DZ23" i="21" s="1"/>
  <c r="EL23" i="21" s="1"/>
  <c r="CU23" i="21"/>
  <c r="CV23" i="21"/>
  <c r="CW23" i="21"/>
  <c r="EC23" i="21" s="1"/>
  <c r="EO23" i="21" s="1"/>
  <c r="CO24" i="21"/>
  <c r="CP24" i="21"/>
  <c r="DV24" i="21" s="1"/>
  <c r="EH24" i="21" s="1"/>
  <c r="CQ24" i="21"/>
  <c r="CR24" i="21"/>
  <c r="CS24" i="21"/>
  <c r="DY24" i="21" s="1"/>
  <c r="EK24" i="21" s="1"/>
  <c r="CT24" i="21"/>
  <c r="DZ24" i="21" s="1"/>
  <c r="EL24" i="21" s="1"/>
  <c r="CU24" i="21"/>
  <c r="CV24" i="21"/>
  <c r="CW24" i="21"/>
  <c r="CO25" i="21"/>
  <c r="CP25" i="21"/>
  <c r="DV25" i="21" s="1"/>
  <c r="EH25" i="21" s="1"/>
  <c r="CQ25" i="21"/>
  <c r="DW25" i="21" s="1"/>
  <c r="EI25" i="21" s="1"/>
  <c r="CR25" i="21"/>
  <c r="CS25" i="21"/>
  <c r="CT25" i="21"/>
  <c r="DZ25" i="21" s="1"/>
  <c r="EL25" i="21" s="1"/>
  <c r="CU25" i="21"/>
  <c r="EA25" i="21" s="1"/>
  <c r="EM25" i="21" s="1"/>
  <c r="CV25" i="21"/>
  <c r="CW25" i="21"/>
  <c r="CO26" i="21"/>
  <c r="DU26" i="21" s="1"/>
  <c r="EG26" i="21" s="1"/>
  <c r="CP26" i="21"/>
  <c r="DV26" i="21" s="1"/>
  <c r="EH26" i="21" s="1"/>
  <c r="CQ26" i="21"/>
  <c r="DW26" i="21" s="1"/>
  <c r="EI26" i="21" s="1"/>
  <c r="CR26" i="21"/>
  <c r="CS26" i="21"/>
  <c r="CT26" i="21"/>
  <c r="DZ26" i="21" s="1"/>
  <c r="EL26" i="21" s="1"/>
  <c r="CU26" i="21"/>
  <c r="CV26" i="21"/>
  <c r="CW26" i="21"/>
  <c r="CO27" i="21"/>
  <c r="CP27" i="21"/>
  <c r="DV27" i="21" s="1"/>
  <c r="EH27" i="21" s="1"/>
  <c r="CQ27" i="21"/>
  <c r="DW27" i="21" s="1"/>
  <c r="EI27" i="21" s="1"/>
  <c r="CR27" i="21"/>
  <c r="CS27" i="21"/>
  <c r="CT27" i="21"/>
  <c r="DZ27" i="21" s="1"/>
  <c r="EL27" i="21" s="1"/>
  <c r="CU27" i="21"/>
  <c r="CV27" i="21"/>
  <c r="CW27" i="21"/>
  <c r="CO28" i="21"/>
  <c r="CP28" i="21"/>
  <c r="DV28" i="21" s="1"/>
  <c r="EH28" i="21" s="1"/>
  <c r="CQ28" i="21"/>
  <c r="DW28" i="21" s="1"/>
  <c r="EI28" i="21" s="1"/>
  <c r="CR28" i="21"/>
  <c r="CS28" i="21"/>
  <c r="DY28" i="21" s="1"/>
  <c r="EK28" i="21" s="1"/>
  <c r="CT28" i="21"/>
  <c r="DZ28" i="21" s="1"/>
  <c r="EL28" i="21" s="1"/>
  <c r="CU28" i="21"/>
  <c r="CV28" i="21"/>
  <c r="CW28" i="21"/>
  <c r="CO29" i="21"/>
  <c r="CP29" i="21"/>
  <c r="DV29" i="21" s="1"/>
  <c r="EH29" i="21" s="1"/>
  <c r="CQ29" i="21"/>
  <c r="DW29" i="21" s="1"/>
  <c r="EI29" i="21" s="1"/>
  <c r="CR29" i="21"/>
  <c r="CS29" i="21"/>
  <c r="CT29" i="21"/>
  <c r="DZ29" i="21" s="1"/>
  <c r="EL29" i="21" s="1"/>
  <c r="CU29" i="21"/>
  <c r="EA29" i="21" s="1"/>
  <c r="EM29" i="21" s="1"/>
  <c r="CV29" i="21"/>
  <c r="CW29" i="21"/>
  <c r="CO30" i="21"/>
  <c r="CP30" i="21"/>
  <c r="CQ30" i="21"/>
  <c r="DW30" i="21" s="1"/>
  <c r="EI30" i="21" s="1"/>
  <c r="CR30" i="21"/>
  <c r="CS30" i="21"/>
  <c r="CT30" i="21"/>
  <c r="DZ30" i="21" s="1"/>
  <c r="EL30" i="21" s="1"/>
  <c r="CU30" i="21"/>
  <c r="EA30" i="21" s="1"/>
  <c r="EM30" i="21" s="1"/>
  <c r="CV30" i="21"/>
  <c r="EB30" i="21" s="1"/>
  <c r="EN30" i="21" s="1"/>
  <c r="CW30" i="21"/>
  <c r="CO31" i="21"/>
  <c r="CP31" i="21"/>
  <c r="CQ31" i="21"/>
  <c r="DW31" i="21" s="1"/>
  <c r="EI31" i="21" s="1"/>
  <c r="CR31" i="21"/>
  <c r="DX31" i="21" s="1"/>
  <c r="EJ31" i="21" s="1"/>
  <c r="CS31" i="21"/>
  <c r="CT31" i="21"/>
  <c r="DZ31" i="21" s="1"/>
  <c r="EL31" i="21" s="1"/>
  <c r="CU31" i="21"/>
  <c r="EA31" i="21" s="1"/>
  <c r="EM31" i="21" s="1"/>
  <c r="CV31" i="21"/>
  <c r="EB31" i="21" s="1"/>
  <c r="EN31" i="21" s="1"/>
  <c r="CW31" i="21"/>
  <c r="CO32" i="21"/>
  <c r="CP32" i="21"/>
  <c r="CQ32" i="21"/>
  <c r="DW32" i="21" s="1"/>
  <c r="EI32" i="21" s="1"/>
  <c r="CR32" i="21"/>
  <c r="DX32" i="21" s="1"/>
  <c r="EJ32" i="21" s="1"/>
  <c r="CS32" i="21"/>
  <c r="CT32" i="21"/>
  <c r="DZ32" i="21" s="1"/>
  <c r="EL32" i="21" s="1"/>
  <c r="CU32" i="21"/>
  <c r="EA32" i="21" s="1"/>
  <c r="EM32" i="21" s="1"/>
  <c r="CV32" i="21"/>
  <c r="CW32" i="21"/>
  <c r="CO33" i="21"/>
  <c r="CP33" i="21"/>
  <c r="CQ33" i="21"/>
  <c r="DW33" i="21" s="1"/>
  <c r="EI33" i="21" s="1"/>
  <c r="CR33" i="21"/>
  <c r="DX33" i="21" s="1"/>
  <c r="EJ33" i="21" s="1"/>
  <c r="CS33" i="21"/>
  <c r="CT33" i="21"/>
  <c r="CU33" i="21"/>
  <c r="EA33" i="21" s="1"/>
  <c r="EM33" i="21" s="1"/>
  <c r="CV33" i="21"/>
  <c r="EB33" i="21" s="1"/>
  <c r="EN33" i="21" s="1"/>
  <c r="CW33" i="21"/>
  <c r="CO34" i="21"/>
  <c r="CP34" i="21"/>
  <c r="CQ34" i="21"/>
  <c r="DW34" i="21" s="1"/>
  <c r="EI34" i="21" s="1"/>
  <c r="CR34" i="21"/>
  <c r="DX34" i="21" s="1"/>
  <c r="EJ34" i="21" s="1"/>
  <c r="CS34" i="21"/>
  <c r="CT34" i="21"/>
  <c r="CU34" i="21"/>
  <c r="EA34" i="21" s="1"/>
  <c r="EM34" i="21" s="1"/>
  <c r="CV34" i="21"/>
  <c r="EB34" i="21" s="1"/>
  <c r="EN34" i="21" s="1"/>
  <c r="CW34" i="21"/>
  <c r="CO35" i="21"/>
  <c r="CP35" i="21"/>
  <c r="CQ35" i="21"/>
  <c r="DW35" i="21" s="1"/>
  <c r="EI35" i="21" s="1"/>
  <c r="CR35" i="21"/>
  <c r="DX35" i="21" s="1"/>
  <c r="EJ35" i="21" s="1"/>
  <c r="CS35" i="21"/>
  <c r="CT35" i="21"/>
  <c r="CU35" i="21"/>
  <c r="EA35" i="21" s="1"/>
  <c r="EM35" i="21" s="1"/>
  <c r="CV35" i="21"/>
  <c r="EB35" i="21" s="1"/>
  <c r="EN35" i="21" s="1"/>
  <c r="CW35" i="21"/>
  <c r="CO36" i="21"/>
  <c r="CP36" i="21"/>
  <c r="CQ36" i="21"/>
  <c r="DW36" i="21" s="1"/>
  <c r="EI36" i="21" s="1"/>
  <c r="CR36" i="21"/>
  <c r="DX36" i="21" s="1"/>
  <c r="EJ36" i="21" s="1"/>
  <c r="CS36" i="21"/>
  <c r="CT36" i="21"/>
  <c r="CU36" i="21"/>
  <c r="EA36" i="21" s="1"/>
  <c r="EM36" i="21" s="1"/>
  <c r="CV36" i="21"/>
  <c r="EB36" i="21" s="1"/>
  <c r="EN36" i="21" s="1"/>
  <c r="CW36" i="21"/>
  <c r="CO37" i="21"/>
  <c r="CP37" i="21"/>
  <c r="CQ37" i="21"/>
  <c r="DW37" i="21" s="1"/>
  <c r="EI37" i="21" s="1"/>
  <c r="CR37" i="21"/>
  <c r="DX37" i="21" s="1"/>
  <c r="EJ37" i="21" s="1"/>
  <c r="CS37" i="21"/>
  <c r="CT37" i="21"/>
  <c r="CU37" i="21"/>
  <c r="EA37" i="21" s="1"/>
  <c r="EM37" i="21" s="1"/>
  <c r="CV37" i="21"/>
  <c r="EB37" i="21" s="1"/>
  <c r="EN37" i="21" s="1"/>
  <c r="CW37" i="21"/>
  <c r="CO38" i="21"/>
  <c r="CP38" i="21"/>
  <c r="CQ38" i="21"/>
  <c r="DW38" i="21" s="1"/>
  <c r="EI38" i="21" s="1"/>
  <c r="CR38" i="21"/>
  <c r="DX38" i="21" s="1"/>
  <c r="EJ38" i="21" s="1"/>
  <c r="CS38" i="21"/>
  <c r="CT38" i="21"/>
  <c r="CU38" i="21"/>
  <c r="EA38" i="21" s="1"/>
  <c r="EM38" i="21" s="1"/>
  <c r="CV38" i="21"/>
  <c r="EB38" i="21" s="1"/>
  <c r="EN38" i="21" s="1"/>
  <c r="CW38" i="21"/>
  <c r="CO39" i="21"/>
  <c r="CP39" i="21"/>
  <c r="CQ39" i="21"/>
  <c r="DW39" i="21" s="1"/>
  <c r="EI39" i="21" s="1"/>
  <c r="CR39" i="21"/>
  <c r="DX39" i="21" s="1"/>
  <c r="EJ39" i="21" s="1"/>
  <c r="CS39" i="21"/>
  <c r="CT39" i="21"/>
  <c r="CU39" i="21"/>
  <c r="EA39" i="21" s="1"/>
  <c r="EM39" i="21" s="1"/>
  <c r="CV39" i="21"/>
  <c r="EB39" i="21" s="1"/>
  <c r="EN39" i="21" s="1"/>
  <c r="CW39" i="21"/>
  <c r="CO40" i="21"/>
  <c r="CP40" i="21"/>
  <c r="CQ40" i="21"/>
  <c r="DW40" i="21" s="1"/>
  <c r="EI40" i="21" s="1"/>
  <c r="CR40" i="21"/>
  <c r="DX40" i="21" s="1"/>
  <c r="EJ40" i="21" s="1"/>
  <c r="CS40" i="21"/>
  <c r="CT40" i="21"/>
  <c r="CU40" i="21"/>
  <c r="EA40" i="21" s="1"/>
  <c r="EM40" i="21" s="1"/>
  <c r="CV40" i="21"/>
  <c r="EB40" i="21" s="1"/>
  <c r="EN40" i="21" s="1"/>
  <c r="CW40" i="21"/>
  <c r="CO41" i="21"/>
  <c r="CP41" i="21"/>
  <c r="CQ41" i="21"/>
  <c r="DW41" i="21" s="1"/>
  <c r="EI41" i="21" s="1"/>
  <c r="CR41" i="21"/>
  <c r="DX41" i="21" s="1"/>
  <c r="EJ41" i="21" s="1"/>
  <c r="CS41" i="21"/>
  <c r="CT41" i="21"/>
  <c r="CU41" i="21"/>
  <c r="EA41" i="21" s="1"/>
  <c r="EM41" i="21" s="1"/>
  <c r="CV41" i="21"/>
  <c r="EB41" i="21" s="1"/>
  <c r="EN41" i="21" s="1"/>
  <c r="CW41" i="21"/>
  <c r="CO42" i="21"/>
  <c r="CP42" i="21"/>
  <c r="CQ42" i="21"/>
  <c r="DW42" i="21" s="1"/>
  <c r="EI42" i="21" s="1"/>
  <c r="CR42" i="21"/>
  <c r="DX42" i="21" s="1"/>
  <c r="EJ42" i="21" s="1"/>
  <c r="CS42" i="21"/>
  <c r="CT42" i="21"/>
  <c r="CU42" i="21"/>
  <c r="EA42" i="21" s="1"/>
  <c r="EM42" i="21" s="1"/>
  <c r="CV42" i="21"/>
  <c r="EB42" i="21" s="1"/>
  <c r="EN42" i="21" s="1"/>
  <c r="CW42" i="21"/>
  <c r="CP8" i="21"/>
  <c r="DV8" i="21" s="1"/>
  <c r="EH8" i="21" s="1"/>
  <c r="CQ8" i="21"/>
  <c r="DW8" i="21" s="1"/>
  <c r="EI8" i="21" s="1"/>
  <c r="CR8" i="21"/>
  <c r="CS8" i="21"/>
  <c r="DY8" i="21" s="1"/>
  <c r="EK8" i="21" s="1"/>
  <c r="CT8" i="21"/>
  <c r="DZ8" i="21" s="1"/>
  <c r="EL8" i="21" s="1"/>
  <c r="CU8" i="21"/>
  <c r="EA8" i="21" s="1"/>
  <c r="EM8" i="21" s="1"/>
  <c r="CV8" i="21"/>
  <c r="CW8" i="21"/>
  <c r="EC8" i="21" s="1"/>
  <c r="EO8" i="21" s="1"/>
  <c r="CO8" i="21"/>
  <c r="DU8" i="21" s="1"/>
  <c r="EG8" i="21" s="1"/>
  <c r="CO9" i="33"/>
  <c r="DU9" i="33" s="1"/>
  <c r="EG9" i="33" s="1"/>
  <c r="CP9" i="33"/>
  <c r="CQ9" i="33"/>
  <c r="CR9" i="33"/>
  <c r="CS9" i="33"/>
  <c r="DY9" i="33" s="1"/>
  <c r="EK9" i="33" s="1"/>
  <c r="CT9" i="33"/>
  <c r="CU9" i="33"/>
  <c r="CV9" i="33"/>
  <c r="CW9" i="33"/>
  <c r="EC9" i="33" s="1"/>
  <c r="EO9" i="33" s="1"/>
  <c r="CO10" i="33"/>
  <c r="DU10" i="33" s="1"/>
  <c r="EG10" i="33" s="1"/>
  <c r="CP10" i="33"/>
  <c r="CQ10" i="33"/>
  <c r="CR10" i="33"/>
  <c r="CS10" i="33"/>
  <c r="DY10" i="33" s="1"/>
  <c r="EK10" i="33" s="1"/>
  <c r="CT10" i="33"/>
  <c r="CU10" i="33"/>
  <c r="CV10" i="33"/>
  <c r="CW10" i="33"/>
  <c r="EC10" i="33" s="1"/>
  <c r="EO10" i="33" s="1"/>
  <c r="CO11" i="33"/>
  <c r="DU11" i="33" s="1"/>
  <c r="EG11" i="33" s="1"/>
  <c r="CP11" i="33"/>
  <c r="CQ11" i="33"/>
  <c r="CR11" i="33"/>
  <c r="CS11" i="33"/>
  <c r="DY11" i="33" s="1"/>
  <c r="EK11" i="33" s="1"/>
  <c r="CT11" i="33"/>
  <c r="CU11" i="33"/>
  <c r="CV11" i="33"/>
  <c r="CW11" i="33"/>
  <c r="EC11" i="33" s="1"/>
  <c r="EO11" i="33" s="1"/>
  <c r="CO12" i="33"/>
  <c r="DU12" i="33" s="1"/>
  <c r="EG12" i="33" s="1"/>
  <c r="CP12" i="33"/>
  <c r="CQ12" i="33"/>
  <c r="CR12" i="33"/>
  <c r="DX12" i="33" s="1"/>
  <c r="EJ12" i="33" s="1"/>
  <c r="CS12" i="33"/>
  <c r="DY12" i="33" s="1"/>
  <c r="EK12" i="33" s="1"/>
  <c r="CT12" i="33"/>
  <c r="CU12" i="33"/>
  <c r="CV12" i="33"/>
  <c r="EB12" i="33" s="1"/>
  <c r="EN12" i="33" s="1"/>
  <c r="CW12" i="33"/>
  <c r="EC12" i="33" s="1"/>
  <c r="EO12" i="33" s="1"/>
  <c r="CO13" i="33"/>
  <c r="DU13" i="33" s="1"/>
  <c r="EG13" i="33" s="1"/>
  <c r="CP13" i="33"/>
  <c r="CQ13" i="33"/>
  <c r="CR13" i="33"/>
  <c r="DX13" i="33" s="1"/>
  <c r="EJ13" i="33" s="1"/>
  <c r="CS13" i="33"/>
  <c r="DY13" i="33" s="1"/>
  <c r="EK13" i="33" s="1"/>
  <c r="CT13" i="33"/>
  <c r="CU13" i="33"/>
  <c r="CV13" i="33"/>
  <c r="EB13" i="33" s="1"/>
  <c r="EN13" i="33" s="1"/>
  <c r="CW13" i="33"/>
  <c r="EC13" i="33" s="1"/>
  <c r="EO13" i="33" s="1"/>
  <c r="CO14" i="33"/>
  <c r="DU14" i="33" s="1"/>
  <c r="EG14" i="33" s="1"/>
  <c r="CP14" i="33"/>
  <c r="CQ14" i="33"/>
  <c r="CR14" i="33"/>
  <c r="DX14" i="33" s="1"/>
  <c r="EJ14" i="33" s="1"/>
  <c r="CS14" i="33"/>
  <c r="DY14" i="33" s="1"/>
  <c r="EK14" i="33" s="1"/>
  <c r="CT14" i="33"/>
  <c r="CU14" i="33"/>
  <c r="CV14" i="33"/>
  <c r="EB14" i="33" s="1"/>
  <c r="EN14" i="33" s="1"/>
  <c r="CW14" i="33"/>
  <c r="EC14" i="33" s="1"/>
  <c r="EO14" i="33" s="1"/>
  <c r="CO15" i="33"/>
  <c r="DU15" i="33" s="1"/>
  <c r="EG15" i="33" s="1"/>
  <c r="CP15" i="33"/>
  <c r="CQ15" i="33"/>
  <c r="CR15" i="33"/>
  <c r="DX15" i="33" s="1"/>
  <c r="EJ15" i="33" s="1"/>
  <c r="CS15" i="33"/>
  <c r="DY15" i="33" s="1"/>
  <c r="EK15" i="33" s="1"/>
  <c r="CT15" i="33"/>
  <c r="CU15" i="33"/>
  <c r="CV15" i="33"/>
  <c r="EB15" i="33" s="1"/>
  <c r="EN15" i="33" s="1"/>
  <c r="CW15" i="33"/>
  <c r="EC15" i="33" s="1"/>
  <c r="EO15" i="33" s="1"/>
  <c r="CO16" i="33"/>
  <c r="DU16" i="33" s="1"/>
  <c r="EG16" i="33" s="1"/>
  <c r="CP16" i="33"/>
  <c r="CQ16" i="33"/>
  <c r="CR16" i="33"/>
  <c r="DX16" i="33" s="1"/>
  <c r="EJ16" i="33" s="1"/>
  <c r="CS16" i="33"/>
  <c r="DY16" i="33" s="1"/>
  <c r="EK16" i="33" s="1"/>
  <c r="CT16" i="33"/>
  <c r="CU16" i="33"/>
  <c r="CV16" i="33"/>
  <c r="EB16" i="33" s="1"/>
  <c r="EN16" i="33" s="1"/>
  <c r="CW16" i="33"/>
  <c r="EC16" i="33" s="1"/>
  <c r="EO16" i="33" s="1"/>
  <c r="CO17" i="33"/>
  <c r="DU17" i="33" s="1"/>
  <c r="EG17" i="33" s="1"/>
  <c r="CP17" i="33"/>
  <c r="CQ17" i="33"/>
  <c r="CR17" i="33"/>
  <c r="DX17" i="33" s="1"/>
  <c r="EJ17" i="33" s="1"/>
  <c r="CS17" i="33"/>
  <c r="DY17" i="33" s="1"/>
  <c r="EK17" i="33" s="1"/>
  <c r="CT17" i="33"/>
  <c r="CU17" i="33"/>
  <c r="CV17" i="33"/>
  <c r="EB17" i="33" s="1"/>
  <c r="EN17" i="33" s="1"/>
  <c r="CW17" i="33"/>
  <c r="EC17" i="33" s="1"/>
  <c r="EO17" i="33" s="1"/>
  <c r="CO18" i="33"/>
  <c r="DU18" i="33" s="1"/>
  <c r="EG18" i="33" s="1"/>
  <c r="CP18" i="33"/>
  <c r="CQ18" i="33"/>
  <c r="CR18" i="33"/>
  <c r="DX18" i="33" s="1"/>
  <c r="EJ18" i="33" s="1"/>
  <c r="CS18" i="33"/>
  <c r="CT18" i="33"/>
  <c r="CU18" i="33"/>
  <c r="CV18" i="33"/>
  <c r="EB18" i="33" s="1"/>
  <c r="EN18" i="33" s="1"/>
  <c r="CW18" i="33"/>
  <c r="EC18" i="33" s="1"/>
  <c r="EO18" i="33" s="1"/>
  <c r="CO19" i="33"/>
  <c r="CP19" i="33"/>
  <c r="CQ19" i="33"/>
  <c r="DW19" i="33" s="1"/>
  <c r="EI19" i="33" s="1"/>
  <c r="CR19" i="33"/>
  <c r="DX19" i="33" s="1"/>
  <c r="EJ19" i="33" s="1"/>
  <c r="CS19" i="33"/>
  <c r="CT19" i="33"/>
  <c r="CU19" i="33"/>
  <c r="EA19" i="33" s="1"/>
  <c r="EM19" i="33" s="1"/>
  <c r="CV19" i="33"/>
  <c r="EB19" i="33" s="1"/>
  <c r="EN19" i="33" s="1"/>
  <c r="CW19" i="33"/>
  <c r="CO20" i="33"/>
  <c r="CP20" i="33"/>
  <c r="CQ20" i="33"/>
  <c r="DW20" i="33" s="1"/>
  <c r="EI20" i="33" s="1"/>
  <c r="CR20" i="33"/>
  <c r="DX20" i="33" s="1"/>
  <c r="EJ20" i="33" s="1"/>
  <c r="CS20" i="33"/>
  <c r="CT20" i="33"/>
  <c r="CU20" i="33"/>
  <c r="EA20" i="33" s="1"/>
  <c r="EM20" i="33" s="1"/>
  <c r="CV20" i="33"/>
  <c r="EB20" i="33" s="1"/>
  <c r="EN20" i="33" s="1"/>
  <c r="CW20" i="33"/>
  <c r="CO21" i="33"/>
  <c r="DU21" i="33" s="1"/>
  <c r="EG21" i="33" s="1"/>
  <c r="CP21" i="33"/>
  <c r="CQ21" i="33"/>
  <c r="CR21" i="33"/>
  <c r="DX21" i="33" s="1"/>
  <c r="EJ21" i="33" s="1"/>
  <c r="CS21" i="33"/>
  <c r="DY21" i="33" s="1"/>
  <c r="EK21" i="33" s="1"/>
  <c r="CT21" i="33"/>
  <c r="CU21" i="33"/>
  <c r="CV21" i="33"/>
  <c r="EB21" i="33" s="1"/>
  <c r="EN21" i="33" s="1"/>
  <c r="CW21" i="33"/>
  <c r="EC21" i="33" s="1"/>
  <c r="EO21" i="33" s="1"/>
  <c r="CO22" i="33"/>
  <c r="DU22" i="33" s="1"/>
  <c r="EG22" i="33" s="1"/>
  <c r="CP22" i="33"/>
  <c r="CQ22" i="33"/>
  <c r="CR22" i="33"/>
  <c r="DX22" i="33" s="1"/>
  <c r="EJ22" i="33" s="1"/>
  <c r="CS22" i="33"/>
  <c r="DY22" i="33" s="1"/>
  <c r="EK22" i="33" s="1"/>
  <c r="CT22" i="33"/>
  <c r="CU22" i="33"/>
  <c r="CV22" i="33"/>
  <c r="EB22" i="33" s="1"/>
  <c r="EN22" i="33" s="1"/>
  <c r="CW22" i="33"/>
  <c r="EC22" i="33" s="1"/>
  <c r="EO22" i="33" s="1"/>
  <c r="CO23" i="33"/>
  <c r="DU23" i="33" s="1"/>
  <c r="EG23" i="33" s="1"/>
  <c r="CP23" i="33"/>
  <c r="CQ23" i="33"/>
  <c r="CR23" i="33"/>
  <c r="DX23" i="33" s="1"/>
  <c r="EJ23" i="33" s="1"/>
  <c r="CS23" i="33"/>
  <c r="DY23" i="33" s="1"/>
  <c r="EK23" i="33" s="1"/>
  <c r="CT23" i="33"/>
  <c r="CU23" i="33"/>
  <c r="CV23" i="33"/>
  <c r="EB23" i="33" s="1"/>
  <c r="EN23" i="33" s="1"/>
  <c r="CW23" i="33"/>
  <c r="EC23" i="33" s="1"/>
  <c r="EO23" i="33" s="1"/>
  <c r="CO24" i="33"/>
  <c r="DU24" i="33" s="1"/>
  <c r="EG24" i="33" s="1"/>
  <c r="CP24" i="33"/>
  <c r="CQ24" i="33"/>
  <c r="CR24" i="33"/>
  <c r="DX24" i="33" s="1"/>
  <c r="EJ24" i="33" s="1"/>
  <c r="CS24" i="33"/>
  <c r="DY24" i="33" s="1"/>
  <c r="EK24" i="33" s="1"/>
  <c r="CT24" i="33"/>
  <c r="CU24" i="33"/>
  <c r="CV24" i="33"/>
  <c r="EB24" i="33" s="1"/>
  <c r="EN24" i="33" s="1"/>
  <c r="CW24" i="33"/>
  <c r="EC24" i="33" s="1"/>
  <c r="EO24" i="33" s="1"/>
  <c r="CO25" i="33"/>
  <c r="DU25" i="33" s="1"/>
  <c r="EG25" i="33" s="1"/>
  <c r="CP25" i="33"/>
  <c r="CQ25" i="33"/>
  <c r="CR25" i="33"/>
  <c r="DX25" i="33" s="1"/>
  <c r="EJ25" i="33" s="1"/>
  <c r="CS25" i="33"/>
  <c r="DY25" i="33" s="1"/>
  <c r="EK25" i="33" s="1"/>
  <c r="CT25" i="33"/>
  <c r="CU25" i="33"/>
  <c r="CV25" i="33"/>
  <c r="EB25" i="33" s="1"/>
  <c r="EN25" i="33" s="1"/>
  <c r="CW25" i="33"/>
  <c r="EC25" i="33" s="1"/>
  <c r="EO25" i="33" s="1"/>
  <c r="CO26" i="33"/>
  <c r="CP26" i="33"/>
  <c r="CQ26" i="33"/>
  <c r="DW26" i="33" s="1"/>
  <c r="EI26" i="33" s="1"/>
  <c r="CR26" i="33"/>
  <c r="DX26" i="33" s="1"/>
  <c r="EJ26" i="33" s="1"/>
  <c r="CS26" i="33"/>
  <c r="CT26" i="33"/>
  <c r="CU26" i="33"/>
  <c r="EA26" i="33" s="1"/>
  <c r="EM26" i="33" s="1"/>
  <c r="CV26" i="33"/>
  <c r="EB26" i="33" s="1"/>
  <c r="EN26" i="33" s="1"/>
  <c r="CW26" i="33"/>
  <c r="CO27" i="33"/>
  <c r="CP27" i="33"/>
  <c r="CQ27" i="33"/>
  <c r="DW27" i="33" s="1"/>
  <c r="EI27" i="33" s="1"/>
  <c r="CR27" i="33"/>
  <c r="DX27" i="33" s="1"/>
  <c r="EJ27" i="33" s="1"/>
  <c r="CS27" i="33"/>
  <c r="CT27" i="33"/>
  <c r="CU27" i="33"/>
  <c r="EA27" i="33" s="1"/>
  <c r="EM27" i="33" s="1"/>
  <c r="CV27" i="33"/>
  <c r="EB27" i="33" s="1"/>
  <c r="EN27" i="33" s="1"/>
  <c r="CW27" i="33"/>
  <c r="CO28" i="33"/>
  <c r="CP28" i="33"/>
  <c r="CQ28" i="33"/>
  <c r="DW28" i="33" s="1"/>
  <c r="EI28" i="33" s="1"/>
  <c r="CR28" i="33"/>
  <c r="DX28" i="33" s="1"/>
  <c r="EJ28" i="33" s="1"/>
  <c r="CS28" i="33"/>
  <c r="DY28" i="33" s="1"/>
  <c r="EK28" i="33" s="1"/>
  <c r="CT28" i="33"/>
  <c r="CU28" i="33"/>
  <c r="EA28" i="33" s="1"/>
  <c r="EM28" i="33" s="1"/>
  <c r="CV28" i="33"/>
  <c r="EB28" i="33" s="1"/>
  <c r="EN28" i="33" s="1"/>
  <c r="CW28" i="33"/>
  <c r="CO29" i="33"/>
  <c r="DU29" i="33" s="1"/>
  <c r="EG29" i="33" s="1"/>
  <c r="CP29" i="33"/>
  <c r="CQ29" i="33"/>
  <c r="CR29" i="33"/>
  <c r="CS29" i="33"/>
  <c r="DY29" i="33" s="1"/>
  <c r="EK29" i="33" s="1"/>
  <c r="CT29" i="33"/>
  <c r="CU29" i="33"/>
  <c r="CV29" i="33"/>
  <c r="CW29" i="33"/>
  <c r="EC29" i="33" s="1"/>
  <c r="EO29" i="33" s="1"/>
  <c r="CO30" i="33"/>
  <c r="DU30" i="33" s="1"/>
  <c r="EG30" i="33" s="1"/>
  <c r="CP30" i="33"/>
  <c r="DV30" i="33" s="1"/>
  <c r="EH30" i="33" s="1"/>
  <c r="CQ30" i="33"/>
  <c r="CR30" i="33"/>
  <c r="CS30" i="33"/>
  <c r="DY30" i="33" s="1"/>
  <c r="EK30" i="33" s="1"/>
  <c r="CT30" i="33"/>
  <c r="CU30" i="33"/>
  <c r="CV30" i="33"/>
  <c r="CW30" i="33"/>
  <c r="EC30" i="33" s="1"/>
  <c r="EO30" i="33" s="1"/>
  <c r="CO31" i="33"/>
  <c r="DU31" i="33" s="1"/>
  <c r="EG31" i="33" s="1"/>
  <c r="CP31" i="33"/>
  <c r="CQ31" i="33"/>
  <c r="CR31" i="33"/>
  <c r="CS31" i="33"/>
  <c r="DY31" i="33" s="1"/>
  <c r="EK31" i="33" s="1"/>
  <c r="CT31" i="33"/>
  <c r="CU31" i="33"/>
  <c r="CV31" i="33"/>
  <c r="CW31" i="33"/>
  <c r="EC31" i="33" s="1"/>
  <c r="EO31" i="33" s="1"/>
  <c r="CO32" i="33"/>
  <c r="DU32" i="33" s="1"/>
  <c r="EG32" i="33" s="1"/>
  <c r="CP32" i="33"/>
  <c r="CQ32" i="33"/>
  <c r="CR32" i="33"/>
  <c r="CS32" i="33"/>
  <c r="DY32" i="33" s="1"/>
  <c r="EK32" i="33" s="1"/>
  <c r="CT32" i="33"/>
  <c r="CU32" i="33"/>
  <c r="CV32" i="33"/>
  <c r="CW32" i="33"/>
  <c r="EC32" i="33" s="1"/>
  <c r="EO32" i="33" s="1"/>
  <c r="CO33" i="33"/>
  <c r="DU33" i="33" s="1"/>
  <c r="EG33" i="33" s="1"/>
  <c r="CP33" i="33"/>
  <c r="CQ33" i="33"/>
  <c r="CR33" i="33"/>
  <c r="CS33" i="33"/>
  <c r="DY33" i="33" s="1"/>
  <c r="EK33" i="33" s="1"/>
  <c r="CT33" i="33"/>
  <c r="CU33" i="33"/>
  <c r="CV33" i="33"/>
  <c r="CW33" i="33"/>
  <c r="EC33" i="33" s="1"/>
  <c r="EO33" i="33" s="1"/>
  <c r="CO34" i="33"/>
  <c r="CP34" i="33"/>
  <c r="CQ34" i="33"/>
  <c r="DW34" i="33" s="1"/>
  <c r="EI34" i="33" s="1"/>
  <c r="CR34" i="33"/>
  <c r="DX34" i="33" s="1"/>
  <c r="EJ34" i="33" s="1"/>
  <c r="CS34" i="33"/>
  <c r="CT34" i="33"/>
  <c r="CU34" i="33"/>
  <c r="EA34" i="33" s="1"/>
  <c r="EM34" i="33" s="1"/>
  <c r="CV34" i="33"/>
  <c r="CW34" i="33"/>
  <c r="CO35" i="33"/>
  <c r="CP35" i="33"/>
  <c r="CQ35" i="33"/>
  <c r="DW35" i="33" s="1"/>
  <c r="EI35" i="33" s="1"/>
  <c r="CR35" i="33"/>
  <c r="DX35" i="33" s="1"/>
  <c r="EJ35" i="33" s="1"/>
  <c r="CS35" i="33"/>
  <c r="CT35" i="33"/>
  <c r="CU35" i="33"/>
  <c r="EA35" i="33" s="1"/>
  <c r="EM35" i="33" s="1"/>
  <c r="CV35" i="33"/>
  <c r="EB35" i="33" s="1"/>
  <c r="EN35" i="33" s="1"/>
  <c r="CW35" i="33"/>
  <c r="CO36" i="33"/>
  <c r="CP36" i="33"/>
  <c r="CQ36" i="33"/>
  <c r="DW36" i="33" s="1"/>
  <c r="EI36" i="33" s="1"/>
  <c r="CR36" i="33"/>
  <c r="DX36" i="33" s="1"/>
  <c r="EJ36" i="33" s="1"/>
  <c r="CS36" i="33"/>
  <c r="CT36" i="33"/>
  <c r="CU36" i="33"/>
  <c r="EA36" i="33" s="1"/>
  <c r="EM36" i="33" s="1"/>
  <c r="CV36" i="33"/>
  <c r="EB36" i="33" s="1"/>
  <c r="EN36" i="33" s="1"/>
  <c r="CW36" i="33"/>
  <c r="CO37" i="33"/>
  <c r="CP37" i="33"/>
  <c r="CQ37" i="33"/>
  <c r="DW37" i="33" s="1"/>
  <c r="EI37" i="33" s="1"/>
  <c r="CR37" i="33"/>
  <c r="DX37" i="33" s="1"/>
  <c r="EJ37" i="33" s="1"/>
  <c r="CS37" i="33"/>
  <c r="CT37" i="33"/>
  <c r="CU37" i="33"/>
  <c r="EA37" i="33" s="1"/>
  <c r="EM37" i="33" s="1"/>
  <c r="CV37" i="33"/>
  <c r="EB37" i="33" s="1"/>
  <c r="EN37" i="33" s="1"/>
  <c r="CW37" i="33"/>
  <c r="CO38" i="33"/>
  <c r="CP38" i="33"/>
  <c r="CQ38" i="33"/>
  <c r="DW38" i="33" s="1"/>
  <c r="EI38" i="33" s="1"/>
  <c r="CR38" i="33"/>
  <c r="DX38" i="33" s="1"/>
  <c r="EJ38" i="33" s="1"/>
  <c r="CS38" i="33"/>
  <c r="CT38" i="33"/>
  <c r="CU38" i="33"/>
  <c r="EA38" i="33" s="1"/>
  <c r="EM38" i="33" s="1"/>
  <c r="CV38" i="33"/>
  <c r="EB38" i="33" s="1"/>
  <c r="EN38" i="33" s="1"/>
  <c r="CW38" i="33"/>
  <c r="CO39" i="33"/>
  <c r="CP39" i="33"/>
  <c r="CQ39" i="33"/>
  <c r="DW39" i="33" s="1"/>
  <c r="EI39" i="33" s="1"/>
  <c r="CR39" i="33"/>
  <c r="DX39" i="33" s="1"/>
  <c r="EJ39" i="33" s="1"/>
  <c r="CS39" i="33"/>
  <c r="CT39" i="33"/>
  <c r="CU39" i="33"/>
  <c r="EA39" i="33" s="1"/>
  <c r="EM39" i="33" s="1"/>
  <c r="CV39" i="33"/>
  <c r="EB39" i="33" s="1"/>
  <c r="EN39" i="33" s="1"/>
  <c r="CW39" i="33"/>
  <c r="CO40" i="33"/>
  <c r="CP40" i="33"/>
  <c r="CQ40" i="33"/>
  <c r="DW40" i="33" s="1"/>
  <c r="EI40" i="33" s="1"/>
  <c r="CR40" i="33"/>
  <c r="DX40" i="33" s="1"/>
  <c r="EJ40" i="33" s="1"/>
  <c r="CS40" i="33"/>
  <c r="CT40" i="33"/>
  <c r="CU40" i="33"/>
  <c r="EA40" i="33" s="1"/>
  <c r="EM40" i="33" s="1"/>
  <c r="CV40" i="33"/>
  <c r="EB40" i="33" s="1"/>
  <c r="EN40" i="33" s="1"/>
  <c r="CW40" i="33"/>
  <c r="CO41" i="33"/>
  <c r="CP41" i="33"/>
  <c r="CQ41" i="33"/>
  <c r="DW41" i="33" s="1"/>
  <c r="EI41" i="33" s="1"/>
  <c r="CR41" i="33"/>
  <c r="DX41" i="33" s="1"/>
  <c r="EJ41" i="33" s="1"/>
  <c r="CS41" i="33"/>
  <c r="CT41" i="33"/>
  <c r="CU41" i="33"/>
  <c r="EA41" i="33" s="1"/>
  <c r="EM41" i="33" s="1"/>
  <c r="CV41" i="33"/>
  <c r="EB41" i="33" s="1"/>
  <c r="EN41" i="33" s="1"/>
  <c r="CW41" i="33"/>
  <c r="CO42" i="33"/>
  <c r="CP42" i="33"/>
  <c r="CQ42" i="33"/>
  <c r="DW42" i="33" s="1"/>
  <c r="EI42" i="33" s="1"/>
  <c r="CR42" i="33"/>
  <c r="DX42" i="33" s="1"/>
  <c r="EJ42" i="33" s="1"/>
  <c r="CS42" i="33"/>
  <c r="CT42" i="33"/>
  <c r="CU42" i="33"/>
  <c r="EA42" i="33" s="1"/>
  <c r="EM42" i="33" s="1"/>
  <c r="CV42" i="33"/>
  <c r="EB42" i="33" s="1"/>
  <c r="EN42" i="33" s="1"/>
  <c r="CW42" i="33"/>
  <c r="CO43" i="33"/>
  <c r="CP43" i="33"/>
  <c r="CQ43" i="33"/>
  <c r="DW43" i="33" s="1"/>
  <c r="EI43" i="33" s="1"/>
  <c r="CR43" i="33"/>
  <c r="DX43" i="33" s="1"/>
  <c r="EJ43" i="33" s="1"/>
  <c r="CS43" i="33"/>
  <c r="CT43" i="33"/>
  <c r="CU43" i="33"/>
  <c r="EA43" i="33" s="1"/>
  <c r="EM43" i="33" s="1"/>
  <c r="CV43" i="33"/>
  <c r="EB43" i="33" s="1"/>
  <c r="EN43" i="33" s="1"/>
  <c r="CW43" i="33"/>
  <c r="CP8" i="33"/>
  <c r="DV8" i="33" s="1"/>
  <c r="EH8" i="33" s="1"/>
  <c r="CQ8" i="33"/>
  <c r="DW8" i="33" s="1"/>
  <c r="EI8" i="33" s="1"/>
  <c r="CR8" i="33"/>
  <c r="CS8" i="33"/>
  <c r="DY8" i="33" s="1"/>
  <c r="EK8" i="33" s="1"/>
  <c r="CT8" i="33"/>
  <c r="DZ8" i="33" s="1"/>
  <c r="EL8" i="33" s="1"/>
  <c r="CU8" i="33"/>
  <c r="EA8" i="33" s="1"/>
  <c r="EM8" i="33" s="1"/>
  <c r="CV8" i="33"/>
  <c r="CW8" i="33"/>
  <c r="EC8" i="33" s="1"/>
  <c r="EO8" i="33" s="1"/>
  <c r="CO8" i="33"/>
  <c r="DU8" i="33" s="1"/>
  <c r="EG8" i="33" s="1"/>
  <c r="EC9" i="20"/>
  <c r="FU9" i="20" s="1"/>
  <c r="GI9" i="20" s="1"/>
  <c r="ED9" i="20"/>
  <c r="EE9" i="20"/>
  <c r="EF9" i="20"/>
  <c r="FX9" i="20" s="1"/>
  <c r="GL9" i="20" s="1"/>
  <c r="EG9" i="20"/>
  <c r="FY9" i="20" s="1"/>
  <c r="GM9" i="20" s="1"/>
  <c r="EH9" i="20"/>
  <c r="EI9" i="20"/>
  <c r="EJ9" i="20"/>
  <c r="GB9" i="20" s="1"/>
  <c r="GP9" i="20" s="1"/>
  <c r="EK9" i="20"/>
  <c r="GC9" i="20" s="1"/>
  <c r="GQ9" i="20" s="1"/>
  <c r="EL9" i="20"/>
  <c r="EC10" i="20"/>
  <c r="FU10" i="20" s="1"/>
  <c r="GI10" i="20" s="1"/>
  <c r="ED10" i="20"/>
  <c r="EE10" i="20"/>
  <c r="EF10" i="20"/>
  <c r="FX10" i="20" s="1"/>
  <c r="GL10" i="20" s="1"/>
  <c r="EG10" i="20"/>
  <c r="FY10" i="20" s="1"/>
  <c r="GM10" i="20" s="1"/>
  <c r="EH10" i="20"/>
  <c r="EI10" i="20"/>
  <c r="EJ10" i="20"/>
  <c r="GB10" i="20" s="1"/>
  <c r="GP10" i="20" s="1"/>
  <c r="EK10" i="20"/>
  <c r="GC10" i="20" s="1"/>
  <c r="GQ10" i="20" s="1"/>
  <c r="EL10" i="20"/>
  <c r="EC11" i="20"/>
  <c r="FU11" i="20" s="1"/>
  <c r="GI11" i="20" s="1"/>
  <c r="ED11" i="20"/>
  <c r="EE11" i="20"/>
  <c r="EF11" i="20"/>
  <c r="FX11" i="20" s="1"/>
  <c r="GL11" i="20" s="1"/>
  <c r="EG11" i="20"/>
  <c r="FY11" i="20" s="1"/>
  <c r="GM11" i="20" s="1"/>
  <c r="EH11" i="20"/>
  <c r="EI11" i="20"/>
  <c r="EJ11" i="20"/>
  <c r="GB11" i="20" s="1"/>
  <c r="GP11" i="20" s="1"/>
  <c r="EK11" i="20"/>
  <c r="GC11" i="20" s="1"/>
  <c r="GQ11" i="20" s="1"/>
  <c r="EL11" i="20"/>
  <c r="EC12" i="20"/>
  <c r="FU12" i="20" s="1"/>
  <c r="GI12" i="20" s="1"/>
  <c r="ED12" i="20"/>
  <c r="EE12" i="20"/>
  <c r="EF12" i="20"/>
  <c r="FX12" i="20" s="1"/>
  <c r="GL12" i="20" s="1"/>
  <c r="EG12" i="20"/>
  <c r="FY12" i="20" s="1"/>
  <c r="GM12" i="20" s="1"/>
  <c r="EH12" i="20"/>
  <c r="EI12" i="20"/>
  <c r="EJ12" i="20"/>
  <c r="GB12" i="20" s="1"/>
  <c r="GP12" i="20" s="1"/>
  <c r="EK12" i="20"/>
  <c r="GC12" i="20" s="1"/>
  <c r="GQ12" i="20" s="1"/>
  <c r="EL12" i="20"/>
  <c r="EC13" i="20"/>
  <c r="FU13" i="20" s="1"/>
  <c r="GI13" i="20" s="1"/>
  <c r="ED13" i="20"/>
  <c r="EE13" i="20"/>
  <c r="EF13" i="20"/>
  <c r="FX13" i="20" s="1"/>
  <c r="GL13" i="20" s="1"/>
  <c r="EG13" i="20"/>
  <c r="FY13" i="20" s="1"/>
  <c r="GM13" i="20" s="1"/>
  <c r="EH13" i="20"/>
  <c r="EI13" i="20"/>
  <c r="EJ13" i="20"/>
  <c r="GB13" i="20" s="1"/>
  <c r="GP13" i="20" s="1"/>
  <c r="EK13" i="20"/>
  <c r="GC13" i="20" s="1"/>
  <c r="GQ13" i="20" s="1"/>
  <c r="EL13" i="20"/>
  <c r="EC14" i="20"/>
  <c r="FU14" i="20" s="1"/>
  <c r="GI14" i="20" s="1"/>
  <c r="ED14" i="20"/>
  <c r="EE14" i="20"/>
  <c r="EF14" i="20"/>
  <c r="FX14" i="20" s="1"/>
  <c r="GL14" i="20" s="1"/>
  <c r="EG14" i="20"/>
  <c r="FY14" i="20" s="1"/>
  <c r="GM14" i="20" s="1"/>
  <c r="EH14" i="20"/>
  <c r="EI14" i="20"/>
  <c r="EJ14" i="20"/>
  <c r="GB14" i="20" s="1"/>
  <c r="GP14" i="20" s="1"/>
  <c r="EK14" i="20"/>
  <c r="GC14" i="20" s="1"/>
  <c r="GQ14" i="20" s="1"/>
  <c r="EL14" i="20"/>
  <c r="EC15" i="20"/>
  <c r="FU15" i="20" s="1"/>
  <c r="GI15" i="20" s="1"/>
  <c r="ED15" i="20"/>
  <c r="EE15" i="20"/>
  <c r="EF15" i="20"/>
  <c r="FX15" i="20" s="1"/>
  <c r="GL15" i="20" s="1"/>
  <c r="EG15" i="20"/>
  <c r="FY15" i="20" s="1"/>
  <c r="GM15" i="20" s="1"/>
  <c r="EH15" i="20"/>
  <c r="EI15" i="20"/>
  <c r="EJ15" i="20"/>
  <c r="GB15" i="20" s="1"/>
  <c r="GP15" i="20" s="1"/>
  <c r="EK15" i="20"/>
  <c r="GC15" i="20" s="1"/>
  <c r="GQ15" i="20" s="1"/>
  <c r="EL15" i="20"/>
  <c r="EC16" i="20"/>
  <c r="ED16" i="20"/>
  <c r="EE16" i="20"/>
  <c r="FW16" i="20" s="1"/>
  <c r="GK16" i="20" s="1"/>
  <c r="EF16" i="20"/>
  <c r="FX16" i="20" s="1"/>
  <c r="GL16" i="20" s="1"/>
  <c r="EG16" i="20"/>
  <c r="EH16" i="20"/>
  <c r="EI16" i="20"/>
  <c r="GA16" i="20" s="1"/>
  <c r="GO16" i="20" s="1"/>
  <c r="EJ16" i="20"/>
  <c r="GB16" i="20" s="1"/>
  <c r="GP16" i="20" s="1"/>
  <c r="EK16" i="20"/>
  <c r="EL16" i="20"/>
  <c r="EC17" i="20"/>
  <c r="FU17" i="20" s="1"/>
  <c r="GI17" i="20" s="1"/>
  <c r="ED17" i="20"/>
  <c r="FV17" i="20" s="1"/>
  <c r="GJ17" i="20" s="1"/>
  <c r="EE17" i="20"/>
  <c r="EF17" i="20"/>
  <c r="EG17" i="20"/>
  <c r="FY17" i="20" s="1"/>
  <c r="GM17" i="20" s="1"/>
  <c r="EH17" i="20"/>
  <c r="FZ17" i="20" s="1"/>
  <c r="GN17" i="20" s="1"/>
  <c r="EI17" i="20"/>
  <c r="EJ17" i="20"/>
  <c r="EK17" i="20"/>
  <c r="GC17" i="20" s="1"/>
  <c r="GQ17" i="20" s="1"/>
  <c r="EL17" i="20"/>
  <c r="GD17" i="20" s="1"/>
  <c r="GR17" i="20" s="1"/>
  <c r="EC18" i="20"/>
  <c r="ED18" i="20"/>
  <c r="FV18" i="20" s="1"/>
  <c r="GJ18" i="20" s="1"/>
  <c r="EE18" i="20"/>
  <c r="FW18" i="20" s="1"/>
  <c r="GK18" i="20" s="1"/>
  <c r="EF18" i="20"/>
  <c r="EG18" i="20"/>
  <c r="EH18" i="20"/>
  <c r="FZ18" i="20" s="1"/>
  <c r="GN18" i="20" s="1"/>
  <c r="EI18" i="20"/>
  <c r="GA18" i="20" s="1"/>
  <c r="GO18" i="20" s="1"/>
  <c r="EJ18" i="20"/>
  <c r="EK18" i="20"/>
  <c r="EL18" i="20"/>
  <c r="GD18" i="20" s="1"/>
  <c r="GR18" i="20" s="1"/>
  <c r="EC19" i="20"/>
  <c r="ED19" i="20"/>
  <c r="FV19" i="20" s="1"/>
  <c r="GJ19" i="20" s="1"/>
  <c r="EE19" i="20"/>
  <c r="EF19" i="20"/>
  <c r="EG19" i="20"/>
  <c r="EH19" i="20"/>
  <c r="FZ19" i="20" s="1"/>
  <c r="GN19" i="20" s="1"/>
  <c r="EI19" i="20"/>
  <c r="EJ19" i="20"/>
  <c r="EK19" i="20"/>
  <c r="EL19" i="20"/>
  <c r="GD19" i="20" s="1"/>
  <c r="GR19" i="20" s="1"/>
  <c r="EC20" i="20"/>
  <c r="FU20" i="20" s="1"/>
  <c r="GI20" i="20" s="1"/>
  <c r="ED20" i="20"/>
  <c r="FV20" i="20" s="1"/>
  <c r="GJ20" i="20" s="1"/>
  <c r="EE20" i="20"/>
  <c r="EF20" i="20"/>
  <c r="EG20" i="20"/>
  <c r="FY20" i="20" s="1"/>
  <c r="GM20" i="20" s="1"/>
  <c r="EH20" i="20"/>
  <c r="FZ20" i="20" s="1"/>
  <c r="GN20" i="20" s="1"/>
  <c r="EI20" i="20"/>
  <c r="EJ20" i="20"/>
  <c r="EK20" i="20"/>
  <c r="EL20" i="20"/>
  <c r="GD20" i="20" s="1"/>
  <c r="GR20" i="20" s="1"/>
  <c r="EC21" i="20"/>
  <c r="FU21" i="20" s="1"/>
  <c r="GI21" i="20" s="1"/>
  <c r="ED21" i="20"/>
  <c r="FV21" i="20" s="1"/>
  <c r="GJ21" i="20" s="1"/>
  <c r="EE21" i="20"/>
  <c r="EF21" i="20"/>
  <c r="EG21" i="20"/>
  <c r="EH21" i="20"/>
  <c r="FZ21" i="20" s="1"/>
  <c r="GN21" i="20" s="1"/>
  <c r="EI21" i="20"/>
  <c r="EJ21" i="20"/>
  <c r="EK21" i="20"/>
  <c r="GC21" i="20" s="1"/>
  <c r="GQ21" i="20" s="1"/>
  <c r="EL21" i="20"/>
  <c r="GD21" i="20" s="1"/>
  <c r="GR21" i="20" s="1"/>
  <c r="EC22" i="20"/>
  <c r="ED22" i="20"/>
  <c r="FV22" i="20" s="1"/>
  <c r="GJ22" i="20" s="1"/>
  <c r="EE22" i="20"/>
  <c r="FW22" i="20" s="1"/>
  <c r="GK22" i="20" s="1"/>
  <c r="EF22" i="20"/>
  <c r="EG22" i="20"/>
  <c r="EH22" i="20"/>
  <c r="FZ22" i="20" s="1"/>
  <c r="GN22" i="20" s="1"/>
  <c r="EI22" i="20"/>
  <c r="EJ22" i="20"/>
  <c r="EK22" i="20"/>
  <c r="EL22" i="20"/>
  <c r="GD22" i="20" s="1"/>
  <c r="GR22" i="20" s="1"/>
  <c r="EC23" i="20"/>
  <c r="ED23" i="20"/>
  <c r="FV23" i="20" s="1"/>
  <c r="GJ23" i="20" s="1"/>
  <c r="EE23" i="20"/>
  <c r="EF23" i="20"/>
  <c r="EG23" i="20"/>
  <c r="EH23" i="20"/>
  <c r="FZ23" i="20" s="1"/>
  <c r="GN23" i="20" s="1"/>
  <c r="EI23" i="20"/>
  <c r="EJ23" i="20"/>
  <c r="EK23" i="20"/>
  <c r="EL23" i="20"/>
  <c r="GD23" i="20" s="1"/>
  <c r="GR23" i="20" s="1"/>
  <c r="EC24" i="20"/>
  <c r="FU24" i="20" s="1"/>
  <c r="GI24" i="20" s="1"/>
  <c r="ED24" i="20"/>
  <c r="FV24" i="20" s="1"/>
  <c r="GJ24" i="20" s="1"/>
  <c r="EE24" i="20"/>
  <c r="EF24" i="20"/>
  <c r="EG24" i="20"/>
  <c r="FY24" i="20" s="1"/>
  <c r="GM24" i="20" s="1"/>
  <c r="EH24" i="20"/>
  <c r="FZ24" i="20" s="1"/>
  <c r="GN24" i="20" s="1"/>
  <c r="EI24" i="20"/>
  <c r="EJ24" i="20"/>
  <c r="EK24" i="20"/>
  <c r="EL24" i="20"/>
  <c r="GD24" i="20" s="1"/>
  <c r="GR24" i="20" s="1"/>
  <c r="EC25" i="20"/>
  <c r="FU25" i="20" s="1"/>
  <c r="GI25" i="20" s="1"/>
  <c r="ED25" i="20"/>
  <c r="FV25" i="20" s="1"/>
  <c r="GJ25" i="20" s="1"/>
  <c r="EE25" i="20"/>
  <c r="FW25" i="20" s="1"/>
  <c r="GK25" i="20" s="1"/>
  <c r="EF25" i="20"/>
  <c r="EG25" i="20"/>
  <c r="FY25" i="20" s="1"/>
  <c r="GM25" i="20" s="1"/>
  <c r="EH25" i="20"/>
  <c r="FZ25" i="20" s="1"/>
  <c r="GN25" i="20" s="1"/>
  <c r="EI25" i="20"/>
  <c r="EJ25" i="20"/>
  <c r="EK25" i="20"/>
  <c r="GC25" i="20" s="1"/>
  <c r="GQ25" i="20" s="1"/>
  <c r="EL25" i="20"/>
  <c r="GD25" i="20" s="1"/>
  <c r="GR25" i="20" s="1"/>
  <c r="EC26" i="20"/>
  <c r="FU26" i="20" s="1"/>
  <c r="GI26" i="20" s="1"/>
  <c r="ED26" i="20"/>
  <c r="EE26" i="20"/>
  <c r="EF26" i="20"/>
  <c r="FX26" i="20" s="1"/>
  <c r="GL26" i="20" s="1"/>
  <c r="EG26" i="20"/>
  <c r="FY26" i="20" s="1"/>
  <c r="GM26" i="20" s="1"/>
  <c r="EH26" i="20"/>
  <c r="EI26" i="20"/>
  <c r="EJ26" i="20"/>
  <c r="GB26" i="20" s="1"/>
  <c r="GP26" i="20" s="1"/>
  <c r="EK26" i="20"/>
  <c r="GC26" i="20" s="1"/>
  <c r="GQ26" i="20" s="1"/>
  <c r="EL26" i="20"/>
  <c r="EC27" i="20"/>
  <c r="FU27" i="20" s="1"/>
  <c r="GI27" i="20" s="1"/>
  <c r="ED27" i="20"/>
  <c r="EE27" i="20"/>
  <c r="EF27" i="20"/>
  <c r="FX27" i="20" s="1"/>
  <c r="GL27" i="20" s="1"/>
  <c r="EG27" i="20"/>
  <c r="FY27" i="20" s="1"/>
  <c r="GM27" i="20" s="1"/>
  <c r="EH27" i="20"/>
  <c r="EI27" i="20"/>
  <c r="EJ27" i="20"/>
  <c r="GB27" i="20" s="1"/>
  <c r="GP27" i="20" s="1"/>
  <c r="EK27" i="20"/>
  <c r="GC27" i="20" s="1"/>
  <c r="GQ27" i="20" s="1"/>
  <c r="EL27" i="20"/>
  <c r="EC28" i="20"/>
  <c r="FU28" i="20" s="1"/>
  <c r="GI28" i="20" s="1"/>
  <c r="ED28" i="20"/>
  <c r="EE28" i="20"/>
  <c r="EF28" i="20"/>
  <c r="FX28" i="20" s="1"/>
  <c r="GL28" i="20" s="1"/>
  <c r="EG28" i="20"/>
  <c r="FY28" i="20" s="1"/>
  <c r="GM28" i="20" s="1"/>
  <c r="EH28" i="20"/>
  <c r="EI28" i="20"/>
  <c r="EJ28" i="20"/>
  <c r="GB28" i="20" s="1"/>
  <c r="GP28" i="20" s="1"/>
  <c r="EK28" i="20"/>
  <c r="GC28" i="20" s="1"/>
  <c r="GQ28" i="20" s="1"/>
  <c r="EL28" i="20"/>
  <c r="EC29" i="20"/>
  <c r="FU29" i="20" s="1"/>
  <c r="GI29" i="20" s="1"/>
  <c r="ED29" i="20"/>
  <c r="EE29" i="20"/>
  <c r="EF29" i="20"/>
  <c r="FX29" i="20" s="1"/>
  <c r="GL29" i="20" s="1"/>
  <c r="EG29" i="20"/>
  <c r="FY29" i="20" s="1"/>
  <c r="GM29" i="20" s="1"/>
  <c r="EH29" i="20"/>
  <c r="EI29" i="20"/>
  <c r="EJ29" i="20"/>
  <c r="GB29" i="20" s="1"/>
  <c r="GP29" i="20" s="1"/>
  <c r="EK29" i="20"/>
  <c r="GC29" i="20" s="1"/>
  <c r="GQ29" i="20" s="1"/>
  <c r="EL29" i="20"/>
  <c r="EC30" i="20"/>
  <c r="FU30" i="20" s="1"/>
  <c r="GI30" i="20" s="1"/>
  <c r="ED30" i="20"/>
  <c r="EE30" i="20"/>
  <c r="EF30" i="20"/>
  <c r="FX30" i="20" s="1"/>
  <c r="GL30" i="20" s="1"/>
  <c r="EG30" i="20"/>
  <c r="FY30" i="20" s="1"/>
  <c r="GM30" i="20" s="1"/>
  <c r="EH30" i="20"/>
  <c r="EI30" i="20"/>
  <c r="EJ30" i="20"/>
  <c r="GB30" i="20" s="1"/>
  <c r="GP30" i="20" s="1"/>
  <c r="EK30" i="20"/>
  <c r="GC30" i="20" s="1"/>
  <c r="GQ30" i="20" s="1"/>
  <c r="EL30" i="20"/>
  <c r="EC31" i="20"/>
  <c r="FU31" i="20" s="1"/>
  <c r="GI31" i="20" s="1"/>
  <c r="ED31" i="20"/>
  <c r="FV31" i="20" s="1"/>
  <c r="GJ31" i="20" s="1"/>
  <c r="EE31" i="20"/>
  <c r="EF31" i="20"/>
  <c r="EG31" i="20"/>
  <c r="FY31" i="20" s="1"/>
  <c r="GM31" i="20" s="1"/>
  <c r="EH31" i="20"/>
  <c r="FZ31" i="20" s="1"/>
  <c r="GN31" i="20" s="1"/>
  <c r="EI31" i="20"/>
  <c r="EJ31" i="20"/>
  <c r="EK31" i="20"/>
  <c r="GC31" i="20" s="1"/>
  <c r="GQ31" i="20" s="1"/>
  <c r="EL31" i="20"/>
  <c r="GD31" i="20" s="1"/>
  <c r="GR31" i="20" s="1"/>
  <c r="EC32" i="20"/>
  <c r="FU32" i="20" s="1"/>
  <c r="GI32" i="20" s="1"/>
  <c r="ED32" i="20"/>
  <c r="FV32" i="20" s="1"/>
  <c r="GJ32" i="20" s="1"/>
  <c r="EE32" i="20"/>
  <c r="EF32" i="20"/>
  <c r="EG32" i="20"/>
  <c r="FY32" i="20" s="1"/>
  <c r="GM32" i="20" s="1"/>
  <c r="EH32" i="20"/>
  <c r="FZ32" i="20" s="1"/>
  <c r="GN32" i="20" s="1"/>
  <c r="EI32" i="20"/>
  <c r="EJ32" i="20"/>
  <c r="EK32" i="20"/>
  <c r="GC32" i="20" s="1"/>
  <c r="GQ32" i="20" s="1"/>
  <c r="EL32" i="20"/>
  <c r="GD32" i="20" s="1"/>
  <c r="GR32" i="20" s="1"/>
  <c r="EC33" i="20"/>
  <c r="FU33" i="20" s="1"/>
  <c r="GI33" i="20" s="1"/>
  <c r="ED33" i="20"/>
  <c r="FV33" i="20" s="1"/>
  <c r="GJ33" i="20" s="1"/>
  <c r="EE33" i="20"/>
  <c r="EF33" i="20"/>
  <c r="EG33" i="20"/>
  <c r="FY33" i="20" s="1"/>
  <c r="GM33" i="20" s="1"/>
  <c r="EH33" i="20"/>
  <c r="FZ33" i="20" s="1"/>
  <c r="GN33" i="20" s="1"/>
  <c r="EI33" i="20"/>
  <c r="EJ33" i="20"/>
  <c r="EK33" i="20"/>
  <c r="GC33" i="20" s="1"/>
  <c r="GQ33" i="20" s="1"/>
  <c r="EL33" i="20"/>
  <c r="GD33" i="20" s="1"/>
  <c r="GR33" i="20" s="1"/>
  <c r="EC34" i="20"/>
  <c r="FU34" i="20" s="1"/>
  <c r="GI34" i="20" s="1"/>
  <c r="ED34" i="20"/>
  <c r="FV34" i="20" s="1"/>
  <c r="GJ34" i="20" s="1"/>
  <c r="EE34" i="20"/>
  <c r="EF34" i="20"/>
  <c r="EG34" i="20"/>
  <c r="FY34" i="20" s="1"/>
  <c r="GM34" i="20" s="1"/>
  <c r="EH34" i="20"/>
  <c r="FZ34" i="20" s="1"/>
  <c r="GN34" i="20" s="1"/>
  <c r="EI34" i="20"/>
  <c r="EJ34" i="20"/>
  <c r="EK34" i="20"/>
  <c r="GC34" i="20" s="1"/>
  <c r="GQ34" i="20" s="1"/>
  <c r="EL34" i="20"/>
  <c r="GD34" i="20" s="1"/>
  <c r="GR34" i="20" s="1"/>
  <c r="EC35" i="20"/>
  <c r="FU35" i="20" s="1"/>
  <c r="GI35" i="20" s="1"/>
  <c r="ED35" i="20"/>
  <c r="FV35" i="20" s="1"/>
  <c r="GJ35" i="20" s="1"/>
  <c r="EE35" i="20"/>
  <c r="EF35" i="20"/>
  <c r="EG35" i="20"/>
  <c r="FY35" i="20" s="1"/>
  <c r="GM35" i="20" s="1"/>
  <c r="EH35" i="20"/>
  <c r="FZ35" i="20" s="1"/>
  <c r="GN35" i="20" s="1"/>
  <c r="EI35" i="20"/>
  <c r="EJ35" i="20"/>
  <c r="EK35" i="20"/>
  <c r="GC35" i="20" s="1"/>
  <c r="GQ35" i="20" s="1"/>
  <c r="EL35" i="20"/>
  <c r="GD35" i="20" s="1"/>
  <c r="GR35" i="20" s="1"/>
  <c r="EC36" i="20"/>
  <c r="FU36" i="20" s="1"/>
  <c r="GI36" i="20" s="1"/>
  <c r="ED36" i="20"/>
  <c r="FV36" i="20" s="1"/>
  <c r="GJ36" i="20" s="1"/>
  <c r="EE36" i="20"/>
  <c r="EF36" i="20"/>
  <c r="EG36" i="20"/>
  <c r="FY36" i="20" s="1"/>
  <c r="GM36" i="20" s="1"/>
  <c r="EH36" i="20"/>
  <c r="FZ36" i="20" s="1"/>
  <c r="GN36" i="20" s="1"/>
  <c r="EI36" i="20"/>
  <c r="EJ36" i="20"/>
  <c r="EK36" i="20"/>
  <c r="GC36" i="20" s="1"/>
  <c r="GQ36" i="20" s="1"/>
  <c r="EL36" i="20"/>
  <c r="GD36" i="20" s="1"/>
  <c r="GR36" i="20" s="1"/>
  <c r="EC37" i="20"/>
  <c r="FU37" i="20" s="1"/>
  <c r="GI37" i="20" s="1"/>
  <c r="ED37" i="20"/>
  <c r="FV37" i="20" s="1"/>
  <c r="GJ37" i="20" s="1"/>
  <c r="EE37" i="20"/>
  <c r="EF37" i="20"/>
  <c r="EG37" i="20"/>
  <c r="FY37" i="20" s="1"/>
  <c r="GM37" i="20" s="1"/>
  <c r="EH37" i="20"/>
  <c r="FZ37" i="20" s="1"/>
  <c r="GN37" i="20" s="1"/>
  <c r="EI37" i="20"/>
  <c r="EJ37" i="20"/>
  <c r="EK37" i="20"/>
  <c r="GC37" i="20" s="1"/>
  <c r="GQ37" i="20" s="1"/>
  <c r="EL37" i="20"/>
  <c r="GD37" i="20" s="1"/>
  <c r="GR37" i="20" s="1"/>
  <c r="EC38" i="20"/>
  <c r="FU38" i="20" s="1"/>
  <c r="GI38" i="20" s="1"/>
  <c r="ED38" i="20"/>
  <c r="FV38" i="20" s="1"/>
  <c r="GJ38" i="20" s="1"/>
  <c r="EE38" i="20"/>
  <c r="EF38" i="20"/>
  <c r="EG38" i="20"/>
  <c r="FY38" i="20" s="1"/>
  <c r="GM38" i="20" s="1"/>
  <c r="EH38" i="20"/>
  <c r="FZ38" i="20" s="1"/>
  <c r="GN38" i="20" s="1"/>
  <c r="EI38" i="20"/>
  <c r="EJ38" i="20"/>
  <c r="EK38" i="20"/>
  <c r="GC38" i="20" s="1"/>
  <c r="GQ38" i="20" s="1"/>
  <c r="EL38" i="20"/>
  <c r="GD38" i="20" s="1"/>
  <c r="GR38" i="20" s="1"/>
  <c r="EC39" i="20"/>
  <c r="FU39" i="20" s="1"/>
  <c r="GI39" i="20" s="1"/>
  <c r="ED39" i="20"/>
  <c r="FV39" i="20" s="1"/>
  <c r="GJ39" i="20" s="1"/>
  <c r="EE39" i="20"/>
  <c r="EF39" i="20"/>
  <c r="EG39" i="20"/>
  <c r="FY39" i="20" s="1"/>
  <c r="GM39" i="20" s="1"/>
  <c r="EH39" i="20"/>
  <c r="FZ39" i="20" s="1"/>
  <c r="GN39" i="20" s="1"/>
  <c r="EI39" i="20"/>
  <c r="EJ39" i="20"/>
  <c r="EK39" i="20"/>
  <c r="GC39" i="20" s="1"/>
  <c r="GQ39" i="20" s="1"/>
  <c r="EL39" i="20"/>
  <c r="GD39" i="20" s="1"/>
  <c r="GR39" i="20" s="1"/>
  <c r="EC40" i="20"/>
  <c r="FU40" i="20" s="1"/>
  <c r="GI40" i="20" s="1"/>
  <c r="ED40" i="20"/>
  <c r="FV40" i="20" s="1"/>
  <c r="GJ40" i="20" s="1"/>
  <c r="EE40" i="20"/>
  <c r="EF40" i="20"/>
  <c r="EG40" i="20"/>
  <c r="FY40" i="20" s="1"/>
  <c r="GM40" i="20" s="1"/>
  <c r="EH40" i="20"/>
  <c r="FZ40" i="20" s="1"/>
  <c r="GN40" i="20" s="1"/>
  <c r="EI40" i="20"/>
  <c r="EJ40" i="20"/>
  <c r="EK40" i="20"/>
  <c r="GC40" i="20" s="1"/>
  <c r="GQ40" i="20" s="1"/>
  <c r="EL40" i="20"/>
  <c r="GD40" i="20" s="1"/>
  <c r="GR40" i="20" s="1"/>
  <c r="EC41" i="20"/>
  <c r="FU41" i="20" s="1"/>
  <c r="GI41" i="20" s="1"/>
  <c r="ED41" i="20"/>
  <c r="FV41" i="20" s="1"/>
  <c r="GJ41" i="20" s="1"/>
  <c r="EE41" i="20"/>
  <c r="EF41" i="20"/>
  <c r="EG41" i="20"/>
  <c r="FY41" i="20" s="1"/>
  <c r="GM41" i="20" s="1"/>
  <c r="EH41" i="20"/>
  <c r="FZ41" i="20" s="1"/>
  <c r="GN41" i="20" s="1"/>
  <c r="EI41" i="20"/>
  <c r="EJ41" i="20"/>
  <c r="EK41" i="20"/>
  <c r="GC41" i="20" s="1"/>
  <c r="GQ41" i="20" s="1"/>
  <c r="EL41" i="20"/>
  <c r="GD41" i="20" s="1"/>
  <c r="GR41" i="20" s="1"/>
  <c r="EC42" i="20"/>
  <c r="FU42" i="20" s="1"/>
  <c r="GI42" i="20" s="1"/>
  <c r="ED42" i="20"/>
  <c r="FV42" i="20" s="1"/>
  <c r="GJ42" i="20" s="1"/>
  <c r="EE42" i="20"/>
  <c r="EF42" i="20"/>
  <c r="EG42" i="20"/>
  <c r="FY42" i="20" s="1"/>
  <c r="GM42" i="20" s="1"/>
  <c r="EH42" i="20"/>
  <c r="FZ42" i="20" s="1"/>
  <c r="GN42" i="20" s="1"/>
  <c r="EI42" i="20"/>
  <c r="EJ42" i="20"/>
  <c r="EK42" i="20"/>
  <c r="GC42" i="20" s="1"/>
  <c r="GQ42" i="20" s="1"/>
  <c r="EL42" i="20"/>
  <c r="GD42" i="20" s="1"/>
  <c r="GR42" i="20" s="1"/>
  <c r="ED8" i="20"/>
  <c r="EE8" i="20"/>
  <c r="EF8" i="20"/>
  <c r="EG8" i="20"/>
  <c r="EH8" i="20"/>
  <c r="EI8" i="20"/>
  <c r="EJ8" i="20"/>
  <c r="EK8" i="20"/>
  <c r="EL8" i="20"/>
  <c r="EC8" i="20"/>
  <c r="CO9" i="19"/>
  <c r="DU9" i="19" s="1"/>
  <c r="EG9" i="19" s="1"/>
  <c r="CP9" i="19"/>
  <c r="CQ9" i="19"/>
  <c r="CR9" i="19"/>
  <c r="CS9" i="19"/>
  <c r="DY9" i="19" s="1"/>
  <c r="EK9" i="19" s="1"/>
  <c r="CT9" i="19"/>
  <c r="CU9" i="19"/>
  <c r="CV9" i="19"/>
  <c r="CW9" i="19"/>
  <c r="EC9" i="19" s="1"/>
  <c r="EO9" i="19" s="1"/>
  <c r="CO10" i="19"/>
  <c r="DU10" i="19" s="1"/>
  <c r="EG10" i="19" s="1"/>
  <c r="CP10" i="19"/>
  <c r="CQ10" i="19"/>
  <c r="CR10" i="19"/>
  <c r="CS10" i="19"/>
  <c r="DY10" i="19" s="1"/>
  <c r="EK10" i="19" s="1"/>
  <c r="CT10" i="19"/>
  <c r="CU10" i="19"/>
  <c r="CV10" i="19"/>
  <c r="CW10" i="19"/>
  <c r="EC10" i="19" s="1"/>
  <c r="EO10" i="19" s="1"/>
  <c r="CO11" i="19"/>
  <c r="DU11" i="19" s="1"/>
  <c r="EG11" i="19" s="1"/>
  <c r="CP11" i="19"/>
  <c r="DV11" i="19" s="1"/>
  <c r="EH11" i="19" s="1"/>
  <c r="CQ11" i="19"/>
  <c r="CR11" i="19"/>
  <c r="CS11" i="19"/>
  <c r="DY11" i="19" s="1"/>
  <c r="EK11" i="19" s="1"/>
  <c r="CT11" i="19"/>
  <c r="DZ11" i="19" s="1"/>
  <c r="EL11" i="19" s="1"/>
  <c r="CU11" i="19"/>
  <c r="CV11" i="19"/>
  <c r="CW11" i="19"/>
  <c r="EC11" i="19" s="1"/>
  <c r="EO11" i="19" s="1"/>
  <c r="CO12" i="19"/>
  <c r="DU12" i="19" s="1"/>
  <c r="EG12" i="19" s="1"/>
  <c r="CP12" i="19"/>
  <c r="DV12" i="19" s="1"/>
  <c r="EH12" i="19" s="1"/>
  <c r="CQ12" i="19"/>
  <c r="CR12" i="19"/>
  <c r="CS12" i="19"/>
  <c r="DY12" i="19" s="1"/>
  <c r="EK12" i="19" s="1"/>
  <c r="CT12" i="19"/>
  <c r="DZ12" i="19" s="1"/>
  <c r="EL12" i="19" s="1"/>
  <c r="CU12" i="19"/>
  <c r="CV12" i="19"/>
  <c r="CW12" i="19"/>
  <c r="EC12" i="19" s="1"/>
  <c r="EO12" i="19" s="1"/>
  <c r="CO13" i="19"/>
  <c r="DU13" i="19" s="1"/>
  <c r="EG13" i="19" s="1"/>
  <c r="CP13" i="19"/>
  <c r="DV13" i="19" s="1"/>
  <c r="EH13" i="19" s="1"/>
  <c r="CQ13" i="19"/>
  <c r="CR13" i="19"/>
  <c r="CS13" i="19"/>
  <c r="DY13" i="19" s="1"/>
  <c r="EK13" i="19" s="1"/>
  <c r="CT13" i="19"/>
  <c r="DZ13" i="19" s="1"/>
  <c r="EL13" i="19" s="1"/>
  <c r="CU13" i="19"/>
  <c r="CV13" i="19"/>
  <c r="CW13" i="19"/>
  <c r="EC13" i="19" s="1"/>
  <c r="EO13" i="19" s="1"/>
  <c r="CO14" i="19"/>
  <c r="CP14" i="19"/>
  <c r="DV14" i="19" s="1"/>
  <c r="EH14" i="19" s="1"/>
  <c r="CQ14" i="19"/>
  <c r="DW14" i="19" s="1"/>
  <c r="EI14" i="19" s="1"/>
  <c r="CR14" i="19"/>
  <c r="CS14" i="19"/>
  <c r="CT14" i="19"/>
  <c r="DZ14" i="19" s="1"/>
  <c r="EL14" i="19" s="1"/>
  <c r="CU14" i="19"/>
  <c r="CV14" i="19"/>
  <c r="CW14" i="19"/>
  <c r="CO15" i="19"/>
  <c r="DU15" i="19" s="1"/>
  <c r="EG15" i="19" s="1"/>
  <c r="CP15" i="19"/>
  <c r="DV15" i="19" s="1"/>
  <c r="EH15" i="19" s="1"/>
  <c r="CQ15" i="19"/>
  <c r="CR15" i="19"/>
  <c r="CS15" i="19"/>
  <c r="DY15" i="19" s="1"/>
  <c r="EK15" i="19" s="1"/>
  <c r="CT15" i="19"/>
  <c r="DZ15" i="19" s="1"/>
  <c r="EL15" i="19" s="1"/>
  <c r="CU15" i="19"/>
  <c r="CV15" i="19"/>
  <c r="CW15" i="19"/>
  <c r="EC15" i="19" s="1"/>
  <c r="EO15" i="19" s="1"/>
  <c r="CO16" i="19"/>
  <c r="DU16" i="19" s="1"/>
  <c r="EG16" i="19" s="1"/>
  <c r="CP16" i="19"/>
  <c r="DV16" i="19" s="1"/>
  <c r="EH16" i="19" s="1"/>
  <c r="CQ16" i="19"/>
  <c r="CR16" i="19"/>
  <c r="CS16" i="19"/>
  <c r="DY16" i="19" s="1"/>
  <c r="EK16" i="19" s="1"/>
  <c r="CT16" i="19"/>
  <c r="DZ16" i="19" s="1"/>
  <c r="EL16" i="19" s="1"/>
  <c r="CU16" i="19"/>
  <c r="CV16" i="19"/>
  <c r="CW16" i="19"/>
  <c r="CO17" i="19"/>
  <c r="DU17" i="19" s="1"/>
  <c r="EG17" i="19" s="1"/>
  <c r="CP17" i="19"/>
  <c r="DV17" i="19" s="1"/>
  <c r="EH17" i="19" s="1"/>
  <c r="CQ17" i="19"/>
  <c r="CR17" i="19"/>
  <c r="CS17" i="19"/>
  <c r="DY17" i="19" s="1"/>
  <c r="EK17" i="19" s="1"/>
  <c r="CT17" i="19"/>
  <c r="DZ17" i="19" s="1"/>
  <c r="EL17" i="19" s="1"/>
  <c r="CU17" i="19"/>
  <c r="CV17" i="19"/>
  <c r="CW17" i="19"/>
  <c r="CO18" i="19"/>
  <c r="CP18" i="19"/>
  <c r="DV18" i="19" s="1"/>
  <c r="EH18" i="19" s="1"/>
  <c r="CQ18" i="19"/>
  <c r="DW18" i="19" s="1"/>
  <c r="EI18" i="19" s="1"/>
  <c r="CR18" i="19"/>
  <c r="CS18" i="19"/>
  <c r="CT18" i="19"/>
  <c r="DZ18" i="19" s="1"/>
  <c r="EL18" i="19" s="1"/>
  <c r="CU18" i="19"/>
  <c r="CV18" i="19"/>
  <c r="CW18" i="19"/>
  <c r="CO19" i="19"/>
  <c r="DU19" i="19" s="1"/>
  <c r="EG19" i="19" s="1"/>
  <c r="CP19" i="19"/>
  <c r="DV19" i="19" s="1"/>
  <c r="EH19" i="19" s="1"/>
  <c r="CQ19" i="19"/>
  <c r="CR19" i="19"/>
  <c r="CS19" i="19"/>
  <c r="DY19" i="19" s="1"/>
  <c r="EK19" i="19" s="1"/>
  <c r="CT19" i="19"/>
  <c r="DZ19" i="19" s="1"/>
  <c r="EL19" i="19" s="1"/>
  <c r="CU19" i="19"/>
  <c r="CV19" i="19"/>
  <c r="CW19" i="19"/>
  <c r="EC19" i="19" s="1"/>
  <c r="EO19" i="19" s="1"/>
  <c r="CO20" i="19"/>
  <c r="DU20" i="19" s="1"/>
  <c r="EG20" i="19" s="1"/>
  <c r="CP20" i="19"/>
  <c r="DV20" i="19" s="1"/>
  <c r="EH20" i="19" s="1"/>
  <c r="CQ20" i="19"/>
  <c r="CR20" i="19"/>
  <c r="CS20" i="19"/>
  <c r="DY20" i="19" s="1"/>
  <c r="EK20" i="19" s="1"/>
  <c r="CT20" i="19"/>
  <c r="DZ20" i="19" s="1"/>
  <c r="EL20" i="19" s="1"/>
  <c r="CU20" i="19"/>
  <c r="CV20" i="19"/>
  <c r="CW20" i="19"/>
  <c r="EC20" i="19" s="1"/>
  <c r="EO20" i="19" s="1"/>
  <c r="CO21" i="19"/>
  <c r="DU21" i="19" s="1"/>
  <c r="EG21" i="19" s="1"/>
  <c r="CP21" i="19"/>
  <c r="DV21" i="19" s="1"/>
  <c r="EH21" i="19" s="1"/>
  <c r="CQ21" i="19"/>
  <c r="CR21" i="19"/>
  <c r="CS21" i="19"/>
  <c r="DY21" i="19" s="1"/>
  <c r="EK21" i="19" s="1"/>
  <c r="CT21" i="19"/>
  <c r="DZ21" i="19" s="1"/>
  <c r="EL21" i="19" s="1"/>
  <c r="CU21" i="19"/>
  <c r="CV21" i="19"/>
  <c r="CW21" i="19"/>
  <c r="EC21" i="19" s="1"/>
  <c r="EO21" i="19" s="1"/>
  <c r="CO22" i="19"/>
  <c r="DU22" i="19" s="1"/>
  <c r="EG22" i="19" s="1"/>
  <c r="CP22" i="19"/>
  <c r="DV22" i="19" s="1"/>
  <c r="EH22" i="19" s="1"/>
  <c r="CQ22" i="19"/>
  <c r="CR22" i="19"/>
  <c r="CS22" i="19"/>
  <c r="DY22" i="19" s="1"/>
  <c r="EK22" i="19" s="1"/>
  <c r="CT22" i="19"/>
  <c r="DZ22" i="19" s="1"/>
  <c r="EL22" i="19" s="1"/>
  <c r="CU22" i="19"/>
  <c r="CV22" i="19"/>
  <c r="CW22" i="19"/>
  <c r="EC22" i="19" s="1"/>
  <c r="EO22" i="19" s="1"/>
  <c r="CO23" i="19"/>
  <c r="DU23" i="19" s="1"/>
  <c r="EG23" i="19" s="1"/>
  <c r="CP23" i="19"/>
  <c r="DV23" i="19" s="1"/>
  <c r="EH23" i="19" s="1"/>
  <c r="CQ23" i="19"/>
  <c r="CR23" i="19"/>
  <c r="CS23" i="19"/>
  <c r="DY23" i="19" s="1"/>
  <c r="EK23" i="19" s="1"/>
  <c r="CT23" i="19"/>
  <c r="DZ23" i="19" s="1"/>
  <c r="EL23" i="19" s="1"/>
  <c r="CU23" i="19"/>
  <c r="CV23" i="19"/>
  <c r="CW23" i="19"/>
  <c r="EC23" i="19" s="1"/>
  <c r="EO23" i="19" s="1"/>
  <c r="CO24" i="19"/>
  <c r="CP24" i="19"/>
  <c r="CQ24" i="19"/>
  <c r="DW24" i="19" s="1"/>
  <c r="EI24" i="19" s="1"/>
  <c r="CR24" i="19"/>
  <c r="DX24" i="19" s="1"/>
  <c r="EJ24" i="19" s="1"/>
  <c r="CS24" i="19"/>
  <c r="CT24" i="19"/>
  <c r="CU24" i="19"/>
  <c r="EA24" i="19" s="1"/>
  <c r="EM24" i="19" s="1"/>
  <c r="CV24" i="19"/>
  <c r="EB24" i="19" s="1"/>
  <c r="EN24" i="19" s="1"/>
  <c r="CW24" i="19"/>
  <c r="CO25" i="19"/>
  <c r="CP25" i="19"/>
  <c r="CQ25" i="19"/>
  <c r="DW25" i="19" s="1"/>
  <c r="EI25" i="19" s="1"/>
  <c r="CR25" i="19"/>
  <c r="DX25" i="19" s="1"/>
  <c r="EJ25" i="19" s="1"/>
  <c r="CS25" i="19"/>
  <c r="CT25" i="19"/>
  <c r="CU25" i="19"/>
  <c r="EA25" i="19" s="1"/>
  <c r="EM25" i="19" s="1"/>
  <c r="CV25" i="19"/>
  <c r="EB25" i="19" s="1"/>
  <c r="EN25" i="19" s="1"/>
  <c r="CW25" i="19"/>
  <c r="CO26" i="19"/>
  <c r="CP26" i="19"/>
  <c r="CQ26" i="19"/>
  <c r="DW26" i="19" s="1"/>
  <c r="EI26" i="19" s="1"/>
  <c r="CR26" i="19"/>
  <c r="DX26" i="19" s="1"/>
  <c r="EJ26" i="19" s="1"/>
  <c r="CS26" i="19"/>
  <c r="CT26" i="19"/>
  <c r="CU26" i="19"/>
  <c r="EA26" i="19" s="1"/>
  <c r="EM26" i="19" s="1"/>
  <c r="CV26" i="19"/>
  <c r="EB26" i="19" s="1"/>
  <c r="EN26" i="19" s="1"/>
  <c r="CW26" i="19"/>
  <c r="CO27" i="19"/>
  <c r="CP27" i="19"/>
  <c r="CQ27" i="19"/>
  <c r="DW27" i="19" s="1"/>
  <c r="EI27" i="19" s="1"/>
  <c r="CR27" i="19"/>
  <c r="DX27" i="19" s="1"/>
  <c r="EJ27" i="19" s="1"/>
  <c r="CS27" i="19"/>
  <c r="CT27" i="19"/>
  <c r="CU27" i="19"/>
  <c r="EA27" i="19" s="1"/>
  <c r="EM27" i="19" s="1"/>
  <c r="CV27" i="19"/>
  <c r="EB27" i="19" s="1"/>
  <c r="EN27" i="19" s="1"/>
  <c r="CW27" i="19"/>
  <c r="CO28" i="19"/>
  <c r="CP28" i="19"/>
  <c r="CQ28" i="19"/>
  <c r="DW28" i="19" s="1"/>
  <c r="EI28" i="19" s="1"/>
  <c r="CR28" i="19"/>
  <c r="DX28" i="19" s="1"/>
  <c r="EJ28" i="19" s="1"/>
  <c r="CS28" i="19"/>
  <c r="CT28" i="19"/>
  <c r="CU28" i="19"/>
  <c r="EA28" i="19" s="1"/>
  <c r="EM28" i="19" s="1"/>
  <c r="CV28" i="19"/>
  <c r="EB28" i="19" s="1"/>
  <c r="EN28" i="19" s="1"/>
  <c r="CW28" i="19"/>
  <c r="CO29" i="19"/>
  <c r="CP29" i="19"/>
  <c r="CQ29" i="19"/>
  <c r="DW29" i="19" s="1"/>
  <c r="EI29" i="19" s="1"/>
  <c r="CR29" i="19"/>
  <c r="DX29" i="19" s="1"/>
  <c r="EJ29" i="19" s="1"/>
  <c r="CS29" i="19"/>
  <c r="CT29" i="19"/>
  <c r="CU29" i="19"/>
  <c r="EA29" i="19" s="1"/>
  <c r="EM29" i="19" s="1"/>
  <c r="CV29" i="19"/>
  <c r="EB29" i="19" s="1"/>
  <c r="EN29" i="19" s="1"/>
  <c r="CW29" i="19"/>
  <c r="CO30" i="19"/>
  <c r="CP30" i="19"/>
  <c r="CQ30" i="19"/>
  <c r="DW30" i="19" s="1"/>
  <c r="EI30" i="19" s="1"/>
  <c r="CR30" i="19"/>
  <c r="DX30" i="19" s="1"/>
  <c r="EJ30" i="19" s="1"/>
  <c r="CS30" i="19"/>
  <c r="CT30" i="19"/>
  <c r="CU30" i="19"/>
  <c r="EA30" i="19" s="1"/>
  <c r="EM30" i="19" s="1"/>
  <c r="CV30" i="19"/>
  <c r="EB30" i="19" s="1"/>
  <c r="EN30" i="19" s="1"/>
  <c r="CW30" i="19"/>
  <c r="CO31" i="19"/>
  <c r="CP31" i="19"/>
  <c r="CQ31" i="19"/>
  <c r="DW31" i="19" s="1"/>
  <c r="EI31" i="19" s="1"/>
  <c r="CR31" i="19"/>
  <c r="DX31" i="19" s="1"/>
  <c r="EJ31" i="19" s="1"/>
  <c r="CS31" i="19"/>
  <c r="CT31" i="19"/>
  <c r="CU31" i="19"/>
  <c r="EA31" i="19" s="1"/>
  <c r="EM31" i="19" s="1"/>
  <c r="CV31" i="19"/>
  <c r="EB31" i="19" s="1"/>
  <c r="EN31" i="19" s="1"/>
  <c r="CW31" i="19"/>
  <c r="CO32" i="19"/>
  <c r="CP32" i="19"/>
  <c r="CQ32" i="19"/>
  <c r="DW32" i="19" s="1"/>
  <c r="EI32" i="19" s="1"/>
  <c r="CR32" i="19"/>
  <c r="DX32" i="19" s="1"/>
  <c r="EJ32" i="19" s="1"/>
  <c r="CS32" i="19"/>
  <c r="CT32" i="19"/>
  <c r="CU32" i="19"/>
  <c r="EA32" i="19" s="1"/>
  <c r="EM32" i="19" s="1"/>
  <c r="CV32" i="19"/>
  <c r="EB32" i="19" s="1"/>
  <c r="EN32" i="19" s="1"/>
  <c r="CW32" i="19"/>
  <c r="CO33" i="19"/>
  <c r="CP33" i="19"/>
  <c r="CQ33" i="19"/>
  <c r="DW33" i="19" s="1"/>
  <c r="EI33" i="19" s="1"/>
  <c r="CR33" i="19"/>
  <c r="DX33" i="19" s="1"/>
  <c r="EJ33" i="19" s="1"/>
  <c r="CS33" i="19"/>
  <c r="CT33" i="19"/>
  <c r="CU33" i="19"/>
  <c r="EA33" i="19" s="1"/>
  <c r="EM33" i="19" s="1"/>
  <c r="CV33" i="19"/>
  <c r="EB33" i="19" s="1"/>
  <c r="EN33" i="19" s="1"/>
  <c r="CW33" i="19"/>
  <c r="CO34" i="19"/>
  <c r="DU34" i="19" s="1"/>
  <c r="EG34" i="19" s="1"/>
  <c r="CP34" i="19"/>
  <c r="DV34" i="19" s="1"/>
  <c r="EH34" i="19" s="1"/>
  <c r="CQ34" i="19"/>
  <c r="CR34" i="19"/>
  <c r="CS34" i="19"/>
  <c r="DY34" i="19" s="1"/>
  <c r="EK34" i="19" s="1"/>
  <c r="CT34" i="19"/>
  <c r="DZ34" i="19" s="1"/>
  <c r="EL34" i="19" s="1"/>
  <c r="CU34" i="19"/>
  <c r="CV34" i="19"/>
  <c r="CW34" i="19"/>
  <c r="EC34" i="19" s="1"/>
  <c r="EO34" i="19" s="1"/>
  <c r="CO35" i="19"/>
  <c r="DU35" i="19" s="1"/>
  <c r="EG35" i="19" s="1"/>
  <c r="CP35" i="19"/>
  <c r="DV35" i="19" s="1"/>
  <c r="EH35" i="19" s="1"/>
  <c r="CQ35" i="19"/>
  <c r="CR35" i="19"/>
  <c r="CS35" i="19"/>
  <c r="DY35" i="19" s="1"/>
  <c r="EK35" i="19" s="1"/>
  <c r="CT35" i="19"/>
  <c r="DZ35" i="19" s="1"/>
  <c r="EL35" i="19" s="1"/>
  <c r="CU35" i="19"/>
  <c r="CV35" i="19"/>
  <c r="CW35" i="19"/>
  <c r="EC35" i="19" s="1"/>
  <c r="EO35" i="19" s="1"/>
  <c r="CO36" i="19"/>
  <c r="DU36" i="19" s="1"/>
  <c r="EG36" i="19" s="1"/>
  <c r="CP36" i="19"/>
  <c r="DV36" i="19" s="1"/>
  <c r="EH36" i="19" s="1"/>
  <c r="CQ36" i="19"/>
  <c r="CR36" i="19"/>
  <c r="CS36" i="19"/>
  <c r="DY36" i="19" s="1"/>
  <c r="EK36" i="19" s="1"/>
  <c r="CT36" i="19"/>
  <c r="DZ36" i="19" s="1"/>
  <c r="EL36" i="19" s="1"/>
  <c r="CU36" i="19"/>
  <c r="CV36" i="19"/>
  <c r="CW36" i="19"/>
  <c r="EC36" i="19" s="1"/>
  <c r="EO36" i="19" s="1"/>
  <c r="CO37" i="19"/>
  <c r="DU37" i="19" s="1"/>
  <c r="EG37" i="19" s="1"/>
  <c r="CP37" i="19"/>
  <c r="DV37" i="19" s="1"/>
  <c r="EH37" i="19" s="1"/>
  <c r="CQ37" i="19"/>
  <c r="CR37" i="19"/>
  <c r="CS37" i="19"/>
  <c r="DY37" i="19" s="1"/>
  <c r="EK37" i="19" s="1"/>
  <c r="CT37" i="19"/>
  <c r="DZ37" i="19" s="1"/>
  <c r="EL37" i="19" s="1"/>
  <c r="CU37" i="19"/>
  <c r="CV37" i="19"/>
  <c r="CW37" i="19"/>
  <c r="EC37" i="19" s="1"/>
  <c r="EO37" i="19" s="1"/>
  <c r="CO38" i="19"/>
  <c r="DU38" i="19" s="1"/>
  <c r="EG38" i="19" s="1"/>
  <c r="CP38" i="19"/>
  <c r="DV38" i="19" s="1"/>
  <c r="EH38" i="19" s="1"/>
  <c r="CQ38" i="19"/>
  <c r="CR38" i="19"/>
  <c r="CS38" i="19"/>
  <c r="DY38" i="19" s="1"/>
  <c r="EK38" i="19" s="1"/>
  <c r="CT38" i="19"/>
  <c r="DZ38" i="19" s="1"/>
  <c r="EL38" i="19" s="1"/>
  <c r="CU38" i="19"/>
  <c r="CV38" i="19"/>
  <c r="CW38" i="19"/>
  <c r="EC38" i="19" s="1"/>
  <c r="EO38" i="19" s="1"/>
  <c r="CO39" i="19"/>
  <c r="DU39" i="19" s="1"/>
  <c r="EG39" i="19" s="1"/>
  <c r="CP39" i="19"/>
  <c r="DV39" i="19" s="1"/>
  <c r="EH39" i="19" s="1"/>
  <c r="CQ39" i="19"/>
  <c r="CR39" i="19"/>
  <c r="CS39" i="19"/>
  <c r="DY39" i="19" s="1"/>
  <c r="EK39" i="19" s="1"/>
  <c r="CT39" i="19"/>
  <c r="DZ39" i="19" s="1"/>
  <c r="EL39" i="19" s="1"/>
  <c r="CU39" i="19"/>
  <c r="CV39" i="19"/>
  <c r="CW39" i="19"/>
  <c r="EC39" i="19" s="1"/>
  <c r="EO39" i="19" s="1"/>
  <c r="CO40" i="19"/>
  <c r="DU40" i="19" s="1"/>
  <c r="EG40" i="19" s="1"/>
  <c r="CP40" i="19"/>
  <c r="DV40" i="19" s="1"/>
  <c r="EH40" i="19" s="1"/>
  <c r="CQ40" i="19"/>
  <c r="CR40" i="19"/>
  <c r="CS40" i="19"/>
  <c r="DY40" i="19" s="1"/>
  <c r="EK40" i="19" s="1"/>
  <c r="CT40" i="19"/>
  <c r="DZ40" i="19" s="1"/>
  <c r="EL40" i="19" s="1"/>
  <c r="CU40" i="19"/>
  <c r="CV40" i="19"/>
  <c r="CW40" i="19"/>
  <c r="EC40" i="19" s="1"/>
  <c r="EO40" i="19" s="1"/>
  <c r="CO41" i="19"/>
  <c r="DU41" i="19" s="1"/>
  <c r="EG41" i="19" s="1"/>
  <c r="CP41" i="19"/>
  <c r="DV41" i="19" s="1"/>
  <c r="EH41" i="19" s="1"/>
  <c r="CQ41" i="19"/>
  <c r="CR41" i="19"/>
  <c r="CS41" i="19"/>
  <c r="DY41" i="19" s="1"/>
  <c r="EK41" i="19" s="1"/>
  <c r="CT41" i="19"/>
  <c r="DZ41" i="19" s="1"/>
  <c r="EL41" i="19" s="1"/>
  <c r="CU41" i="19"/>
  <c r="CV41" i="19"/>
  <c r="CW41" i="19"/>
  <c r="EC41" i="19" s="1"/>
  <c r="EO41" i="19" s="1"/>
  <c r="CO42" i="19"/>
  <c r="DU42" i="19" s="1"/>
  <c r="EG42" i="19" s="1"/>
  <c r="CP42" i="19"/>
  <c r="DV42" i="19" s="1"/>
  <c r="EH42" i="19" s="1"/>
  <c r="CQ42" i="19"/>
  <c r="CR42" i="19"/>
  <c r="CS42" i="19"/>
  <c r="DY42" i="19" s="1"/>
  <c r="EK42" i="19" s="1"/>
  <c r="CT42" i="19"/>
  <c r="DZ42" i="19" s="1"/>
  <c r="EL42" i="19" s="1"/>
  <c r="CU42" i="19"/>
  <c r="CV42" i="19"/>
  <c r="CW42" i="19"/>
  <c r="EC42" i="19" s="1"/>
  <c r="EO42" i="19" s="1"/>
  <c r="CP8" i="19"/>
  <c r="CQ8" i="19"/>
  <c r="DW8" i="19" s="1"/>
  <c r="EI8" i="19" s="1"/>
  <c r="CR8" i="19"/>
  <c r="DX8" i="19" s="1"/>
  <c r="EJ8" i="19" s="1"/>
  <c r="CS8" i="19"/>
  <c r="DY8" i="19" s="1"/>
  <c r="EK8" i="19" s="1"/>
  <c r="CT8" i="19"/>
  <c r="CU8" i="19"/>
  <c r="EA8" i="19" s="1"/>
  <c r="EM8" i="19" s="1"/>
  <c r="CV8" i="19"/>
  <c r="EB8" i="19" s="1"/>
  <c r="EN8" i="19" s="1"/>
  <c r="CW8" i="19"/>
  <c r="EC8" i="19" s="1"/>
  <c r="EO8" i="19" s="1"/>
  <c r="CO8" i="19"/>
  <c r="DU8" i="19" s="1"/>
  <c r="EG8" i="19" s="1"/>
  <c r="BK9" i="8"/>
  <c r="CH9" i="8" s="1"/>
  <c r="CT9" i="8" s="1"/>
  <c r="BL9" i="8"/>
  <c r="CI9" i="8" s="1"/>
  <c r="CU9" i="8" s="1"/>
  <c r="BM9" i="8"/>
  <c r="BN9" i="8"/>
  <c r="BO9" i="8"/>
  <c r="CL9" i="8" s="1"/>
  <c r="CX9" i="8" s="1"/>
  <c r="BP9" i="8"/>
  <c r="CM9" i="8" s="1"/>
  <c r="CY9" i="8" s="1"/>
  <c r="BK10" i="8"/>
  <c r="CH10" i="8" s="1"/>
  <c r="CT10" i="8" s="1"/>
  <c r="BL10" i="8"/>
  <c r="CI10" i="8" s="1"/>
  <c r="CU10" i="8" s="1"/>
  <c r="BM10" i="8"/>
  <c r="BN10" i="8"/>
  <c r="BO10" i="8"/>
  <c r="CL10" i="8" s="1"/>
  <c r="CX10" i="8" s="1"/>
  <c r="BP10" i="8"/>
  <c r="CM10" i="8" s="1"/>
  <c r="CY10" i="8" s="1"/>
  <c r="BK11" i="8"/>
  <c r="CH11" i="8" s="1"/>
  <c r="CT11" i="8" s="1"/>
  <c r="BL11" i="8"/>
  <c r="CI11" i="8" s="1"/>
  <c r="CU11" i="8" s="1"/>
  <c r="BM11" i="8"/>
  <c r="BN11" i="8"/>
  <c r="BO11" i="8"/>
  <c r="CL11" i="8" s="1"/>
  <c r="CX11" i="8" s="1"/>
  <c r="BP11" i="8"/>
  <c r="CM11" i="8" s="1"/>
  <c r="CY11" i="8" s="1"/>
  <c r="BK12" i="8"/>
  <c r="CH12" i="8" s="1"/>
  <c r="CT12" i="8" s="1"/>
  <c r="BL12" i="8"/>
  <c r="CI12" i="8" s="1"/>
  <c r="CU12" i="8" s="1"/>
  <c r="BM12" i="8"/>
  <c r="BN12" i="8"/>
  <c r="BO12" i="8"/>
  <c r="CL12" i="8" s="1"/>
  <c r="CX12" i="8" s="1"/>
  <c r="BP12" i="8"/>
  <c r="CM12" i="8" s="1"/>
  <c r="CY12" i="8" s="1"/>
  <c r="BK13" i="8"/>
  <c r="CH13" i="8" s="1"/>
  <c r="CT13" i="8" s="1"/>
  <c r="BL13" i="8"/>
  <c r="CI13" i="8" s="1"/>
  <c r="CU13" i="8" s="1"/>
  <c r="BM13" i="8"/>
  <c r="BN13" i="8"/>
  <c r="BO13" i="8"/>
  <c r="CL13" i="8" s="1"/>
  <c r="CX13" i="8" s="1"/>
  <c r="BP13" i="8"/>
  <c r="CM13" i="8" s="1"/>
  <c r="CY13" i="8" s="1"/>
  <c r="BK14" i="8"/>
  <c r="BL14" i="8"/>
  <c r="CI14" i="8" s="1"/>
  <c r="CU14" i="8" s="1"/>
  <c r="BM14" i="8"/>
  <c r="CJ14" i="8" s="1"/>
  <c r="CV14" i="8" s="1"/>
  <c r="BN14" i="8"/>
  <c r="BO14" i="8"/>
  <c r="BP14" i="8"/>
  <c r="CM14" i="8" s="1"/>
  <c r="CY14" i="8" s="1"/>
  <c r="BK15" i="8"/>
  <c r="BL15" i="8"/>
  <c r="CI15" i="8" s="1"/>
  <c r="CU15" i="8" s="1"/>
  <c r="BM15" i="8"/>
  <c r="CJ15" i="8" s="1"/>
  <c r="CV15" i="8" s="1"/>
  <c r="BN15" i="8"/>
  <c r="BO15" i="8"/>
  <c r="CL15" i="8" s="1"/>
  <c r="CX15" i="8" s="1"/>
  <c r="BP15" i="8"/>
  <c r="CM15" i="8" s="1"/>
  <c r="CY15" i="8" s="1"/>
  <c r="BK16" i="8"/>
  <c r="CH16" i="8" s="1"/>
  <c r="CT16" i="8" s="1"/>
  <c r="BL16" i="8"/>
  <c r="CI16" i="8" s="1"/>
  <c r="CU16" i="8" s="1"/>
  <c r="BM16" i="8"/>
  <c r="BN16" i="8"/>
  <c r="BO16" i="8"/>
  <c r="CL16" i="8" s="1"/>
  <c r="CX16" i="8" s="1"/>
  <c r="BP16" i="8"/>
  <c r="CM16" i="8" s="1"/>
  <c r="CY16" i="8" s="1"/>
  <c r="BK17" i="8"/>
  <c r="CH17" i="8" s="1"/>
  <c r="CT17" i="8" s="1"/>
  <c r="BL17" i="8"/>
  <c r="CI17" i="8" s="1"/>
  <c r="CU17" i="8" s="1"/>
  <c r="BM17" i="8"/>
  <c r="CJ17" i="8" s="1"/>
  <c r="CV17" i="8" s="1"/>
  <c r="BN17" i="8"/>
  <c r="BO17" i="8"/>
  <c r="CL17" i="8" s="1"/>
  <c r="CX17" i="8" s="1"/>
  <c r="BP17" i="8"/>
  <c r="CM17" i="8" s="1"/>
  <c r="CY17" i="8" s="1"/>
  <c r="BK18" i="8"/>
  <c r="BL18" i="8"/>
  <c r="CI18" i="8" s="1"/>
  <c r="CU18" i="8" s="1"/>
  <c r="BM18" i="8"/>
  <c r="CJ18" i="8" s="1"/>
  <c r="CV18" i="8" s="1"/>
  <c r="BN18" i="8"/>
  <c r="BO18" i="8"/>
  <c r="BP18" i="8"/>
  <c r="CM18" i="8" s="1"/>
  <c r="CY18" i="8" s="1"/>
  <c r="BK19" i="8"/>
  <c r="CH19" i="8" s="1"/>
  <c r="CT19" i="8" s="1"/>
  <c r="BL19" i="8"/>
  <c r="CI19" i="8" s="1"/>
  <c r="CU19" i="8" s="1"/>
  <c r="BM19" i="8"/>
  <c r="BN19" i="8"/>
  <c r="BO19" i="8"/>
  <c r="CL19" i="8" s="1"/>
  <c r="CX19" i="8" s="1"/>
  <c r="BP19" i="8"/>
  <c r="CM19" i="8" s="1"/>
  <c r="CY19" i="8" s="1"/>
  <c r="BK20" i="8"/>
  <c r="CH20" i="8" s="1"/>
  <c r="CT20" i="8" s="1"/>
  <c r="BL20" i="8"/>
  <c r="CI20" i="8" s="1"/>
  <c r="CU20" i="8" s="1"/>
  <c r="BM20" i="8"/>
  <c r="BN20" i="8"/>
  <c r="BO20" i="8"/>
  <c r="CL20" i="8" s="1"/>
  <c r="CX20" i="8" s="1"/>
  <c r="BP20" i="8"/>
  <c r="CM20" i="8" s="1"/>
  <c r="CY20" i="8" s="1"/>
  <c r="BK21" i="8"/>
  <c r="CH21" i="8" s="1"/>
  <c r="CT21" i="8" s="1"/>
  <c r="BL21" i="8"/>
  <c r="CI21" i="8" s="1"/>
  <c r="CU21" i="8" s="1"/>
  <c r="BM21" i="8"/>
  <c r="BN21" i="8"/>
  <c r="BO21" i="8"/>
  <c r="CL21" i="8" s="1"/>
  <c r="CX21" i="8" s="1"/>
  <c r="BP21" i="8"/>
  <c r="CM21" i="8" s="1"/>
  <c r="CY21" i="8" s="1"/>
  <c r="BK22" i="8"/>
  <c r="CH22" i="8" s="1"/>
  <c r="CT22" i="8" s="1"/>
  <c r="BL22" i="8"/>
  <c r="CI22" i="8" s="1"/>
  <c r="CU22" i="8" s="1"/>
  <c r="BM22" i="8"/>
  <c r="BN22" i="8"/>
  <c r="BO22" i="8"/>
  <c r="CL22" i="8" s="1"/>
  <c r="CX22" i="8" s="1"/>
  <c r="BP22" i="8"/>
  <c r="CM22" i="8" s="1"/>
  <c r="CY22" i="8" s="1"/>
  <c r="BK23" i="8"/>
  <c r="CH23" i="8" s="1"/>
  <c r="CT23" i="8" s="1"/>
  <c r="BL23" i="8"/>
  <c r="CI23" i="8" s="1"/>
  <c r="CU23" i="8" s="1"/>
  <c r="BM23" i="8"/>
  <c r="BN23" i="8"/>
  <c r="BO23" i="8"/>
  <c r="CL23" i="8" s="1"/>
  <c r="CX23" i="8" s="1"/>
  <c r="BP23" i="8"/>
  <c r="CM23" i="8" s="1"/>
  <c r="CY23" i="8" s="1"/>
  <c r="BK24" i="8"/>
  <c r="BL24" i="8"/>
  <c r="CI24" i="8" s="1"/>
  <c r="CU24" i="8" s="1"/>
  <c r="BM24" i="8"/>
  <c r="BN24" i="8"/>
  <c r="BO24" i="8"/>
  <c r="CL24" i="8" s="1"/>
  <c r="CX24" i="8" s="1"/>
  <c r="BP24" i="8"/>
  <c r="CM24" i="8" s="1"/>
  <c r="CY24" i="8" s="1"/>
  <c r="BK25" i="8"/>
  <c r="CH25" i="8" s="1"/>
  <c r="CT25" i="8" s="1"/>
  <c r="BL25" i="8"/>
  <c r="CI25" i="8" s="1"/>
  <c r="CU25" i="8" s="1"/>
  <c r="BM25" i="8"/>
  <c r="BN25" i="8"/>
  <c r="BO25" i="8"/>
  <c r="CL25" i="8" s="1"/>
  <c r="CX25" i="8" s="1"/>
  <c r="BP25" i="8"/>
  <c r="CM25" i="8" s="1"/>
  <c r="CY25" i="8" s="1"/>
  <c r="BK26" i="8"/>
  <c r="CH26" i="8" s="1"/>
  <c r="CT26" i="8" s="1"/>
  <c r="BL26" i="8"/>
  <c r="CI26" i="8" s="1"/>
  <c r="CU26" i="8" s="1"/>
  <c r="BM26" i="8"/>
  <c r="CJ26" i="8" s="1"/>
  <c r="CV26" i="8" s="1"/>
  <c r="BN26" i="8"/>
  <c r="BO26" i="8"/>
  <c r="BP26" i="8"/>
  <c r="CM26" i="8" s="1"/>
  <c r="CY26" i="8" s="1"/>
  <c r="BK27" i="8"/>
  <c r="BL27" i="8"/>
  <c r="CI27" i="8" s="1"/>
  <c r="CU27" i="8" s="1"/>
  <c r="BM27" i="8"/>
  <c r="CJ27" i="8" s="1"/>
  <c r="CV27" i="8" s="1"/>
  <c r="BN27" i="8"/>
  <c r="BO27" i="8"/>
  <c r="BP27" i="8"/>
  <c r="CM27" i="8" s="1"/>
  <c r="CY27" i="8" s="1"/>
  <c r="BK28" i="8"/>
  <c r="BL28" i="8"/>
  <c r="CI28" i="8" s="1"/>
  <c r="CU28" i="8" s="1"/>
  <c r="BM28" i="8"/>
  <c r="CJ28" i="8" s="1"/>
  <c r="CV28" i="8" s="1"/>
  <c r="BN28" i="8"/>
  <c r="BO28" i="8"/>
  <c r="BP28" i="8"/>
  <c r="CM28" i="8" s="1"/>
  <c r="CY28" i="8" s="1"/>
  <c r="BK29" i="8"/>
  <c r="BL29" i="8"/>
  <c r="CI29" i="8" s="1"/>
  <c r="CU29" i="8" s="1"/>
  <c r="BM29" i="8"/>
  <c r="CJ29" i="8" s="1"/>
  <c r="CV29" i="8" s="1"/>
  <c r="BN29" i="8"/>
  <c r="BO29" i="8"/>
  <c r="BP29" i="8"/>
  <c r="CM29" i="8" s="1"/>
  <c r="CY29" i="8" s="1"/>
  <c r="BK30" i="8"/>
  <c r="BL30" i="8"/>
  <c r="BM30" i="8"/>
  <c r="CJ30" i="8" s="1"/>
  <c r="CV30" i="8" s="1"/>
  <c r="BN30" i="8"/>
  <c r="BO30" i="8"/>
  <c r="BP30" i="8"/>
  <c r="BK31" i="8"/>
  <c r="BL31" i="8"/>
  <c r="BM31" i="8"/>
  <c r="CJ31" i="8" s="1"/>
  <c r="CV31" i="8" s="1"/>
  <c r="BN31" i="8"/>
  <c r="BO31" i="8"/>
  <c r="BP31" i="8"/>
  <c r="BK32" i="8"/>
  <c r="CH32" i="8" s="1"/>
  <c r="CT32" i="8" s="1"/>
  <c r="BL32" i="8"/>
  <c r="CI32" i="8" s="1"/>
  <c r="CU32" i="8" s="1"/>
  <c r="BM32" i="8"/>
  <c r="BN32" i="8"/>
  <c r="BO32" i="8"/>
  <c r="CL32" i="8" s="1"/>
  <c r="CX32" i="8" s="1"/>
  <c r="BP32" i="8"/>
  <c r="CM32" i="8" s="1"/>
  <c r="CY32" i="8" s="1"/>
  <c r="BK33" i="8"/>
  <c r="CH33" i="8" s="1"/>
  <c r="CT33" i="8" s="1"/>
  <c r="BL33" i="8"/>
  <c r="CI33" i="8" s="1"/>
  <c r="CU33" i="8" s="1"/>
  <c r="BM33" i="8"/>
  <c r="BN33" i="8"/>
  <c r="BO33" i="8"/>
  <c r="CL33" i="8" s="1"/>
  <c r="CX33" i="8" s="1"/>
  <c r="BP33" i="8"/>
  <c r="CM33" i="8" s="1"/>
  <c r="CY33" i="8" s="1"/>
  <c r="BK34" i="8"/>
  <c r="CH34" i="8" s="1"/>
  <c r="CT34" i="8" s="1"/>
  <c r="BL34" i="8"/>
  <c r="CI34" i="8" s="1"/>
  <c r="CU34" i="8" s="1"/>
  <c r="BM34" i="8"/>
  <c r="BN34" i="8"/>
  <c r="BO34" i="8"/>
  <c r="CL34" i="8" s="1"/>
  <c r="CX34" i="8" s="1"/>
  <c r="BP34" i="8"/>
  <c r="CM34" i="8" s="1"/>
  <c r="CY34" i="8" s="1"/>
  <c r="BK35" i="8"/>
  <c r="CH35" i="8" s="1"/>
  <c r="CT35" i="8" s="1"/>
  <c r="BL35" i="8"/>
  <c r="CI35" i="8" s="1"/>
  <c r="CU35" i="8" s="1"/>
  <c r="BM35" i="8"/>
  <c r="BN35" i="8"/>
  <c r="BO35" i="8"/>
  <c r="CL35" i="8" s="1"/>
  <c r="CX35" i="8" s="1"/>
  <c r="BP35" i="8"/>
  <c r="CM35" i="8" s="1"/>
  <c r="CY35" i="8" s="1"/>
  <c r="BK36" i="8"/>
  <c r="CH36" i="8" s="1"/>
  <c r="CT36" i="8" s="1"/>
  <c r="BL36" i="8"/>
  <c r="CI36" i="8" s="1"/>
  <c r="CU36" i="8" s="1"/>
  <c r="BM36" i="8"/>
  <c r="BN36" i="8"/>
  <c r="BO36" i="8"/>
  <c r="CL36" i="8" s="1"/>
  <c r="CX36" i="8" s="1"/>
  <c r="BP36" i="8"/>
  <c r="CM36" i="8" s="1"/>
  <c r="CY36" i="8" s="1"/>
  <c r="BK37" i="8"/>
  <c r="CH37" i="8" s="1"/>
  <c r="CT37" i="8" s="1"/>
  <c r="BL37" i="8"/>
  <c r="CI37" i="8" s="1"/>
  <c r="CU37" i="8" s="1"/>
  <c r="BM37" i="8"/>
  <c r="BN37" i="8"/>
  <c r="BO37" i="8"/>
  <c r="CL37" i="8" s="1"/>
  <c r="CX37" i="8" s="1"/>
  <c r="BP37" i="8"/>
  <c r="CM37" i="8" s="1"/>
  <c r="CY37" i="8" s="1"/>
  <c r="BK38" i="8"/>
  <c r="CH38" i="8" s="1"/>
  <c r="CT38" i="8" s="1"/>
  <c r="BL38" i="8"/>
  <c r="CI38" i="8" s="1"/>
  <c r="CU38" i="8" s="1"/>
  <c r="BM38" i="8"/>
  <c r="BN38" i="8"/>
  <c r="BO38" i="8"/>
  <c r="CL38" i="8" s="1"/>
  <c r="CX38" i="8" s="1"/>
  <c r="BP38" i="8"/>
  <c r="CM38" i="8" s="1"/>
  <c r="CY38" i="8" s="1"/>
  <c r="BK39" i="8"/>
  <c r="CH39" i="8" s="1"/>
  <c r="CT39" i="8" s="1"/>
  <c r="BL39" i="8"/>
  <c r="CI39" i="8" s="1"/>
  <c r="CU39" i="8" s="1"/>
  <c r="BM39" i="8"/>
  <c r="BN39" i="8"/>
  <c r="BO39" i="8"/>
  <c r="CL39" i="8" s="1"/>
  <c r="CX39" i="8" s="1"/>
  <c r="BP39" i="8"/>
  <c r="CM39" i="8" s="1"/>
  <c r="CY39" i="8" s="1"/>
  <c r="BK40" i="8"/>
  <c r="CH40" i="8" s="1"/>
  <c r="CT40" i="8" s="1"/>
  <c r="BL40" i="8"/>
  <c r="CI40" i="8" s="1"/>
  <c r="CU40" i="8" s="1"/>
  <c r="BM40" i="8"/>
  <c r="BN40" i="8"/>
  <c r="BO40" i="8"/>
  <c r="CL40" i="8" s="1"/>
  <c r="CX40" i="8" s="1"/>
  <c r="BP40" i="8"/>
  <c r="CM40" i="8" s="1"/>
  <c r="CY40" i="8" s="1"/>
  <c r="BK41" i="8"/>
  <c r="CH41" i="8" s="1"/>
  <c r="CT41" i="8" s="1"/>
  <c r="BL41" i="8"/>
  <c r="CI41" i="8" s="1"/>
  <c r="CU41" i="8" s="1"/>
  <c r="BM41" i="8"/>
  <c r="BN41" i="8"/>
  <c r="BO41" i="8"/>
  <c r="CL41" i="8" s="1"/>
  <c r="CX41" i="8" s="1"/>
  <c r="BP41" i="8"/>
  <c r="CM41" i="8" s="1"/>
  <c r="CY41" i="8" s="1"/>
  <c r="BK42" i="8"/>
  <c r="CH42" i="8" s="1"/>
  <c r="CT42" i="8" s="1"/>
  <c r="BL42" i="8"/>
  <c r="CI42" i="8" s="1"/>
  <c r="CU42" i="8" s="1"/>
  <c r="BM42" i="8"/>
  <c r="BN42" i="8"/>
  <c r="BO42" i="8"/>
  <c r="CL42" i="8" s="1"/>
  <c r="CX42" i="8" s="1"/>
  <c r="BP42" i="8"/>
  <c r="CM42" i="8" s="1"/>
  <c r="CY42" i="8" s="1"/>
  <c r="BL8" i="8"/>
  <c r="BM8" i="8"/>
  <c r="BN8" i="8"/>
  <c r="BO8" i="8"/>
  <c r="CL8" i="8" s="1"/>
  <c r="CX8" i="8" s="1"/>
  <c r="BP8" i="8"/>
  <c r="BK8" i="8"/>
  <c r="C74" i="37"/>
  <c r="C73" i="37"/>
  <c r="C72" i="37"/>
  <c r="H74" i="37"/>
  <c r="H73" i="37"/>
  <c r="H72" i="37"/>
  <c r="G95" i="37"/>
  <c r="J87" i="37"/>
  <c r="H68" i="37"/>
  <c r="H67" i="37"/>
  <c r="H66" i="37"/>
  <c r="H65" i="37"/>
  <c r="I61" i="37"/>
  <c r="K61" i="37"/>
  <c r="K60" i="37"/>
  <c r="I60" i="37"/>
  <c r="AF11" i="38"/>
  <c r="AF12" i="38"/>
  <c r="AF13" i="38"/>
  <c r="AF14" i="38"/>
  <c r="AF15" i="38"/>
  <c r="AF16" i="38"/>
  <c r="AF17" i="38"/>
  <c r="AF18" i="38"/>
  <c r="AF19" i="38"/>
  <c r="AF20" i="38"/>
  <c r="AF21" i="38"/>
  <c r="AF22" i="38"/>
  <c r="AF23" i="38"/>
  <c r="AF24" i="38"/>
  <c r="AF25" i="38"/>
  <c r="AF26" i="38"/>
  <c r="AF27" i="38"/>
  <c r="AF28" i="38"/>
  <c r="AF29" i="38"/>
  <c r="AF30" i="38"/>
  <c r="AF31" i="38"/>
  <c r="AF32" i="38"/>
  <c r="AF33" i="38"/>
  <c r="AF34" i="38"/>
  <c r="AF35" i="38"/>
  <c r="AF36" i="38"/>
  <c r="AF37" i="38"/>
  <c r="AF38" i="38"/>
  <c r="AF39" i="38"/>
  <c r="AF40" i="38"/>
  <c r="AF41" i="38"/>
  <c r="AF42" i="38"/>
  <c r="AF43" i="38"/>
  <c r="AF44" i="38"/>
  <c r="AF45" i="38"/>
  <c r="AF46" i="38"/>
  <c r="AF47" i="38"/>
  <c r="AF48" i="38"/>
  <c r="AF49" i="38"/>
  <c r="AF10" i="38"/>
  <c r="F36" i="37" s="1"/>
  <c r="D49" i="38"/>
  <c r="C49" i="38"/>
  <c r="B49" i="38"/>
  <c r="D48" i="38"/>
  <c r="C48" i="38"/>
  <c r="B48" i="38"/>
  <c r="D47" i="38"/>
  <c r="C47" i="38"/>
  <c r="B47" i="38"/>
  <c r="D46" i="38"/>
  <c r="C46" i="38"/>
  <c r="B46" i="38"/>
  <c r="D45" i="38"/>
  <c r="C45" i="38"/>
  <c r="B45" i="38"/>
  <c r="D44" i="38"/>
  <c r="C44" i="38"/>
  <c r="B44" i="38"/>
  <c r="D43" i="38"/>
  <c r="C43" i="38"/>
  <c r="B43" i="38"/>
  <c r="D42" i="38"/>
  <c r="C42" i="38"/>
  <c r="B42" i="38"/>
  <c r="D41" i="38"/>
  <c r="C41" i="38"/>
  <c r="B41" i="38"/>
  <c r="D40" i="38"/>
  <c r="C40" i="38"/>
  <c r="B40" i="38"/>
  <c r="D39" i="38"/>
  <c r="C39" i="38"/>
  <c r="B39" i="38"/>
  <c r="D38" i="38"/>
  <c r="C38" i="38"/>
  <c r="B38" i="38"/>
  <c r="D37" i="38"/>
  <c r="C37" i="38"/>
  <c r="B37" i="38"/>
  <c r="D36" i="38"/>
  <c r="C36" i="38"/>
  <c r="B36" i="38"/>
  <c r="D35" i="38"/>
  <c r="C35" i="38"/>
  <c r="B35" i="38"/>
  <c r="D34" i="38"/>
  <c r="C34" i="38"/>
  <c r="B34" i="38"/>
  <c r="D33" i="38"/>
  <c r="C33" i="38"/>
  <c r="B33" i="38"/>
  <c r="D32" i="38"/>
  <c r="C32" i="38"/>
  <c r="B32" i="38"/>
  <c r="D31" i="38"/>
  <c r="C31" i="38"/>
  <c r="B31" i="38"/>
  <c r="D30" i="38"/>
  <c r="C30" i="38"/>
  <c r="B30" i="38"/>
  <c r="D29" i="38"/>
  <c r="C29" i="38"/>
  <c r="B29" i="38"/>
  <c r="D28" i="38"/>
  <c r="C28" i="38"/>
  <c r="B28" i="38"/>
  <c r="D27" i="38"/>
  <c r="C27" i="38"/>
  <c r="B27" i="38"/>
  <c r="D26" i="38"/>
  <c r="C26" i="38"/>
  <c r="B26" i="38"/>
  <c r="D25" i="38"/>
  <c r="C25" i="38"/>
  <c r="B25" i="38"/>
  <c r="D24" i="38"/>
  <c r="C24" i="38"/>
  <c r="B24" i="38"/>
  <c r="D23" i="38"/>
  <c r="C23" i="38"/>
  <c r="B23" i="38"/>
  <c r="D22" i="38"/>
  <c r="C22" i="38"/>
  <c r="B22" i="38"/>
  <c r="D21" i="38"/>
  <c r="C21" i="38"/>
  <c r="B21" i="38"/>
  <c r="D20" i="38"/>
  <c r="C20" i="38"/>
  <c r="B20" i="38"/>
  <c r="D19" i="38"/>
  <c r="C19" i="38"/>
  <c r="B19" i="38"/>
  <c r="D18" i="38"/>
  <c r="C18" i="38"/>
  <c r="B18" i="38"/>
  <c r="D17" i="38"/>
  <c r="C17" i="38"/>
  <c r="B17" i="38"/>
  <c r="D16" i="38"/>
  <c r="C16" i="38"/>
  <c r="B16" i="38"/>
  <c r="D15" i="38"/>
  <c r="C15" i="38"/>
  <c r="B15" i="38"/>
  <c r="D14" i="38"/>
  <c r="C14" i="38"/>
  <c r="B14" i="38"/>
  <c r="D13" i="38"/>
  <c r="C13" i="38"/>
  <c r="B13" i="38"/>
  <c r="D12" i="38"/>
  <c r="C12" i="38"/>
  <c r="B12" i="38"/>
  <c r="D11" i="38"/>
  <c r="C11" i="38"/>
  <c r="B11" i="38"/>
  <c r="D10" i="38"/>
  <c r="C10" i="38"/>
  <c r="B10" i="38"/>
  <c r="M4" i="37"/>
  <c r="M5" i="37"/>
  <c r="M3" i="37"/>
  <c r="E6" i="37"/>
  <c r="E5" i="37"/>
  <c r="E3" i="37"/>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C3" i="34"/>
  <c r="C1" i="31"/>
  <c r="C1" i="32"/>
  <c r="L3" i="22"/>
  <c r="B45" i="26"/>
  <c r="GC6" i="26" s="1"/>
  <c r="B46" i="26"/>
  <c r="GD6" i="26" s="1"/>
  <c r="GT6" i="26" s="1"/>
  <c r="B47" i="26"/>
  <c r="GE6" i="26" s="1"/>
  <c r="B48" i="26"/>
  <c r="GF6" i="26" s="1"/>
  <c r="B49" i="26"/>
  <c r="GG6" i="26" s="1"/>
  <c r="B50" i="26"/>
  <c r="GH6" i="26" s="1"/>
  <c r="GX6" i="26" s="1"/>
  <c r="B51" i="26"/>
  <c r="GI6" i="26" s="1"/>
  <c r="GY6" i="26" s="1"/>
  <c r="B52" i="26"/>
  <c r="GJ6" i="26" s="1"/>
  <c r="GZ6" i="26" s="1"/>
  <c r="B53" i="26"/>
  <c r="GK6" i="26" s="1"/>
  <c r="HA6" i="26" s="1"/>
  <c r="B54" i="26"/>
  <c r="GL6" i="26" s="1"/>
  <c r="B55" i="26"/>
  <c r="B50" i="20"/>
  <c r="B51" i="20"/>
  <c r="B52" i="20"/>
  <c r="B53" i="20"/>
  <c r="B45" i="19"/>
  <c r="EV6" i="19" s="1"/>
  <c r="FK6" i="19" s="1"/>
  <c r="B46" i="19"/>
  <c r="EW6" i="19" s="1"/>
  <c r="FL6" i="19" s="1"/>
  <c r="B47" i="19"/>
  <c r="EX6" i="19" s="1"/>
  <c r="FM6" i="19" s="1"/>
  <c r="B48" i="19"/>
  <c r="EY6" i="19" s="1"/>
  <c r="FN6" i="19" s="1"/>
  <c r="B49" i="19"/>
  <c r="EZ6" i="19" s="1"/>
  <c r="FO6" i="19" s="1"/>
  <c r="B50" i="19"/>
  <c r="FA6" i="19" s="1"/>
  <c r="FP6" i="19" s="1"/>
  <c r="B51" i="19"/>
  <c r="FB6" i="19" s="1"/>
  <c r="FQ6" i="19" s="1"/>
  <c r="A49" i="19"/>
  <c r="A50" i="19"/>
  <c r="A51" i="19"/>
  <c r="B45" i="8"/>
  <c r="DI6" i="8" s="1"/>
  <c r="DX6" i="8" s="1"/>
  <c r="B46" i="8"/>
  <c r="DJ6" i="8" s="1"/>
  <c r="DY6" i="8" s="1"/>
  <c r="B47" i="8"/>
  <c r="DK6" i="8" s="1"/>
  <c r="DZ6" i="8" s="1"/>
  <c r="B48" i="8"/>
  <c r="DL6" i="8" s="1"/>
  <c r="EA6" i="8" s="1"/>
  <c r="B49" i="8"/>
  <c r="DM6" i="8" s="1"/>
  <c r="EB6" i="8" s="1"/>
  <c r="B50" i="8"/>
  <c r="DN6" i="8" s="1"/>
  <c r="EC6" i="8" s="1"/>
  <c r="B51" i="8"/>
  <c r="DO6" i="8" s="1"/>
  <c r="ED6" i="8" s="1"/>
  <c r="A51" i="8"/>
  <c r="CZ6" i="8" s="1"/>
  <c r="A49" i="8"/>
  <c r="A50" i="8"/>
  <c r="B45" i="36"/>
  <c r="GZ6" i="36" s="1"/>
  <c r="B46" i="36"/>
  <c r="HA6" i="36" s="1"/>
  <c r="B47" i="36"/>
  <c r="HB6" i="36" s="1"/>
  <c r="B48" i="36"/>
  <c r="HC6" i="36" s="1"/>
  <c r="HR6" i="36" s="1"/>
  <c r="B49" i="36"/>
  <c r="HD6" i="36" s="1"/>
  <c r="HS6" i="36" s="1"/>
  <c r="B50" i="36"/>
  <c r="HE6" i="36" s="1"/>
  <c r="HT6" i="36" s="1"/>
  <c r="B51" i="36"/>
  <c r="HF6" i="36" s="1"/>
  <c r="HU6" i="36" s="1"/>
  <c r="A46" i="36"/>
  <c r="D7" i="36" s="1"/>
  <c r="K7" i="36" s="1"/>
  <c r="R7" i="36" s="1"/>
  <c r="Y7" i="36" s="1"/>
  <c r="AF7" i="36" s="1"/>
  <c r="AM7" i="36" s="1"/>
  <c r="AT7" i="36" s="1"/>
  <c r="BA7" i="36" s="1"/>
  <c r="BH7" i="36" s="1"/>
  <c r="BO7" i="36" s="1"/>
  <c r="BV7" i="36" s="1"/>
  <c r="CC7" i="36" s="1"/>
  <c r="DE7" i="36" s="1"/>
  <c r="A47" i="36"/>
  <c r="E7" i="36" s="1"/>
  <c r="L7" i="36" s="1"/>
  <c r="S7" i="36" s="1"/>
  <c r="Z7" i="36" s="1"/>
  <c r="AG7" i="36" s="1"/>
  <c r="AN7" i="36" s="1"/>
  <c r="AU7" i="36" s="1"/>
  <c r="BB7" i="36" s="1"/>
  <c r="BI7" i="36" s="1"/>
  <c r="BP7" i="36" s="1"/>
  <c r="BW7" i="36" s="1"/>
  <c r="CD7" i="36" s="1"/>
  <c r="DF7" i="36" s="1"/>
  <c r="A48" i="36"/>
  <c r="F7" i="36" s="1"/>
  <c r="M7" i="36" s="1"/>
  <c r="T7" i="36" s="1"/>
  <c r="AA7" i="36" s="1"/>
  <c r="AH7" i="36" s="1"/>
  <c r="AO7" i="36" s="1"/>
  <c r="AV7" i="36" s="1"/>
  <c r="BC7" i="36" s="1"/>
  <c r="BJ7" i="36" s="1"/>
  <c r="BQ7" i="36" s="1"/>
  <c r="BX7" i="36" s="1"/>
  <c r="CE7" i="36" s="1"/>
  <c r="DG7" i="36" s="1"/>
  <c r="A49" i="36"/>
  <c r="G7" i="36" s="1"/>
  <c r="N7" i="36" s="1"/>
  <c r="U7" i="36" s="1"/>
  <c r="AB7" i="36" s="1"/>
  <c r="AI7" i="36" s="1"/>
  <c r="AP7" i="36" s="1"/>
  <c r="AW7" i="36" s="1"/>
  <c r="BD7" i="36" s="1"/>
  <c r="BK7" i="36" s="1"/>
  <c r="BR7" i="36" s="1"/>
  <c r="BY7" i="36" s="1"/>
  <c r="CF7" i="36" s="1"/>
  <c r="DH7" i="36" s="1"/>
  <c r="A50" i="36"/>
  <c r="H7" i="36" s="1"/>
  <c r="O7" i="36" s="1"/>
  <c r="V7" i="36" s="1"/>
  <c r="AC7" i="36" s="1"/>
  <c r="AJ7" i="36" s="1"/>
  <c r="AQ7" i="36" s="1"/>
  <c r="AX7" i="36" s="1"/>
  <c r="BE7" i="36" s="1"/>
  <c r="BL7" i="36" s="1"/>
  <c r="BS7" i="36" s="1"/>
  <c r="BZ7" i="36" s="1"/>
  <c r="CG7" i="36" s="1"/>
  <c r="DI7" i="36" s="1"/>
  <c r="A51" i="36"/>
  <c r="I7" i="36" s="1"/>
  <c r="P7" i="36" s="1"/>
  <c r="W7" i="36" s="1"/>
  <c r="AD7" i="36" s="1"/>
  <c r="AK7" i="36" s="1"/>
  <c r="AR7" i="36" s="1"/>
  <c r="AY7" i="36" s="1"/>
  <c r="BF7" i="36" s="1"/>
  <c r="BM7" i="36" s="1"/>
  <c r="BT7" i="36" s="1"/>
  <c r="CA7" i="36" s="1"/>
  <c r="CH7" i="36" s="1"/>
  <c r="DJ7" i="36" s="1"/>
  <c r="A45" i="36"/>
  <c r="C7" i="36" s="1"/>
  <c r="J7" i="36" s="1"/>
  <c r="Q7" i="36" s="1"/>
  <c r="X7" i="36" s="1"/>
  <c r="AE7" i="36" s="1"/>
  <c r="AL7" i="36" s="1"/>
  <c r="AS7" i="36" s="1"/>
  <c r="AZ7" i="36" s="1"/>
  <c r="BG7" i="36" s="1"/>
  <c r="BN7" i="36" s="1"/>
  <c r="BU7" i="36" s="1"/>
  <c r="CB7" i="36" s="1"/>
  <c r="DD7" i="36" s="1"/>
  <c r="B44" i="36"/>
  <c r="B42" i="36"/>
  <c r="B41" i="36"/>
  <c r="B40" i="36"/>
  <c r="B39" i="36"/>
  <c r="B38" i="36"/>
  <c r="B37" i="36"/>
  <c r="B36" i="36"/>
  <c r="B35" i="36"/>
  <c r="B34" i="36"/>
  <c r="B33" i="36"/>
  <c r="B32" i="36"/>
  <c r="B31" i="36"/>
  <c r="B30" i="36"/>
  <c r="B29" i="36"/>
  <c r="B28" i="36"/>
  <c r="B27" i="36"/>
  <c r="B26" i="36"/>
  <c r="B25" i="36"/>
  <c r="B24" i="36"/>
  <c r="B23" i="36"/>
  <c r="B22" i="36"/>
  <c r="B21" i="36"/>
  <c r="B20" i="36"/>
  <c r="B19" i="36"/>
  <c r="B18" i="36"/>
  <c r="B17" i="36"/>
  <c r="B16" i="36"/>
  <c r="B15" i="36"/>
  <c r="B14" i="36"/>
  <c r="B13" i="36"/>
  <c r="B12" i="36"/>
  <c r="B11" i="36"/>
  <c r="B10" i="36"/>
  <c r="B9" i="36"/>
  <c r="B8" i="36"/>
  <c r="C3" i="36"/>
  <c r="B45" i="34"/>
  <c r="IT6" i="34" s="1"/>
  <c r="B46" i="34"/>
  <c r="IU6" i="34" s="1"/>
  <c r="B47" i="34"/>
  <c r="IV6" i="34" s="1"/>
  <c r="B48" i="34"/>
  <c r="IW6" i="34" s="1"/>
  <c r="B49" i="34"/>
  <c r="IX6" i="34" s="1"/>
  <c r="JM6" i="34" s="1"/>
  <c r="B50" i="34"/>
  <c r="IY6" i="34" s="1"/>
  <c r="JN6" i="34" s="1"/>
  <c r="B51" i="34"/>
  <c r="IZ6" i="34" s="1"/>
  <c r="JO6" i="34" s="1"/>
  <c r="B52" i="34"/>
  <c r="JA6" i="34" s="1"/>
  <c r="JP6" i="34" s="1"/>
  <c r="A52" i="34"/>
  <c r="J7" i="34" s="1"/>
  <c r="S7" i="34" s="1"/>
  <c r="AB7" i="34" s="1"/>
  <c r="AK7" i="34" s="1"/>
  <c r="AT7" i="34" s="1"/>
  <c r="BC7" i="34" s="1"/>
  <c r="BL7" i="34" s="1"/>
  <c r="BU7" i="34" s="1"/>
  <c r="CD7" i="34" s="1"/>
  <c r="CM7" i="34" s="1"/>
  <c r="CV7" i="34" s="1"/>
  <c r="DE7" i="34" s="1"/>
  <c r="A46" i="34"/>
  <c r="D7" i="34" s="1"/>
  <c r="M7" i="34" s="1"/>
  <c r="V7" i="34" s="1"/>
  <c r="AE7" i="34" s="1"/>
  <c r="AN7" i="34" s="1"/>
  <c r="AW7" i="34" s="1"/>
  <c r="BF7" i="34" s="1"/>
  <c r="BO7" i="34" s="1"/>
  <c r="BX7" i="34" s="1"/>
  <c r="CG7" i="34" s="1"/>
  <c r="CP7" i="34" s="1"/>
  <c r="CY7" i="34" s="1"/>
  <c r="DH7" i="34" s="1"/>
  <c r="DQ7" i="34" s="1"/>
  <c r="DZ7" i="34" s="1"/>
  <c r="A47" i="34"/>
  <c r="E7" i="34" s="1"/>
  <c r="N7" i="34" s="1"/>
  <c r="W7" i="34" s="1"/>
  <c r="AF7" i="34" s="1"/>
  <c r="AO7" i="34" s="1"/>
  <c r="AX7" i="34" s="1"/>
  <c r="BG7" i="34" s="1"/>
  <c r="BP7" i="34" s="1"/>
  <c r="BY7" i="34" s="1"/>
  <c r="CH7" i="34" s="1"/>
  <c r="CQ7" i="34" s="1"/>
  <c r="CZ7" i="34" s="1"/>
  <c r="DI7" i="34" s="1"/>
  <c r="DR7" i="34" s="1"/>
  <c r="EA7" i="34" s="1"/>
  <c r="A48" i="34"/>
  <c r="F7" i="34" s="1"/>
  <c r="O7" i="34" s="1"/>
  <c r="X7" i="34" s="1"/>
  <c r="AG7" i="34" s="1"/>
  <c r="AP7" i="34" s="1"/>
  <c r="AY7" i="34" s="1"/>
  <c r="BH7" i="34" s="1"/>
  <c r="BQ7" i="34" s="1"/>
  <c r="BZ7" i="34" s="1"/>
  <c r="CI7" i="34" s="1"/>
  <c r="CR7" i="34" s="1"/>
  <c r="DA7" i="34" s="1"/>
  <c r="DJ7" i="34" s="1"/>
  <c r="DS7" i="34" s="1"/>
  <c r="EB7" i="34" s="1"/>
  <c r="A49" i="34"/>
  <c r="G7" i="34" s="1"/>
  <c r="P7" i="34" s="1"/>
  <c r="Y7" i="34" s="1"/>
  <c r="AH7" i="34" s="1"/>
  <c r="AQ7" i="34" s="1"/>
  <c r="AZ7" i="34" s="1"/>
  <c r="BI7" i="34" s="1"/>
  <c r="BR7" i="34" s="1"/>
  <c r="CA7" i="34" s="1"/>
  <c r="CJ7" i="34" s="1"/>
  <c r="CS7" i="34" s="1"/>
  <c r="DB7" i="34" s="1"/>
  <c r="DK7" i="34" s="1"/>
  <c r="DT7" i="34" s="1"/>
  <c r="EC7" i="34" s="1"/>
  <c r="A50" i="34"/>
  <c r="H7" i="34" s="1"/>
  <c r="Q7" i="34" s="1"/>
  <c r="Z7" i="34" s="1"/>
  <c r="AI7" i="34" s="1"/>
  <c r="AR7" i="34" s="1"/>
  <c r="BA7" i="34" s="1"/>
  <c r="BJ7" i="34" s="1"/>
  <c r="BS7" i="34" s="1"/>
  <c r="CB7" i="34" s="1"/>
  <c r="CK7" i="34" s="1"/>
  <c r="CT7" i="34" s="1"/>
  <c r="DC7" i="34" s="1"/>
  <c r="DL7" i="34" s="1"/>
  <c r="DU7" i="34" s="1"/>
  <c r="ED7" i="34" s="1"/>
  <c r="A51" i="34"/>
  <c r="I7" i="34" s="1"/>
  <c r="R7" i="34" s="1"/>
  <c r="AA7" i="34" s="1"/>
  <c r="AJ7" i="34" s="1"/>
  <c r="AS7" i="34" s="1"/>
  <c r="BB7" i="34" s="1"/>
  <c r="BK7" i="34" s="1"/>
  <c r="BT7" i="34" s="1"/>
  <c r="CC7" i="34" s="1"/>
  <c r="CL7" i="34" s="1"/>
  <c r="CU7" i="34" s="1"/>
  <c r="DD7" i="34" s="1"/>
  <c r="DM7" i="34" s="1"/>
  <c r="DV7" i="34" s="1"/>
  <c r="EE7" i="34" s="1"/>
  <c r="A45" i="34"/>
  <c r="C7" i="34" s="1"/>
  <c r="L7" i="34" s="1"/>
  <c r="U7" i="34" s="1"/>
  <c r="AD7" i="34" s="1"/>
  <c r="AM7" i="34" s="1"/>
  <c r="AV7" i="34" s="1"/>
  <c r="BE7" i="34" s="1"/>
  <c r="BN7" i="34" s="1"/>
  <c r="BW7" i="34" s="1"/>
  <c r="CF7" i="34" s="1"/>
  <c r="CO7" i="34" s="1"/>
  <c r="CX7" i="34" s="1"/>
  <c r="DG7" i="34" s="1"/>
  <c r="DP7" i="34" s="1"/>
  <c r="DY7" i="34" s="1"/>
  <c r="B44" i="34"/>
  <c r="B42" i="34"/>
  <c r="B41" i="34"/>
  <c r="B40" i="34"/>
  <c r="B39" i="34"/>
  <c r="B38" i="34"/>
  <c r="B37" i="34"/>
  <c r="B36" i="34"/>
  <c r="B35" i="34"/>
  <c r="B34" i="34"/>
  <c r="B33" i="34"/>
  <c r="B32" i="34"/>
  <c r="B31" i="34"/>
  <c r="B30" i="34"/>
  <c r="B29" i="34"/>
  <c r="B28" i="34"/>
  <c r="B27" i="34"/>
  <c r="B26" i="34"/>
  <c r="B25" i="34"/>
  <c r="B24" i="34"/>
  <c r="B23" i="34"/>
  <c r="B22" i="34"/>
  <c r="B21" i="34"/>
  <c r="B20" i="34"/>
  <c r="B19" i="34"/>
  <c r="B18" i="34"/>
  <c r="B17" i="34"/>
  <c r="B16" i="34"/>
  <c r="B15" i="34"/>
  <c r="B14" i="34"/>
  <c r="B13" i="34"/>
  <c r="B12" i="34"/>
  <c r="B11" i="34"/>
  <c r="B10" i="34"/>
  <c r="B9" i="34"/>
  <c r="B8" i="34"/>
  <c r="B45" i="35"/>
  <c r="EV6" i="35" s="1"/>
  <c r="FK6" i="35" s="1"/>
  <c r="B46" i="35"/>
  <c r="EW6" i="35" s="1"/>
  <c r="FL6" i="35" s="1"/>
  <c r="B47" i="35"/>
  <c r="EX6" i="35" s="1"/>
  <c r="FM6" i="35" s="1"/>
  <c r="B48" i="35"/>
  <c r="EY6" i="35" s="1"/>
  <c r="FN6" i="35" s="1"/>
  <c r="B49" i="35"/>
  <c r="EZ6" i="35" s="1"/>
  <c r="FO6" i="35" s="1"/>
  <c r="GD6" i="35" s="1"/>
  <c r="B50" i="35"/>
  <c r="FA6" i="35" s="1"/>
  <c r="FP6" i="35" s="1"/>
  <c r="B51" i="35"/>
  <c r="FB6" i="35" s="1"/>
  <c r="FQ6" i="35" s="1"/>
  <c r="B52" i="35"/>
  <c r="FC6" i="35" s="1"/>
  <c r="FR6" i="35" s="1"/>
  <c r="B53" i="35"/>
  <c r="A46" i="35"/>
  <c r="A47" i="35"/>
  <c r="A48" i="35"/>
  <c r="A49" i="35"/>
  <c r="A50" i="35"/>
  <c r="A51" i="35"/>
  <c r="A52" i="35"/>
  <c r="EN6" i="35" s="1"/>
  <c r="A53" i="35"/>
  <c r="EO6" i="35" s="1"/>
  <c r="A45" i="35"/>
  <c r="B44" i="35"/>
  <c r="CW42" i="35"/>
  <c r="CV42" i="35"/>
  <c r="EB42" i="35" s="1"/>
  <c r="EN42" i="35" s="1"/>
  <c r="CU42" i="35"/>
  <c r="EA42" i="35" s="1"/>
  <c r="EM42" i="35" s="1"/>
  <c r="CT42" i="35"/>
  <c r="DX42" i="35"/>
  <c r="EJ42" i="35" s="1"/>
  <c r="DW42" i="35"/>
  <c r="EI42" i="35" s="1"/>
  <c r="B42" i="35"/>
  <c r="CW41" i="35"/>
  <c r="CV41" i="35"/>
  <c r="EB41" i="35" s="1"/>
  <c r="EN41" i="35" s="1"/>
  <c r="CU41" i="35"/>
  <c r="EA41" i="35" s="1"/>
  <c r="EM41" i="35" s="1"/>
  <c r="CT41" i="35"/>
  <c r="DX41" i="35"/>
  <c r="EJ41" i="35" s="1"/>
  <c r="DW41" i="35"/>
  <c r="EI41" i="35" s="1"/>
  <c r="B41" i="35"/>
  <c r="CW40" i="35"/>
  <c r="CV40" i="35"/>
  <c r="EB40" i="35" s="1"/>
  <c r="EN40" i="35" s="1"/>
  <c r="CU40" i="35"/>
  <c r="EA40" i="35" s="1"/>
  <c r="EM40" i="35" s="1"/>
  <c r="CT40" i="35"/>
  <c r="DX40" i="35"/>
  <c r="EJ40" i="35" s="1"/>
  <c r="DW40" i="35"/>
  <c r="EI40" i="35" s="1"/>
  <c r="B40" i="35"/>
  <c r="CW39" i="35"/>
  <c r="CV39" i="35"/>
  <c r="EB39" i="35" s="1"/>
  <c r="EN39" i="35" s="1"/>
  <c r="CU39" i="35"/>
  <c r="EA39" i="35" s="1"/>
  <c r="EM39" i="35" s="1"/>
  <c r="CT39" i="35"/>
  <c r="DX39" i="35"/>
  <c r="EJ39" i="35" s="1"/>
  <c r="DW39" i="35"/>
  <c r="EI39" i="35" s="1"/>
  <c r="B39" i="35"/>
  <c r="CW38" i="35"/>
  <c r="CV38" i="35"/>
  <c r="EB38" i="35" s="1"/>
  <c r="EN38" i="35" s="1"/>
  <c r="CU38" i="35"/>
  <c r="EA38" i="35" s="1"/>
  <c r="EM38" i="35" s="1"/>
  <c r="CT38" i="35"/>
  <c r="DX38" i="35"/>
  <c r="EJ38" i="35" s="1"/>
  <c r="DW38" i="35"/>
  <c r="EI38" i="35" s="1"/>
  <c r="B38" i="35"/>
  <c r="CW37" i="35"/>
  <c r="CV37" i="35"/>
  <c r="EB37" i="35" s="1"/>
  <c r="EN37" i="35" s="1"/>
  <c r="CU37" i="35"/>
  <c r="EA37" i="35" s="1"/>
  <c r="EM37" i="35" s="1"/>
  <c r="CT37" i="35"/>
  <c r="DX37" i="35"/>
  <c r="EJ37" i="35" s="1"/>
  <c r="DW37" i="35"/>
  <c r="EI37" i="35" s="1"/>
  <c r="B37" i="35"/>
  <c r="CW36" i="35"/>
  <c r="CV36" i="35"/>
  <c r="EB36" i="35" s="1"/>
  <c r="EN36" i="35" s="1"/>
  <c r="CU36" i="35"/>
  <c r="EA36" i="35" s="1"/>
  <c r="EM36" i="35" s="1"/>
  <c r="CT36" i="35"/>
  <c r="DX36" i="35"/>
  <c r="EJ36" i="35" s="1"/>
  <c r="DW36" i="35"/>
  <c r="EI36" i="35" s="1"/>
  <c r="B36" i="35"/>
  <c r="CW35" i="35"/>
  <c r="CV35" i="35"/>
  <c r="EB35" i="35" s="1"/>
  <c r="EN35" i="35" s="1"/>
  <c r="CU35" i="35"/>
  <c r="EA35" i="35" s="1"/>
  <c r="EM35" i="35" s="1"/>
  <c r="CT35" i="35"/>
  <c r="DX35" i="35"/>
  <c r="EJ35" i="35" s="1"/>
  <c r="DW35" i="35"/>
  <c r="EI35" i="35" s="1"/>
  <c r="B35" i="35"/>
  <c r="CW34" i="35"/>
  <c r="EC34" i="35" s="1"/>
  <c r="EO34" i="35" s="1"/>
  <c r="CV34" i="35"/>
  <c r="CU34" i="35"/>
  <c r="CT34" i="35"/>
  <c r="DY34" i="35"/>
  <c r="EK34" i="35" s="1"/>
  <c r="DU34" i="35"/>
  <c r="EG34" i="35" s="1"/>
  <c r="B34" i="35"/>
  <c r="CW33" i="35"/>
  <c r="EC33" i="35" s="1"/>
  <c r="EO33" i="35" s="1"/>
  <c r="CV33" i="35"/>
  <c r="CU33" i="35"/>
  <c r="CT33" i="35"/>
  <c r="DZ33" i="35" s="1"/>
  <c r="EL33" i="35" s="1"/>
  <c r="DY33" i="35"/>
  <c r="EK33" i="35" s="1"/>
  <c r="DV33" i="35"/>
  <c r="EH33" i="35" s="1"/>
  <c r="DU33" i="35"/>
  <c r="EG33" i="35" s="1"/>
  <c r="B33" i="35"/>
  <c r="CW32" i="35"/>
  <c r="EC32" i="35" s="1"/>
  <c r="EO32" i="35" s="1"/>
  <c r="CV32" i="35"/>
  <c r="CU32" i="35"/>
  <c r="CT32" i="35"/>
  <c r="DY32" i="35"/>
  <c r="EK32" i="35" s="1"/>
  <c r="DU32" i="35"/>
  <c r="EG32" i="35" s="1"/>
  <c r="B32" i="35"/>
  <c r="CW31" i="35"/>
  <c r="CV31" i="35"/>
  <c r="CU31" i="35"/>
  <c r="EA31" i="35" s="1"/>
  <c r="EM31" i="35" s="1"/>
  <c r="CT31" i="35"/>
  <c r="DX31" i="35"/>
  <c r="EJ31" i="35" s="1"/>
  <c r="DW31" i="35"/>
  <c r="EI31" i="35" s="1"/>
  <c r="B31" i="35"/>
  <c r="CW30" i="35"/>
  <c r="CV30" i="35"/>
  <c r="CU30" i="35"/>
  <c r="EA30" i="35" s="1"/>
  <c r="EM30" i="35" s="1"/>
  <c r="CT30" i="35"/>
  <c r="DX30" i="35"/>
  <c r="EJ30" i="35" s="1"/>
  <c r="DW30" i="35"/>
  <c r="EI30" i="35" s="1"/>
  <c r="DV30" i="35"/>
  <c r="EH30" i="35" s="1"/>
  <c r="B30" i="35"/>
  <c r="CW29" i="35"/>
  <c r="CV29" i="35"/>
  <c r="CU29" i="35"/>
  <c r="EA29" i="35" s="1"/>
  <c r="EM29" i="35" s="1"/>
  <c r="CT29" i="35"/>
  <c r="DZ29" i="35" s="1"/>
  <c r="EL29" i="35" s="1"/>
  <c r="DX29" i="35"/>
  <c r="EJ29" i="35" s="1"/>
  <c r="DW29" i="35"/>
  <c r="EI29" i="35" s="1"/>
  <c r="DV29" i="35"/>
  <c r="EH29" i="35" s="1"/>
  <c r="B29" i="35"/>
  <c r="CW28" i="35"/>
  <c r="CV28" i="35"/>
  <c r="CU28" i="35"/>
  <c r="EA28" i="35" s="1"/>
  <c r="EM28" i="35" s="1"/>
  <c r="CT28" i="35"/>
  <c r="DZ28" i="35" s="1"/>
  <c r="EL28" i="35" s="1"/>
  <c r="DX28" i="35"/>
  <c r="EJ28" i="35" s="1"/>
  <c r="DW28" i="35"/>
  <c r="EI28" i="35" s="1"/>
  <c r="DV28" i="35"/>
  <c r="EH28" i="35" s="1"/>
  <c r="B28" i="35"/>
  <c r="CW27" i="35"/>
  <c r="CV27" i="35"/>
  <c r="CU27" i="35"/>
  <c r="EA27" i="35" s="1"/>
  <c r="EM27" i="35" s="1"/>
  <c r="CT27" i="35"/>
  <c r="DZ27" i="35" s="1"/>
  <c r="EL27" i="35" s="1"/>
  <c r="DX27" i="35"/>
  <c r="EJ27" i="35" s="1"/>
  <c r="DW27" i="35"/>
  <c r="EI27" i="35" s="1"/>
  <c r="DV27" i="35"/>
  <c r="EH27" i="35" s="1"/>
  <c r="B27" i="35"/>
  <c r="CW26" i="35"/>
  <c r="CV26" i="35"/>
  <c r="CU26" i="35"/>
  <c r="EA26" i="35" s="1"/>
  <c r="EM26" i="35" s="1"/>
  <c r="CT26" i="35"/>
  <c r="DZ26" i="35" s="1"/>
  <c r="EL26" i="35" s="1"/>
  <c r="DX26" i="35"/>
  <c r="EJ26" i="35" s="1"/>
  <c r="DW26" i="35"/>
  <c r="EI26" i="35" s="1"/>
  <c r="DV26" i="35"/>
  <c r="EH26" i="35" s="1"/>
  <c r="B26" i="35"/>
  <c r="CW25" i="35"/>
  <c r="CV25" i="35"/>
  <c r="CU25" i="35"/>
  <c r="EA25" i="35" s="1"/>
  <c r="EM25" i="35" s="1"/>
  <c r="CT25" i="35"/>
  <c r="DZ25" i="35" s="1"/>
  <c r="EL25" i="35" s="1"/>
  <c r="DW25" i="35"/>
  <c r="EI25" i="35" s="1"/>
  <c r="DV25" i="35"/>
  <c r="EH25" i="35" s="1"/>
  <c r="B25" i="35"/>
  <c r="CW24" i="35"/>
  <c r="CV24" i="35"/>
  <c r="CU24" i="35"/>
  <c r="EA24" i="35" s="1"/>
  <c r="EM24" i="35" s="1"/>
  <c r="CT24" i="35"/>
  <c r="DZ24" i="35" s="1"/>
  <c r="EL24" i="35" s="1"/>
  <c r="DW24" i="35"/>
  <c r="EI24" i="35" s="1"/>
  <c r="DV24" i="35"/>
  <c r="EH24" i="35" s="1"/>
  <c r="B24" i="35"/>
  <c r="CW23" i="35"/>
  <c r="CV23" i="35"/>
  <c r="CU23" i="35"/>
  <c r="EA23" i="35" s="1"/>
  <c r="EM23" i="35" s="1"/>
  <c r="CT23" i="35"/>
  <c r="DW23" i="35"/>
  <c r="EI23" i="35" s="1"/>
  <c r="B23" i="35"/>
  <c r="CW22" i="35"/>
  <c r="CV22" i="35"/>
  <c r="CU22" i="35"/>
  <c r="EA22" i="35" s="1"/>
  <c r="EM22" i="35" s="1"/>
  <c r="CT22" i="35"/>
  <c r="DW22" i="35"/>
  <c r="EI22" i="35" s="1"/>
  <c r="B22" i="35"/>
  <c r="CW21" i="35"/>
  <c r="CV21" i="35"/>
  <c r="CU21" i="35"/>
  <c r="EA21" i="35" s="1"/>
  <c r="EM21" i="35" s="1"/>
  <c r="CT21" i="35"/>
  <c r="DW21" i="35"/>
  <c r="EI21" i="35" s="1"/>
  <c r="B21" i="35"/>
  <c r="CW20" i="35"/>
  <c r="CV20" i="35"/>
  <c r="CU20" i="35"/>
  <c r="EA20" i="35" s="1"/>
  <c r="EM20" i="35" s="1"/>
  <c r="CT20" i="35"/>
  <c r="DW20" i="35"/>
  <c r="EI20" i="35" s="1"/>
  <c r="B20" i="35"/>
  <c r="CW19" i="35"/>
  <c r="CV19" i="35"/>
  <c r="CU19" i="35"/>
  <c r="EA19" i="35" s="1"/>
  <c r="EM19" i="35" s="1"/>
  <c r="CT19" i="35"/>
  <c r="DW19" i="35"/>
  <c r="EI19" i="35" s="1"/>
  <c r="B19" i="35"/>
  <c r="CW18" i="35"/>
  <c r="EC18" i="35" s="1"/>
  <c r="EO18" i="35" s="1"/>
  <c r="CV18" i="35"/>
  <c r="EB18" i="35" s="1"/>
  <c r="EN18" i="35" s="1"/>
  <c r="CU18" i="35"/>
  <c r="CT18" i="35"/>
  <c r="DY18" i="35"/>
  <c r="EK18" i="35" s="1"/>
  <c r="DX18" i="35"/>
  <c r="EJ18" i="35" s="1"/>
  <c r="DU18" i="35"/>
  <c r="EG18" i="35" s="1"/>
  <c r="B18" i="35"/>
  <c r="CW17" i="35"/>
  <c r="EC17" i="35" s="1"/>
  <c r="EO17" i="35" s="1"/>
  <c r="CV17" i="35"/>
  <c r="CU17" i="35"/>
  <c r="CT17" i="35"/>
  <c r="DY17" i="35"/>
  <c r="EK17" i="35" s="1"/>
  <c r="DX17" i="35"/>
  <c r="EJ17" i="35" s="1"/>
  <c r="DU17" i="35"/>
  <c r="EG17" i="35" s="1"/>
  <c r="B17" i="35"/>
  <c r="CW16" i="35"/>
  <c r="EC16" i="35" s="1"/>
  <c r="EO16" i="35" s="1"/>
  <c r="CV16" i="35"/>
  <c r="CU16" i="35"/>
  <c r="CT16" i="35"/>
  <c r="DY16" i="35"/>
  <c r="EK16" i="35" s="1"/>
  <c r="DU16" i="35"/>
  <c r="EG16" i="35" s="1"/>
  <c r="B16" i="35"/>
  <c r="CW15" i="35"/>
  <c r="EC15" i="35" s="1"/>
  <c r="EO15" i="35" s="1"/>
  <c r="CV15" i="35"/>
  <c r="CU15" i="35"/>
  <c r="CT15" i="35"/>
  <c r="DY15" i="35"/>
  <c r="EK15" i="35" s="1"/>
  <c r="DU15" i="35"/>
  <c r="EG15" i="35" s="1"/>
  <c r="B15" i="35"/>
  <c r="CW14" i="35"/>
  <c r="EC14" i="35" s="1"/>
  <c r="EO14" i="35" s="1"/>
  <c r="CV14" i="35"/>
  <c r="CU14" i="35"/>
  <c r="CT14" i="35"/>
  <c r="DY14" i="35"/>
  <c r="EK14" i="35" s="1"/>
  <c r="DU14" i="35"/>
  <c r="EG14" i="35" s="1"/>
  <c r="B14" i="35"/>
  <c r="CW13" i="35"/>
  <c r="EC13" i="35" s="1"/>
  <c r="EO13" i="35" s="1"/>
  <c r="CV13" i="35"/>
  <c r="CU13" i="35"/>
  <c r="CT13" i="35"/>
  <c r="DY13" i="35"/>
  <c r="EK13" i="35" s="1"/>
  <c r="DU13" i="35"/>
  <c r="EG13" i="35" s="1"/>
  <c r="B13" i="35"/>
  <c r="CW12" i="35"/>
  <c r="EC12" i="35" s="1"/>
  <c r="EO12" i="35" s="1"/>
  <c r="CV12" i="35"/>
  <c r="CU12" i="35"/>
  <c r="CT12" i="35"/>
  <c r="DY12" i="35"/>
  <c r="EK12" i="35" s="1"/>
  <c r="DU12" i="35"/>
  <c r="EG12" i="35" s="1"/>
  <c r="B12" i="35"/>
  <c r="CW11" i="35"/>
  <c r="EC11" i="35" s="1"/>
  <c r="EO11" i="35" s="1"/>
  <c r="CV11" i="35"/>
  <c r="CU11" i="35"/>
  <c r="CT11" i="35"/>
  <c r="DY11" i="35"/>
  <c r="EK11" i="35" s="1"/>
  <c r="DU11" i="35"/>
  <c r="EG11" i="35" s="1"/>
  <c r="B11" i="35"/>
  <c r="CW10" i="35"/>
  <c r="EC10" i="35" s="1"/>
  <c r="EO10" i="35" s="1"/>
  <c r="CV10" i="35"/>
  <c r="CU10" i="35"/>
  <c r="CT10" i="35"/>
  <c r="DY10" i="35"/>
  <c r="EK10" i="35" s="1"/>
  <c r="DU10" i="35"/>
  <c r="EG10" i="35" s="1"/>
  <c r="B10" i="35"/>
  <c r="CW9" i="35"/>
  <c r="EC9" i="35" s="1"/>
  <c r="EO9" i="35" s="1"/>
  <c r="CV9" i="35"/>
  <c r="CU9" i="35"/>
  <c r="CT9" i="35"/>
  <c r="DY9" i="35"/>
  <c r="EK9" i="35" s="1"/>
  <c r="DU9" i="35"/>
  <c r="EG9" i="35" s="1"/>
  <c r="B9" i="35"/>
  <c r="CW8" i="35"/>
  <c r="EC8" i="35" s="1"/>
  <c r="EO8" i="35" s="1"/>
  <c r="CV8" i="35"/>
  <c r="CU8" i="35"/>
  <c r="EA8" i="35" s="1"/>
  <c r="EM8" i="35" s="1"/>
  <c r="CT8" i="35"/>
  <c r="DZ8" i="35" s="1"/>
  <c r="EL8" i="35" s="1"/>
  <c r="DY8" i="35"/>
  <c r="EK8" i="35" s="1"/>
  <c r="DW8" i="35"/>
  <c r="EI8" i="35" s="1"/>
  <c r="DV8" i="35"/>
  <c r="EH8" i="35" s="1"/>
  <c r="DU8" i="35"/>
  <c r="EG8" i="35" s="1"/>
  <c r="B8" i="35"/>
  <c r="B46" i="33"/>
  <c r="EV6" i="33" s="1"/>
  <c r="FK6" i="33" s="1"/>
  <c r="B47" i="33"/>
  <c r="EW6" i="33" s="1"/>
  <c r="FL6" i="33" s="1"/>
  <c r="B48" i="33"/>
  <c r="EX6" i="33" s="1"/>
  <c r="FM6" i="33" s="1"/>
  <c r="B49" i="33"/>
  <c r="EY6" i="33" s="1"/>
  <c r="FN6" i="33" s="1"/>
  <c r="B50" i="33"/>
  <c r="EZ6" i="33" s="1"/>
  <c r="FO6" i="33" s="1"/>
  <c r="GD6" i="33" s="1"/>
  <c r="B51" i="33"/>
  <c r="FA6" i="33" s="1"/>
  <c r="FP6" i="33" s="1"/>
  <c r="B52" i="33"/>
  <c r="FB6" i="33" s="1"/>
  <c r="FQ6" i="33" s="1"/>
  <c r="B53" i="33"/>
  <c r="FC6" i="33" s="1"/>
  <c r="FR6" i="33" s="1"/>
  <c r="B54" i="33"/>
  <c r="FD6" i="33" s="1"/>
  <c r="FS6" i="33" s="1"/>
  <c r="A47" i="33"/>
  <c r="A48" i="33"/>
  <c r="A49" i="33"/>
  <c r="A50" i="33"/>
  <c r="A51" i="33"/>
  <c r="A52" i="33"/>
  <c r="EM6" i="33" s="1"/>
  <c r="A53" i="33"/>
  <c r="EN6" i="33" s="1"/>
  <c r="A54" i="33"/>
  <c r="EO6" i="33" s="1"/>
  <c r="A46" i="33"/>
  <c r="B45" i="33"/>
  <c r="B43" i="33"/>
  <c r="B42" i="33"/>
  <c r="B41" i="33"/>
  <c r="B40" i="33"/>
  <c r="B39" i="33"/>
  <c r="B38" i="33"/>
  <c r="B37" i="33"/>
  <c r="B36" i="33"/>
  <c r="B35" i="33"/>
  <c r="B34" i="33"/>
  <c r="B33" i="33"/>
  <c r="B32" i="33"/>
  <c r="B31" i="33"/>
  <c r="B30" i="33"/>
  <c r="B29" i="33"/>
  <c r="B28" i="33"/>
  <c r="B27" i="33"/>
  <c r="B26" i="33"/>
  <c r="B25" i="33"/>
  <c r="B24" i="33"/>
  <c r="B23" i="33"/>
  <c r="B22" i="33"/>
  <c r="B21" i="33"/>
  <c r="B20" i="33"/>
  <c r="B19" i="33"/>
  <c r="B18" i="33"/>
  <c r="B17" i="33"/>
  <c r="B16" i="33"/>
  <c r="B15" i="33"/>
  <c r="B14" i="33"/>
  <c r="B13" i="33"/>
  <c r="B12" i="33"/>
  <c r="B11" i="33"/>
  <c r="B10" i="33"/>
  <c r="B9" i="33"/>
  <c r="B8" i="33"/>
  <c r="C3" i="33"/>
  <c r="B49" i="25"/>
  <c r="JA6" i="25" s="1"/>
  <c r="JP6" i="25" s="1"/>
  <c r="B50" i="25"/>
  <c r="JB6" i="25" s="1"/>
  <c r="B51" i="25"/>
  <c r="JC6" i="25" s="1"/>
  <c r="A50" i="25"/>
  <c r="A51" i="25"/>
  <c r="A46" i="26"/>
  <c r="A47" i="26"/>
  <c r="A48" i="26"/>
  <c r="A49" i="26"/>
  <c r="A50" i="26"/>
  <c r="A51" i="26"/>
  <c r="A52" i="26"/>
  <c r="A53" i="26"/>
  <c r="A54" i="26"/>
  <c r="A55" i="26"/>
  <c r="M7" i="26" s="1"/>
  <c r="Y7" i="26" s="1"/>
  <c r="AK7" i="26" s="1"/>
  <c r="AW7" i="26" s="1"/>
  <c r="A45" i="26"/>
  <c r="B45" i="27"/>
  <c r="IE6" i="27" s="1"/>
  <c r="B46" i="27"/>
  <c r="IF6" i="27" s="1"/>
  <c r="B47" i="27"/>
  <c r="IG6" i="27" s="1"/>
  <c r="B48" i="27"/>
  <c r="IH6" i="27" s="1"/>
  <c r="IW6" i="27" s="1"/>
  <c r="B49" i="27"/>
  <c r="II6" i="27" s="1"/>
  <c r="IX6" i="27" s="1"/>
  <c r="B50" i="27"/>
  <c r="IJ6" i="27" s="1"/>
  <c r="IY6" i="27" s="1"/>
  <c r="B51" i="27"/>
  <c r="IK6" i="27" s="1"/>
  <c r="IZ6" i="27" s="1"/>
  <c r="B52" i="27"/>
  <c r="IL6" i="27" s="1"/>
  <c r="JA6" i="27" s="1"/>
  <c r="B53" i="27"/>
  <c r="IM6" i="27" s="1"/>
  <c r="JB6" i="27" s="1"/>
  <c r="B54" i="27"/>
  <c r="IN6" i="27" s="1"/>
  <c r="B55" i="27"/>
  <c r="IO6" i="27" s="1"/>
  <c r="JD6" i="27" s="1"/>
  <c r="A46" i="27"/>
  <c r="A47" i="27"/>
  <c r="A48" i="27"/>
  <c r="A49" i="27"/>
  <c r="A50" i="27"/>
  <c r="A51" i="27"/>
  <c r="A52" i="27"/>
  <c r="A53" i="27"/>
  <c r="A54" i="27"/>
  <c r="A55" i="27"/>
  <c r="A45" i="27"/>
  <c r="B45" i="28"/>
  <c r="GE6" i="28" s="1"/>
  <c r="B46" i="28"/>
  <c r="GF6" i="28" s="1"/>
  <c r="B47" i="28"/>
  <c r="GG6" i="28" s="1"/>
  <c r="B48" i="28"/>
  <c r="GH6" i="28" s="1"/>
  <c r="B49" i="28"/>
  <c r="GI6" i="28" s="1"/>
  <c r="GX6" i="28" s="1"/>
  <c r="B50" i="28"/>
  <c r="GJ6" i="28" s="1"/>
  <c r="GY6" i="28" s="1"/>
  <c r="B51" i="28"/>
  <c r="GK6" i="28" s="1"/>
  <c r="GZ6" i="28" s="1"/>
  <c r="A46" i="28"/>
  <c r="A47" i="28"/>
  <c r="A48" i="28"/>
  <c r="A49" i="28"/>
  <c r="A50" i="28"/>
  <c r="A51" i="28"/>
  <c r="A45" i="28"/>
  <c r="Q3" i="8"/>
  <c r="Z3" i="7"/>
  <c r="B8" i="20"/>
  <c r="GV6" i="28" l="1"/>
  <c r="GQ14" i="28"/>
  <c r="GR14" i="28" s="1"/>
  <c r="GQ19" i="28"/>
  <c r="GR19" i="28" s="1"/>
  <c r="GQ18" i="28"/>
  <c r="GR18" i="28" s="1"/>
  <c r="GQ17" i="28"/>
  <c r="GR17" i="28" s="1"/>
  <c r="JR6" i="25"/>
  <c r="JI12" i="25"/>
  <c r="JJ12" i="25" s="1"/>
  <c r="JI11" i="25"/>
  <c r="JJ11" i="25" s="1"/>
  <c r="JI22" i="25"/>
  <c r="JJ22" i="25" s="1"/>
  <c r="JI14" i="25"/>
  <c r="JJ14" i="25" s="1"/>
  <c r="JL6" i="34"/>
  <c r="JF11" i="34"/>
  <c r="JG11" i="34" s="1"/>
  <c r="JF10" i="34"/>
  <c r="JG10" i="34" s="1"/>
  <c r="JJ6" i="34"/>
  <c r="JF21" i="34"/>
  <c r="JG21" i="34" s="1"/>
  <c r="JF17" i="34"/>
  <c r="JG17" i="34" s="1"/>
  <c r="JF16" i="34"/>
  <c r="JG16" i="34" s="1"/>
  <c r="JF22" i="34"/>
  <c r="JG22" i="34" s="1"/>
  <c r="JF18" i="34"/>
  <c r="JG18" i="34" s="1"/>
  <c r="JF12" i="34"/>
  <c r="JG12" i="34" s="1"/>
  <c r="JF9" i="34"/>
  <c r="JG9" i="34" s="1"/>
  <c r="HL14" i="36"/>
  <c r="HM14" i="36" s="1"/>
  <c r="HL13" i="36"/>
  <c r="HM13" i="36" s="1"/>
  <c r="HL9" i="36"/>
  <c r="HM9" i="36" s="1"/>
  <c r="HL15" i="36"/>
  <c r="HM15" i="36" s="1"/>
  <c r="HL21" i="36"/>
  <c r="HM21" i="36" s="1"/>
  <c r="HL17" i="36"/>
  <c r="HM17" i="36" s="1"/>
  <c r="HL12" i="36"/>
  <c r="HM12" i="36" s="1"/>
  <c r="HO6" i="36"/>
  <c r="HL19" i="36"/>
  <c r="HM19" i="36" s="1"/>
  <c r="HL18" i="36"/>
  <c r="HM18" i="36" s="1"/>
  <c r="HL22" i="36"/>
  <c r="HM22" i="36" s="1"/>
  <c r="HL16" i="36"/>
  <c r="HM16" i="36" s="1"/>
  <c r="HL20" i="36"/>
  <c r="HM20" i="36" s="1"/>
  <c r="HL11" i="36"/>
  <c r="HM11" i="36" s="1"/>
  <c r="GV6" i="26"/>
  <c r="GP22" i="26"/>
  <c r="GQ22" i="26" s="1"/>
  <c r="GP9" i="26"/>
  <c r="GQ9" i="26" s="1"/>
  <c r="GP17" i="26"/>
  <c r="GQ17" i="26" s="1"/>
  <c r="GP15" i="26"/>
  <c r="GQ15" i="26" s="1"/>
  <c r="GP13" i="26"/>
  <c r="GQ13" i="26" s="1"/>
  <c r="GP11" i="26"/>
  <c r="GQ11" i="26" s="1"/>
  <c r="GP18" i="26"/>
  <c r="GQ18" i="26" s="1"/>
  <c r="GP21" i="26"/>
  <c r="GQ21" i="26" s="1"/>
  <c r="GP16" i="26"/>
  <c r="GQ16" i="26" s="1"/>
  <c r="GP20" i="26"/>
  <c r="GQ20" i="26" s="1"/>
  <c r="GP14" i="26"/>
  <c r="GQ14" i="26" s="1"/>
  <c r="GP10" i="26"/>
  <c r="GQ10" i="26" s="1"/>
  <c r="GP12" i="26"/>
  <c r="GQ12" i="26" s="1"/>
  <c r="HE22" i="26"/>
  <c r="HF22" i="26" s="1"/>
  <c r="HE16" i="26"/>
  <c r="HF16" i="26" s="1"/>
  <c r="HE12" i="26"/>
  <c r="HF12" i="26" s="1"/>
  <c r="GQ9" i="28"/>
  <c r="GR9" i="28" s="1"/>
  <c r="GQ22" i="28"/>
  <c r="GR22" i="28" s="1"/>
  <c r="GQ12" i="28"/>
  <c r="GR12" i="28" s="1"/>
  <c r="GQ21" i="28"/>
  <c r="GR21" i="28" s="1"/>
  <c r="GQ13" i="28"/>
  <c r="GR13" i="28" s="1"/>
  <c r="GQ11" i="28"/>
  <c r="GR11" i="28" s="1"/>
  <c r="GQ16" i="28"/>
  <c r="GR16" i="28" s="1"/>
  <c r="GQ15" i="28"/>
  <c r="GR15" i="28" s="1"/>
  <c r="GQ20" i="28"/>
  <c r="GR20" i="28" s="1"/>
  <c r="IQ22" i="27"/>
  <c r="IR22" i="27" s="1"/>
  <c r="IQ13" i="27"/>
  <c r="IR13" i="27" s="1"/>
  <c r="IQ9" i="27"/>
  <c r="IR9" i="27" s="1"/>
  <c r="IQ12" i="27"/>
  <c r="IR12" i="27" s="1"/>
  <c r="IQ14" i="27"/>
  <c r="IR14" i="27" s="1"/>
  <c r="IQ21" i="27"/>
  <c r="IR21" i="27" s="1"/>
  <c r="IQ10" i="27"/>
  <c r="IR10" i="27" s="1"/>
  <c r="IT6" i="27"/>
  <c r="IQ20" i="27"/>
  <c r="IR20" i="27" s="1"/>
  <c r="GQ10" i="28"/>
  <c r="GR10" i="28" s="1"/>
  <c r="IU6" i="27"/>
  <c r="IQ19" i="27"/>
  <c r="IR19" i="27" s="1"/>
  <c r="IQ16" i="27"/>
  <c r="IR16" i="27" s="1"/>
  <c r="IQ11" i="27"/>
  <c r="IR11" i="27" s="1"/>
  <c r="IQ17" i="27"/>
  <c r="IR17" i="27" s="1"/>
  <c r="IQ15" i="27"/>
  <c r="IR15" i="27" s="1"/>
  <c r="IQ18" i="27"/>
  <c r="IR18" i="27" s="1"/>
  <c r="JI16" i="25"/>
  <c r="JJ16" i="25" s="1"/>
  <c r="JI10" i="25"/>
  <c r="JJ10" i="25" s="1"/>
  <c r="JI18" i="25"/>
  <c r="JJ18" i="25" s="1"/>
  <c r="JI15" i="25"/>
  <c r="JJ15" i="25" s="1"/>
  <c r="JF8" i="34"/>
  <c r="JI6" i="34"/>
  <c r="JF15" i="34"/>
  <c r="JG15" i="34" s="1"/>
  <c r="JF19" i="34"/>
  <c r="JG19" i="34" s="1"/>
  <c r="JF14" i="34"/>
  <c r="JG14" i="34" s="1"/>
  <c r="JF13" i="34"/>
  <c r="JG13" i="34" s="1"/>
  <c r="JF20" i="34"/>
  <c r="JG20" i="34" s="1"/>
  <c r="HP6" i="36"/>
  <c r="HL10" i="36"/>
  <c r="HM10" i="36" s="1"/>
  <c r="GU6" i="26"/>
  <c r="GP19" i="26"/>
  <c r="GQ19" i="26" s="1"/>
  <c r="EO7" i="34"/>
  <c r="DN7" i="34"/>
  <c r="DW7" i="34" s="1"/>
  <c r="EF7" i="34" s="1"/>
  <c r="JQ6" i="25"/>
  <c r="JW11" i="25" s="1"/>
  <c r="JX11" i="25" s="1"/>
  <c r="EM6" i="19"/>
  <c r="EA7" i="19"/>
  <c r="GW6" i="26"/>
  <c r="GP8" i="26"/>
  <c r="GQ8" i="26" s="1"/>
  <c r="HZ8" i="36"/>
  <c r="IA8" i="36" s="1"/>
  <c r="JC6" i="27"/>
  <c r="HB6" i="26"/>
  <c r="F23" i="37"/>
  <c r="GT6" i="28"/>
  <c r="EN7" i="34"/>
  <c r="GW6" i="28"/>
  <c r="GU6" i="28"/>
  <c r="GQ8" i="28"/>
  <c r="IV6" i="27"/>
  <c r="HQ6" i="36"/>
  <c r="HL8" i="36"/>
  <c r="EM7" i="34"/>
  <c r="EH7" i="34"/>
  <c r="EK7" i="34"/>
  <c r="EL7" i="34"/>
  <c r="EI7" i="34"/>
  <c r="EJ7" i="34"/>
  <c r="JK6" i="34"/>
  <c r="GS6" i="26"/>
  <c r="Y6" i="6"/>
  <c r="BH10" i="38" s="1"/>
  <c r="I34" i="37" s="1"/>
  <c r="Y7" i="6"/>
  <c r="BH11" i="38" s="1"/>
  <c r="EC40" i="21"/>
  <c r="EO40" i="21" s="1"/>
  <c r="DY40" i="21"/>
  <c r="EK40" i="21" s="1"/>
  <c r="DU40" i="21"/>
  <c r="EG40" i="21" s="1"/>
  <c r="DZ39" i="21"/>
  <c r="EL39" i="21" s="1"/>
  <c r="DV39" i="21"/>
  <c r="EH39" i="21" s="1"/>
  <c r="EC36" i="21"/>
  <c r="EO36" i="21" s="1"/>
  <c r="DY36" i="21"/>
  <c r="EK36" i="21" s="1"/>
  <c r="DU36" i="21"/>
  <c r="EG36" i="21" s="1"/>
  <c r="DZ35" i="21"/>
  <c r="EL35" i="21" s="1"/>
  <c r="DV35" i="21"/>
  <c r="EH35" i="21" s="1"/>
  <c r="EC32" i="21"/>
  <c r="EO32" i="21" s="1"/>
  <c r="DY32" i="21"/>
  <c r="EK32" i="21" s="1"/>
  <c r="DU32" i="21"/>
  <c r="EG32" i="21" s="1"/>
  <c r="DV31" i="21"/>
  <c r="EH31" i="21" s="1"/>
  <c r="EB29" i="21"/>
  <c r="EN29" i="21" s="1"/>
  <c r="DX29" i="21"/>
  <c r="EJ29" i="21" s="1"/>
  <c r="EC28" i="21"/>
  <c r="EO28" i="21" s="1"/>
  <c r="DU28" i="21"/>
  <c r="EG28" i="21" s="1"/>
  <c r="EA26" i="21"/>
  <c r="EM26" i="21" s="1"/>
  <c r="EB25" i="21"/>
  <c r="EN25" i="21" s="1"/>
  <c r="DX25" i="21"/>
  <c r="EJ25" i="21" s="1"/>
  <c r="EC24" i="21"/>
  <c r="EO24" i="21" s="1"/>
  <c r="DU24" i="21"/>
  <c r="EG24" i="21" s="1"/>
  <c r="EA22" i="21"/>
  <c r="EM22" i="21" s="1"/>
  <c r="EB21" i="21"/>
  <c r="EN21" i="21" s="1"/>
  <c r="DX21" i="21"/>
  <c r="EJ21" i="21" s="1"/>
  <c r="DZ19" i="21"/>
  <c r="EL19" i="21" s="1"/>
  <c r="DV19" i="21"/>
  <c r="EH19" i="21" s="1"/>
  <c r="EA18" i="21"/>
  <c r="EM18" i="21" s="1"/>
  <c r="EB17" i="21"/>
  <c r="EN17" i="21" s="1"/>
  <c r="DX17" i="21"/>
  <c r="EJ17" i="21" s="1"/>
  <c r="EA14" i="21"/>
  <c r="EM14" i="21" s="1"/>
  <c r="DW14" i="21"/>
  <c r="EI14" i="21" s="1"/>
  <c r="EB13" i="21"/>
  <c r="EN13" i="21" s="1"/>
  <c r="DX13" i="21"/>
  <c r="EJ13" i="21" s="1"/>
  <c r="EA10" i="21"/>
  <c r="EM10" i="21" s="1"/>
  <c r="DW10" i="21"/>
  <c r="EI10" i="21" s="1"/>
  <c r="EB9" i="21"/>
  <c r="EN9" i="21" s="1"/>
  <c r="DX9" i="21"/>
  <c r="EJ9" i="21" s="1"/>
  <c r="DZ42" i="21"/>
  <c r="EL42" i="21" s="1"/>
  <c r="DV42" i="21"/>
  <c r="EH42" i="21" s="1"/>
  <c r="EC39" i="21"/>
  <c r="EO39" i="21" s="1"/>
  <c r="DY39" i="21"/>
  <c r="EK39" i="21" s="1"/>
  <c r="DU39" i="21"/>
  <c r="EG39" i="21" s="1"/>
  <c r="DZ38" i="21"/>
  <c r="EL38" i="21" s="1"/>
  <c r="DV38" i="21"/>
  <c r="EH38" i="21" s="1"/>
  <c r="EC35" i="21"/>
  <c r="EO35" i="21" s="1"/>
  <c r="DY35" i="21"/>
  <c r="EK35" i="21" s="1"/>
  <c r="DU35" i="21"/>
  <c r="EG35" i="21" s="1"/>
  <c r="DZ34" i="21"/>
  <c r="EL34" i="21"/>
  <c r="DV34" i="21"/>
  <c r="EH34" i="21" s="1"/>
  <c r="EB32" i="21"/>
  <c r="EN32" i="21" s="1"/>
  <c r="EC31" i="21"/>
  <c r="EO31" i="21" s="1"/>
  <c r="DY31" i="21"/>
  <c r="EK31" i="21" s="1"/>
  <c r="DU31" i="21"/>
  <c r="EG31" i="21" s="1"/>
  <c r="DV30" i="21"/>
  <c r="EH30" i="21" s="1"/>
  <c r="EB28" i="21"/>
  <c r="EN28" i="21" s="1"/>
  <c r="DX28" i="21"/>
  <c r="EJ28" i="21" s="1"/>
  <c r="EC27" i="21"/>
  <c r="EO27" i="21" s="1"/>
  <c r="DY27" i="21"/>
  <c r="EK27" i="21" s="1"/>
  <c r="DU27" i="21"/>
  <c r="EG27" i="21" s="1"/>
  <c r="EB24" i="21"/>
  <c r="EN24" i="21" s="1"/>
  <c r="DX24" i="21"/>
  <c r="EJ24" i="21" s="1"/>
  <c r="EA21" i="21"/>
  <c r="EM21" i="21" s="1"/>
  <c r="EB20" i="21"/>
  <c r="EN20" i="21" s="1"/>
  <c r="DX20" i="21"/>
  <c r="EJ20" i="21" s="1"/>
  <c r="EC19" i="21"/>
  <c r="EO19" i="21" s="1"/>
  <c r="DY19" i="21"/>
  <c r="EK19" i="21" s="1"/>
  <c r="DU19" i="21"/>
  <c r="EG19" i="21" s="1"/>
  <c r="EA17" i="21"/>
  <c r="EM17" i="21" s="1"/>
  <c r="DW17" i="21"/>
  <c r="EI17" i="21" s="1"/>
  <c r="EB16" i="21"/>
  <c r="EN16" i="21" s="1"/>
  <c r="DX16" i="21"/>
  <c r="EJ16" i="21" s="1"/>
  <c r="EA13" i="21"/>
  <c r="EM13" i="21" s="1"/>
  <c r="DW13" i="21"/>
  <c r="EI13" i="21" s="1"/>
  <c r="EB12" i="21"/>
  <c r="EN12" i="21" s="1"/>
  <c r="DX12" i="21"/>
  <c r="EJ12" i="21" s="1"/>
  <c r="EA9" i="21"/>
  <c r="EM9" i="21" s="1"/>
  <c r="DW9" i="21"/>
  <c r="EI9" i="21" s="1"/>
  <c r="EC42" i="21"/>
  <c r="EO42" i="21" s="1"/>
  <c r="DY42" i="21"/>
  <c r="EK42" i="21" s="1"/>
  <c r="DU42" i="21"/>
  <c r="EG42" i="21" s="1"/>
  <c r="DZ41" i="21"/>
  <c r="EL41" i="21" s="1"/>
  <c r="DV41" i="21"/>
  <c r="EH41" i="21" s="1"/>
  <c r="EC38" i="21"/>
  <c r="EO38" i="21" s="1"/>
  <c r="DY38" i="21"/>
  <c r="EK38" i="21" s="1"/>
  <c r="DU38" i="21"/>
  <c r="EG38" i="21" s="1"/>
  <c r="DZ37" i="21"/>
  <c r="EL37" i="21" s="1"/>
  <c r="DV37" i="21"/>
  <c r="EH37" i="21" s="1"/>
  <c r="EC34" i="21"/>
  <c r="EO34" i="21" s="1"/>
  <c r="DY34" i="21"/>
  <c r="EK34" i="21" s="1"/>
  <c r="DU34" i="21"/>
  <c r="EG34" i="21" s="1"/>
  <c r="DZ33" i="21"/>
  <c r="EL33" i="21" s="1"/>
  <c r="DV33" i="21"/>
  <c r="EH33" i="21" s="1"/>
  <c r="EC30" i="21"/>
  <c r="EO30" i="21" s="1"/>
  <c r="DY30" i="21"/>
  <c r="EK30" i="21" s="1"/>
  <c r="DU30" i="21"/>
  <c r="EG30" i="21" s="1"/>
  <c r="EA28" i="21"/>
  <c r="EM28" i="21" s="1"/>
  <c r="EB27" i="21"/>
  <c r="EN27" i="21" s="1"/>
  <c r="DX27" i="21"/>
  <c r="EJ27" i="21" s="1"/>
  <c r="EC26" i="21"/>
  <c r="EO26" i="21" s="1"/>
  <c r="DY26" i="21"/>
  <c r="EK26" i="21" s="1"/>
  <c r="EA24" i="21"/>
  <c r="EM24" i="21" s="1"/>
  <c r="DW24" i="21"/>
  <c r="EI24" i="21" s="1"/>
  <c r="EB23" i="21"/>
  <c r="EN23" i="21" s="1"/>
  <c r="DX23" i="21"/>
  <c r="EJ23" i="21" s="1"/>
  <c r="EO22" i="21"/>
  <c r="EC22" i="21"/>
  <c r="DY22" i="21"/>
  <c r="EK22" i="21" s="1"/>
  <c r="EA20" i="21"/>
  <c r="EM20" i="21" s="1"/>
  <c r="DW20" i="21"/>
  <c r="EI20" i="21" s="1"/>
  <c r="EC18" i="21"/>
  <c r="EO18" i="21" s="1"/>
  <c r="DY18" i="21"/>
  <c r="EK18" i="21" s="1"/>
  <c r="EA16" i="21"/>
  <c r="EM16" i="21" s="1"/>
  <c r="DW16" i="21"/>
  <c r="EI16" i="21" s="1"/>
  <c r="EB15" i="21"/>
  <c r="EN15" i="21" s="1"/>
  <c r="DX15" i="21"/>
  <c r="EJ15" i="21" s="1"/>
  <c r="EA12" i="21"/>
  <c r="EM12" i="21" s="1"/>
  <c r="DW12" i="21"/>
  <c r="EI12" i="21" s="1"/>
  <c r="EB11" i="21"/>
  <c r="EN11" i="21" s="1"/>
  <c r="DX11" i="21"/>
  <c r="EJ11" i="21" s="1"/>
  <c r="EB8" i="21"/>
  <c r="EN8" i="21" s="1"/>
  <c r="DX8" i="21"/>
  <c r="EJ8" i="21" s="1"/>
  <c r="EQ8" i="21" s="1"/>
  <c r="EC41" i="21"/>
  <c r="EO41" i="21" s="1"/>
  <c r="DY41" i="21"/>
  <c r="EK41" i="21" s="1"/>
  <c r="DU41" i="21"/>
  <c r="EG41" i="21" s="1"/>
  <c r="DZ40" i="21"/>
  <c r="EL40" i="21" s="1"/>
  <c r="DV40" i="21"/>
  <c r="EH40" i="21" s="1"/>
  <c r="EC37" i="21"/>
  <c r="EO37" i="21" s="1"/>
  <c r="DY37" i="21"/>
  <c r="EK37" i="21" s="1"/>
  <c r="DU37" i="21"/>
  <c r="EG37" i="21" s="1"/>
  <c r="DZ36" i="21"/>
  <c r="EL36" i="21" s="1"/>
  <c r="DV36" i="21"/>
  <c r="EH36" i="21" s="1"/>
  <c r="EC33" i="21"/>
  <c r="EO33" i="21" s="1"/>
  <c r="DY33" i="21"/>
  <c r="EK33" i="21" s="1"/>
  <c r="DU33" i="21"/>
  <c r="EG33" i="21" s="1"/>
  <c r="DV32" i="21"/>
  <c r="EH32" i="21" s="1"/>
  <c r="DX30" i="21"/>
  <c r="EJ30" i="21" s="1"/>
  <c r="EC29" i="21"/>
  <c r="EO29" i="21" s="1"/>
  <c r="DY29" i="21"/>
  <c r="EK29" i="21" s="1"/>
  <c r="DU29" i="21"/>
  <c r="EG29" i="21" s="1"/>
  <c r="EA27" i="21"/>
  <c r="EM27" i="21" s="1"/>
  <c r="EB26" i="21"/>
  <c r="EN26" i="21" s="1"/>
  <c r="DX26" i="21"/>
  <c r="EJ26" i="21" s="1"/>
  <c r="EC25" i="21"/>
  <c r="EO25" i="21" s="1"/>
  <c r="DY25" i="21"/>
  <c r="EK25" i="21" s="1"/>
  <c r="DU25" i="21"/>
  <c r="EG25" i="21" s="1"/>
  <c r="EA23" i="21"/>
  <c r="EM23" i="21" s="1"/>
  <c r="DW23" i="21"/>
  <c r="EI23" i="21" s="1"/>
  <c r="EB22" i="21"/>
  <c r="EN22" i="21" s="1"/>
  <c r="DX22" i="21"/>
  <c r="EJ22" i="21" s="1"/>
  <c r="EC21" i="21"/>
  <c r="EO21" i="21" s="1"/>
  <c r="DY21" i="21"/>
  <c r="EK21" i="21" s="1"/>
  <c r="DU21" i="21"/>
  <c r="EG21" i="21" s="1"/>
  <c r="DZ20" i="21"/>
  <c r="EL20" i="21" s="1"/>
  <c r="DV20" i="21"/>
  <c r="EH20" i="21" s="1"/>
  <c r="EQ20" i="21" s="1"/>
  <c r="EA19" i="21"/>
  <c r="EM19" i="21" s="1"/>
  <c r="DW19" i="21"/>
  <c r="EI19" i="21" s="1"/>
  <c r="EB18" i="21"/>
  <c r="EN18" i="21" s="1"/>
  <c r="DX18" i="21"/>
  <c r="EJ18" i="21" s="1"/>
  <c r="ES18" i="21" s="1"/>
  <c r="EC17" i="21"/>
  <c r="EO17" i="21" s="1"/>
  <c r="DY17" i="21"/>
  <c r="EK17" i="21" s="1"/>
  <c r="EA15" i="21"/>
  <c r="EM15" i="21" s="1"/>
  <c r="DW15" i="21"/>
  <c r="EI15" i="21" s="1"/>
  <c r="ES15" i="21" s="1"/>
  <c r="EB14" i="21"/>
  <c r="EN14" i="21" s="1"/>
  <c r="DX14" i="21"/>
  <c r="EJ14" i="21" s="1"/>
  <c r="EA11" i="21"/>
  <c r="EM11" i="21" s="1"/>
  <c r="DW11" i="21"/>
  <c r="EI11" i="21" s="1"/>
  <c r="EN10" i="21"/>
  <c r="EB10" i="21"/>
  <c r="DX10" i="21"/>
  <c r="EJ10" i="21" s="1"/>
  <c r="DV9" i="35"/>
  <c r="EH9" i="35" s="1"/>
  <c r="EB10" i="35"/>
  <c r="EN10" i="35" s="1"/>
  <c r="DZ11" i="35"/>
  <c r="EL11" i="35" s="1"/>
  <c r="DX12" i="35"/>
  <c r="EJ12" i="35" s="1"/>
  <c r="DZ13" i="35"/>
  <c r="EL13" i="35" s="1"/>
  <c r="DX14" i="35"/>
  <c r="EJ14" i="35" s="1"/>
  <c r="DV15" i="35"/>
  <c r="EH15" i="35" s="1"/>
  <c r="DX16" i="35"/>
  <c r="EJ16" i="35" s="1"/>
  <c r="DV17" i="35"/>
  <c r="EH17" i="35" s="1"/>
  <c r="DZ19" i="35"/>
  <c r="EL19" i="35" s="1"/>
  <c r="DX20" i="35"/>
  <c r="EJ20" i="35" s="1"/>
  <c r="DZ21" i="35"/>
  <c r="EL21" i="35" s="1"/>
  <c r="DX22" i="35"/>
  <c r="EJ22" i="35" s="1"/>
  <c r="DV23" i="35"/>
  <c r="EH23" i="35" s="1"/>
  <c r="DX24" i="35"/>
  <c r="EJ24" i="35" s="1"/>
  <c r="EB24" i="35"/>
  <c r="EN24" i="35" s="1"/>
  <c r="EB26" i="35"/>
  <c r="EN26" i="35" s="1"/>
  <c r="DV31" i="35"/>
  <c r="EH31" i="35" s="1"/>
  <c r="DX32" i="35"/>
  <c r="EJ32" i="35" s="1"/>
  <c r="DX34" i="35"/>
  <c r="EJ34" i="35" s="1"/>
  <c r="DV35" i="35"/>
  <c r="EH35" i="35" s="1"/>
  <c r="DV37" i="35"/>
  <c r="EH37" i="35" s="1"/>
  <c r="DV39" i="35"/>
  <c r="EH39" i="35" s="1"/>
  <c r="DZ41" i="35"/>
  <c r="EL41" i="35" s="1"/>
  <c r="DY7" i="35"/>
  <c r="EK6" i="35"/>
  <c r="GC6" i="35"/>
  <c r="FD6" i="35"/>
  <c r="FS6" i="35" s="1"/>
  <c r="DW9" i="35"/>
  <c r="EI9" i="35" s="1"/>
  <c r="EA9" i="35"/>
  <c r="EM9" i="35" s="1"/>
  <c r="DW11" i="35"/>
  <c r="EI11" i="35" s="1"/>
  <c r="EA11" i="35"/>
  <c r="EM11" i="35" s="1"/>
  <c r="DW13" i="35"/>
  <c r="EI13" i="35" s="1"/>
  <c r="EA13" i="35"/>
  <c r="EM13" i="35" s="1"/>
  <c r="DW15" i="35"/>
  <c r="EI15" i="35" s="1"/>
  <c r="EA15" i="35"/>
  <c r="EM15" i="35" s="1"/>
  <c r="DY20" i="35"/>
  <c r="EK20" i="35" s="1"/>
  <c r="EC20" i="35"/>
  <c r="EO20" i="35"/>
  <c r="DY22" i="35"/>
  <c r="EK22" i="35" s="1"/>
  <c r="DY24" i="35"/>
  <c r="EK24" i="35" s="1"/>
  <c r="DU26" i="35"/>
  <c r="EG26" i="35" s="1"/>
  <c r="EC26" i="35"/>
  <c r="EO26" i="35" s="1"/>
  <c r="DY28" i="35"/>
  <c r="EK28" i="35" s="1"/>
  <c r="DU30" i="35"/>
  <c r="EG30" i="35" s="1"/>
  <c r="EC30" i="35"/>
  <c r="EO30" i="35" s="1"/>
  <c r="DW33" i="35"/>
  <c r="EI33" i="35" s="1"/>
  <c r="EA33" i="35"/>
  <c r="EM33" i="35" s="1"/>
  <c r="DU36" i="35"/>
  <c r="EG36" i="35" s="1"/>
  <c r="DU38" i="35"/>
  <c r="EG38" i="35" s="1"/>
  <c r="EC38" i="35"/>
  <c r="EO38" i="35" s="1"/>
  <c r="DY40" i="35"/>
  <c r="EK40" i="35" s="1"/>
  <c r="DU42" i="35"/>
  <c r="EG42" i="35" s="1"/>
  <c r="EC42" i="35"/>
  <c r="EO42" i="35" s="1"/>
  <c r="DX9" i="35"/>
  <c r="EJ9" i="35" s="1"/>
  <c r="EB9" i="35"/>
  <c r="EN9" i="35" s="1"/>
  <c r="DV10" i="35"/>
  <c r="EH10" i="35" s="1"/>
  <c r="DZ10" i="35"/>
  <c r="EL10" i="35" s="1"/>
  <c r="DX11" i="35"/>
  <c r="EJ11" i="35" s="1"/>
  <c r="EB11" i="35"/>
  <c r="EN11" i="35"/>
  <c r="DV12" i="35"/>
  <c r="EH12" i="35" s="1"/>
  <c r="DZ12" i="35"/>
  <c r="EL12" i="35" s="1"/>
  <c r="DX13" i="35"/>
  <c r="EJ13" i="35" s="1"/>
  <c r="EB13" i="35"/>
  <c r="EN13" i="35" s="1"/>
  <c r="DV14" i="35"/>
  <c r="EH14" i="35" s="1"/>
  <c r="DZ14" i="35"/>
  <c r="EL14" i="35" s="1"/>
  <c r="DX15" i="35"/>
  <c r="EJ15" i="35" s="1"/>
  <c r="EB15" i="35"/>
  <c r="EN15" i="35" s="1"/>
  <c r="DV16" i="35"/>
  <c r="EH16" i="35" s="1"/>
  <c r="DZ16" i="35"/>
  <c r="EL16" i="35" s="1"/>
  <c r="EB17" i="35"/>
  <c r="EN17" i="35" s="1"/>
  <c r="DV18" i="35"/>
  <c r="EH18" i="35" s="1"/>
  <c r="DZ18" i="35"/>
  <c r="EL18" i="35" s="1"/>
  <c r="DX19" i="35"/>
  <c r="EJ19" i="35" s="1"/>
  <c r="EB19" i="35"/>
  <c r="EN19" i="35" s="1"/>
  <c r="DV20" i="35"/>
  <c r="EH20" i="35" s="1"/>
  <c r="DZ20" i="35"/>
  <c r="EL20" i="35" s="1"/>
  <c r="DX21" i="35"/>
  <c r="EJ21" i="35" s="1"/>
  <c r="EB21" i="35"/>
  <c r="EN21" i="35" s="1"/>
  <c r="DV22" i="35"/>
  <c r="EH22" i="35" s="1"/>
  <c r="DZ22" i="35"/>
  <c r="EL22" i="35" s="1"/>
  <c r="DX23" i="35"/>
  <c r="EJ23" i="35" s="1"/>
  <c r="EB23" i="35"/>
  <c r="EN23" i="35" s="1"/>
  <c r="DX25" i="35"/>
  <c r="EJ25" i="35" s="1"/>
  <c r="EB25" i="35"/>
  <c r="EN25" i="35" s="1"/>
  <c r="EB27" i="35"/>
  <c r="EN27" i="35"/>
  <c r="EB29" i="35"/>
  <c r="EN29" i="35" s="1"/>
  <c r="DZ30" i="35"/>
  <c r="EL30" i="35" s="1"/>
  <c r="EB31" i="35"/>
  <c r="EN31" i="35" s="1"/>
  <c r="DV32" i="35"/>
  <c r="EH32" i="35" s="1"/>
  <c r="DZ32" i="35"/>
  <c r="EL32" i="35" s="1"/>
  <c r="DX33" i="35"/>
  <c r="EJ33" i="35" s="1"/>
  <c r="EB33" i="35"/>
  <c r="EN33" i="35" s="1"/>
  <c r="DV34" i="35"/>
  <c r="EH34" i="35" s="1"/>
  <c r="DZ34" i="35"/>
  <c r="EL34" i="35"/>
  <c r="DV36" i="35"/>
  <c r="EH36" i="35" s="1"/>
  <c r="DZ36" i="35"/>
  <c r="EL36" i="35" s="1"/>
  <c r="DV38" i="35"/>
  <c r="EH38" i="35" s="1"/>
  <c r="DZ38" i="35"/>
  <c r="EL38" i="35" s="1"/>
  <c r="DV40" i="35"/>
  <c r="EH40" i="35" s="1"/>
  <c r="DZ40" i="35"/>
  <c r="EL40" i="35" s="1"/>
  <c r="DV42" i="35"/>
  <c r="EH42" i="35" s="1"/>
  <c r="DZ42" i="35"/>
  <c r="EL42" i="35" s="1"/>
  <c r="I7" i="35"/>
  <c r="R7" i="35" s="1"/>
  <c r="AA7" i="35" s="1"/>
  <c r="AJ7" i="35" s="1"/>
  <c r="AS7" i="35" s="1"/>
  <c r="BB7" i="35" s="1"/>
  <c r="BK7" i="35" s="1"/>
  <c r="BT7" i="35" s="1"/>
  <c r="CC7" i="35" s="1"/>
  <c r="DD7" i="35" s="1"/>
  <c r="EM6" i="35"/>
  <c r="EI6" i="35"/>
  <c r="DW7" i="35"/>
  <c r="EB8" i="35"/>
  <c r="EN8" i="35" s="1"/>
  <c r="DZ9" i="35"/>
  <c r="EL9" i="35"/>
  <c r="DX10" i="35"/>
  <c r="EJ10" i="35" s="1"/>
  <c r="DV11" i="35"/>
  <c r="EH11" i="35" s="1"/>
  <c r="ER11" i="35" s="1"/>
  <c r="EV11" i="35" s="1"/>
  <c r="EB12" i="35"/>
  <c r="EN12" i="35" s="1"/>
  <c r="DV13" i="35"/>
  <c r="EH13" i="35" s="1"/>
  <c r="EB14" i="35"/>
  <c r="EN14" i="35" s="1"/>
  <c r="DZ15" i="35"/>
  <c r="EL15" i="35" s="1"/>
  <c r="EB16" i="35"/>
  <c r="EN16" i="35" s="1"/>
  <c r="DZ17" i="35"/>
  <c r="EL17" i="35" s="1"/>
  <c r="DV19" i="35"/>
  <c r="EH19" i="35" s="1"/>
  <c r="EB20" i="35"/>
  <c r="EN20" i="35" s="1"/>
  <c r="DV21" i="35"/>
  <c r="EH21" i="35" s="1"/>
  <c r="EB22" i="35"/>
  <c r="EN22" i="35" s="1"/>
  <c r="DZ23" i="35"/>
  <c r="EL23" i="35" s="1"/>
  <c r="EB28" i="35"/>
  <c r="EN28" i="35" s="1"/>
  <c r="EB30" i="35"/>
  <c r="EN30" i="35" s="1"/>
  <c r="DZ31" i="35"/>
  <c r="EL31" i="35" s="1"/>
  <c r="EB32" i="35"/>
  <c r="EN32" i="35" s="1"/>
  <c r="EB34" i="35"/>
  <c r="EN34" i="35" s="1"/>
  <c r="DZ35" i="35"/>
  <c r="EL35" i="35" s="1"/>
  <c r="DZ37" i="35"/>
  <c r="EL37" i="35" s="1"/>
  <c r="DZ39" i="35"/>
  <c r="EL39" i="35"/>
  <c r="DV41" i="35"/>
  <c r="EH41" i="35" s="1"/>
  <c r="DW17" i="35"/>
  <c r="EI17" i="35" s="1"/>
  <c r="EA17" i="35"/>
  <c r="EM17" i="35" s="1"/>
  <c r="DU20" i="35"/>
  <c r="EG20" i="35" s="1"/>
  <c r="DU22" i="35"/>
  <c r="EG22" i="35" s="1"/>
  <c r="EC22" i="35"/>
  <c r="EO22" i="35" s="1"/>
  <c r="DU24" i="35"/>
  <c r="EG24" i="35" s="1"/>
  <c r="EC24" i="35"/>
  <c r="EO24" i="35" s="1"/>
  <c r="DY26" i="35"/>
  <c r="EK26" i="35" s="1"/>
  <c r="DU28" i="35"/>
  <c r="EG28" i="35" s="1"/>
  <c r="EC28" i="35"/>
  <c r="EO28" i="35" s="1"/>
  <c r="DY30" i="35"/>
  <c r="EK30" i="35" s="1"/>
  <c r="DY36" i="35"/>
  <c r="EK36" i="35" s="1"/>
  <c r="EC36" i="35"/>
  <c r="EO36" i="35" s="1"/>
  <c r="DY38" i="35"/>
  <c r="EK38" i="35" s="1"/>
  <c r="DU40" i="35"/>
  <c r="EG40" i="35" s="1"/>
  <c r="EC40" i="35"/>
  <c r="EO40" i="35" s="1"/>
  <c r="DY42" i="35"/>
  <c r="EK42" i="35" s="1"/>
  <c r="EJ6" i="35"/>
  <c r="DX7" i="35"/>
  <c r="DW10" i="35"/>
  <c r="EI10" i="35" s="1"/>
  <c r="EA10" i="35"/>
  <c r="EM10" i="35" s="1"/>
  <c r="DW12" i="35"/>
  <c r="EI12" i="35" s="1"/>
  <c r="EA12" i="35"/>
  <c r="EM12" i="35" s="1"/>
  <c r="DW14" i="35"/>
  <c r="EI14" i="35" s="1"/>
  <c r="EA14" i="35"/>
  <c r="EM14" i="35" s="1"/>
  <c r="DW16" i="35"/>
  <c r="EI16" i="35" s="1"/>
  <c r="EA16" i="35"/>
  <c r="EM16" i="35" s="1"/>
  <c r="DW18" i="35"/>
  <c r="EI18" i="35" s="1"/>
  <c r="EA18" i="35"/>
  <c r="EM18" i="35" s="1"/>
  <c r="DU19" i="35"/>
  <c r="EG19" i="35" s="1"/>
  <c r="DY19" i="35"/>
  <c r="EK19" i="35" s="1"/>
  <c r="EC19" i="35"/>
  <c r="EO19" i="35" s="1"/>
  <c r="DU21" i="35"/>
  <c r="EG21" i="35" s="1"/>
  <c r="DY21" i="35"/>
  <c r="EK21" i="35" s="1"/>
  <c r="EC21" i="35"/>
  <c r="EO21" i="35" s="1"/>
  <c r="DU23" i="35"/>
  <c r="EG23" i="35" s="1"/>
  <c r="DY23" i="35"/>
  <c r="EK23" i="35" s="1"/>
  <c r="EC23" i="35"/>
  <c r="EO23" i="35" s="1"/>
  <c r="DU25" i="35"/>
  <c r="EG25" i="35" s="1"/>
  <c r="DY25" i="35"/>
  <c r="EK25" i="35" s="1"/>
  <c r="EC25" i="35"/>
  <c r="EO25" i="35" s="1"/>
  <c r="DU27" i="35"/>
  <c r="EG27" i="35" s="1"/>
  <c r="DY27" i="35"/>
  <c r="EK27" i="35" s="1"/>
  <c r="EC27" i="35"/>
  <c r="EO27" i="35" s="1"/>
  <c r="DU29" i="35"/>
  <c r="EG29" i="35" s="1"/>
  <c r="DY29" i="35"/>
  <c r="EK29" i="35" s="1"/>
  <c r="EC29" i="35"/>
  <c r="EO29" i="35" s="1"/>
  <c r="DU31" i="35"/>
  <c r="EG31" i="35" s="1"/>
  <c r="DY31" i="35"/>
  <c r="EK31" i="35" s="1"/>
  <c r="EC31" i="35"/>
  <c r="EO31" i="35" s="1"/>
  <c r="DW32" i="35"/>
  <c r="EI32" i="35" s="1"/>
  <c r="EA32" i="35"/>
  <c r="EM32" i="35" s="1"/>
  <c r="DW34" i="35"/>
  <c r="EI34" i="35" s="1"/>
  <c r="EA34" i="35"/>
  <c r="EM34" i="35" s="1"/>
  <c r="DU35" i="35"/>
  <c r="EG35" i="35" s="1"/>
  <c r="DY35" i="35"/>
  <c r="EK35" i="35" s="1"/>
  <c r="EC35" i="35"/>
  <c r="EO35" i="35" s="1"/>
  <c r="DU37" i="35"/>
  <c r="EG37" i="35" s="1"/>
  <c r="DY37" i="35"/>
  <c r="EK37" i="35" s="1"/>
  <c r="EC37" i="35"/>
  <c r="EO37" i="35" s="1"/>
  <c r="DU39" i="35"/>
  <c r="EG39" i="35" s="1"/>
  <c r="DY39" i="35"/>
  <c r="EK39" i="35" s="1"/>
  <c r="EC39" i="35"/>
  <c r="EO39" i="35" s="1"/>
  <c r="DU41" i="35"/>
  <c r="EG41" i="35" s="1"/>
  <c r="DY41" i="35"/>
  <c r="EK41" i="35" s="1"/>
  <c r="EC41" i="35"/>
  <c r="EO41" i="35" s="1"/>
  <c r="DU7" i="35"/>
  <c r="EG6" i="35"/>
  <c r="H7" i="35"/>
  <c r="Q7" i="35" s="1"/>
  <c r="Z7" i="35" s="1"/>
  <c r="AI7" i="35" s="1"/>
  <c r="AR7" i="35" s="1"/>
  <c r="BA7" i="35" s="1"/>
  <c r="BJ7" i="35" s="1"/>
  <c r="BS7" i="35" s="1"/>
  <c r="CB7" i="35" s="1"/>
  <c r="DC7" i="35" s="1"/>
  <c r="DZ7" i="35"/>
  <c r="EL6" i="35"/>
  <c r="DV7" i="35"/>
  <c r="EH6" i="35"/>
  <c r="DX8" i="35"/>
  <c r="EJ8" i="35" s="1"/>
  <c r="EQ8" i="35" s="1"/>
  <c r="DZ43" i="33"/>
  <c r="EL43" i="33" s="1"/>
  <c r="DY40" i="33"/>
  <c r="EK40" i="33" s="1"/>
  <c r="DZ39" i="33"/>
  <c r="EL39" i="33" s="1"/>
  <c r="DY36" i="33"/>
  <c r="EK36" i="33" s="1"/>
  <c r="DZ35" i="33"/>
  <c r="EL35" i="33" s="1"/>
  <c r="EB33" i="33"/>
  <c r="EN33" i="33" s="1"/>
  <c r="DX33" i="33"/>
  <c r="EJ33" i="33" s="1"/>
  <c r="DV31" i="33"/>
  <c r="EH31" i="33" s="1"/>
  <c r="DW30" i="33"/>
  <c r="EI30" i="33" s="1"/>
  <c r="EB29" i="33"/>
  <c r="EN29" i="33" s="1"/>
  <c r="EC28" i="33"/>
  <c r="EO28" i="33" s="1"/>
  <c r="DU28" i="33"/>
  <c r="EG28" i="33" s="1"/>
  <c r="DV27" i="33"/>
  <c r="EH27" i="33" s="1"/>
  <c r="DZ23" i="33"/>
  <c r="EL23" i="33" s="1"/>
  <c r="DV23" i="33"/>
  <c r="EH23" i="33" s="1"/>
  <c r="DW22" i="33"/>
  <c r="EI22" i="33" s="1"/>
  <c r="EC20" i="33"/>
  <c r="EO20" i="33" s="1"/>
  <c r="DU20" i="33"/>
  <c r="EG20" i="33" s="1"/>
  <c r="DV19" i="33"/>
  <c r="EH19" i="33" s="1"/>
  <c r="DV15" i="33"/>
  <c r="EH15" i="33" s="1"/>
  <c r="DW14" i="33"/>
  <c r="EI14" i="33" s="1"/>
  <c r="DZ11" i="33"/>
  <c r="EL11" i="33" s="1"/>
  <c r="EA10" i="33"/>
  <c r="EM10" i="33" s="1"/>
  <c r="EB9" i="33"/>
  <c r="EN9" i="33" s="1"/>
  <c r="DY43" i="33"/>
  <c r="EK43" i="33" s="1"/>
  <c r="DZ42" i="33"/>
  <c r="EL42" i="33" s="1"/>
  <c r="EC39" i="33"/>
  <c r="EO39" i="33" s="1"/>
  <c r="DU39" i="33"/>
  <c r="EG39" i="33" s="1"/>
  <c r="DY35" i="33"/>
  <c r="EK35" i="33" s="1"/>
  <c r="DZ34" i="33"/>
  <c r="EL34" i="33" s="1"/>
  <c r="EA33" i="33"/>
  <c r="EM33" i="33" s="1"/>
  <c r="EB32" i="33"/>
  <c r="EN32" i="33" s="1"/>
  <c r="DZ30" i="33"/>
  <c r="EL30" i="33" s="1"/>
  <c r="DW29" i="33"/>
  <c r="EI29" i="33" s="1"/>
  <c r="DY27" i="33"/>
  <c r="EK27" i="33" s="1"/>
  <c r="DZ26" i="33"/>
  <c r="EL26" i="33" s="1"/>
  <c r="EA25" i="33"/>
  <c r="EM25" i="33" s="1"/>
  <c r="DW25" i="33"/>
  <c r="EI25" i="33" s="1"/>
  <c r="DV22" i="33"/>
  <c r="EH22" i="33" s="1"/>
  <c r="DW21" i="33"/>
  <c r="EI21" i="33" s="1"/>
  <c r="DY19" i="33"/>
  <c r="EK19" i="33" s="1"/>
  <c r="DV18" i="33"/>
  <c r="EH18" i="33" s="1"/>
  <c r="EB8" i="33"/>
  <c r="EN8" i="33" s="1"/>
  <c r="DX8" i="33"/>
  <c r="EJ8" i="33" s="1"/>
  <c r="EC42" i="33"/>
  <c r="EO42" i="33" s="1"/>
  <c r="DY42" i="33"/>
  <c r="EK42" i="33" s="1"/>
  <c r="DU42" i="33"/>
  <c r="EG42" i="33" s="1"/>
  <c r="DZ41" i="33"/>
  <c r="EL41" i="33" s="1"/>
  <c r="DV41" i="33"/>
  <c r="EH41" i="33" s="1"/>
  <c r="EC38" i="33"/>
  <c r="EO38" i="33" s="1"/>
  <c r="DY38" i="33"/>
  <c r="EK38" i="33" s="1"/>
  <c r="DU38" i="33"/>
  <c r="EG38" i="33" s="1"/>
  <c r="DZ37" i="33"/>
  <c r="EL37" i="33" s="1"/>
  <c r="DV37" i="33"/>
  <c r="EH37" i="33" s="1"/>
  <c r="EC34" i="33"/>
  <c r="EO34" i="33" s="1"/>
  <c r="DY34" i="33"/>
  <c r="EK34" i="33" s="1"/>
  <c r="DU34" i="33"/>
  <c r="EG34" i="33" s="1"/>
  <c r="DZ33" i="33"/>
  <c r="EL33" i="33" s="1"/>
  <c r="DV33" i="33"/>
  <c r="EH33" i="33" s="1"/>
  <c r="EA32" i="33"/>
  <c r="EM32" i="33" s="1"/>
  <c r="DW32" i="33"/>
  <c r="EI32" i="33" s="1"/>
  <c r="EB31" i="33"/>
  <c r="EN31" i="33" s="1"/>
  <c r="DX31" i="33"/>
  <c r="EJ31" i="33" s="1"/>
  <c r="DZ29" i="33"/>
  <c r="EL29" i="33" s="1"/>
  <c r="DV29" i="33"/>
  <c r="EH29" i="33" s="1"/>
  <c r="EC26" i="33"/>
  <c r="EO26" i="33" s="1"/>
  <c r="DY26" i="33"/>
  <c r="EK26" i="33" s="1"/>
  <c r="DU26" i="33"/>
  <c r="EG26" i="33"/>
  <c r="DZ25" i="33"/>
  <c r="EL25" i="33" s="1"/>
  <c r="DV25" i="33"/>
  <c r="EH25" i="33" s="1"/>
  <c r="EA24" i="33"/>
  <c r="EM24" i="33" s="1"/>
  <c r="DW24" i="33"/>
  <c r="EI24" i="33" s="1"/>
  <c r="DZ21" i="33"/>
  <c r="EL21" i="33" s="1"/>
  <c r="DV21" i="33"/>
  <c r="EH21" i="33" s="1"/>
  <c r="DY18" i="33"/>
  <c r="EK18" i="33" s="1"/>
  <c r="DZ17" i="33"/>
  <c r="EL17" i="33" s="1"/>
  <c r="DV17" i="33"/>
  <c r="EH17" i="33" s="1"/>
  <c r="EA16" i="33"/>
  <c r="EM16" i="33" s="1"/>
  <c r="DW16" i="33"/>
  <c r="EI16" i="33" s="1"/>
  <c r="DZ13" i="33"/>
  <c r="EL13" i="33" s="1"/>
  <c r="DV13" i="33"/>
  <c r="EH13" i="33" s="1"/>
  <c r="EA12" i="33"/>
  <c r="EM12" i="33" s="1"/>
  <c r="DW12" i="33"/>
  <c r="EI12" i="33" s="1"/>
  <c r="EB11" i="33"/>
  <c r="EN11" i="33"/>
  <c r="DX11" i="33"/>
  <c r="EJ11" i="33" s="1"/>
  <c r="DZ9" i="33"/>
  <c r="EL9" i="33" s="1"/>
  <c r="DV9" i="33"/>
  <c r="EH9" i="33" s="1"/>
  <c r="DY7" i="33"/>
  <c r="EK6" i="33"/>
  <c r="DV43" i="33"/>
  <c r="EH43" i="33" s="1"/>
  <c r="EC40" i="33"/>
  <c r="EO40" i="33" s="1"/>
  <c r="DU40" i="33"/>
  <c r="EG40" i="33" s="1"/>
  <c r="DV39" i="33"/>
  <c r="EH39" i="33" s="1"/>
  <c r="EC36" i="33"/>
  <c r="EO36" i="33" s="1"/>
  <c r="DU36" i="33"/>
  <c r="EG36" i="33" s="1"/>
  <c r="DV35" i="33"/>
  <c r="EH35" i="33" s="1"/>
  <c r="DZ31" i="33"/>
  <c r="EL31" i="33" s="1"/>
  <c r="EA30" i="33"/>
  <c r="EM30" i="33" s="1"/>
  <c r="DX29" i="33"/>
  <c r="EJ29" i="33" s="1"/>
  <c r="DZ27" i="33"/>
  <c r="EL27" i="33" s="1"/>
  <c r="EA22" i="33"/>
  <c r="EM22" i="33" s="1"/>
  <c r="DY20" i="33"/>
  <c r="EK20" i="33" s="1"/>
  <c r="DZ19" i="33"/>
  <c r="EL19" i="33"/>
  <c r="EA18" i="33"/>
  <c r="EM18" i="33" s="1"/>
  <c r="DW18" i="33"/>
  <c r="EI18" i="33" s="1"/>
  <c r="DZ15" i="33"/>
  <c r="EL15" i="33" s="1"/>
  <c r="EA14" i="33"/>
  <c r="EM14" i="33" s="1"/>
  <c r="DV11" i="33"/>
  <c r="EH11" i="33" s="1"/>
  <c r="DW10" i="33"/>
  <c r="EI10" i="33" s="1"/>
  <c r="DX9" i="33"/>
  <c r="EJ9" i="33" s="1"/>
  <c r="EJ6" i="33"/>
  <c r="DX7" i="33"/>
  <c r="EC43" i="33"/>
  <c r="EO43" i="33" s="1"/>
  <c r="DU43" i="33"/>
  <c r="EG43" i="33" s="1"/>
  <c r="DV42" i="33"/>
  <c r="EH42" i="33" s="1"/>
  <c r="DY39" i="33"/>
  <c r="EK39" i="33" s="1"/>
  <c r="DZ38" i="33"/>
  <c r="EL38" i="33" s="1"/>
  <c r="DV38" i="33"/>
  <c r="EH38" i="33" s="1"/>
  <c r="EC35" i="33"/>
  <c r="EO35" i="33" s="1"/>
  <c r="DU35" i="33"/>
  <c r="EG35" i="33" s="1"/>
  <c r="DV34" i="33"/>
  <c r="EH34" i="33" s="1"/>
  <c r="DW33" i="33"/>
  <c r="EI33" i="33" s="1"/>
  <c r="DX32" i="33"/>
  <c r="EJ32" i="33" s="1"/>
  <c r="EA29" i="33"/>
  <c r="EM29" i="33" s="1"/>
  <c r="EC27" i="33"/>
  <c r="EO27" i="33" s="1"/>
  <c r="DU27" i="33"/>
  <c r="EG27" i="33" s="1"/>
  <c r="DV26" i="33"/>
  <c r="EH26" i="33" s="1"/>
  <c r="DZ22" i="33"/>
  <c r="EL22" i="33" s="1"/>
  <c r="EA21" i="33"/>
  <c r="EM21" i="33" s="1"/>
  <c r="EC19" i="33"/>
  <c r="EO19" i="33" s="1"/>
  <c r="DU19" i="33"/>
  <c r="EG19" i="33" s="1"/>
  <c r="DZ18" i="33"/>
  <c r="EL18" i="33" s="1"/>
  <c r="EA17" i="33"/>
  <c r="EM17" i="33" s="1"/>
  <c r="DW17" i="33"/>
  <c r="EI17" i="33" s="1"/>
  <c r="DZ14" i="33"/>
  <c r="EL14" i="33" s="1"/>
  <c r="DV14" i="33"/>
  <c r="EH14" i="33" s="1"/>
  <c r="EA13" i="33"/>
  <c r="EM13" i="33" s="1"/>
  <c r="DW13" i="33"/>
  <c r="EI13" i="33" s="1"/>
  <c r="DZ10" i="33"/>
  <c r="EL10" i="33" s="1"/>
  <c r="DV10" i="33"/>
  <c r="EH10" i="33" s="1"/>
  <c r="EA9" i="33"/>
  <c r="EM9" i="33" s="1"/>
  <c r="DW9" i="33"/>
  <c r="EI9" i="33" s="1"/>
  <c r="EI6" i="33"/>
  <c r="DW7" i="33"/>
  <c r="DU7" i="33"/>
  <c r="EG6" i="33"/>
  <c r="DZ7" i="33"/>
  <c r="EL6" i="33"/>
  <c r="DV7" i="33"/>
  <c r="EH6" i="33"/>
  <c r="EC41" i="33"/>
  <c r="EO41" i="33" s="1"/>
  <c r="DY41" i="33"/>
  <c r="EK41" i="33" s="1"/>
  <c r="DU41" i="33"/>
  <c r="EG41" i="33" s="1"/>
  <c r="DZ40" i="33"/>
  <c r="EL40" i="33"/>
  <c r="DV40" i="33"/>
  <c r="EH40" i="33" s="1"/>
  <c r="EC37" i="33"/>
  <c r="EO37" i="33" s="1"/>
  <c r="DY37" i="33"/>
  <c r="EK37" i="33" s="1"/>
  <c r="DU37" i="33"/>
  <c r="EG37" i="33" s="1"/>
  <c r="DZ36" i="33"/>
  <c r="EL36" i="33" s="1"/>
  <c r="DV36" i="33"/>
  <c r="EH36" i="33" s="1"/>
  <c r="EB34" i="33"/>
  <c r="EN34" i="33" s="1"/>
  <c r="DZ32" i="33"/>
  <c r="EL32" i="33" s="1"/>
  <c r="DV32" i="33"/>
  <c r="EH32" i="33" s="1"/>
  <c r="EA31" i="33"/>
  <c r="EM31" i="33" s="1"/>
  <c r="DW31" i="33"/>
  <c r="EI31" i="33" s="1"/>
  <c r="EB30" i="33"/>
  <c r="EN30" i="33" s="1"/>
  <c r="DX30" i="33"/>
  <c r="EJ30" i="33"/>
  <c r="DZ28" i="33"/>
  <c r="EL28" i="33" s="1"/>
  <c r="DV28" i="33"/>
  <c r="EH28" i="33" s="1"/>
  <c r="DZ24" i="33"/>
  <c r="EL24" i="33" s="1"/>
  <c r="DV24" i="33"/>
  <c r="EH24" i="33" s="1"/>
  <c r="EA23" i="33"/>
  <c r="EM23" i="33"/>
  <c r="DW23" i="33"/>
  <c r="EI23" i="33" s="1"/>
  <c r="DZ20" i="33"/>
  <c r="EL20" i="33" s="1"/>
  <c r="DV20" i="33"/>
  <c r="EH20" i="33" s="1"/>
  <c r="DZ16" i="33"/>
  <c r="EL16" i="33" s="1"/>
  <c r="DV16" i="33"/>
  <c r="EH16" i="33" s="1"/>
  <c r="EM15" i="33"/>
  <c r="EA15" i="33"/>
  <c r="DW15" i="33"/>
  <c r="EI15" i="33" s="1"/>
  <c r="DZ12" i="33"/>
  <c r="EL12" i="33" s="1"/>
  <c r="DV12" i="33"/>
  <c r="EH12" i="33" s="1"/>
  <c r="ES12" i="33" s="1"/>
  <c r="EA11" i="33"/>
  <c r="EM11" i="33" s="1"/>
  <c r="DW11" i="33"/>
  <c r="EI11" i="33" s="1"/>
  <c r="EB10" i="33"/>
  <c r="EN10" i="33" s="1"/>
  <c r="DX10" i="33"/>
  <c r="EJ10" i="33" s="1"/>
  <c r="GA39" i="20"/>
  <c r="GO39" i="20" s="1"/>
  <c r="GA37" i="20"/>
  <c r="GO37" i="20" s="1"/>
  <c r="FW35" i="20"/>
  <c r="GK35" i="20" s="1"/>
  <c r="GA31" i="20"/>
  <c r="GO31" i="20" s="1"/>
  <c r="GA29" i="20"/>
  <c r="GO29" i="20" s="1"/>
  <c r="FW29" i="20"/>
  <c r="GK29" i="20" s="1"/>
  <c r="FW27" i="20"/>
  <c r="GK27" i="20" s="1"/>
  <c r="GA25" i="20"/>
  <c r="GO25" i="20" s="1"/>
  <c r="GC24" i="20"/>
  <c r="GQ24" i="20" s="1"/>
  <c r="GC22" i="20"/>
  <c r="GQ22" i="20" s="1"/>
  <c r="GA21" i="20"/>
  <c r="GO21" i="20"/>
  <c r="GC20" i="20"/>
  <c r="GQ20" i="20" s="1"/>
  <c r="FW19" i="20"/>
  <c r="GK19" i="20" s="1"/>
  <c r="FU18" i="20"/>
  <c r="GI18" i="20" s="1"/>
  <c r="FW17" i="20"/>
  <c r="GK17" i="20" s="1"/>
  <c r="FY16" i="20"/>
  <c r="GM16" i="20" s="1"/>
  <c r="GA15" i="20"/>
  <c r="GO15" i="20" s="1"/>
  <c r="FW15" i="20"/>
  <c r="GK15" i="20" s="1"/>
  <c r="GA11" i="20"/>
  <c r="GO11" i="20" s="1"/>
  <c r="FW11" i="20"/>
  <c r="GK11" i="20" s="1"/>
  <c r="GA9" i="20"/>
  <c r="GO9" i="20" s="1"/>
  <c r="GB42" i="20"/>
  <c r="GP42" i="20" s="1"/>
  <c r="FX40" i="20"/>
  <c r="GL40" i="20" s="1"/>
  <c r="FX38" i="20"/>
  <c r="GL38" i="20" s="1"/>
  <c r="FX34" i="20"/>
  <c r="GL34" i="20" s="1"/>
  <c r="GD29" i="20"/>
  <c r="GR29" i="20" s="1"/>
  <c r="FV29" i="20"/>
  <c r="GJ29" i="20" s="1"/>
  <c r="GD27" i="20"/>
  <c r="GR27" i="20" s="1"/>
  <c r="GB22" i="20"/>
  <c r="GP22" i="20" s="1"/>
  <c r="GB20" i="20"/>
  <c r="GP20" i="20" s="1"/>
  <c r="FX18" i="20"/>
  <c r="GL18" i="20" s="1"/>
  <c r="GD15" i="20"/>
  <c r="GR15" i="20" s="1"/>
  <c r="FV15" i="20"/>
  <c r="GJ15" i="20" s="1"/>
  <c r="FZ13" i="20"/>
  <c r="GN13" i="20" s="1"/>
  <c r="GD11" i="20"/>
  <c r="GR11" i="20" s="1"/>
  <c r="FV11" i="20"/>
  <c r="GJ11" i="20" s="1"/>
  <c r="FV9" i="20"/>
  <c r="GJ9" i="20" s="1"/>
  <c r="FW41" i="20"/>
  <c r="GK41" i="20" s="1"/>
  <c r="FW39" i="20"/>
  <c r="GK39" i="20" s="1"/>
  <c r="GA35" i="20"/>
  <c r="GO35" i="20" s="1"/>
  <c r="GA33" i="20"/>
  <c r="GO33" i="20" s="1"/>
  <c r="FW31" i="20"/>
  <c r="GK31" i="20" s="1"/>
  <c r="GA23" i="20"/>
  <c r="GO23" i="20" s="1"/>
  <c r="FY22" i="20"/>
  <c r="GM22" i="20" s="1"/>
  <c r="FU22" i="20"/>
  <c r="GI22" i="20" s="1"/>
  <c r="FW21" i="20"/>
  <c r="GK21" i="20" s="1"/>
  <c r="GA19" i="20"/>
  <c r="GO19" i="20" s="1"/>
  <c r="GC18" i="20"/>
  <c r="GQ18" i="20" s="1"/>
  <c r="FY18" i="20"/>
  <c r="GM18" i="20" s="1"/>
  <c r="GA17" i="20"/>
  <c r="GO17" i="20" s="1"/>
  <c r="GC16" i="20"/>
  <c r="GQ16" i="20" s="1"/>
  <c r="FU16" i="20"/>
  <c r="GI16" i="20" s="1"/>
  <c r="FW13" i="20"/>
  <c r="GK13" i="20" s="1"/>
  <c r="FW9" i="20"/>
  <c r="GK9" i="20" s="1"/>
  <c r="FX42" i="20"/>
  <c r="GL42" i="20" s="1"/>
  <c r="GB40" i="20"/>
  <c r="GP40" i="20" s="1"/>
  <c r="GB38" i="20"/>
  <c r="GP38" i="20" s="1"/>
  <c r="GB36" i="20"/>
  <c r="GP36" i="20" s="1"/>
  <c r="GB34" i="20"/>
  <c r="GP34" i="20" s="1"/>
  <c r="GB32" i="20"/>
  <c r="GP32" i="20" s="1"/>
  <c r="FX32" i="20"/>
  <c r="GL32" i="20" s="1"/>
  <c r="FZ29" i="20"/>
  <c r="GN29" i="20" s="1"/>
  <c r="GB24" i="20"/>
  <c r="GP24" i="20" s="1"/>
  <c r="FX22" i="20"/>
  <c r="GL22" i="20" s="1"/>
  <c r="FX20" i="20"/>
  <c r="GL20" i="20" s="1"/>
  <c r="GB18" i="20"/>
  <c r="GP18" i="20" s="1"/>
  <c r="FZ15" i="20"/>
  <c r="GN15" i="20" s="1"/>
  <c r="GD13" i="20"/>
  <c r="GR13" i="20" s="1"/>
  <c r="FV13" i="20"/>
  <c r="GJ13" i="20" s="1"/>
  <c r="FZ11" i="20"/>
  <c r="GN11" i="20" s="1"/>
  <c r="FZ9" i="20"/>
  <c r="GN9" i="20" s="1"/>
  <c r="GA42" i="20"/>
  <c r="GO42" i="20" s="1"/>
  <c r="FW42" i="20"/>
  <c r="GK42" i="20" s="1"/>
  <c r="GA40" i="20"/>
  <c r="GO40" i="20" s="1"/>
  <c r="FW40" i="20"/>
  <c r="GK40" i="20" s="1"/>
  <c r="GA38" i="20"/>
  <c r="GO38" i="20" s="1"/>
  <c r="FW38" i="20"/>
  <c r="GK38" i="20" s="1"/>
  <c r="GA36" i="20"/>
  <c r="GO36" i="20" s="1"/>
  <c r="FW36" i="20"/>
  <c r="GK36" i="20" s="1"/>
  <c r="GO34" i="20"/>
  <c r="GA34" i="20"/>
  <c r="FW34" i="20"/>
  <c r="GK34" i="20" s="1"/>
  <c r="GA32" i="20"/>
  <c r="GO32" i="20" s="1"/>
  <c r="FW32" i="20"/>
  <c r="GK32" i="20" s="1"/>
  <c r="GA30" i="20"/>
  <c r="GO30" i="20" s="1"/>
  <c r="FW30" i="20"/>
  <c r="GK30" i="20" s="1"/>
  <c r="GA28" i="20"/>
  <c r="GO28" i="20" s="1"/>
  <c r="FW28" i="20"/>
  <c r="GK28" i="20" s="1"/>
  <c r="GA26" i="20"/>
  <c r="GO26" i="20" s="1"/>
  <c r="FW26" i="20"/>
  <c r="GK26" i="20" s="1"/>
  <c r="GA24" i="20"/>
  <c r="GO24" i="20" s="1"/>
  <c r="FW24" i="20"/>
  <c r="GK24" i="20" s="1"/>
  <c r="GQ23" i="20"/>
  <c r="GC23" i="20"/>
  <c r="FY23" i="20"/>
  <c r="GM23" i="20" s="1"/>
  <c r="FU23" i="20"/>
  <c r="GI23" i="20" s="1"/>
  <c r="GA22" i="20"/>
  <c r="GO22" i="20" s="1"/>
  <c r="FY21" i="20"/>
  <c r="GM21" i="20" s="1"/>
  <c r="GA20" i="20"/>
  <c r="GO20" i="20" s="1"/>
  <c r="FW20" i="20"/>
  <c r="GK20" i="20" s="1"/>
  <c r="GC19" i="20"/>
  <c r="GQ19" i="20" s="1"/>
  <c r="FY19" i="20"/>
  <c r="GM19" i="20" s="1"/>
  <c r="FU19" i="20"/>
  <c r="GI19" i="20" s="1"/>
  <c r="GA14" i="20"/>
  <c r="GO14" i="20"/>
  <c r="FW14" i="20"/>
  <c r="GK14" i="20" s="1"/>
  <c r="GA12" i="20"/>
  <c r="GO12" i="20" s="1"/>
  <c r="FW12" i="20"/>
  <c r="GK12" i="20" s="1"/>
  <c r="GA10" i="20"/>
  <c r="GO10" i="20" s="1"/>
  <c r="FW10" i="20"/>
  <c r="GK10" i="20" s="1"/>
  <c r="GA41" i="20"/>
  <c r="GO41" i="20" s="1"/>
  <c r="FW37" i="20"/>
  <c r="GK37" i="20" s="1"/>
  <c r="FW33" i="20"/>
  <c r="GK33" i="20" s="1"/>
  <c r="GA27" i="20"/>
  <c r="GO27" i="20" s="1"/>
  <c r="FW23" i="20"/>
  <c r="GK23" i="20" s="1"/>
  <c r="GA13" i="20"/>
  <c r="GO13" i="20" s="1"/>
  <c r="FX36" i="20"/>
  <c r="GL36" i="20" s="1"/>
  <c r="FZ27" i="20"/>
  <c r="GN27" i="20" s="1"/>
  <c r="FV27" i="20"/>
  <c r="GJ27" i="20" s="1"/>
  <c r="FX24" i="20"/>
  <c r="GL24" i="20" s="1"/>
  <c r="GD9" i="20"/>
  <c r="GR9" i="20" s="1"/>
  <c r="GB41" i="20"/>
  <c r="GP41" i="20" s="1"/>
  <c r="FX41" i="20"/>
  <c r="GL41" i="20" s="1"/>
  <c r="GB39" i="20"/>
  <c r="GP39" i="20" s="1"/>
  <c r="FX39" i="20"/>
  <c r="GL39" i="20" s="1"/>
  <c r="GB37" i="20"/>
  <c r="GP37" i="20" s="1"/>
  <c r="FX37" i="20"/>
  <c r="GL37" i="20" s="1"/>
  <c r="GB35" i="20"/>
  <c r="GP35" i="20" s="1"/>
  <c r="FX35" i="20"/>
  <c r="GL35" i="20" s="1"/>
  <c r="GB33" i="20"/>
  <c r="GP33" i="20" s="1"/>
  <c r="FX33" i="20"/>
  <c r="GL33" i="20" s="1"/>
  <c r="GB31" i="20"/>
  <c r="GP31" i="20" s="1"/>
  <c r="FX31" i="20"/>
  <c r="GL31" i="20" s="1"/>
  <c r="GD30" i="20"/>
  <c r="GR30" i="20" s="1"/>
  <c r="FZ30" i="20"/>
  <c r="GN30" i="20" s="1"/>
  <c r="FV30" i="20"/>
  <c r="GJ30" i="20"/>
  <c r="GD28" i="20"/>
  <c r="GR28" i="20" s="1"/>
  <c r="FZ28" i="20"/>
  <c r="GN28" i="20" s="1"/>
  <c r="FV28" i="20"/>
  <c r="GJ28" i="20" s="1"/>
  <c r="GD26" i="20"/>
  <c r="GR26" i="20" s="1"/>
  <c r="FZ26" i="20"/>
  <c r="GN26" i="20" s="1"/>
  <c r="FV26" i="20"/>
  <c r="GJ26" i="20" s="1"/>
  <c r="GX26" i="20" s="1"/>
  <c r="GB25" i="20"/>
  <c r="GP25" i="20" s="1"/>
  <c r="FX25" i="20"/>
  <c r="GL25" i="20" s="1"/>
  <c r="GX25" i="20" s="1"/>
  <c r="GB23" i="20"/>
  <c r="GP23" i="20" s="1"/>
  <c r="FX23" i="20"/>
  <c r="GL23" i="20" s="1"/>
  <c r="GB21" i="20"/>
  <c r="GP21" i="20"/>
  <c r="FX21" i="20"/>
  <c r="GL21" i="20" s="1"/>
  <c r="GB19" i="20"/>
  <c r="GP19" i="20" s="1"/>
  <c r="FX19" i="20"/>
  <c r="GL19" i="20" s="1"/>
  <c r="GB17" i="20"/>
  <c r="GP17" i="20" s="1"/>
  <c r="FX17" i="20"/>
  <c r="GL17" i="20" s="1"/>
  <c r="GD16" i="20"/>
  <c r="GR16" i="20" s="1"/>
  <c r="FZ16" i="20"/>
  <c r="GN16" i="20" s="1"/>
  <c r="FV16" i="20"/>
  <c r="GJ16" i="20" s="1"/>
  <c r="GD14" i="20"/>
  <c r="GR14" i="20" s="1"/>
  <c r="FZ14" i="20"/>
  <c r="GN14" i="20" s="1"/>
  <c r="FV14" i="20"/>
  <c r="GJ14" i="20" s="1"/>
  <c r="GD12" i="20"/>
  <c r="GR12" i="20" s="1"/>
  <c r="FZ12" i="20"/>
  <c r="GN12" i="20" s="1"/>
  <c r="FV12" i="20"/>
  <c r="GJ12" i="20" s="1"/>
  <c r="GD10" i="20"/>
  <c r="GR10" i="20" s="1"/>
  <c r="FZ10" i="20"/>
  <c r="GN10" i="20" s="1"/>
  <c r="FV10" i="20"/>
  <c r="GJ10" i="20" s="1"/>
  <c r="EO7" i="20"/>
  <c r="GB8" i="20"/>
  <c r="GP8" i="20" s="1"/>
  <c r="FU8" i="20"/>
  <c r="GI8" i="20" s="1"/>
  <c r="GA8" i="20"/>
  <c r="GO8" i="20" s="1"/>
  <c r="FW8" i="20"/>
  <c r="GK8" i="20" s="1"/>
  <c r="FX8" i="20"/>
  <c r="GL8" i="20" s="1"/>
  <c r="GD8" i="20"/>
  <c r="GR8" i="20" s="1"/>
  <c r="FZ8" i="20"/>
  <c r="GN8" i="20" s="1"/>
  <c r="FV8" i="20"/>
  <c r="GJ8" i="20" s="1"/>
  <c r="GC8" i="20"/>
  <c r="GQ8" i="20" s="1"/>
  <c r="FY8" i="20"/>
  <c r="GM8" i="20" s="1"/>
  <c r="DN7" i="20"/>
  <c r="EA7" i="20" s="1"/>
  <c r="FN7" i="20" s="1"/>
  <c r="EB7" i="20"/>
  <c r="FO7" i="20" s="1"/>
  <c r="FB7" i="20"/>
  <c r="EK6" i="19"/>
  <c r="DY7" i="19"/>
  <c r="EA42" i="19"/>
  <c r="EM42" i="19" s="1"/>
  <c r="DW42" i="19"/>
  <c r="EI42" i="19" s="1"/>
  <c r="EB41" i="19"/>
  <c r="EN41" i="19" s="1"/>
  <c r="DX41" i="19"/>
  <c r="EJ41" i="19" s="1"/>
  <c r="EA38" i="19"/>
  <c r="EM38" i="19" s="1"/>
  <c r="DW38" i="19"/>
  <c r="EI38" i="19" s="1"/>
  <c r="EB37" i="19"/>
  <c r="EN37" i="19" s="1"/>
  <c r="DX37" i="19"/>
  <c r="EJ37" i="19" s="1"/>
  <c r="EA34" i="19"/>
  <c r="EM34" i="19" s="1"/>
  <c r="DW34" i="19"/>
  <c r="EI34" i="19" s="1"/>
  <c r="EC32" i="19"/>
  <c r="EO32" i="19" s="1"/>
  <c r="DY32" i="19"/>
  <c r="EK32" i="19" s="1"/>
  <c r="DU32" i="19"/>
  <c r="EG32" i="19" s="1"/>
  <c r="DZ31" i="19"/>
  <c r="EL31" i="19" s="1"/>
  <c r="DV31" i="19"/>
  <c r="EH31" i="19" s="1"/>
  <c r="EC28" i="19"/>
  <c r="EO28" i="19" s="1"/>
  <c r="DY28" i="19"/>
  <c r="EK28" i="19" s="1"/>
  <c r="DU28" i="19"/>
  <c r="EG28" i="19" s="1"/>
  <c r="DZ27" i="19"/>
  <c r="EL27" i="19" s="1"/>
  <c r="DV27" i="19"/>
  <c r="EH27" i="19" s="1"/>
  <c r="EC24" i="19"/>
  <c r="EO24" i="19" s="1"/>
  <c r="DY24" i="19"/>
  <c r="EK24" i="19" s="1"/>
  <c r="DU24" i="19"/>
  <c r="EG24" i="19" s="1"/>
  <c r="EA22" i="19"/>
  <c r="EM22" i="19" s="1"/>
  <c r="DW22" i="19"/>
  <c r="EI22" i="19" s="1"/>
  <c r="EB21" i="19"/>
  <c r="EN21" i="19" s="1"/>
  <c r="DX21" i="19"/>
  <c r="EJ21" i="19" s="1"/>
  <c r="EA18" i="19"/>
  <c r="EM18" i="19" s="1"/>
  <c r="EB17" i="19"/>
  <c r="EN17" i="19" s="1"/>
  <c r="DX17" i="19"/>
  <c r="EJ17" i="19" s="1"/>
  <c r="EC16" i="19"/>
  <c r="EO16" i="19" s="1"/>
  <c r="EA14" i="19"/>
  <c r="EM14" i="19" s="1"/>
  <c r="EB13" i="19"/>
  <c r="EN13" i="19" s="1"/>
  <c r="DX13" i="19"/>
  <c r="EJ13" i="19" s="1"/>
  <c r="EA10" i="19"/>
  <c r="EM10" i="19" s="1"/>
  <c r="DW10" i="19"/>
  <c r="EI10" i="19" s="1"/>
  <c r="EB9" i="19"/>
  <c r="EN9" i="19" s="1"/>
  <c r="DX9" i="19"/>
  <c r="EJ9" i="19" s="1"/>
  <c r="DZ8" i="19"/>
  <c r="EL8" i="19" s="1"/>
  <c r="EA41" i="19"/>
  <c r="EM41" i="19" s="1"/>
  <c r="EQ41" i="19" s="1"/>
  <c r="DW41" i="19"/>
  <c r="EI41" i="19" s="1"/>
  <c r="EB40" i="19"/>
  <c r="EN40" i="19" s="1"/>
  <c r="DX40" i="19"/>
  <c r="EJ40" i="19" s="1"/>
  <c r="EA37" i="19"/>
  <c r="EM37" i="19" s="1"/>
  <c r="EQ37" i="19" s="1"/>
  <c r="DW37" i="19"/>
  <c r="EI37" i="19" s="1"/>
  <c r="EB36" i="19"/>
  <c r="EN36" i="19" s="1"/>
  <c r="DX36" i="19"/>
  <c r="EJ36" i="19"/>
  <c r="EC31" i="19"/>
  <c r="EO31" i="19" s="1"/>
  <c r="DY31" i="19"/>
  <c r="EK31" i="19" s="1"/>
  <c r="DU31" i="19"/>
  <c r="EG31" i="19" s="1"/>
  <c r="DZ30" i="19"/>
  <c r="EL30" i="19" s="1"/>
  <c r="DV30" i="19"/>
  <c r="EH30" i="19" s="1"/>
  <c r="EC27" i="19"/>
  <c r="EO27" i="19" s="1"/>
  <c r="DY27" i="19"/>
  <c r="EK27" i="19" s="1"/>
  <c r="DU27" i="19"/>
  <c r="EG27" i="19" s="1"/>
  <c r="DZ26" i="19"/>
  <c r="EL26" i="19" s="1"/>
  <c r="DV26" i="19"/>
  <c r="EH26" i="19" s="1"/>
  <c r="EA21" i="19"/>
  <c r="EM21" i="19" s="1"/>
  <c r="DW21" i="19"/>
  <c r="EI21" i="19" s="1"/>
  <c r="EB20" i="19"/>
  <c r="EN20" i="19" s="1"/>
  <c r="DX20" i="19"/>
  <c r="EJ20" i="19" s="1"/>
  <c r="EA17" i="19"/>
  <c r="EM17" i="19" s="1"/>
  <c r="DW17" i="19"/>
  <c r="EI17" i="19" s="1"/>
  <c r="EB16" i="19"/>
  <c r="EN16" i="19" s="1"/>
  <c r="DX16" i="19"/>
  <c r="EJ16" i="19" s="1"/>
  <c r="EA13" i="19"/>
  <c r="EM13" i="19" s="1"/>
  <c r="DW13" i="19"/>
  <c r="EI13" i="19"/>
  <c r="EB12" i="19"/>
  <c r="EN12" i="19" s="1"/>
  <c r="DX12" i="19"/>
  <c r="EJ12" i="19" s="1"/>
  <c r="DZ10" i="19"/>
  <c r="EL10" i="19" s="1"/>
  <c r="DV10" i="19"/>
  <c r="EH10" i="19" s="1"/>
  <c r="EA9" i="19"/>
  <c r="EM9" i="19" s="1"/>
  <c r="DW9" i="19"/>
  <c r="EI9" i="19" s="1"/>
  <c r="EA40" i="19"/>
  <c r="EM40" i="19" s="1"/>
  <c r="DW40" i="19"/>
  <c r="EI40" i="19" s="1"/>
  <c r="EB39" i="19"/>
  <c r="EN39" i="19" s="1"/>
  <c r="DX39" i="19"/>
  <c r="EJ39" i="19" s="1"/>
  <c r="EA36" i="19"/>
  <c r="EM36" i="19" s="1"/>
  <c r="EQ36" i="19" s="1"/>
  <c r="DW36" i="19"/>
  <c r="EI36" i="19" s="1"/>
  <c r="EN35" i="19"/>
  <c r="EB35" i="19"/>
  <c r="DX35" i="19"/>
  <c r="EJ35" i="19" s="1"/>
  <c r="DZ33" i="19"/>
  <c r="EL33" i="19" s="1"/>
  <c r="EH33" i="19"/>
  <c r="DV33" i="19"/>
  <c r="EC30" i="19"/>
  <c r="EO30" i="19" s="1"/>
  <c r="DY30" i="19"/>
  <c r="EK30" i="19" s="1"/>
  <c r="DU30" i="19"/>
  <c r="EG30" i="19" s="1"/>
  <c r="DZ29" i="19"/>
  <c r="EL29" i="19" s="1"/>
  <c r="DV29" i="19"/>
  <c r="EH29" i="19" s="1"/>
  <c r="EC26" i="19"/>
  <c r="EO26" i="19" s="1"/>
  <c r="DY26" i="19"/>
  <c r="EK26" i="19" s="1"/>
  <c r="DU26" i="19"/>
  <c r="EG26" i="19" s="1"/>
  <c r="DZ25" i="19"/>
  <c r="EL25" i="19" s="1"/>
  <c r="DV25" i="19"/>
  <c r="EH25" i="19" s="1"/>
  <c r="EB23" i="19"/>
  <c r="EN23" i="19" s="1"/>
  <c r="DX23" i="19"/>
  <c r="EJ23" i="19" s="1"/>
  <c r="EA20" i="19"/>
  <c r="EM20" i="19" s="1"/>
  <c r="DW20" i="19"/>
  <c r="EI20" i="19" s="1"/>
  <c r="EB19" i="19"/>
  <c r="EN19" i="19" s="1"/>
  <c r="DX19" i="19"/>
  <c r="EJ19" i="19" s="1"/>
  <c r="EC18" i="19"/>
  <c r="EO18" i="19" s="1"/>
  <c r="DY18" i="19"/>
  <c r="EK18" i="19" s="1"/>
  <c r="DU18" i="19"/>
  <c r="EG18" i="19" s="1"/>
  <c r="EA16" i="19"/>
  <c r="EM16" i="19" s="1"/>
  <c r="DW16" i="19"/>
  <c r="EI16" i="19" s="1"/>
  <c r="EB15" i="19"/>
  <c r="EN15" i="19" s="1"/>
  <c r="DX15" i="19"/>
  <c r="EJ15" i="19" s="1"/>
  <c r="EC14" i="19"/>
  <c r="EO14" i="19" s="1"/>
  <c r="DY14" i="19"/>
  <c r="EK14" i="19" s="1"/>
  <c r="DU14" i="19"/>
  <c r="EG14" i="19" s="1"/>
  <c r="EA12" i="19"/>
  <c r="EM12" i="19" s="1"/>
  <c r="DW12" i="19"/>
  <c r="EI12" i="19" s="1"/>
  <c r="EB11" i="19"/>
  <c r="EN11" i="19" s="1"/>
  <c r="DX11" i="19"/>
  <c r="EJ11" i="19" s="1"/>
  <c r="DZ9" i="19"/>
  <c r="EL9" i="19" s="1"/>
  <c r="DV9" i="19"/>
  <c r="EH9" i="19" s="1"/>
  <c r="DZ7" i="19"/>
  <c r="EL6" i="19"/>
  <c r="EB42" i="19"/>
  <c r="EN42" i="19" s="1"/>
  <c r="DX42" i="19"/>
  <c r="EJ42" i="19" s="1"/>
  <c r="EA39" i="19"/>
  <c r="EM39" i="19" s="1"/>
  <c r="DW39" i="19"/>
  <c r="EI39" i="19" s="1"/>
  <c r="EB38" i="19"/>
  <c r="EN38" i="19" s="1"/>
  <c r="DX38" i="19"/>
  <c r="EJ38" i="19"/>
  <c r="EA35" i="19"/>
  <c r="EM35" i="19" s="1"/>
  <c r="DW35" i="19"/>
  <c r="EI35" i="19" s="1"/>
  <c r="EB34" i="19"/>
  <c r="EN34" i="19" s="1"/>
  <c r="DX34" i="19"/>
  <c r="EJ34" i="19" s="1"/>
  <c r="EC33" i="19"/>
  <c r="EO33" i="19" s="1"/>
  <c r="DY33" i="19"/>
  <c r="EK33" i="19" s="1"/>
  <c r="DU33" i="19"/>
  <c r="EG33" i="19" s="1"/>
  <c r="DZ32" i="19"/>
  <c r="EL32" i="19" s="1"/>
  <c r="DV32" i="19"/>
  <c r="EH32" i="19" s="1"/>
  <c r="EC29" i="19"/>
  <c r="EO29" i="19" s="1"/>
  <c r="DY29" i="19"/>
  <c r="EK29" i="19" s="1"/>
  <c r="DU29" i="19"/>
  <c r="EG29" i="19" s="1"/>
  <c r="DZ28" i="19"/>
  <c r="EL28" i="19"/>
  <c r="DV28" i="19"/>
  <c r="EH28" i="19" s="1"/>
  <c r="EC25" i="19"/>
  <c r="EO25" i="19" s="1"/>
  <c r="DY25" i="19"/>
  <c r="EK25" i="19"/>
  <c r="DU25" i="19"/>
  <c r="EG25" i="19" s="1"/>
  <c r="DZ24" i="19"/>
  <c r="EL24" i="19" s="1"/>
  <c r="DV24" i="19"/>
  <c r="EH24" i="19" s="1"/>
  <c r="EA23" i="19"/>
  <c r="EM23" i="19" s="1"/>
  <c r="DW23" i="19"/>
  <c r="EI23" i="19" s="1"/>
  <c r="EB22" i="19"/>
  <c r="EN22" i="19" s="1"/>
  <c r="DX22" i="19"/>
  <c r="EJ22" i="19" s="1"/>
  <c r="EA19" i="19"/>
  <c r="EM19" i="19" s="1"/>
  <c r="DW19" i="19"/>
  <c r="EI19" i="19" s="1"/>
  <c r="EB18" i="19"/>
  <c r="EN18" i="19" s="1"/>
  <c r="DX18" i="19"/>
  <c r="EJ18" i="19" s="1"/>
  <c r="EC17" i="19"/>
  <c r="EO17" i="19" s="1"/>
  <c r="EA15" i="19"/>
  <c r="EM15" i="19" s="1"/>
  <c r="DW15" i="19"/>
  <c r="EI15" i="19" s="1"/>
  <c r="EB14" i="19"/>
  <c r="EN14" i="19" s="1"/>
  <c r="DX14" i="19"/>
  <c r="EJ14" i="19" s="1"/>
  <c r="EA11" i="19"/>
  <c r="EM11" i="19" s="1"/>
  <c r="DW11" i="19"/>
  <c r="EI11" i="19" s="1"/>
  <c r="EB10" i="19"/>
  <c r="EN10" i="19" s="1"/>
  <c r="DX10" i="19"/>
  <c r="EJ10" i="19" s="1"/>
  <c r="DV8" i="19"/>
  <c r="EH8" i="19" s="1"/>
  <c r="CJ42" i="8"/>
  <c r="CV42" i="8" s="1"/>
  <c r="CK37" i="8"/>
  <c r="CW37" i="8" s="1"/>
  <c r="CK33" i="8"/>
  <c r="CW33" i="8" s="1"/>
  <c r="CH28" i="8"/>
  <c r="CT28" i="8" s="1"/>
  <c r="CK9" i="8"/>
  <c r="CW9" i="8" s="1"/>
  <c r="CM8" i="8"/>
  <c r="CY8" i="8" s="1"/>
  <c r="CK40" i="8"/>
  <c r="CW40" i="8" s="1"/>
  <c r="CJ37" i="8"/>
  <c r="CV37" i="8" s="1"/>
  <c r="DD37" i="8" s="1"/>
  <c r="CL31" i="8"/>
  <c r="CX31" i="8" s="1"/>
  <c r="CU30" i="8"/>
  <c r="CI30" i="8"/>
  <c r="CJ9" i="8"/>
  <c r="CV9" i="8" s="1"/>
  <c r="CJ38" i="8"/>
  <c r="CV38" i="8" s="1"/>
  <c r="CM31" i="8"/>
  <c r="CY31" i="8" s="1"/>
  <c r="CI31" i="8"/>
  <c r="CU31" i="8" s="1"/>
  <c r="CK25" i="8"/>
  <c r="CW25" i="8" s="1"/>
  <c r="CJ22" i="8"/>
  <c r="CV22" i="8" s="1"/>
  <c r="CK21" i="8"/>
  <c r="CW21" i="8" s="1"/>
  <c r="CJ10" i="8"/>
  <c r="CV10" i="8" s="1"/>
  <c r="CJ41" i="8"/>
  <c r="CV41" i="8" s="1"/>
  <c r="CK36" i="8"/>
  <c r="CW36" i="8" s="1"/>
  <c r="CK32" i="8"/>
  <c r="CW32" i="8" s="1"/>
  <c r="CH31" i="8"/>
  <c r="CT31" i="8" s="1"/>
  <c r="CK28" i="8"/>
  <c r="CW28" i="8" s="1"/>
  <c r="CL27" i="8"/>
  <c r="CX27" i="8" s="1"/>
  <c r="CJ21" i="8"/>
  <c r="CV21" i="8" s="1"/>
  <c r="CJ40" i="8"/>
  <c r="CV40" i="8" s="1"/>
  <c r="CK39" i="8"/>
  <c r="CW39" i="8" s="1"/>
  <c r="CJ36" i="8"/>
  <c r="CV36" i="8" s="1"/>
  <c r="CK35" i="8"/>
  <c r="CW35" i="8" s="1"/>
  <c r="CJ32" i="8"/>
  <c r="CV32" i="8" s="1"/>
  <c r="CK31" i="8"/>
  <c r="CW31" i="8" s="1"/>
  <c r="CL30" i="8"/>
  <c r="CX30" i="8" s="1"/>
  <c r="CH30" i="8"/>
  <c r="CT30" i="8" s="1"/>
  <c r="CK27" i="8"/>
  <c r="CW27" i="8" s="1"/>
  <c r="CL26" i="8"/>
  <c r="CX26" i="8" s="1"/>
  <c r="CJ24" i="8"/>
  <c r="CV24" i="8" s="1"/>
  <c r="CK23" i="8"/>
  <c r="CW23" i="8" s="1"/>
  <c r="CJ20" i="8"/>
  <c r="CV20" i="8" s="1"/>
  <c r="CK19" i="8"/>
  <c r="CW19" i="8" s="1"/>
  <c r="CL18" i="8"/>
  <c r="CX18" i="8" s="1"/>
  <c r="CH18" i="8"/>
  <c r="CT18" i="8" s="1"/>
  <c r="CJ16" i="8"/>
  <c r="CV16" i="8" s="1"/>
  <c r="CK15" i="8"/>
  <c r="CW15" i="8" s="1"/>
  <c r="CL14" i="8"/>
  <c r="CX14" i="8" s="1"/>
  <c r="CH14" i="8"/>
  <c r="CT14" i="8" s="1"/>
  <c r="CJ12" i="8"/>
  <c r="CV12" i="8" s="1"/>
  <c r="CK11" i="8"/>
  <c r="CW11" i="8" s="1"/>
  <c r="CL7" i="8"/>
  <c r="CX6" i="8"/>
  <c r="CK41" i="8"/>
  <c r="CW41" i="8" s="1"/>
  <c r="CJ34" i="8"/>
  <c r="CV34" i="8" s="1"/>
  <c r="CK29" i="8"/>
  <c r="CW29" i="8" s="1"/>
  <c r="CL28" i="8"/>
  <c r="CX28" i="8" s="1"/>
  <c r="CH24" i="8"/>
  <c r="CT24" i="8" s="1"/>
  <c r="CK17" i="8"/>
  <c r="CW17" i="8" s="1"/>
  <c r="CK13" i="8"/>
  <c r="CW13" i="8" s="1"/>
  <c r="CI8" i="8"/>
  <c r="CU8" i="8" s="1"/>
  <c r="CJ33" i="8"/>
  <c r="CV33" i="8" s="1"/>
  <c r="DD33" i="8" s="1"/>
  <c r="CM30" i="8"/>
  <c r="CY30" i="8" s="1"/>
  <c r="CH27" i="8"/>
  <c r="CT27" i="8" s="1"/>
  <c r="CJ25" i="8"/>
  <c r="CV25" i="8" s="1"/>
  <c r="CK24" i="8"/>
  <c r="CW24" i="8" s="1"/>
  <c r="CK20" i="8"/>
  <c r="CW20" i="8" s="1"/>
  <c r="CK16" i="8"/>
  <c r="CW16" i="8" s="1"/>
  <c r="CH15" i="8"/>
  <c r="CT15" i="8" s="1"/>
  <c r="CJ13" i="8"/>
  <c r="CV13" i="8" s="1"/>
  <c r="CK12" i="8"/>
  <c r="CW12" i="8" s="1"/>
  <c r="CM7" i="8"/>
  <c r="CY6" i="8"/>
  <c r="CK42" i="8"/>
  <c r="CW42" i="8" s="1"/>
  <c r="CJ39" i="8"/>
  <c r="CV39" i="8" s="1"/>
  <c r="CK38" i="8"/>
  <c r="CW38" i="8" s="1"/>
  <c r="CJ35" i="8"/>
  <c r="CV35" i="8" s="1"/>
  <c r="DD35" i="8" s="1"/>
  <c r="CK34" i="8"/>
  <c r="CW34" i="8" s="1"/>
  <c r="CK30" i="8"/>
  <c r="CW30" i="8" s="1"/>
  <c r="CL29" i="8"/>
  <c r="CX29" i="8" s="1"/>
  <c r="CH29" i="8"/>
  <c r="CT29" i="8" s="1"/>
  <c r="CK26" i="8"/>
  <c r="CW26" i="8" s="1"/>
  <c r="CJ23" i="8"/>
  <c r="CV23" i="8" s="1"/>
  <c r="DD23" i="8" s="1"/>
  <c r="CK22" i="8"/>
  <c r="CW22" i="8" s="1"/>
  <c r="CJ19" i="8"/>
  <c r="CV19" i="8" s="1"/>
  <c r="CK18" i="8"/>
  <c r="CW18" i="8" s="1"/>
  <c r="CK14" i="8"/>
  <c r="CW14" i="8" s="1"/>
  <c r="CJ11" i="8"/>
  <c r="CV11" i="8" s="1"/>
  <c r="CK10" i="8"/>
  <c r="CW10" i="8" s="1"/>
  <c r="CK8" i="8"/>
  <c r="CW8" i="8" s="1"/>
  <c r="CJ8" i="8"/>
  <c r="CV8" i="8" s="1"/>
  <c r="CH8" i="8"/>
  <c r="CT8" i="8" s="1"/>
  <c r="CN7" i="36"/>
  <c r="CU7" i="36" s="1"/>
  <c r="DB7" i="36" s="1"/>
  <c r="CL7" i="36"/>
  <c r="CS7" i="36" s="1"/>
  <c r="CZ7" i="36" s="1"/>
  <c r="CJ7" i="36"/>
  <c r="CQ7" i="36" s="1"/>
  <c r="CX7" i="36" s="1"/>
  <c r="CI7" i="36"/>
  <c r="CP7" i="36" s="1"/>
  <c r="CW7" i="36" s="1"/>
  <c r="CM7" i="36"/>
  <c r="CT7" i="36" s="1"/>
  <c r="DA7" i="36" s="1"/>
  <c r="CK7" i="36"/>
  <c r="CR7" i="36" s="1"/>
  <c r="CY7" i="36" s="1"/>
  <c r="CT7" i="35"/>
  <c r="J7" i="35"/>
  <c r="S7" i="35" s="1"/>
  <c r="AB7" i="35" s="1"/>
  <c r="AK7" i="35" s="1"/>
  <c r="AT7" i="35" s="1"/>
  <c r="BC7" i="35" s="1"/>
  <c r="BL7" i="35" s="1"/>
  <c r="BU7" i="35" s="1"/>
  <c r="K7" i="35"/>
  <c r="T7" i="35" s="1"/>
  <c r="AC7" i="35" s="1"/>
  <c r="AL7" i="35" s="1"/>
  <c r="AU7" i="35" s="1"/>
  <c r="BD7" i="35" s="1"/>
  <c r="BM7" i="35" s="1"/>
  <c r="BV7" i="35" s="1"/>
  <c r="E7" i="33"/>
  <c r="N7" i="33" s="1"/>
  <c r="W7" i="33" s="1"/>
  <c r="AF7" i="33" s="1"/>
  <c r="AO7" i="33" s="1"/>
  <c r="AX7" i="33" s="1"/>
  <c r="BG7" i="33" s="1"/>
  <c r="BP7" i="33" s="1"/>
  <c r="K7" i="33"/>
  <c r="J7" i="33"/>
  <c r="S7" i="33" s="1"/>
  <c r="AB7" i="33" s="1"/>
  <c r="AK7" i="33" s="1"/>
  <c r="AT7" i="33" s="1"/>
  <c r="BC7" i="33" s="1"/>
  <c r="BL7" i="33" s="1"/>
  <c r="BU7" i="33" s="1"/>
  <c r="H7" i="33"/>
  <c r="Q7" i="33" s="1"/>
  <c r="Z7" i="33" s="1"/>
  <c r="AI7" i="33" s="1"/>
  <c r="AR7" i="33" s="1"/>
  <c r="BA7" i="33" s="1"/>
  <c r="BJ7" i="33" s="1"/>
  <c r="BS7" i="33" s="1"/>
  <c r="Y22" i="6"/>
  <c r="BH26" i="38" s="1"/>
  <c r="Y35" i="6"/>
  <c r="BH39" i="38" s="1"/>
  <c r="Y11" i="6"/>
  <c r="BH15" i="38" s="1"/>
  <c r="D7" i="33"/>
  <c r="M7" i="33" s="1"/>
  <c r="V7" i="33" s="1"/>
  <c r="AE7" i="33" s="1"/>
  <c r="AN7" i="33" s="1"/>
  <c r="AW7" i="33" s="1"/>
  <c r="BF7" i="33" s="1"/>
  <c r="BO7" i="33" s="1"/>
  <c r="F7" i="35"/>
  <c r="O7" i="35" s="1"/>
  <c r="X7" i="35" s="1"/>
  <c r="AG7" i="35" s="1"/>
  <c r="AP7" i="35" s="1"/>
  <c r="AY7" i="35" s="1"/>
  <c r="BH7" i="35" s="1"/>
  <c r="BQ7" i="35" s="1"/>
  <c r="Y17" i="6"/>
  <c r="BH21" i="38" s="1"/>
  <c r="Y20" i="6"/>
  <c r="BH24" i="38" s="1"/>
  <c r="Y28" i="6"/>
  <c r="BH32" i="38" s="1"/>
  <c r="BH48" i="38"/>
  <c r="Y12" i="6"/>
  <c r="BH16" i="38" s="1"/>
  <c r="BH13" i="38"/>
  <c r="Y13" i="6"/>
  <c r="BH17" i="38" s="1"/>
  <c r="Y18" i="6"/>
  <c r="BH22" i="38" s="1"/>
  <c r="Y23" i="6"/>
  <c r="BH27" i="38" s="1"/>
  <c r="Y34" i="6"/>
  <c r="BH38" i="38" s="1"/>
  <c r="Y40" i="6"/>
  <c r="BH44" i="38" s="1"/>
  <c r="Y16" i="6"/>
  <c r="BH20" i="38" s="1"/>
  <c r="Y32" i="6"/>
  <c r="BH36" i="38" s="1"/>
  <c r="Y26" i="6"/>
  <c r="BH30" i="38" s="1"/>
  <c r="Y38" i="6"/>
  <c r="BH42" i="38" s="1"/>
  <c r="Y24" i="6"/>
  <c r="BH28" i="38" s="1"/>
  <c r="Y25" i="6"/>
  <c r="BH29" i="38" s="1"/>
  <c r="Y27" i="6"/>
  <c r="BH31" i="38" s="1"/>
  <c r="Y36" i="6"/>
  <c r="BH40" i="38" s="1"/>
  <c r="Y30" i="6"/>
  <c r="BH34" i="38" s="1"/>
  <c r="Y19" i="6"/>
  <c r="BH23" i="38" s="1"/>
  <c r="BH46" i="38"/>
  <c r="Y31" i="6"/>
  <c r="BH35" i="38" s="1"/>
  <c r="BH12" i="38"/>
  <c r="Y14" i="6"/>
  <c r="BH18" i="38" s="1"/>
  <c r="Y29" i="6"/>
  <c r="BH33" i="38" s="1"/>
  <c r="Y33" i="6"/>
  <c r="BH37" i="38" s="1"/>
  <c r="Y37" i="6"/>
  <c r="BH41" i="38" s="1"/>
  <c r="BH45" i="38"/>
  <c r="BH49" i="38"/>
  <c r="W16" i="6"/>
  <c r="BF20" i="38" s="1"/>
  <c r="W24" i="6"/>
  <c r="BF28" i="38" s="1"/>
  <c r="W32" i="6"/>
  <c r="BF36" i="38" s="1"/>
  <c r="W40" i="6"/>
  <c r="BF44" i="38" s="1"/>
  <c r="W12" i="6"/>
  <c r="BF16" i="38" s="1"/>
  <c r="W19" i="6"/>
  <c r="BF23" i="38" s="1"/>
  <c r="W27" i="6"/>
  <c r="BF31" i="38" s="1"/>
  <c r="W35" i="6"/>
  <c r="BF39" i="38" s="1"/>
  <c r="BF47" i="38"/>
  <c r="W38" i="6"/>
  <c r="BF42" i="38" s="1"/>
  <c r="W18" i="6"/>
  <c r="BF22" i="38" s="1"/>
  <c r="W26" i="6"/>
  <c r="BF30" i="38" s="1"/>
  <c r="W34" i="6"/>
  <c r="BF38" i="38" s="1"/>
  <c r="BF46" i="38"/>
  <c r="BF12" i="38"/>
  <c r="BF14" i="38"/>
  <c r="W7" i="6"/>
  <c r="BF11" i="38" s="1"/>
  <c r="BF13" i="38"/>
  <c r="W11" i="6"/>
  <c r="BF15" i="38" s="1"/>
  <c r="W15" i="6"/>
  <c r="BF19" i="38" s="1"/>
  <c r="W21" i="6"/>
  <c r="BF25" i="38" s="1"/>
  <c r="W29" i="6"/>
  <c r="BF33" i="38" s="1"/>
  <c r="W37" i="6"/>
  <c r="BF41" i="38" s="1"/>
  <c r="BF49" i="38"/>
  <c r="W22" i="6"/>
  <c r="BF26" i="38" s="1"/>
  <c r="W30" i="6"/>
  <c r="BF34" i="38" s="1"/>
  <c r="W20" i="6"/>
  <c r="BF24" i="38" s="1"/>
  <c r="W28" i="6"/>
  <c r="BF32" i="38" s="1"/>
  <c r="W36" i="6"/>
  <c r="BF40" i="38" s="1"/>
  <c r="W6" i="6"/>
  <c r="BF10" i="38" s="1"/>
  <c r="I33" i="37" s="1"/>
  <c r="W14" i="6"/>
  <c r="BF18" i="38" s="1"/>
  <c r="W17" i="6"/>
  <c r="BF21" i="38" s="1"/>
  <c r="W25" i="6"/>
  <c r="BF29" i="38" s="1"/>
  <c r="W33" i="6"/>
  <c r="BF37" i="38" s="1"/>
  <c r="BF45" i="38"/>
  <c r="W13" i="6"/>
  <c r="BF17" i="38" s="1"/>
  <c r="W23" i="6"/>
  <c r="BF27" i="38" s="1"/>
  <c r="W31" i="6"/>
  <c r="BF35" i="38" s="1"/>
  <c r="W39" i="6"/>
  <c r="BF43" i="38" s="1"/>
  <c r="BF48" i="38"/>
  <c r="D7" i="35"/>
  <c r="M7" i="35" s="1"/>
  <c r="V7" i="35" s="1"/>
  <c r="AE7" i="35" s="1"/>
  <c r="AN7" i="35" s="1"/>
  <c r="AW7" i="35" s="1"/>
  <c r="BF7" i="35" s="1"/>
  <c r="BO7" i="35" s="1"/>
  <c r="C7" i="35"/>
  <c r="L7" i="35" s="1"/>
  <c r="U7" i="35" s="1"/>
  <c r="AD7" i="35" s="1"/>
  <c r="AM7" i="35" s="1"/>
  <c r="AV7" i="35" s="1"/>
  <c r="BE7" i="35" s="1"/>
  <c r="BN7" i="35" s="1"/>
  <c r="G7" i="35"/>
  <c r="P7" i="35" s="1"/>
  <c r="Y7" i="35" s="1"/>
  <c r="AH7" i="35" s="1"/>
  <c r="AQ7" i="35" s="1"/>
  <c r="AZ7" i="35" s="1"/>
  <c r="BI7" i="35" s="1"/>
  <c r="BR7" i="35" s="1"/>
  <c r="E7" i="35"/>
  <c r="N7" i="35" s="1"/>
  <c r="W7" i="35" s="1"/>
  <c r="AF7" i="35" s="1"/>
  <c r="AO7" i="35" s="1"/>
  <c r="AX7" i="35" s="1"/>
  <c r="BG7" i="35" s="1"/>
  <c r="BP7" i="35" s="1"/>
  <c r="I7" i="33"/>
  <c r="R7" i="33" s="1"/>
  <c r="AA7" i="33" s="1"/>
  <c r="AJ7" i="33" s="1"/>
  <c r="AS7" i="33" s="1"/>
  <c r="BB7" i="33" s="1"/>
  <c r="BK7" i="33" s="1"/>
  <c r="BT7" i="33" s="1"/>
  <c r="F7" i="33"/>
  <c r="O7" i="33" s="1"/>
  <c r="X7" i="33" s="1"/>
  <c r="AG7" i="33" s="1"/>
  <c r="AP7" i="33" s="1"/>
  <c r="AY7" i="33" s="1"/>
  <c r="BH7" i="33" s="1"/>
  <c r="BQ7" i="33" s="1"/>
  <c r="C7" i="33"/>
  <c r="L7" i="33" s="1"/>
  <c r="U7" i="33" s="1"/>
  <c r="AD7" i="33" s="1"/>
  <c r="AM7" i="33" s="1"/>
  <c r="AV7" i="33" s="1"/>
  <c r="BE7" i="33" s="1"/>
  <c r="BN7" i="33" s="1"/>
  <c r="G7" i="33"/>
  <c r="P7" i="33" s="1"/>
  <c r="Y7" i="33" s="1"/>
  <c r="AH7" i="33" s="1"/>
  <c r="AQ7" i="33" s="1"/>
  <c r="AZ7" i="33" s="1"/>
  <c r="BI7" i="33" s="1"/>
  <c r="BR7" i="33" s="1"/>
  <c r="DD26" i="8" l="1"/>
  <c r="GV20" i="20"/>
  <c r="GV39" i="20"/>
  <c r="GV35" i="20"/>
  <c r="ER14" i="33"/>
  <c r="EQ33" i="33"/>
  <c r="JT16" i="34"/>
  <c r="JU16" i="34" s="1"/>
  <c r="JT17" i="34"/>
  <c r="JU17" i="34" s="1"/>
  <c r="JT14" i="34"/>
  <c r="JU14" i="34" s="1"/>
  <c r="JT18" i="34"/>
  <c r="JU18" i="34" s="1"/>
  <c r="JT13" i="34"/>
  <c r="JU13" i="34" s="1"/>
  <c r="JT11" i="34"/>
  <c r="JU11" i="34" s="1"/>
  <c r="JT9" i="34"/>
  <c r="JU9" i="34" s="1"/>
  <c r="JT20" i="34"/>
  <c r="JU20" i="34" s="1"/>
  <c r="HZ19" i="36"/>
  <c r="IA19" i="36" s="1"/>
  <c r="HZ22" i="36"/>
  <c r="IA22" i="36" s="1"/>
  <c r="HZ20" i="36"/>
  <c r="IA20" i="36" s="1"/>
  <c r="HZ11" i="36"/>
  <c r="IA11" i="36" s="1"/>
  <c r="HZ10" i="36"/>
  <c r="IA10" i="36" s="1"/>
  <c r="HE10" i="28"/>
  <c r="HF10" i="28" s="1"/>
  <c r="HG10" i="28" s="1"/>
  <c r="HE17" i="28"/>
  <c r="HF17" i="28" s="1"/>
  <c r="HE18" i="26"/>
  <c r="HF18" i="26" s="1"/>
  <c r="HE21" i="26"/>
  <c r="HF21" i="26" s="1"/>
  <c r="HE13" i="26"/>
  <c r="HF13" i="26" s="1"/>
  <c r="HE9" i="26"/>
  <c r="HF9" i="26" s="1"/>
  <c r="HE11" i="26"/>
  <c r="HF11" i="26" s="1"/>
  <c r="HE17" i="26"/>
  <c r="HF17" i="26" s="1"/>
  <c r="HE10" i="26"/>
  <c r="HF10" i="26" s="1"/>
  <c r="HE15" i="26"/>
  <c r="HF15" i="26" s="1"/>
  <c r="HZ18" i="36"/>
  <c r="IA18" i="36" s="1"/>
  <c r="HZ13" i="36"/>
  <c r="IA13" i="36" s="1"/>
  <c r="HZ21" i="36"/>
  <c r="IA21" i="36" s="1"/>
  <c r="HZ15" i="36"/>
  <c r="IA15" i="36" s="1"/>
  <c r="HZ9" i="36"/>
  <c r="IA9" i="36" s="1"/>
  <c r="HZ16" i="36"/>
  <c r="IA16" i="36" s="1"/>
  <c r="HZ14" i="36"/>
  <c r="IA14" i="36" s="1"/>
  <c r="HZ12" i="36"/>
  <c r="IA12" i="36" s="1"/>
  <c r="HZ17" i="36"/>
  <c r="IA17" i="36" s="1"/>
  <c r="JV13" i="34"/>
  <c r="ES13" i="34" s="1"/>
  <c r="AF15" i="10" s="1"/>
  <c r="JT8" i="34"/>
  <c r="JU8" i="34" s="1"/>
  <c r="JT10" i="34"/>
  <c r="JU10" i="34" s="1"/>
  <c r="HG10" i="26"/>
  <c r="BA10" i="26" s="1"/>
  <c r="HG21" i="26"/>
  <c r="BA21" i="26" s="1"/>
  <c r="HG11" i="26"/>
  <c r="BA11" i="26" s="1"/>
  <c r="HG15" i="26"/>
  <c r="BA15" i="26" s="1"/>
  <c r="HG9" i="26"/>
  <c r="BA9" i="26" s="1"/>
  <c r="HE8" i="26"/>
  <c r="HF8" i="26" s="1"/>
  <c r="HE19" i="26"/>
  <c r="HF19" i="26" s="1"/>
  <c r="IB20" i="36"/>
  <c r="DM20" i="36" s="1"/>
  <c r="AG22" i="10" s="1"/>
  <c r="IB22" i="36"/>
  <c r="DM22" i="36" s="1"/>
  <c r="AG24" i="10" s="1"/>
  <c r="IB19" i="36"/>
  <c r="DM19" i="36" s="1"/>
  <c r="AG21" i="10" s="1"/>
  <c r="IB12" i="36"/>
  <c r="DM12" i="36" s="1"/>
  <c r="AG14" i="10" s="1"/>
  <c r="IB21" i="36"/>
  <c r="DM21" i="36" s="1"/>
  <c r="AG23" i="10" s="1"/>
  <c r="IB9" i="36"/>
  <c r="DM9" i="36" s="1"/>
  <c r="AG11" i="10" s="1"/>
  <c r="IB14" i="36"/>
  <c r="DM14" i="36" s="1"/>
  <c r="AG16" i="10" s="1"/>
  <c r="JV17" i="34"/>
  <c r="ES17" i="34" s="1"/>
  <c r="AF19" i="10" s="1"/>
  <c r="JV11" i="34"/>
  <c r="ES11" i="34" s="1"/>
  <c r="AF13" i="10" s="1"/>
  <c r="JY11" i="25"/>
  <c r="ES11" i="25" s="1"/>
  <c r="AD13" i="10" s="1"/>
  <c r="JW19" i="25"/>
  <c r="JX19" i="25" s="1"/>
  <c r="JW13" i="25"/>
  <c r="JX13" i="25" s="1"/>
  <c r="JW16" i="25"/>
  <c r="JX16" i="25" s="1"/>
  <c r="JW15" i="25"/>
  <c r="JX15" i="25" s="1"/>
  <c r="JY15" i="25" s="1"/>
  <c r="ES15" i="25" s="1"/>
  <c r="AD17" i="10" s="1"/>
  <c r="GY29" i="20"/>
  <c r="ES21" i="33"/>
  <c r="ER29" i="33"/>
  <c r="ER23" i="33"/>
  <c r="EQ30" i="33"/>
  <c r="HE14" i="26"/>
  <c r="HF14" i="26" s="1"/>
  <c r="HE20" i="26"/>
  <c r="HF20" i="26" s="1"/>
  <c r="HG20" i="26" s="1"/>
  <c r="BA20" i="26" s="1"/>
  <c r="AE22" i="10" s="1"/>
  <c r="JE11" i="27"/>
  <c r="JF11" i="27" s="1"/>
  <c r="JE20" i="27"/>
  <c r="JF20" i="27" s="1"/>
  <c r="JG20" i="27" s="1"/>
  <c r="DM20" i="27" s="1"/>
  <c r="AH22" i="10" s="1"/>
  <c r="JE17" i="27"/>
  <c r="JF17" i="27" s="1"/>
  <c r="JG17" i="27" s="1"/>
  <c r="DM17" i="27" s="1"/>
  <c r="AH19" i="10" s="1"/>
  <c r="JE15" i="27"/>
  <c r="JF15" i="27" s="1"/>
  <c r="JE16" i="27"/>
  <c r="JF16" i="27" s="1"/>
  <c r="JG16" i="27" s="1"/>
  <c r="DM16" i="27" s="1"/>
  <c r="AH18" i="10" s="1"/>
  <c r="HE9" i="28"/>
  <c r="HF9" i="28" s="1"/>
  <c r="HG9" i="28" s="1"/>
  <c r="HE19" i="28"/>
  <c r="HF19" i="28" s="1"/>
  <c r="HE21" i="28"/>
  <c r="HF21" i="28" s="1"/>
  <c r="HG21" i="28" s="1"/>
  <c r="CR21" i="28" s="1"/>
  <c r="AJ23" i="10" s="1"/>
  <c r="HG8" i="26"/>
  <c r="HG19" i="26"/>
  <c r="BA19" i="26" s="1"/>
  <c r="IB10" i="36"/>
  <c r="DM10" i="36" s="1"/>
  <c r="AG12" i="10" s="1"/>
  <c r="JV20" i="34"/>
  <c r="ES20" i="34" s="1"/>
  <c r="AF22" i="10" s="1"/>
  <c r="JV14" i="34"/>
  <c r="ES14" i="34" s="1"/>
  <c r="AF16" i="10" s="1"/>
  <c r="JY16" i="25"/>
  <c r="ES16" i="25" s="1"/>
  <c r="AD18" i="10" s="1"/>
  <c r="JG15" i="27"/>
  <c r="DM15" i="27" s="1"/>
  <c r="JG11" i="27"/>
  <c r="DM11" i="27" s="1"/>
  <c r="JE19" i="27"/>
  <c r="JF19" i="27" s="1"/>
  <c r="JG19" i="27" s="1"/>
  <c r="DM19" i="27" s="1"/>
  <c r="AH21" i="10" s="1"/>
  <c r="JE22" i="27"/>
  <c r="JF22" i="27" s="1"/>
  <c r="JG22" i="27" s="1"/>
  <c r="DM22" i="27" s="1"/>
  <c r="AH24" i="10" s="1"/>
  <c r="JE14" i="27"/>
  <c r="JF14" i="27" s="1"/>
  <c r="JG14" i="27" s="1"/>
  <c r="DM14" i="27" s="1"/>
  <c r="AH16" i="10" s="1"/>
  <c r="JE10" i="27"/>
  <c r="JF10" i="27" s="1"/>
  <c r="JG10" i="27" s="1"/>
  <c r="DM10" i="27" s="1"/>
  <c r="AH12" i="10" s="1"/>
  <c r="JE9" i="27"/>
  <c r="JF9" i="27" s="1"/>
  <c r="JG9" i="27" s="1"/>
  <c r="DM9" i="27" s="1"/>
  <c r="AH11" i="10" s="1"/>
  <c r="JE12" i="27"/>
  <c r="JF12" i="27" s="1"/>
  <c r="JE21" i="27"/>
  <c r="JF21" i="27" s="1"/>
  <c r="JE13" i="27"/>
  <c r="JF13" i="27" s="1"/>
  <c r="JE18" i="27"/>
  <c r="JF18" i="27" s="1"/>
  <c r="JG18" i="27" s="1"/>
  <c r="DM18" i="27" s="1"/>
  <c r="AH20" i="10" s="1"/>
  <c r="JG21" i="27"/>
  <c r="DM21" i="27" s="1"/>
  <c r="JG12" i="27"/>
  <c r="DM12" i="27" s="1"/>
  <c r="JG13" i="27"/>
  <c r="DM13" i="27" s="1"/>
  <c r="HG12" i="26"/>
  <c r="BA12" i="26" s="1"/>
  <c r="HG14" i="26"/>
  <c r="BA14" i="26" s="1"/>
  <c r="HG16" i="26"/>
  <c r="BA16" i="26" s="1"/>
  <c r="HG18" i="26"/>
  <c r="BA18" i="26" s="1"/>
  <c r="HG13" i="26"/>
  <c r="BA13" i="26" s="1"/>
  <c r="HG17" i="26"/>
  <c r="BA17" i="26" s="1"/>
  <c r="HG22" i="26"/>
  <c r="BA22" i="26" s="1"/>
  <c r="IB11" i="36"/>
  <c r="DM11" i="36" s="1"/>
  <c r="AG13" i="10" s="1"/>
  <c r="IB16" i="36"/>
  <c r="DM16" i="36" s="1"/>
  <c r="AG18" i="10" s="1"/>
  <c r="IB18" i="36"/>
  <c r="DM18" i="36" s="1"/>
  <c r="AG20" i="10" s="1"/>
  <c r="IB17" i="36"/>
  <c r="DM17" i="36" s="1"/>
  <c r="AG19" i="10" s="1"/>
  <c r="IB15" i="36"/>
  <c r="DM15" i="36" s="1"/>
  <c r="AG17" i="10" s="1"/>
  <c r="IB13" i="36"/>
  <c r="DM13" i="36" s="1"/>
  <c r="AG15" i="10" s="1"/>
  <c r="JV9" i="34"/>
  <c r="ES9" i="34" s="1"/>
  <c r="AF11" i="10" s="1"/>
  <c r="JV18" i="34"/>
  <c r="ES18" i="34" s="1"/>
  <c r="AF20" i="10" s="1"/>
  <c r="JV16" i="34"/>
  <c r="ES16" i="34" s="1"/>
  <c r="AF18" i="10" s="1"/>
  <c r="JV10" i="34"/>
  <c r="ES10" i="34" s="1"/>
  <c r="AF12" i="10" s="1"/>
  <c r="JT15" i="34"/>
  <c r="JU15" i="34" s="1"/>
  <c r="JV15" i="34" s="1"/>
  <c r="ES15" i="34" s="1"/>
  <c r="AF17" i="10" s="1"/>
  <c r="JT19" i="34"/>
  <c r="JU19" i="34" s="1"/>
  <c r="JV19" i="34" s="1"/>
  <c r="ES19" i="34" s="1"/>
  <c r="AF21" i="10" s="1"/>
  <c r="JT21" i="34"/>
  <c r="JU21" i="34" s="1"/>
  <c r="JV21" i="34" s="1"/>
  <c r="ES21" i="34" s="1"/>
  <c r="AF23" i="10" s="1"/>
  <c r="JT22" i="34"/>
  <c r="JU22" i="34" s="1"/>
  <c r="JV22" i="34" s="1"/>
  <c r="ES22" i="34" s="1"/>
  <c r="AF24" i="10" s="1"/>
  <c r="JT12" i="34"/>
  <c r="JU12" i="34" s="1"/>
  <c r="JV12" i="34" s="1"/>
  <c r="ES12" i="34" s="1"/>
  <c r="AF14" i="10" s="1"/>
  <c r="HG17" i="28"/>
  <c r="CR17" i="28" s="1"/>
  <c r="AJ19" i="10" s="1"/>
  <c r="HG19" i="28"/>
  <c r="CR19" i="28" s="1"/>
  <c r="AJ21" i="10" s="1"/>
  <c r="HE8" i="28"/>
  <c r="HF8" i="28" s="1"/>
  <c r="HE22" i="28"/>
  <c r="HF22" i="28" s="1"/>
  <c r="HG22" i="28" s="1"/>
  <c r="CR22" i="28" s="1"/>
  <c r="AJ24" i="10" s="1"/>
  <c r="HE14" i="28"/>
  <c r="HF14" i="28" s="1"/>
  <c r="HG14" i="28" s="1"/>
  <c r="CR14" i="28" s="1"/>
  <c r="AJ16" i="10" s="1"/>
  <c r="HE12" i="28"/>
  <c r="HF12" i="28" s="1"/>
  <c r="HG12" i="28" s="1"/>
  <c r="CR12" i="28" s="1"/>
  <c r="AJ14" i="10" s="1"/>
  <c r="HE11" i="28"/>
  <c r="HF11" i="28" s="1"/>
  <c r="HG11" i="28" s="1"/>
  <c r="CR11" i="28" s="1"/>
  <c r="AJ13" i="10" s="1"/>
  <c r="HE18" i="28"/>
  <c r="HF18" i="28" s="1"/>
  <c r="HG18" i="28" s="1"/>
  <c r="CR18" i="28" s="1"/>
  <c r="AJ20" i="10" s="1"/>
  <c r="HE13" i="28"/>
  <c r="HF13" i="28" s="1"/>
  <c r="HG13" i="28" s="1"/>
  <c r="CR13" i="28" s="1"/>
  <c r="AJ15" i="10" s="1"/>
  <c r="HE20" i="28"/>
  <c r="HF20" i="28" s="1"/>
  <c r="HG20" i="28" s="1"/>
  <c r="CR20" i="28" s="1"/>
  <c r="AJ22" i="10" s="1"/>
  <c r="HE16" i="28"/>
  <c r="HF16" i="28" s="1"/>
  <c r="HG16" i="28" s="1"/>
  <c r="CR16" i="28" s="1"/>
  <c r="AJ18" i="10" s="1"/>
  <c r="HE15" i="28"/>
  <c r="HF15" i="28" s="1"/>
  <c r="HG15" i="28" s="1"/>
  <c r="CR15" i="28" s="1"/>
  <c r="AJ17" i="10" s="1"/>
  <c r="EQ13" i="33"/>
  <c r="DD9" i="8"/>
  <c r="GV17" i="20"/>
  <c r="GV12" i="20"/>
  <c r="FP12" i="20" s="1"/>
  <c r="GV11" i="20"/>
  <c r="EQ23" i="19"/>
  <c r="DD12" i="8"/>
  <c r="CC12" i="8" s="1"/>
  <c r="DD10" i="8"/>
  <c r="DD16" i="8"/>
  <c r="CC16" i="8" s="1"/>
  <c r="EQ10" i="33"/>
  <c r="DP10" i="33" s="1"/>
  <c r="ER18" i="33"/>
  <c r="EW18" i="33" s="1"/>
  <c r="ES16" i="33"/>
  <c r="FK16" i="33" s="1"/>
  <c r="EQ11" i="33"/>
  <c r="EQ22" i="19"/>
  <c r="DP22" i="19" s="1"/>
  <c r="DD42" i="8"/>
  <c r="HF25" i="20"/>
  <c r="HN25" i="20"/>
  <c r="HJ25" i="20"/>
  <c r="HD25" i="20"/>
  <c r="HL25" i="20"/>
  <c r="HK25" i="20"/>
  <c r="HG25" i="20"/>
  <c r="HC25" i="20"/>
  <c r="HB25" i="20"/>
  <c r="HM25" i="20"/>
  <c r="HE26" i="20"/>
  <c r="HN26" i="20"/>
  <c r="HM26" i="20"/>
  <c r="HI26" i="20"/>
  <c r="HJ26" i="20"/>
  <c r="HF26" i="20"/>
  <c r="HB26" i="20"/>
  <c r="HL26" i="20"/>
  <c r="GV24" i="20"/>
  <c r="GY24" i="20"/>
  <c r="GX24" i="20"/>
  <c r="GY36" i="20"/>
  <c r="HV36" i="20" s="1"/>
  <c r="GX36" i="20"/>
  <c r="HD36" i="20" s="1"/>
  <c r="GV36" i="20"/>
  <c r="HY29" i="20"/>
  <c r="IF29" i="20"/>
  <c r="IE29" i="20"/>
  <c r="ID29" i="20"/>
  <c r="IA29" i="20"/>
  <c r="HX29" i="20"/>
  <c r="HW29" i="20"/>
  <c r="IB29" i="20"/>
  <c r="HT29" i="20"/>
  <c r="FN16" i="33"/>
  <c r="ER32" i="33"/>
  <c r="ES32" i="33"/>
  <c r="EQ32" i="33"/>
  <c r="EW14" i="33"/>
  <c r="FD14" i="33"/>
  <c r="EZ14" i="33"/>
  <c r="EV14" i="33"/>
  <c r="FC14" i="33"/>
  <c r="EY14" i="33"/>
  <c r="FM21" i="33"/>
  <c r="FS21" i="33"/>
  <c r="FR21" i="33"/>
  <c r="FN21" i="33"/>
  <c r="FO21" i="33"/>
  <c r="FK21" i="33"/>
  <c r="EX29" i="33"/>
  <c r="FD29" i="33"/>
  <c r="EZ29" i="33"/>
  <c r="EV29" i="33"/>
  <c r="EW23" i="33"/>
  <c r="FC23" i="33"/>
  <c r="EY23" i="33"/>
  <c r="FD23" i="33"/>
  <c r="EZ23" i="33"/>
  <c r="EV23" i="33"/>
  <c r="FM15" i="21"/>
  <c r="FK15" i="21"/>
  <c r="FO15" i="21"/>
  <c r="FP15" i="21"/>
  <c r="FL15" i="21"/>
  <c r="FM18" i="21"/>
  <c r="FP18" i="21"/>
  <c r="FL18" i="21"/>
  <c r="FK18" i="21"/>
  <c r="GV34" i="20"/>
  <c r="GX34" i="20"/>
  <c r="GY34" i="20"/>
  <c r="IA34" i="20" s="1"/>
  <c r="GY9" i="20"/>
  <c r="HZ9" i="20" s="1"/>
  <c r="GV9" i="20"/>
  <c r="FP9" i="20" s="1"/>
  <c r="GX9" i="20"/>
  <c r="HC9" i="20" s="1"/>
  <c r="FN12" i="33"/>
  <c r="FK12" i="33"/>
  <c r="FS12" i="33"/>
  <c r="FO12" i="33"/>
  <c r="FR12" i="33"/>
  <c r="FQ12" i="33"/>
  <c r="ES11" i="21"/>
  <c r="FN11" i="21" s="1"/>
  <c r="ER11" i="21"/>
  <c r="EY11" i="21" s="1"/>
  <c r="EQ11" i="21"/>
  <c r="DP11" i="21" s="1"/>
  <c r="EQ29" i="21"/>
  <c r="ES29" i="21"/>
  <c r="FK29" i="21" s="1"/>
  <c r="ER29" i="21"/>
  <c r="EV29" i="21" s="1"/>
  <c r="ER38" i="21"/>
  <c r="EQ38" i="21"/>
  <c r="ES38" i="21"/>
  <c r="EV38" i="21"/>
  <c r="DD29" i="8"/>
  <c r="DD15" i="8"/>
  <c r="DD28" i="8"/>
  <c r="HI25" i="20"/>
  <c r="HG26" i="20"/>
  <c r="IC9" i="20"/>
  <c r="HE36" i="20"/>
  <c r="HW36" i="20"/>
  <c r="GV19" i="20"/>
  <c r="GY19" i="20"/>
  <c r="HW19" i="20" s="1"/>
  <c r="GX19" i="20"/>
  <c r="HE19" i="20" s="1"/>
  <c r="IB19" i="20"/>
  <c r="HD26" i="20"/>
  <c r="HH34" i="20"/>
  <c r="HZ34" i="20"/>
  <c r="HI24" i="20"/>
  <c r="IA24" i="20"/>
  <c r="HI36" i="20"/>
  <c r="IA36" i="20"/>
  <c r="IC29" i="20"/>
  <c r="GV18" i="20"/>
  <c r="FP18" i="20" s="1"/>
  <c r="GY18" i="20"/>
  <c r="HT18" i="20" s="1"/>
  <c r="GX18" i="20"/>
  <c r="HJ18" i="20" s="1"/>
  <c r="HV19" i="20"/>
  <c r="HH25" i="20"/>
  <c r="HV29" i="20"/>
  <c r="FP12" i="33"/>
  <c r="FB23" i="33"/>
  <c r="EQ41" i="33"/>
  <c r="ES41" i="33"/>
  <c r="FK41" i="33" s="1"/>
  <c r="ER41" i="33"/>
  <c r="EV41" i="33" s="1"/>
  <c r="FS41" i="33"/>
  <c r="FA14" i="33"/>
  <c r="EQ19" i="33"/>
  <c r="DP19" i="33" s="1"/>
  <c r="ES19" i="33"/>
  <c r="FK19" i="33" s="1"/>
  <c r="ER19" i="33"/>
  <c r="EV19" i="33" s="1"/>
  <c r="ER27" i="33"/>
  <c r="EZ27" i="33" s="1"/>
  <c r="EQ27" i="33"/>
  <c r="ES27" i="33"/>
  <c r="FB29" i="33"/>
  <c r="ER35" i="33"/>
  <c r="EQ35" i="33"/>
  <c r="ES35" i="33"/>
  <c r="FL35" i="33" s="1"/>
  <c r="EV35" i="33"/>
  <c r="FB14" i="33"/>
  <c r="FP27" i="33"/>
  <c r="FA27" i="33"/>
  <c r="EQ40" i="33"/>
  <c r="ES40" i="33"/>
  <c r="EV40" i="33"/>
  <c r="ER40" i="33"/>
  <c r="FA40" i="33" s="1"/>
  <c r="FK40" i="33"/>
  <c r="FM12" i="33"/>
  <c r="FQ16" i="33"/>
  <c r="FP21" i="33"/>
  <c r="EQ26" i="33"/>
  <c r="ES26" i="33"/>
  <c r="FK26" i="33"/>
  <c r="ER26" i="33"/>
  <c r="EV26" i="33"/>
  <c r="EZ26" i="33"/>
  <c r="FO26" i="33"/>
  <c r="FA29" i="33"/>
  <c r="FB32" i="33"/>
  <c r="FQ32" i="33"/>
  <c r="FL41" i="33"/>
  <c r="EW41" i="33"/>
  <c r="ER42" i="33"/>
  <c r="EV42" i="33" s="1"/>
  <c r="EQ42" i="33"/>
  <c r="ES42" i="33"/>
  <c r="FL42" i="33" s="1"/>
  <c r="FS42" i="33"/>
  <c r="FO27" i="33"/>
  <c r="FC32" i="33"/>
  <c r="FR32" i="33"/>
  <c r="EQ39" i="33"/>
  <c r="ES39" i="33"/>
  <c r="FK39" i="33" s="1"/>
  <c r="ER39" i="33"/>
  <c r="EV39" i="33" s="1"/>
  <c r="FP42" i="33"/>
  <c r="FA42" i="33"/>
  <c r="FA23" i="33"/>
  <c r="ER28" i="33"/>
  <c r="EW28" i="33" s="1"/>
  <c r="EQ28" i="33"/>
  <c r="ES28" i="33"/>
  <c r="EV28" i="33"/>
  <c r="FK28" i="33"/>
  <c r="FC29" i="33"/>
  <c r="FA35" i="33"/>
  <c r="EZ40" i="33"/>
  <c r="FO40" i="33"/>
  <c r="ES32" i="35"/>
  <c r="FK32" i="35" s="1"/>
  <c r="EQ11" i="35"/>
  <c r="DP11" i="35" s="1"/>
  <c r="FB11" i="21"/>
  <c r="FQ11" i="21"/>
  <c r="FQ15" i="21"/>
  <c r="EQ25" i="21"/>
  <c r="ES25" i="21"/>
  <c r="FK25" i="21" s="1"/>
  <c r="ER25" i="21"/>
  <c r="EV25" i="21" s="1"/>
  <c r="EQ37" i="21"/>
  <c r="ES37" i="21"/>
  <c r="FK37" i="21" s="1"/>
  <c r="ER37" i="21"/>
  <c r="EV37" i="21" s="1"/>
  <c r="FN15" i="21"/>
  <c r="FO18" i="21"/>
  <c r="ER30" i="21"/>
  <c r="EQ30" i="21"/>
  <c r="ES30" i="21"/>
  <c r="EV30" i="21"/>
  <c r="ER19" i="21"/>
  <c r="FB19" i="21" s="1"/>
  <c r="EQ19" i="21"/>
  <c r="DP19" i="21" s="1"/>
  <c r="ES19" i="21"/>
  <c r="FK19" i="21" s="1"/>
  <c r="ER27" i="21"/>
  <c r="FB27" i="21" s="1"/>
  <c r="EQ27" i="21"/>
  <c r="ES27" i="21"/>
  <c r="FK27" i="21"/>
  <c r="ER31" i="21"/>
  <c r="EQ31" i="21"/>
  <c r="ES31" i="21"/>
  <c r="EV31" i="21"/>
  <c r="FK31" i="21"/>
  <c r="ER35" i="21"/>
  <c r="EV35" i="21" s="1"/>
  <c r="EQ35" i="21"/>
  <c r="ES35" i="21"/>
  <c r="FK35" i="21" s="1"/>
  <c r="FA38" i="21"/>
  <c r="FP38" i="21"/>
  <c r="FQ18" i="21"/>
  <c r="EQ28" i="21"/>
  <c r="ES28" i="21"/>
  <c r="FK28" i="21" s="1"/>
  <c r="ER28" i="21"/>
  <c r="EV28" i="21"/>
  <c r="EY29" i="21"/>
  <c r="FN29" i="21"/>
  <c r="EQ32" i="21"/>
  <c r="ES32" i="21"/>
  <c r="FK32" i="21" s="1"/>
  <c r="ER32" i="21"/>
  <c r="EV32" i="21" s="1"/>
  <c r="FP35" i="21"/>
  <c r="ER10" i="21"/>
  <c r="FB10" i="21" s="1"/>
  <c r="ES10" i="21"/>
  <c r="FN10" i="21" s="1"/>
  <c r="EQ12" i="21"/>
  <c r="DP12" i="21" s="1"/>
  <c r="ER14" i="21"/>
  <c r="EX14" i="21" s="1"/>
  <c r="ES14" i="21"/>
  <c r="FM14" i="21" s="1"/>
  <c r="ES16" i="21"/>
  <c r="FQ16" i="21" s="1"/>
  <c r="ER16" i="21"/>
  <c r="FB16" i="21" s="1"/>
  <c r="ER22" i="21"/>
  <c r="EY22" i="21" s="1"/>
  <c r="ES22" i="21"/>
  <c r="FN22" i="21" s="1"/>
  <c r="ES26" i="21"/>
  <c r="EQ15" i="33"/>
  <c r="DP15" i="33" s="1"/>
  <c r="ES17" i="33"/>
  <c r="FQ17" i="33" s="1"/>
  <c r="EQ23" i="33"/>
  <c r="ES25" i="33"/>
  <c r="FQ25" i="33" s="1"/>
  <c r="ER25" i="33"/>
  <c r="ES29" i="33"/>
  <c r="FP29" i="33" s="1"/>
  <c r="EQ31" i="33"/>
  <c r="ER31" i="33"/>
  <c r="FB31" i="33" s="1"/>
  <c r="GX10" i="20"/>
  <c r="HH10" i="20" s="1"/>
  <c r="GY10" i="20"/>
  <c r="HU10" i="20" s="1"/>
  <c r="GX11" i="20"/>
  <c r="HG11" i="20" s="1"/>
  <c r="GV13" i="20"/>
  <c r="FP13" i="20" s="1"/>
  <c r="GY14" i="20"/>
  <c r="IC14" i="20" s="1"/>
  <c r="GY15" i="20"/>
  <c r="HY15" i="20" s="1"/>
  <c r="GX15" i="20"/>
  <c r="HK15" i="20" s="1"/>
  <c r="GV21" i="20"/>
  <c r="FP21" i="20" s="1"/>
  <c r="GV25" i="20"/>
  <c r="GV26" i="20"/>
  <c r="GY27" i="20"/>
  <c r="GY28" i="20"/>
  <c r="HZ28" i="20" s="1"/>
  <c r="GX28" i="20"/>
  <c r="GV30" i="20"/>
  <c r="GY31" i="20"/>
  <c r="GX31" i="20"/>
  <c r="HI31" i="20" s="1"/>
  <c r="GX32" i="20"/>
  <c r="GY32" i="20"/>
  <c r="GY33" i="20"/>
  <c r="GV37" i="20"/>
  <c r="GV38" i="20"/>
  <c r="GV40" i="20"/>
  <c r="GY41" i="20"/>
  <c r="GV42" i="20"/>
  <c r="GX42" i="20"/>
  <c r="ES9" i="21"/>
  <c r="FM9" i="21" s="1"/>
  <c r="ES13" i="21"/>
  <c r="FQ13" i="21" s="1"/>
  <c r="ER13" i="21"/>
  <c r="FB13" i="21" s="1"/>
  <c r="ER15" i="21"/>
  <c r="ER17" i="21"/>
  <c r="EY17" i="21" s="1"/>
  <c r="ES17" i="21"/>
  <c r="FN17" i="21" s="1"/>
  <c r="ER23" i="21"/>
  <c r="EX23" i="21" s="1"/>
  <c r="ES23" i="21"/>
  <c r="ER12" i="33"/>
  <c r="FB12" i="33" s="1"/>
  <c r="EQ14" i="33"/>
  <c r="DP14" i="33" s="1"/>
  <c r="ER16" i="33"/>
  <c r="FA16" i="33" s="1"/>
  <c r="ES18" i="33"/>
  <c r="FP18" i="33" s="1"/>
  <c r="ES22" i="33"/>
  <c r="FQ22" i="33" s="1"/>
  <c r="ES24" i="33"/>
  <c r="ER24" i="33"/>
  <c r="EX24" i="33" s="1"/>
  <c r="DD19" i="8"/>
  <c r="DD21" i="8"/>
  <c r="CC21" i="8" s="1"/>
  <c r="DD39" i="8"/>
  <c r="DD41" i="8"/>
  <c r="DD14" i="8"/>
  <c r="CC14" i="8" s="1"/>
  <c r="DD18" i="8"/>
  <c r="DD30" i="8"/>
  <c r="EQ17" i="19"/>
  <c r="DF8" i="8"/>
  <c r="DD8" i="8"/>
  <c r="CC8" i="8" s="1"/>
  <c r="DE8" i="8"/>
  <c r="DI8" i="8" s="1"/>
  <c r="DD27" i="8"/>
  <c r="DD24" i="8"/>
  <c r="DD31" i="8"/>
  <c r="EQ12" i="19"/>
  <c r="EQ8" i="19"/>
  <c r="DP8" i="19" s="1"/>
  <c r="DQ8" i="19" s="1"/>
  <c r="T5" i="5" s="1"/>
  <c r="EQ38" i="19"/>
  <c r="EQ42" i="19"/>
  <c r="HG10" i="20"/>
  <c r="HE25" i="20"/>
  <c r="HC26" i="20"/>
  <c r="HK26" i="20"/>
  <c r="HK28" i="20"/>
  <c r="IC28" i="20"/>
  <c r="IA31" i="20"/>
  <c r="IA33" i="20"/>
  <c r="IA41" i="20"/>
  <c r="HE24" i="20"/>
  <c r="HW24" i="20"/>
  <c r="HY27" i="20"/>
  <c r="HZ27" i="20"/>
  <c r="HZ41" i="20"/>
  <c r="HX19" i="20"/>
  <c r="GX23" i="20"/>
  <c r="HI23" i="20" s="1"/>
  <c r="GV23" i="20"/>
  <c r="GY23" i="20"/>
  <c r="HW23" i="20" s="1"/>
  <c r="HH24" i="20"/>
  <c r="HZ24" i="20"/>
  <c r="HH26" i="20"/>
  <c r="HH28" i="20"/>
  <c r="HH36" i="20"/>
  <c r="HZ36" i="20"/>
  <c r="HH42" i="20"/>
  <c r="HI32" i="20"/>
  <c r="IA32" i="20"/>
  <c r="GV16" i="20"/>
  <c r="FP16" i="20" s="1"/>
  <c r="GY16" i="20"/>
  <c r="IC16" i="20" s="1"/>
  <c r="GX16" i="20"/>
  <c r="HB16" i="20" s="1"/>
  <c r="HZ19" i="20"/>
  <c r="GV22" i="20"/>
  <c r="FP22" i="20" s="1"/>
  <c r="GY22" i="20"/>
  <c r="HX22" i="20" s="1"/>
  <c r="GX22" i="20"/>
  <c r="HH22" i="20" s="1"/>
  <c r="HZ33" i="20"/>
  <c r="HU29" i="20"/>
  <c r="HW34" i="20"/>
  <c r="HE34" i="20"/>
  <c r="HI42" i="20"/>
  <c r="HD15" i="20"/>
  <c r="HV15" i="20"/>
  <c r="HJ24" i="20"/>
  <c r="IB24" i="20"/>
  <c r="HV27" i="20"/>
  <c r="HZ29" i="20"/>
  <c r="FL12" i="33"/>
  <c r="EX23" i="33"/>
  <c r="FA24" i="33"/>
  <c r="FP24" i="33"/>
  <c r="FA28" i="33"/>
  <c r="FP28" i="33"/>
  <c r="EX31" i="33"/>
  <c r="FA32" i="33"/>
  <c r="FP32" i="33"/>
  <c r="ER37" i="33"/>
  <c r="FD37" i="33" s="1"/>
  <c r="EQ37" i="33"/>
  <c r="ES37" i="33"/>
  <c r="FP37" i="33" s="1"/>
  <c r="EV37" i="33"/>
  <c r="FL40" i="33"/>
  <c r="EW40" i="33"/>
  <c r="EZ41" i="33"/>
  <c r="FO41" i="33"/>
  <c r="FQ21" i="33"/>
  <c r="FL26" i="33"/>
  <c r="FS27" i="33"/>
  <c r="FD27" i="33"/>
  <c r="EY32" i="33"/>
  <c r="FS35" i="33"/>
  <c r="FD35" i="33"/>
  <c r="EZ39" i="33"/>
  <c r="FO39" i="33"/>
  <c r="ER43" i="33"/>
  <c r="FD43" i="33" s="1"/>
  <c r="EQ43" i="33"/>
  <c r="ES43" i="33"/>
  <c r="FO43" i="33" s="1"/>
  <c r="FN29" i="33"/>
  <c r="EY29" i="33"/>
  <c r="ER36" i="33"/>
  <c r="EZ36" i="33" s="1"/>
  <c r="EQ36" i="33"/>
  <c r="ES36" i="33"/>
  <c r="FP36" i="33" s="1"/>
  <c r="FK36" i="33"/>
  <c r="FL39" i="33"/>
  <c r="FD40" i="33"/>
  <c r="FS40" i="33"/>
  <c r="FP17" i="33"/>
  <c r="FL21" i="33"/>
  <c r="FB24" i="33"/>
  <c r="FQ24" i="33"/>
  <c r="FP25" i="33"/>
  <c r="FA25" i="33"/>
  <c r="FL29" i="33"/>
  <c r="EW29" i="33"/>
  <c r="EX32" i="33"/>
  <c r="FM32" i="33"/>
  <c r="EQ34" i="33"/>
  <c r="ES34" i="33"/>
  <c r="FK34" i="33"/>
  <c r="ER34" i="33"/>
  <c r="EV34" i="33"/>
  <c r="FS34" i="33"/>
  <c r="FD34" i="33"/>
  <c r="EQ38" i="33"/>
  <c r="ES38" i="33"/>
  <c r="FK38" i="33" s="1"/>
  <c r="ER38" i="33"/>
  <c r="FA38" i="33" s="1"/>
  <c r="FD38" i="33"/>
  <c r="FP41" i="33"/>
  <c r="FA41" i="33"/>
  <c r="EZ42" i="33"/>
  <c r="FO42" i="33"/>
  <c r="FP26" i="33"/>
  <c r="FA26" i="33"/>
  <c r="EZ35" i="33"/>
  <c r="FO35" i="33"/>
  <c r="FD39" i="33"/>
  <c r="FS39" i="33"/>
  <c r="EX14" i="33"/>
  <c r="EQ20" i="33"/>
  <c r="ES20" i="33"/>
  <c r="FS20" i="33" s="1"/>
  <c r="ER20" i="33"/>
  <c r="FA20" i="33" s="1"/>
  <c r="FL27" i="33"/>
  <c r="FD28" i="33"/>
  <c r="FS28" i="33"/>
  <c r="FP39" i="33"/>
  <c r="FA39" i="33"/>
  <c r="FP43" i="33"/>
  <c r="FN14" i="21"/>
  <c r="EY14" i="21"/>
  <c r="EX15" i="21"/>
  <c r="FN18" i="21"/>
  <c r="ER21" i="21"/>
  <c r="EY21" i="21" s="1"/>
  <c r="EQ21" i="21"/>
  <c r="DP21" i="21" s="1"/>
  <c r="ES21" i="21"/>
  <c r="FK21" i="21" s="1"/>
  <c r="FQ23" i="21"/>
  <c r="FO29" i="21"/>
  <c r="EZ29" i="21"/>
  <c r="EY30" i="21"/>
  <c r="FN30" i="21"/>
  <c r="ER33" i="21"/>
  <c r="EV33" i="21" s="1"/>
  <c r="EQ33" i="21"/>
  <c r="ES33" i="21"/>
  <c r="FP33" i="21" s="1"/>
  <c r="FO37" i="21"/>
  <c r="EZ37" i="21"/>
  <c r="EQ41" i="21"/>
  <c r="ES41" i="21"/>
  <c r="FK41" i="21"/>
  <c r="ER41" i="21"/>
  <c r="EV41" i="21"/>
  <c r="FO26" i="21"/>
  <c r="FN27" i="21"/>
  <c r="FQ28" i="21"/>
  <c r="FB28" i="21"/>
  <c r="EZ30" i="21"/>
  <c r="FO30" i="21"/>
  <c r="EW33" i="21"/>
  <c r="ER34" i="21"/>
  <c r="EZ34" i="21" s="1"/>
  <c r="EQ34" i="21"/>
  <c r="ES34" i="21"/>
  <c r="EV34" i="21"/>
  <c r="FL37" i="21"/>
  <c r="EW37" i="21"/>
  <c r="EZ38" i="21"/>
  <c r="FO38" i="21"/>
  <c r="FL41" i="21"/>
  <c r="EW41" i="21"/>
  <c r="ER42" i="21"/>
  <c r="EQ42" i="21"/>
  <c r="ES42" i="21"/>
  <c r="EV42" i="21"/>
  <c r="FB17" i="21"/>
  <c r="EZ27" i="21"/>
  <c r="FO27" i="21"/>
  <c r="FN28" i="21"/>
  <c r="EW30" i="21"/>
  <c r="FL30" i="21"/>
  <c r="EZ31" i="21"/>
  <c r="FO31" i="21"/>
  <c r="EW34" i="21"/>
  <c r="FL34" i="21"/>
  <c r="EZ35" i="21"/>
  <c r="FO35" i="21"/>
  <c r="EW38" i="21"/>
  <c r="FL38" i="21"/>
  <c r="ER39" i="21"/>
  <c r="EZ39" i="21" s="1"/>
  <c r="EQ39" i="21"/>
  <c r="ES39" i="21"/>
  <c r="FK39" i="21"/>
  <c r="FA42" i="21"/>
  <c r="FP42" i="21"/>
  <c r="ER24" i="21"/>
  <c r="EQ24" i="21"/>
  <c r="ES24" i="21"/>
  <c r="EV24" i="21"/>
  <c r="FK24" i="21"/>
  <c r="EY25" i="21"/>
  <c r="FN25" i="21"/>
  <c r="FB26" i="21"/>
  <c r="FQ26" i="21"/>
  <c r="EW31" i="21"/>
  <c r="FL31" i="21"/>
  <c r="EZ32" i="21"/>
  <c r="FO32" i="21"/>
  <c r="EW35" i="21"/>
  <c r="FL35" i="21"/>
  <c r="EQ36" i="21"/>
  <c r="ES36" i="21"/>
  <c r="ER36" i="21"/>
  <c r="EZ36" i="21" s="1"/>
  <c r="FK36" i="21"/>
  <c r="EQ40" i="21"/>
  <c r="ES40" i="21"/>
  <c r="FK40" i="21" s="1"/>
  <c r="ER40" i="21"/>
  <c r="EV40" i="21" s="1"/>
  <c r="EQ10" i="21"/>
  <c r="DP10" i="21" s="1"/>
  <c r="ER12" i="21"/>
  <c r="FB12" i="21" s="1"/>
  <c r="ES12" i="21"/>
  <c r="FM12" i="21" s="1"/>
  <c r="EQ14" i="21"/>
  <c r="DP14" i="21" s="1"/>
  <c r="EQ16" i="21"/>
  <c r="DP16" i="21" s="1"/>
  <c r="EQ18" i="21"/>
  <c r="ER18" i="21"/>
  <c r="FB18" i="21" s="1"/>
  <c r="ER20" i="21"/>
  <c r="FB20" i="21" s="1"/>
  <c r="ES20" i="21"/>
  <c r="FQ20" i="21" s="1"/>
  <c r="EQ22" i="21"/>
  <c r="EQ26" i="21"/>
  <c r="ER26" i="21"/>
  <c r="ER11" i="33"/>
  <c r="FC11" i="33" s="1"/>
  <c r="ES11" i="33"/>
  <c r="ER13" i="33"/>
  <c r="FA13" i="33" s="1"/>
  <c r="ES13" i="33"/>
  <c r="FL13" i="33" s="1"/>
  <c r="ES15" i="33"/>
  <c r="FQ15" i="33" s="1"/>
  <c r="ER15" i="33"/>
  <c r="EQ17" i="33"/>
  <c r="DP17" i="33" s="1"/>
  <c r="ER17" i="33"/>
  <c r="EQ21" i="33"/>
  <c r="DP21" i="33" s="1"/>
  <c r="ER21" i="33"/>
  <c r="FB21" i="33" s="1"/>
  <c r="ES23" i="33"/>
  <c r="FP23" i="33" s="1"/>
  <c r="EQ25" i="33"/>
  <c r="EQ29" i="33"/>
  <c r="ES31" i="33"/>
  <c r="FP31" i="33" s="1"/>
  <c r="ES33" i="33"/>
  <c r="FP33" i="33" s="1"/>
  <c r="ER33" i="33"/>
  <c r="EY33" i="33" s="1"/>
  <c r="GV10" i="20"/>
  <c r="FP10" i="20" s="1"/>
  <c r="GY11" i="20"/>
  <c r="HU11" i="20" s="1"/>
  <c r="GY12" i="20"/>
  <c r="HY12" i="20" s="1"/>
  <c r="GX12" i="20"/>
  <c r="GX13" i="20"/>
  <c r="HH13" i="20" s="1"/>
  <c r="GY13" i="20"/>
  <c r="HZ13" i="20" s="1"/>
  <c r="GX14" i="20"/>
  <c r="HH14" i="20" s="1"/>
  <c r="GV14" i="20"/>
  <c r="FP14" i="20" s="1"/>
  <c r="GV15" i="20"/>
  <c r="FP15" i="20" s="1"/>
  <c r="GY17" i="20"/>
  <c r="HZ17" i="20" s="1"/>
  <c r="GX17" i="20"/>
  <c r="HE17" i="20" s="1"/>
  <c r="GY20" i="20"/>
  <c r="IA20" i="20" s="1"/>
  <c r="GX20" i="20"/>
  <c r="HH20" i="20" s="1"/>
  <c r="GX21" i="20"/>
  <c r="HF21" i="20" s="1"/>
  <c r="GY21" i="20"/>
  <c r="IA21" i="20" s="1"/>
  <c r="GY25" i="20"/>
  <c r="GY26" i="20"/>
  <c r="HY26" i="20" s="1"/>
  <c r="GX27" i="20"/>
  <c r="HG27" i="20" s="1"/>
  <c r="GV27" i="20"/>
  <c r="GV28" i="20"/>
  <c r="GV29" i="20"/>
  <c r="GX29" i="20"/>
  <c r="HC29" i="20" s="1"/>
  <c r="GX30" i="20"/>
  <c r="GY30" i="20"/>
  <c r="GV31" i="20"/>
  <c r="GV32" i="20"/>
  <c r="GX33" i="20"/>
  <c r="HI33" i="20" s="1"/>
  <c r="GV33" i="20"/>
  <c r="GY35" i="20"/>
  <c r="HW35" i="20" s="1"/>
  <c r="GX35" i="20"/>
  <c r="HD35" i="20" s="1"/>
  <c r="GY37" i="20"/>
  <c r="HZ37" i="20" s="1"/>
  <c r="GX37" i="20"/>
  <c r="HI37" i="20" s="1"/>
  <c r="GX38" i="20"/>
  <c r="HD38" i="20" s="1"/>
  <c r="GY38" i="20"/>
  <c r="GY39" i="20"/>
  <c r="HW39" i="20" s="1"/>
  <c r="GX39" i="20"/>
  <c r="HD39" i="20" s="1"/>
  <c r="GX40" i="20"/>
  <c r="HI40" i="20" s="1"/>
  <c r="GY40" i="20"/>
  <c r="HZ40" i="20" s="1"/>
  <c r="GV41" i="20"/>
  <c r="GX41" i="20"/>
  <c r="GY42" i="20"/>
  <c r="HZ42" i="20" s="1"/>
  <c r="ER9" i="21"/>
  <c r="EQ9" i="21"/>
  <c r="DP9" i="21" s="1"/>
  <c r="EQ13" i="21"/>
  <c r="DP13" i="21" s="1"/>
  <c r="EQ15" i="21"/>
  <c r="DP15" i="21" s="1"/>
  <c r="EQ17" i="21"/>
  <c r="DP17" i="21" s="1"/>
  <c r="EQ23" i="21"/>
  <c r="ER10" i="33"/>
  <c r="FB10" i="33" s="1"/>
  <c r="ES10" i="33"/>
  <c r="FP10" i="33" s="1"/>
  <c r="EQ12" i="33"/>
  <c r="DP12" i="33" s="1"/>
  <c r="ES14" i="33"/>
  <c r="FP14" i="33" s="1"/>
  <c r="EQ16" i="33"/>
  <c r="DP16" i="33" s="1"/>
  <c r="EQ18" i="33"/>
  <c r="EQ22" i="33"/>
  <c r="ER22" i="33"/>
  <c r="FA22" i="33" s="1"/>
  <c r="EQ24" i="33"/>
  <c r="ER30" i="33"/>
  <c r="ES30" i="33"/>
  <c r="DD11" i="8"/>
  <c r="CC11" i="8" s="1"/>
  <c r="DD13" i="8"/>
  <c r="CC13" i="8" s="1"/>
  <c r="DD17" i="8"/>
  <c r="CC17" i="8" s="1"/>
  <c r="DD20" i="8"/>
  <c r="CC20" i="8" s="1"/>
  <c r="DD22" i="8"/>
  <c r="CC22" i="8" s="1"/>
  <c r="DD25" i="8"/>
  <c r="DD32" i="8"/>
  <c r="DD34" i="8"/>
  <c r="DD36" i="8"/>
  <c r="DD38" i="8"/>
  <c r="DD40" i="8"/>
  <c r="T7" i="33"/>
  <c r="AC7" i="33" s="1"/>
  <c r="AL7" i="33" s="1"/>
  <c r="AU7" i="33" s="1"/>
  <c r="BD7" i="33" s="1"/>
  <c r="BM7" i="33" s="1"/>
  <c r="BV7" i="33" s="1"/>
  <c r="JG8" i="34"/>
  <c r="JV8" i="34" s="1"/>
  <c r="ES8" i="34" s="1"/>
  <c r="AF10" i="10" s="1"/>
  <c r="K33" i="37" s="1"/>
  <c r="HM8" i="36"/>
  <c r="IB8" i="36" s="1"/>
  <c r="DM8" i="36" s="1"/>
  <c r="AG10" i="10" s="1"/>
  <c r="K34" i="37" s="1"/>
  <c r="AH34" i="10"/>
  <c r="AH33" i="10"/>
  <c r="AH31" i="10"/>
  <c r="AH40" i="10"/>
  <c r="AH13" i="10"/>
  <c r="AH37" i="10"/>
  <c r="AH42" i="10"/>
  <c r="AH32" i="10"/>
  <c r="AH44" i="10"/>
  <c r="AH27" i="10"/>
  <c r="AH38" i="10"/>
  <c r="AH14" i="10"/>
  <c r="AH23" i="10"/>
  <c r="AH41" i="10"/>
  <c r="AH36" i="10"/>
  <c r="AH43" i="10"/>
  <c r="AH17" i="10"/>
  <c r="AH29" i="10"/>
  <c r="AH39" i="10"/>
  <c r="AH35" i="10"/>
  <c r="AH26" i="10"/>
  <c r="AH30" i="10"/>
  <c r="AH28" i="10"/>
  <c r="AH15" i="10"/>
  <c r="AH25" i="10"/>
  <c r="AE14" i="10"/>
  <c r="AE32" i="10"/>
  <c r="AE17" i="10"/>
  <c r="AE11" i="10"/>
  <c r="AE37" i="10"/>
  <c r="AE24" i="10"/>
  <c r="AE41" i="10"/>
  <c r="AE33" i="10"/>
  <c r="AE44" i="10"/>
  <c r="AE13" i="10"/>
  <c r="AE39" i="10"/>
  <c r="AE12" i="10"/>
  <c r="AE19" i="10"/>
  <c r="AE21" i="10"/>
  <c r="AE35" i="10"/>
  <c r="AE23" i="10"/>
  <c r="AE36" i="10"/>
  <c r="AE40" i="10"/>
  <c r="AE25" i="10"/>
  <c r="AE43" i="10"/>
  <c r="AE26" i="10"/>
  <c r="AE27" i="10"/>
  <c r="AE28" i="10"/>
  <c r="AE31" i="10"/>
  <c r="AE38" i="10"/>
  <c r="AE42" i="10"/>
  <c r="AE34" i="10"/>
  <c r="AE18" i="10"/>
  <c r="AE30" i="10"/>
  <c r="AE20" i="10"/>
  <c r="AE16" i="10"/>
  <c r="AE29" i="10"/>
  <c r="AE15" i="10"/>
  <c r="BA8" i="26"/>
  <c r="AE10" i="10" s="1"/>
  <c r="K32" i="37" s="1"/>
  <c r="GR8" i="28"/>
  <c r="HG8" i="28" s="1"/>
  <c r="CR8" i="28" s="1"/>
  <c r="AJ10" i="10" s="1"/>
  <c r="K38" i="37" s="1"/>
  <c r="EQ34" i="35"/>
  <c r="DP34" i="35" s="1"/>
  <c r="ES18" i="35"/>
  <c r="FP18" i="35" s="1"/>
  <c r="ER10" i="35"/>
  <c r="EZ10" i="35" s="1"/>
  <c r="ER13" i="35"/>
  <c r="EZ13" i="35" s="1"/>
  <c r="ES15" i="35"/>
  <c r="FK15" i="35" s="1"/>
  <c r="ER33" i="35"/>
  <c r="EX33" i="35" s="1"/>
  <c r="EQ33" i="35"/>
  <c r="DP33" i="35" s="1"/>
  <c r="FS18" i="35"/>
  <c r="FC10" i="35"/>
  <c r="FD33" i="35"/>
  <c r="FB33" i="35"/>
  <c r="FA33" i="35"/>
  <c r="EV33" i="35"/>
  <c r="EQ35" i="35"/>
  <c r="DP35" i="35" s="1"/>
  <c r="ER35" i="35"/>
  <c r="EV35" i="35" s="1"/>
  <c r="ES35" i="35"/>
  <c r="FL35" i="35" s="1"/>
  <c r="ES31" i="35"/>
  <c r="ER31" i="35"/>
  <c r="EQ31" i="35"/>
  <c r="ES29" i="35"/>
  <c r="ER29" i="35"/>
  <c r="EQ29" i="35"/>
  <c r="EV29" i="35"/>
  <c r="ES21" i="35"/>
  <c r="FK21" i="35" s="1"/>
  <c r="ER21" i="35"/>
  <c r="EY21" i="35" s="1"/>
  <c r="EQ21" i="35"/>
  <c r="DP21" i="35" s="1"/>
  <c r="EQ19" i="35"/>
  <c r="DP19" i="35" s="1"/>
  <c r="ER19" i="35"/>
  <c r="EY19" i="35" s="1"/>
  <c r="ES19" i="35"/>
  <c r="FL19" i="35" s="1"/>
  <c r="ES40" i="35"/>
  <c r="FL40" i="35" s="1"/>
  <c r="EQ40" i="35"/>
  <c r="DP40" i="35" s="1"/>
  <c r="ER40" i="35"/>
  <c r="FN21" i="35"/>
  <c r="EQ41" i="35"/>
  <c r="ES41" i="35"/>
  <c r="ER41" i="35"/>
  <c r="EW41" i="35" s="1"/>
  <c r="EQ27" i="35"/>
  <c r="DP27" i="35" s="1"/>
  <c r="EV27" i="35"/>
  <c r="ER27" i="35"/>
  <c r="ES27" i="35"/>
  <c r="ER28" i="35"/>
  <c r="EV28" i="35" s="1"/>
  <c r="EQ28" i="35"/>
  <c r="DP28" i="35" s="1"/>
  <c r="ES28" i="35"/>
  <c r="FK28" i="35" s="1"/>
  <c r="FL32" i="35"/>
  <c r="EY11" i="35"/>
  <c r="ER36" i="35"/>
  <c r="EV36" i="35" s="1"/>
  <c r="ES36" i="35"/>
  <c r="FK36" i="35" s="1"/>
  <c r="EQ36" i="35"/>
  <c r="DP36" i="35" s="1"/>
  <c r="ER30" i="35"/>
  <c r="EV30" i="35" s="1"/>
  <c r="ES30" i="35"/>
  <c r="EQ30" i="35"/>
  <c r="ES26" i="35"/>
  <c r="FK26" i="35" s="1"/>
  <c r="ER26" i="35"/>
  <c r="EV26" i="35" s="1"/>
  <c r="EQ26" i="35"/>
  <c r="DP26" i="35" s="1"/>
  <c r="ER16" i="35"/>
  <c r="EX16" i="35" s="1"/>
  <c r="ER12" i="35"/>
  <c r="ES10" i="35"/>
  <c r="FM10" i="35" s="1"/>
  <c r="ES17" i="35"/>
  <c r="FL17" i="35" s="1"/>
  <c r="ER9" i="35"/>
  <c r="EY9" i="35" s="1"/>
  <c r="ES14" i="35"/>
  <c r="FM14" i="35" s="1"/>
  <c r="ER14" i="35"/>
  <c r="EX14" i="35" s="1"/>
  <c r="EQ16" i="35"/>
  <c r="DP16" i="35" s="1"/>
  <c r="ES12" i="35"/>
  <c r="FM12" i="35" s="1"/>
  <c r="ER17" i="35"/>
  <c r="ER32" i="35"/>
  <c r="EW32" i="35" s="1"/>
  <c r="EQ14" i="35"/>
  <c r="DP14" i="35" s="1"/>
  <c r="ER18" i="35"/>
  <c r="EQ18" i="35"/>
  <c r="DP18" i="35" s="1"/>
  <c r="ES39" i="35"/>
  <c r="ER39" i="35"/>
  <c r="EV39" i="35" s="1"/>
  <c r="EQ39" i="35"/>
  <c r="EQ25" i="35"/>
  <c r="DP25" i="35" s="1"/>
  <c r="ER25" i="35"/>
  <c r="EY25" i="35" s="1"/>
  <c r="ES25" i="35"/>
  <c r="FK25" i="35" s="1"/>
  <c r="EQ24" i="35"/>
  <c r="DP24" i="35" s="1"/>
  <c r="ER24" i="35"/>
  <c r="ES24" i="35"/>
  <c r="FK24" i="35" s="1"/>
  <c r="ER20" i="35"/>
  <c r="EV20" i="35" s="1"/>
  <c r="ES20" i="35"/>
  <c r="FL20" i="35" s="1"/>
  <c r="EQ20" i="35"/>
  <c r="DP20" i="35" s="1"/>
  <c r="FL41" i="35"/>
  <c r="ER42" i="35"/>
  <c r="EV42" i="35" s="1"/>
  <c r="EQ42" i="35"/>
  <c r="DP42" i="35" s="1"/>
  <c r="ES42" i="35"/>
  <c r="ER38" i="35"/>
  <c r="EV38" i="35" s="1"/>
  <c r="EQ38" i="35"/>
  <c r="DP38" i="35" s="1"/>
  <c r="ES38" i="35"/>
  <c r="FL38" i="35" s="1"/>
  <c r="EZ11" i="35"/>
  <c r="FD11" i="35"/>
  <c r="FA11" i="35"/>
  <c r="FC11" i="35"/>
  <c r="FB11" i="35"/>
  <c r="FN32" i="35"/>
  <c r="FS32" i="35"/>
  <c r="FP32" i="35"/>
  <c r="FO32" i="35"/>
  <c r="FR32" i="35"/>
  <c r="FQ32" i="35"/>
  <c r="ES37" i="35"/>
  <c r="ER37" i="35"/>
  <c r="EV37" i="35" s="1"/>
  <c r="EQ37" i="35"/>
  <c r="FM32" i="35"/>
  <c r="ES23" i="35"/>
  <c r="FL23" i="35" s="1"/>
  <c r="ER23" i="35"/>
  <c r="EV23" i="35" s="1"/>
  <c r="EQ23" i="35"/>
  <c r="DP23" i="35" s="1"/>
  <c r="ER22" i="35"/>
  <c r="EV22" i="35" s="1"/>
  <c r="EQ22" i="35"/>
  <c r="DP22" i="35" s="1"/>
  <c r="ES22" i="35"/>
  <c r="FN22" i="35" s="1"/>
  <c r="EW11" i="35"/>
  <c r="EY33" i="35"/>
  <c r="EX11" i="35"/>
  <c r="FL39" i="35"/>
  <c r="ES16" i="35"/>
  <c r="FL16" i="35" s="1"/>
  <c r="EQ12" i="35"/>
  <c r="DP12" i="35" s="1"/>
  <c r="EQ10" i="35"/>
  <c r="DP10" i="35" s="1"/>
  <c r="EQ17" i="35"/>
  <c r="DP17" i="35" s="1"/>
  <c r="ES9" i="35"/>
  <c r="ER15" i="35"/>
  <c r="EY15" i="35" s="1"/>
  <c r="ES13" i="35"/>
  <c r="EQ9" i="35"/>
  <c r="DP9" i="35" s="1"/>
  <c r="ER34" i="35"/>
  <c r="EW34" i="35" s="1"/>
  <c r="ES34" i="35"/>
  <c r="ES33" i="35"/>
  <c r="FN33" i="35" s="1"/>
  <c r="EQ15" i="35"/>
  <c r="DP15" i="35" s="1"/>
  <c r="ES11" i="35"/>
  <c r="FN11" i="35" s="1"/>
  <c r="EQ32" i="35"/>
  <c r="EQ13" i="35"/>
  <c r="DP13" i="35" s="1"/>
  <c r="EQ8" i="33"/>
  <c r="DP8" i="33" s="1"/>
  <c r="DQ8" i="33" s="1"/>
  <c r="X5" i="5" s="1"/>
  <c r="ES9" i="33"/>
  <c r="EQ9" i="33"/>
  <c r="DP9" i="33" s="1"/>
  <c r="ER9" i="33"/>
  <c r="FC9" i="33" s="1"/>
  <c r="GX8" i="20"/>
  <c r="GV8" i="20"/>
  <c r="FP8" i="20" s="1"/>
  <c r="FQ8" i="20" s="1"/>
  <c r="V5" i="5" s="1"/>
  <c r="ER37" i="19"/>
  <c r="FD37" i="19" s="1"/>
  <c r="EQ29" i="19"/>
  <c r="DP29" i="19" s="1"/>
  <c r="EQ33" i="19"/>
  <c r="EQ10" i="19"/>
  <c r="DP10" i="19" s="1"/>
  <c r="EQ19" i="19"/>
  <c r="DP19" i="19" s="1"/>
  <c r="EQ21" i="19"/>
  <c r="DP21" i="19" s="1"/>
  <c r="EQ40" i="19"/>
  <c r="EQ11" i="19"/>
  <c r="DP11" i="19" s="1"/>
  <c r="EQ35" i="19"/>
  <c r="EQ20" i="19"/>
  <c r="DP20" i="19" s="1"/>
  <c r="EQ14" i="19"/>
  <c r="DP14" i="19" s="1"/>
  <c r="EQ25" i="19"/>
  <c r="DP25" i="19" s="1"/>
  <c r="EQ27" i="19"/>
  <c r="DP27" i="19" s="1"/>
  <c r="EQ24" i="19"/>
  <c r="DP24" i="19" s="1"/>
  <c r="EQ30" i="19"/>
  <c r="DP30" i="19" s="1"/>
  <c r="EQ28" i="19"/>
  <c r="DP28" i="19" s="1"/>
  <c r="EQ32" i="19"/>
  <c r="DP32" i="19" s="1"/>
  <c r="EQ26" i="19"/>
  <c r="EQ31" i="19"/>
  <c r="EQ13" i="19"/>
  <c r="DP13" i="19" s="1"/>
  <c r="EQ15" i="19"/>
  <c r="DP15" i="19" s="1"/>
  <c r="EQ39" i="19"/>
  <c r="EQ18" i="19"/>
  <c r="DP18" i="19" s="1"/>
  <c r="EQ34" i="19"/>
  <c r="DP34" i="19" s="1"/>
  <c r="EQ16" i="19"/>
  <c r="DP16" i="19" s="1"/>
  <c r="EQ9" i="19"/>
  <c r="DP9" i="19" s="1"/>
  <c r="ES17" i="19"/>
  <c r="FQ17" i="19" s="1"/>
  <c r="ES37" i="19"/>
  <c r="DP17" i="19"/>
  <c r="DE33" i="8"/>
  <c r="ES13" i="19"/>
  <c r="DP22" i="21"/>
  <c r="DP29" i="33"/>
  <c r="DF13" i="8"/>
  <c r="DF20" i="8"/>
  <c r="ER13" i="19"/>
  <c r="ER21" i="19"/>
  <c r="ES21" i="19"/>
  <c r="FQ21" i="19" s="1"/>
  <c r="DP41" i="19"/>
  <c r="ER41" i="19"/>
  <c r="FB41" i="19" s="1"/>
  <c r="DP37" i="19"/>
  <c r="DE22" i="8"/>
  <c r="ES22" i="19"/>
  <c r="DE21" i="8"/>
  <c r="ER17" i="19"/>
  <c r="DF21" i="8"/>
  <c r="DZ21" i="8" s="1"/>
  <c r="CR9" i="28"/>
  <c r="AJ11" i="10" s="1"/>
  <c r="CR10" i="28"/>
  <c r="AJ12" i="10" s="1"/>
  <c r="ES8" i="33"/>
  <c r="HD8" i="27"/>
  <c r="HE8" i="27" s="1"/>
  <c r="HF8" i="27" s="1"/>
  <c r="HG8" i="27" s="1"/>
  <c r="Y21" i="6"/>
  <c r="BH25" i="38" s="1"/>
  <c r="Y39" i="6"/>
  <c r="BH43" i="38" s="1"/>
  <c r="Y15" i="6"/>
  <c r="BH19" i="38" s="1"/>
  <c r="BH14" i="38"/>
  <c r="ER42" i="25"/>
  <c r="DP23" i="21"/>
  <c r="DP26" i="21"/>
  <c r="DP41" i="21"/>
  <c r="DP8" i="21"/>
  <c r="DQ8" i="21" s="1"/>
  <c r="AB5" i="5" s="1"/>
  <c r="ES8" i="21"/>
  <c r="FN8" i="21" s="1"/>
  <c r="ER8" i="21"/>
  <c r="EW8" i="21" s="1"/>
  <c r="DP18" i="21"/>
  <c r="DP20" i="21"/>
  <c r="DP42" i="21"/>
  <c r="DP28" i="21"/>
  <c r="DP25" i="21"/>
  <c r="DP24" i="21"/>
  <c r="DP36" i="21"/>
  <c r="DP40" i="21"/>
  <c r="DP29" i="21"/>
  <c r="DP33" i="21"/>
  <c r="DP37" i="21"/>
  <c r="DP31" i="21"/>
  <c r="DP35" i="21"/>
  <c r="DP39" i="21"/>
  <c r="DP32" i="21"/>
  <c r="DP38" i="21"/>
  <c r="DP27" i="21"/>
  <c r="DP30" i="21"/>
  <c r="DP34" i="21"/>
  <c r="DP39" i="35"/>
  <c r="DP30" i="35"/>
  <c r="DP29" i="35"/>
  <c r="ER8" i="35"/>
  <c r="ES8" i="35"/>
  <c r="FM8" i="35" s="1"/>
  <c r="DP8" i="35"/>
  <c r="DQ8" i="35" s="1"/>
  <c r="Z5" i="5" s="1"/>
  <c r="DP37" i="35"/>
  <c r="DP41" i="35"/>
  <c r="CU7" i="35"/>
  <c r="DP31" i="35"/>
  <c r="DP32" i="35"/>
  <c r="CL7" i="35"/>
  <c r="DM7" i="35"/>
  <c r="CK7" i="35"/>
  <c r="DL7" i="35"/>
  <c r="DP43" i="33"/>
  <c r="DQ43" i="33" s="1"/>
  <c r="DP18" i="33"/>
  <c r="DP41" i="33"/>
  <c r="DP27" i="33"/>
  <c r="DP35" i="33"/>
  <c r="DP36" i="33"/>
  <c r="DP40" i="33"/>
  <c r="DP39" i="33"/>
  <c r="DP30" i="33"/>
  <c r="DP25" i="33"/>
  <c r="DP38" i="33"/>
  <c r="ER8" i="33"/>
  <c r="DP13" i="33"/>
  <c r="DP37" i="33"/>
  <c r="DP23" i="33"/>
  <c r="DP11" i="33"/>
  <c r="DP33" i="33"/>
  <c r="DP42" i="33"/>
  <c r="DP31" i="33"/>
  <c r="DP26" i="33"/>
  <c r="DP34" i="33"/>
  <c r="DP28" i="33"/>
  <c r="DP22" i="33"/>
  <c r="DP20" i="33"/>
  <c r="DP32" i="33"/>
  <c r="DP24" i="33"/>
  <c r="FP26" i="20"/>
  <c r="FP28" i="20"/>
  <c r="FP31" i="20"/>
  <c r="FP32" i="20"/>
  <c r="FP40" i="20"/>
  <c r="FP35" i="20"/>
  <c r="FP39" i="20"/>
  <c r="FP27" i="20"/>
  <c r="FP19" i="20"/>
  <c r="FP20" i="20"/>
  <c r="FP41" i="20"/>
  <c r="FP38" i="20"/>
  <c r="FP42" i="20"/>
  <c r="FP17" i="20"/>
  <c r="FP11" i="20"/>
  <c r="FP24" i="20"/>
  <c r="FP36" i="20"/>
  <c r="FP25" i="20"/>
  <c r="FP37" i="20"/>
  <c r="FP30" i="20"/>
  <c r="FP33" i="20"/>
  <c r="FP23" i="20"/>
  <c r="FP29" i="20"/>
  <c r="FP34" i="20"/>
  <c r="FA7" i="20"/>
  <c r="GY8" i="20"/>
  <c r="ES25" i="19"/>
  <c r="ER25" i="19"/>
  <c r="FA25" i="19" s="1"/>
  <c r="ES9" i="19"/>
  <c r="FM9" i="19" s="1"/>
  <c r="ER9" i="19"/>
  <c r="ER33" i="19"/>
  <c r="FA33" i="19" s="1"/>
  <c r="DP33" i="19"/>
  <c r="ES33" i="19"/>
  <c r="ER10" i="19"/>
  <c r="ES10" i="19"/>
  <c r="FQ10" i="19" s="1"/>
  <c r="ES15" i="19"/>
  <c r="FQ15" i="19" s="1"/>
  <c r="ER15" i="19"/>
  <c r="FB15" i="19" s="1"/>
  <c r="ER20" i="19"/>
  <c r="ES20" i="19"/>
  <c r="FQ20" i="19" s="1"/>
  <c r="ER22" i="19"/>
  <c r="FB22" i="19" s="1"/>
  <c r="DP26" i="19"/>
  <c r="ER26" i="19"/>
  <c r="ES26" i="19"/>
  <c r="ES41" i="19"/>
  <c r="ER42" i="19"/>
  <c r="FB42" i="19" s="1"/>
  <c r="DP42" i="19"/>
  <c r="ES42" i="19"/>
  <c r="FQ42" i="19" s="1"/>
  <c r="ES11" i="19"/>
  <c r="ER19" i="19"/>
  <c r="FB19" i="19" s="1"/>
  <c r="ES19" i="19"/>
  <c r="FQ19" i="19" s="1"/>
  <c r="DP35" i="19"/>
  <c r="ER35" i="19"/>
  <c r="ES35" i="19"/>
  <c r="ES16" i="19"/>
  <c r="ER16" i="19"/>
  <c r="ER18" i="19"/>
  <c r="FB18" i="19" s="1"/>
  <c r="ES18" i="19"/>
  <c r="DP40" i="19"/>
  <c r="ER40" i="19"/>
  <c r="ES40" i="19"/>
  <c r="ER24" i="19"/>
  <c r="ES24" i="19"/>
  <c r="ES12" i="19"/>
  <c r="FQ12" i="19" s="1"/>
  <c r="ER12" i="19"/>
  <c r="DP12" i="19"/>
  <c r="ER14" i="19"/>
  <c r="ES14" i="19"/>
  <c r="ER34" i="19"/>
  <c r="FB34" i="19" s="1"/>
  <c r="ES34" i="19"/>
  <c r="ER11" i="19"/>
  <c r="FB11" i="19" s="1"/>
  <c r="ER23" i="19"/>
  <c r="DP23" i="19"/>
  <c r="ES23" i="19"/>
  <c r="ER29" i="19"/>
  <c r="FA29" i="19" s="1"/>
  <c r="ES29" i="19"/>
  <c r="FP29" i="19" s="1"/>
  <c r="ER39" i="19"/>
  <c r="ES39" i="19"/>
  <c r="DP39" i="19"/>
  <c r="ES30" i="19"/>
  <c r="FP30" i="19" s="1"/>
  <c r="ER30" i="19"/>
  <c r="ES36" i="19"/>
  <c r="FQ36" i="19" s="1"/>
  <c r="ER36" i="19"/>
  <c r="FB36" i="19" s="1"/>
  <c r="DP36" i="19"/>
  <c r="ES28" i="19"/>
  <c r="FP28" i="19" s="1"/>
  <c r="ER28" i="19"/>
  <c r="FA28" i="19" s="1"/>
  <c r="ES38" i="19"/>
  <c r="DP38" i="19"/>
  <c r="ER38" i="19"/>
  <c r="FB38" i="19" s="1"/>
  <c r="ER27" i="19"/>
  <c r="FA27" i="19" s="1"/>
  <c r="ES27" i="19"/>
  <c r="DP31" i="19"/>
  <c r="ER31" i="19"/>
  <c r="FA31" i="19" s="1"/>
  <c r="ES31" i="19"/>
  <c r="ES32" i="19"/>
  <c r="ER32" i="19"/>
  <c r="FA32" i="19" s="1"/>
  <c r="ES8" i="19"/>
  <c r="FP8" i="19" s="1"/>
  <c r="ER8" i="19"/>
  <c r="DE25" i="8"/>
  <c r="CC25" i="8"/>
  <c r="DF25" i="8"/>
  <c r="CC34" i="8"/>
  <c r="DF34" i="8"/>
  <c r="DE34" i="8"/>
  <c r="DK34" i="8" s="1"/>
  <c r="CC41" i="8"/>
  <c r="DF41" i="8"/>
  <c r="DE41" i="8"/>
  <c r="DF35" i="8"/>
  <c r="DE35" i="8"/>
  <c r="CC35" i="8"/>
  <c r="DE27" i="8"/>
  <c r="DF27" i="8"/>
  <c r="EA27" i="8" s="1"/>
  <c r="CC27" i="8"/>
  <c r="DE12" i="8"/>
  <c r="DF12" i="8"/>
  <c r="CC32" i="8"/>
  <c r="DF32" i="8"/>
  <c r="DE32" i="8"/>
  <c r="DE10" i="8"/>
  <c r="DF10" i="8"/>
  <c r="CC10" i="8"/>
  <c r="DE9" i="8"/>
  <c r="CC9" i="8"/>
  <c r="DF9" i="8"/>
  <c r="DF37" i="8"/>
  <c r="DE37" i="8"/>
  <c r="CC37" i="8"/>
  <c r="DF36" i="8"/>
  <c r="DE36" i="8"/>
  <c r="CC36" i="8"/>
  <c r="DF26" i="8"/>
  <c r="CC26" i="8"/>
  <c r="DE26" i="8"/>
  <c r="DE18" i="8"/>
  <c r="CC18" i="8"/>
  <c r="DF18" i="8"/>
  <c r="DE38" i="8"/>
  <c r="DL38" i="8" s="1"/>
  <c r="DF38" i="8"/>
  <c r="CC38" i="8"/>
  <c r="CC33" i="8"/>
  <c r="DF33" i="8"/>
  <c r="DF15" i="8"/>
  <c r="DE15" i="8"/>
  <c r="CC15" i="8"/>
  <c r="CC19" i="8"/>
  <c r="DF19" i="8"/>
  <c r="DE19" i="8"/>
  <c r="CC23" i="8"/>
  <c r="DE23" i="8"/>
  <c r="DF23" i="8"/>
  <c r="DE42" i="8"/>
  <c r="DF17" i="8"/>
  <c r="DE17" i="8"/>
  <c r="DE14" i="8"/>
  <c r="DF14" i="8"/>
  <c r="EB14" i="8" s="1"/>
  <c r="DE40" i="8"/>
  <c r="CC40" i="8"/>
  <c r="DF40" i="8"/>
  <c r="DF29" i="8"/>
  <c r="DE29" i="8"/>
  <c r="CC29" i="8"/>
  <c r="CC24" i="8"/>
  <c r="DE24" i="8"/>
  <c r="DL24" i="8" s="1"/>
  <c r="DF24" i="8"/>
  <c r="DF30" i="8"/>
  <c r="CC30" i="8"/>
  <c r="DE30" i="8"/>
  <c r="DF39" i="8"/>
  <c r="DF28" i="8"/>
  <c r="EB28" i="8" s="1"/>
  <c r="DE28" i="8"/>
  <c r="CC28" i="8"/>
  <c r="DE16" i="8"/>
  <c r="DE39" i="8"/>
  <c r="DK39" i="8" s="1"/>
  <c r="DE13" i="8"/>
  <c r="DF42" i="8"/>
  <c r="DE11" i="8"/>
  <c r="DF31" i="8"/>
  <c r="CC31" i="8"/>
  <c r="DE31" i="8"/>
  <c r="DF22" i="8"/>
  <c r="EA22" i="8" s="1"/>
  <c r="CC42" i="8"/>
  <c r="DF11" i="8"/>
  <c r="CC39" i="8"/>
  <c r="DE20" i="8"/>
  <c r="DF16" i="8"/>
  <c r="EA16" i="8" s="1"/>
  <c r="DX8" i="8"/>
  <c r="BH47" i="38"/>
  <c r="CQ7" i="35"/>
  <c r="BY7" i="35"/>
  <c r="CZ7" i="35" s="1"/>
  <c r="CS7" i="35"/>
  <c r="CA7" i="35"/>
  <c r="DB7" i="35" s="1"/>
  <c r="CO7" i="35"/>
  <c r="BW7" i="35"/>
  <c r="CX7" i="35" s="1"/>
  <c r="CP7" i="35"/>
  <c r="BX7" i="35"/>
  <c r="CY7" i="35" s="1"/>
  <c r="CR7" i="35"/>
  <c r="BZ7" i="35"/>
  <c r="DA7" i="35" s="1"/>
  <c r="CT7" i="33"/>
  <c r="CB7" i="33"/>
  <c r="DC7" i="33" s="1"/>
  <c r="CQ7" i="33"/>
  <c r="BY7" i="33"/>
  <c r="CZ7" i="33" s="1"/>
  <c r="CW7" i="35"/>
  <c r="CE7" i="35"/>
  <c r="DF7" i="35" s="1"/>
  <c r="CO7" i="33"/>
  <c r="BW7" i="33"/>
  <c r="CX7" i="33" s="1"/>
  <c r="CS7" i="33"/>
  <c r="CA7" i="33"/>
  <c r="DB7" i="33" s="1"/>
  <c r="CR7" i="33"/>
  <c r="BZ7" i="33"/>
  <c r="DA7" i="33" s="1"/>
  <c r="CU7" i="33"/>
  <c r="CC7" i="33"/>
  <c r="DD7" i="33" s="1"/>
  <c r="CP7" i="33"/>
  <c r="BX7" i="33"/>
  <c r="CY7" i="33" s="1"/>
  <c r="CV7" i="33"/>
  <c r="CD7" i="33"/>
  <c r="DE7" i="33" s="1"/>
  <c r="CV7" i="35"/>
  <c r="CD7" i="35"/>
  <c r="DE7" i="35" s="1"/>
  <c r="Z22" i="6"/>
  <c r="BI26" i="38" s="1"/>
  <c r="BI47" i="38"/>
  <c r="Z7" i="6"/>
  <c r="BI11" i="38" s="1"/>
  <c r="Z15" i="6"/>
  <c r="BI19" i="38" s="1"/>
  <c r="HH29" i="20" l="1"/>
  <c r="EX32" i="35"/>
  <c r="FK40" i="35"/>
  <c r="FL33" i="21"/>
  <c r="FA43" i="33"/>
  <c r="EV43" i="33"/>
  <c r="HH39" i="20"/>
  <c r="IH29" i="20"/>
  <c r="II29" i="20" s="1"/>
  <c r="HH23" i="20"/>
  <c r="HT23" i="20"/>
  <c r="FA37" i="21"/>
  <c r="FD42" i="33"/>
  <c r="EV27" i="33"/>
  <c r="FD41" i="33"/>
  <c r="EW16" i="33"/>
  <c r="HH19" i="20"/>
  <c r="HF19" i="20"/>
  <c r="HT19" i="20"/>
  <c r="HH9" i="20"/>
  <c r="HD9" i="20"/>
  <c r="HI18" i="20"/>
  <c r="FR15" i="35"/>
  <c r="EV13" i="35"/>
  <c r="FM16" i="33"/>
  <c r="FL16" i="33"/>
  <c r="FP16" i="33"/>
  <c r="FL18" i="33"/>
  <c r="FB18" i="33"/>
  <c r="FC18" i="33"/>
  <c r="FO16" i="33"/>
  <c r="EW19" i="21"/>
  <c r="FO19" i="21"/>
  <c r="FQ17" i="21"/>
  <c r="FL19" i="21"/>
  <c r="EZ19" i="21"/>
  <c r="EX19" i="21"/>
  <c r="FQ14" i="21"/>
  <c r="FN10" i="35"/>
  <c r="FR16" i="33"/>
  <c r="FQ18" i="33"/>
  <c r="FA18" i="33"/>
  <c r="EZ18" i="33"/>
  <c r="EX18" i="33"/>
  <c r="FD18" i="33"/>
  <c r="HD11" i="20"/>
  <c r="HY9" i="20"/>
  <c r="IA18" i="20"/>
  <c r="IA19" i="20"/>
  <c r="HT16" i="20"/>
  <c r="HG9" i="20"/>
  <c r="HK9" i="20"/>
  <c r="EV18" i="33"/>
  <c r="EY18" i="33"/>
  <c r="FS16" i="33"/>
  <c r="FN15" i="35"/>
  <c r="EW13" i="35"/>
  <c r="EX10" i="35"/>
  <c r="FA10" i="35"/>
  <c r="FB14" i="21"/>
  <c r="FB21" i="21"/>
  <c r="EV21" i="21"/>
  <c r="FQ10" i="21"/>
  <c r="EX8" i="21"/>
  <c r="FQ9" i="21"/>
  <c r="FO17" i="21"/>
  <c r="FQ22" i="21"/>
  <c r="FP19" i="21"/>
  <c r="EZ8" i="21"/>
  <c r="FS15" i="35"/>
  <c r="FP15" i="35"/>
  <c r="FD13" i="35"/>
  <c r="FD10" i="35"/>
  <c r="FN18" i="35"/>
  <c r="FA13" i="35"/>
  <c r="EX13" i="35"/>
  <c r="EW20" i="35"/>
  <c r="EV21" i="35"/>
  <c r="FN19" i="35"/>
  <c r="FQ18" i="35"/>
  <c r="FL10" i="35"/>
  <c r="EZ19" i="33"/>
  <c r="FA19" i="33"/>
  <c r="FD19" i="33"/>
  <c r="EX16" i="33"/>
  <c r="FF14" i="33"/>
  <c r="EU14" i="33" s="1"/>
  <c r="FG14" i="33"/>
  <c r="FI14" i="33" s="1"/>
  <c r="FU12" i="33"/>
  <c r="FV12" i="33" s="1"/>
  <c r="CW7" i="33"/>
  <c r="CE7" i="33"/>
  <c r="DF7" i="33" s="1"/>
  <c r="EB11" i="8"/>
  <c r="DX11" i="8"/>
  <c r="EC11" i="8"/>
  <c r="DY11" i="8"/>
  <c r="DM11" i="8"/>
  <c r="DI11" i="8"/>
  <c r="DN11" i="8"/>
  <c r="DJ11" i="8"/>
  <c r="DK30" i="8"/>
  <c r="DZ30" i="8"/>
  <c r="DZ29" i="8"/>
  <c r="EC29" i="8"/>
  <c r="DY29" i="8"/>
  <c r="DM42" i="8"/>
  <c r="DI42" i="8"/>
  <c r="DN42" i="8"/>
  <c r="DJ42" i="8"/>
  <c r="DM23" i="8"/>
  <c r="DI23" i="8"/>
  <c r="DN23" i="8"/>
  <c r="DJ23" i="8"/>
  <c r="DN19" i="8"/>
  <c r="DJ19" i="8"/>
  <c r="DM19" i="8"/>
  <c r="DI19" i="8"/>
  <c r="DM15" i="8"/>
  <c r="DK15" i="8"/>
  <c r="DN15" i="8"/>
  <c r="DJ15" i="8"/>
  <c r="EB33" i="8"/>
  <c r="DX33" i="8"/>
  <c r="EC33" i="8"/>
  <c r="DY33" i="8"/>
  <c r="DK26" i="8"/>
  <c r="DI26" i="8"/>
  <c r="DN26" i="8"/>
  <c r="DJ26" i="8"/>
  <c r="DZ26" i="8"/>
  <c r="DX26" i="8"/>
  <c r="EC26" i="8"/>
  <c r="DY26" i="8"/>
  <c r="DM36" i="8"/>
  <c r="DI36" i="8"/>
  <c r="DN36" i="8"/>
  <c r="DJ36" i="8"/>
  <c r="EB37" i="8"/>
  <c r="DX37" i="8"/>
  <c r="EC37" i="8"/>
  <c r="DY37" i="8"/>
  <c r="EC32" i="8"/>
  <c r="DY32" i="8"/>
  <c r="EB32" i="8"/>
  <c r="DX32" i="8"/>
  <c r="EB12" i="8"/>
  <c r="DX12" i="8"/>
  <c r="EC12" i="8"/>
  <c r="DY12" i="8"/>
  <c r="EC35" i="8"/>
  <c r="DY35" i="8"/>
  <c r="EB35" i="8"/>
  <c r="DX35" i="8"/>
  <c r="EB41" i="8"/>
  <c r="DX41" i="8"/>
  <c r="EC41" i="8"/>
  <c r="DY41" i="8"/>
  <c r="DM21" i="8"/>
  <c r="DI21" i="8"/>
  <c r="DN21" i="8"/>
  <c r="DJ21" i="8"/>
  <c r="DM22" i="8"/>
  <c r="DI22" i="8"/>
  <c r="DN22" i="8"/>
  <c r="DJ22" i="8"/>
  <c r="DM20" i="8"/>
  <c r="DI20" i="8"/>
  <c r="DN20" i="8"/>
  <c r="DJ20" i="8"/>
  <c r="DK31" i="8"/>
  <c r="DZ31" i="8"/>
  <c r="EB42" i="8"/>
  <c r="DX42" i="8"/>
  <c r="EC42" i="8"/>
  <c r="DY42" i="8"/>
  <c r="DM13" i="8"/>
  <c r="DI13" i="8"/>
  <c r="DN13" i="8"/>
  <c r="DJ13" i="8"/>
  <c r="DM16" i="8"/>
  <c r="DI16" i="8"/>
  <c r="DN16" i="8"/>
  <c r="DJ16" i="8"/>
  <c r="DK28" i="8"/>
  <c r="DN28" i="8"/>
  <c r="DJ28" i="8"/>
  <c r="EB39" i="8"/>
  <c r="DX39" i="8"/>
  <c r="EC39" i="8"/>
  <c r="DY39" i="8"/>
  <c r="EB24" i="8"/>
  <c r="EC24" i="8"/>
  <c r="DY24" i="8"/>
  <c r="DN29" i="8"/>
  <c r="DJ29" i="8"/>
  <c r="DK29" i="8"/>
  <c r="EB40" i="8"/>
  <c r="DX40" i="8"/>
  <c r="EC40" i="8"/>
  <c r="DY40" i="8"/>
  <c r="DM40" i="8"/>
  <c r="DI40" i="8"/>
  <c r="DN40" i="8"/>
  <c r="DJ40" i="8"/>
  <c r="DK14" i="8"/>
  <c r="DN14" i="8"/>
  <c r="DJ14" i="8"/>
  <c r="DM17" i="8"/>
  <c r="DK17" i="8"/>
  <c r="DI17" i="8"/>
  <c r="DN17" i="8"/>
  <c r="DJ17" i="8"/>
  <c r="EC17" i="8"/>
  <c r="DY17" i="8"/>
  <c r="EB17" i="8"/>
  <c r="DZ17" i="8"/>
  <c r="DX17" i="8"/>
  <c r="EB23" i="8"/>
  <c r="DX23" i="8"/>
  <c r="EC23" i="8"/>
  <c r="DY23" i="8"/>
  <c r="EB19" i="8"/>
  <c r="DX19" i="8"/>
  <c r="EC19" i="8"/>
  <c r="DY19" i="8"/>
  <c r="EC15" i="8"/>
  <c r="DY15" i="8"/>
  <c r="EB15" i="8"/>
  <c r="DZ15" i="8"/>
  <c r="EB38" i="8"/>
  <c r="DX38" i="8"/>
  <c r="EC38" i="8"/>
  <c r="DY38" i="8"/>
  <c r="DZ18" i="8"/>
  <c r="EC18" i="8"/>
  <c r="DY18" i="8"/>
  <c r="DK18" i="8"/>
  <c r="DN18" i="8"/>
  <c r="DJ18" i="8"/>
  <c r="EB36" i="8"/>
  <c r="DX36" i="8"/>
  <c r="EC36" i="8"/>
  <c r="DY36" i="8"/>
  <c r="DM37" i="8"/>
  <c r="DI37" i="8"/>
  <c r="DN37" i="8"/>
  <c r="DJ37" i="8"/>
  <c r="DM32" i="8"/>
  <c r="DI32" i="8"/>
  <c r="DN32" i="8"/>
  <c r="DJ32" i="8"/>
  <c r="DN12" i="8"/>
  <c r="DJ12" i="8"/>
  <c r="DM12" i="8"/>
  <c r="DI12" i="8"/>
  <c r="DK27" i="8"/>
  <c r="DN27" i="8"/>
  <c r="DJ27" i="8"/>
  <c r="DM35" i="8"/>
  <c r="DI35" i="8"/>
  <c r="DN35" i="8"/>
  <c r="DJ35" i="8"/>
  <c r="DM41" i="8"/>
  <c r="DI41" i="8"/>
  <c r="DN41" i="8"/>
  <c r="DJ41" i="8"/>
  <c r="EC34" i="8"/>
  <c r="DY34" i="8"/>
  <c r="EB34" i="8"/>
  <c r="DX34" i="8"/>
  <c r="EB25" i="8"/>
  <c r="DX25" i="8"/>
  <c r="EC25" i="8"/>
  <c r="DY25" i="8"/>
  <c r="DM25" i="8"/>
  <c r="DI25" i="8"/>
  <c r="DN25" i="8"/>
  <c r="DJ25" i="8"/>
  <c r="EY8" i="21"/>
  <c r="EB20" i="8"/>
  <c r="DX20" i="8"/>
  <c r="EC20" i="8"/>
  <c r="DY20" i="8"/>
  <c r="EC13" i="8"/>
  <c r="DY13" i="8"/>
  <c r="EB13" i="8"/>
  <c r="DX13" i="8"/>
  <c r="DN33" i="8"/>
  <c r="DJ33" i="8"/>
  <c r="DM33" i="8"/>
  <c r="DI33" i="8"/>
  <c r="FB37" i="19"/>
  <c r="EW37" i="19"/>
  <c r="EW9" i="35"/>
  <c r="EW39" i="35"/>
  <c r="EW38" i="35"/>
  <c r="EW15" i="35"/>
  <c r="EY13" i="35"/>
  <c r="EW21" i="35"/>
  <c r="FM18" i="35"/>
  <c r="FL18" i="35"/>
  <c r="EW35" i="35"/>
  <c r="EW33" i="35"/>
  <c r="EZ33" i="35"/>
  <c r="FC33" i="35"/>
  <c r="FB13" i="35"/>
  <c r="FC13" i="35"/>
  <c r="FZ13" i="35" s="1"/>
  <c r="FK18" i="35"/>
  <c r="FR18" i="35"/>
  <c r="FM30" i="33"/>
  <c r="FO30" i="33"/>
  <c r="FL30" i="33"/>
  <c r="FS30" i="33"/>
  <c r="FK30" i="33"/>
  <c r="EW10" i="33"/>
  <c r="FD10" i="33"/>
  <c r="EZ10" i="33"/>
  <c r="EV10" i="33"/>
  <c r="EX9" i="21"/>
  <c r="EV9" i="21"/>
  <c r="FA9" i="21"/>
  <c r="EW9" i="21"/>
  <c r="EZ9" i="21"/>
  <c r="HN41" i="20"/>
  <c r="HJ41" i="20"/>
  <c r="HB41" i="20"/>
  <c r="HM41" i="20"/>
  <c r="HK41" i="20"/>
  <c r="HG41" i="20"/>
  <c r="HC41" i="20"/>
  <c r="HF41" i="20"/>
  <c r="HL41" i="20"/>
  <c r="IF40" i="20"/>
  <c r="IC40" i="20"/>
  <c r="HY40" i="20"/>
  <c r="HU40" i="20"/>
  <c r="ID40" i="20"/>
  <c r="IB40" i="20"/>
  <c r="HX40" i="20"/>
  <c r="IE40" i="20"/>
  <c r="HT40" i="20"/>
  <c r="HC39" i="20"/>
  <c r="HN39" i="20"/>
  <c r="HK39" i="20"/>
  <c r="HG39" i="20"/>
  <c r="HJ39" i="20"/>
  <c r="HF39" i="20"/>
  <c r="HM39" i="20"/>
  <c r="HL39" i="20"/>
  <c r="HB39" i="20"/>
  <c r="HV38" i="20"/>
  <c r="IF38" i="20"/>
  <c r="IC38" i="20"/>
  <c r="HY38" i="20"/>
  <c r="HU38" i="20"/>
  <c r="ID38" i="20"/>
  <c r="IE38" i="20"/>
  <c r="IB38" i="20"/>
  <c r="HX38" i="20"/>
  <c r="HT38" i="20"/>
  <c r="HN37" i="20"/>
  <c r="HK37" i="20"/>
  <c r="HG37" i="20"/>
  <c r="HC37" i="20"/>
  <c r="HJ37" i="20"/>
  <c r="HL37" i="20"/>
  <c r="HF37" i="20"/>
  <c r="HB37" i="20"/>
  <c r="HM37" i="20"/>
  <c r="HC35" i="20"/>
  <c r="HN35" i="20"/>
  <c r="HK35" i="20"/>
  <c r="HG35" i="20"/>
  <c r="HJ35" i="20"/>
  <c r="HF35" i="20"/>
  <c r="HM35" i="20"/>
  <c r="HL35" i="20"/>
  <c r="HB35" i="20"/>
  <c r="HV30" i="20"/>
  <c r="IE30" i="20"/>
  <c r="IF30" i="20"/>
  <c r="IA30" i="20"/>
  <c r="HW30" i="20"/>
  <c r="ID30" i="20"/>
  <c r="HX30" i="20"/>
  <c r="IB30" i="20"/>
  <c r="HT30" i="20"/>
  <c r="HG29" i="20"/>
  <c r="HM29" i="20"/>
  <c r="HN29" i="20"/>
  <c r="HE29" i="20"/>
  <c r="HJ29" i="20"/>
  <c r="HB29" i="20"/>
  <c r="HL29" i="20"/>
  <c r="HI29" i="20"/>
  <c r="HF29" i="20"/>
  <c r="HC27" i="20"/>
  <c r="HM27" i="20"/>
  <c r="HN27" i="20"/>
  <c r="HI27" i="20"/>
  <c r="HE27" i="20"/>
  <c r="HJ27" i="20"/>
  <c r="HB27" i="20"/>
  <c r="HL27" i="20"/>
  <c r="HF27" i="20"/>
  <c r="IF25" i="20"/>
  <c r="IC25" i="20"/>
  <c r="HY25" i="20"/>
  <c r="HU25" i="20"/>
  <c r="HX25" i="20"/>
  <c r="HT25" i="20"/>
  <c r="IE25" i="20"/>
  <c r="IB25" i="20"/>
  <c r="HV25" i="20"/>
  <c r="ID25" i="20"/>
  <c r="HJ21" i="20"/>
  <c r="HN21" i="20"/>
  <c r="HK21" i="20"/>
  <c r="HG21" i="20"/>
  <c r="HC21" i="20"/>
  <c r="HB21" i="20"/>
  <c r="HM21" i="20"/>
  <c r="HL21" i="20"/>
  <c r="IF20" i="20"/>
  <c r="IC20" i="20"/>
  <c r="HY20" i="20"/>
  <c r="HU20" i="20"/>
  <c r="ID20" i="20"/>
  <c r="IE20" i="20"/>
  <c r="HT20" i="20"/>
  <c r="HX20" i="20"/>
  <c r="HV17" i="20"/>
  <c r="IF17" i="20"/>
  <c r="IB17" i="20"/>
  <c r="HT17" i="20"/>
  <c r="IE17" i="20"/>
  <c r="IC17" i="20"/>
  <c r="HY17" i="20"/>
  <c r="HU17" i="20"/>
  <c r="HX17" i="20"/>
  <c r="ID17" i="20"/>
  <c r="HV13" i="20"/>
  <c r="IF13" i="20"/>
  <c r="IE13" i="20"/>
  <c r="HW13" i="20"/>
  <c r="ID13" i="20"/>
  <c r="IA13" i="20"/>
  <c r="IB13" i="20"/>
  <c r="HX13" i="20"/>
  <c r="HT13" i="20"/>
  <c r="HM12" i="20"/>
  <c r="HN12" i="20"/>
  <c r="HJ12" i="20"/>
  <c r="HF12" i="20"/>
  <c r="HI12" i="20"/>
  <c r="HE12" i="20"/>
  <c r="HB12" i="20"/>
  <c r="HL12" i="20"/>
  <c r="IF11" i="20"/>
  <c r="IE11" i="20"/>
  <c r="IA11" i="20"/>
  <c r="HW11" i="20"/>
  <c r="IB11" i="20"/>
  <c r="HT11" i="20"/>
  <c r="ID11" i="20"/>
  <c r="HX11" i="20"/>
  <c r="EX33" i="33"/>
  <c r="FD33" i="33"/>
  <c r="EZ33" i="33"/>
  <c r="EV33" i="33"/>
  <c r="FO31" i="33"/>
  <c r="FK31" i="33"/>
  <c r="FS31" i="33"/>
  <c r="EX21" i="33"/>
  <c r="FC21" i="33"/>
  <c r="EY21" i="33"/>
  <c r="EZ21" i="33"/>
  <c r="EV21" i="33"/>
  <c r="FD21" i="33"/>
  <c r="EX17" i="33"/>
  <c r="EZ17" i="33"/>
  <c r="EV17" i="33"/>
  <c r="FC17" i="33"/>
  <c r="EY17" i="33"/>
  <c r="FD17" i="33"/>
  <c r="EW15" i="33"/>
  <c r="FC15" i="33"/>
  <c r="EY15" i="33"/>
  <c r="FD15" i="33"/>
  <c r="EZ15" i="33"/>
  <c r="EV15" i="33"/>
  <c r="FZ15" i="33" s="1"/>
  <c r="FM13" i="33"/>
  <c r="FR13" i="33"/>
  <c r="FN13" i="33"/>
  <c r="FO13" i="33"/>
  <c r="FS13" i="33"/>
  <c r="FK13" i="33"/>
  <c r="FS11" i="33"/>
  <c r="FO11" i="33"/>
  <c r="FK11" i="33"/>
  <c r="FA26" i="21"/>
  <c r="EW26" i="21"/>
  <c r="EV26" i="21"/>
  <c r="EX26" i="21"/>
  <c r="EY20" i="21"/>
  <c r="EZ20" i="21"/>
  <c r="EV20" i="21"/>
  <c r="EY12" i="21"/>
  <c r="FA12" i="21"/>
  <c r="EW12" i="21"/>
  <c r="EZ12" i="21"/>
  <c r="EV12" i="21"/>
  <c r="EY40" i="21"/>
  <c r="FB40" i="21"/>
  <c r="EX40" i="21"/>
  <c r="EV36" i="21"/>
  <c r="FL36" i="21"/>
  <c r="FN36" i="21"/>
  <c r="FQ36" i="21"/>
  <c r="FM36" i="21"/>
  <c r="FL24" i="21"/>
  <c r="FP24" i="21"/>
  <c r="FO24" i="21"/>
  <c r="EY24" i="21"/>
  <c r="FA24" i="21"/>
  <c r="EW24" i="21"/>
  <c r="EZ24" i="21"/>
  <c r="EV39" i="21"/>
  <c r="FQ21" i="21"/>
  <c r="FB9" i="21"/>
  <c r="EY42" i="21"/>
  <c r="FB42" i="21"/>
  <c r="EX42" i="21"/>
  <c r="FM34" i="21"/>
  <c r="FN34" i="21"/>
  <c r="FQ34" i="21"/>
  <c r="FK34" i="21"/>
  <c r="EZ26" i="21"/>
  <c r="FQ12" i="21"/>
  <c r="EX41" i="21"/>
  <c r="FB41" i="21"/>
  <c r="EY41" i="21"/>
  <c r="FQ41" i="21"/>
  <c r="FM41" i="21"/>
  <c r="FN41" i="21"/>
  <c r="FP36" i="21"/>
  <c r="EX33" i="21"/>
  <c r="FB33" i="21"/>
  <c r="EY33" i="21"/>
  <c r="FB23" i="21"/>
  <c r="EW20" i="21"/>
  <c r="EZ17" i="21"/>
  <c r="FN33" i="33"/>
  <c r="FK20" i="33"/>
  <c r="EV20" i="33"/>
  <c r="FM14" i="33"/>
  <c r="FQ10" i="33"/>
  <c r="EZ43" i="33"/>
  <c r="FP30" i="33"/>
  <c r="FS38" i="33"/>
  <c r="EV38" i="33"/>
  <c r="EW34" i="33"/>
  <c r="FB34" i="33"/>
  <c r="EY34" i="33"/>
  <c r="EX34" i="33"/>
  <c r="FM34" i="33"/>
  <c r="FQ34" i="33"/>
  <c r="FN34" i="33"/>
  <c r="EW33" i="33"/>
  <c r="EW21" i="33"/>
  <c r="FA17" i="33"/>
  <c r="EW13" i="33"/>
  <c r="FN11" i="33"/>
  <c r="EV36" i="33"/>
  <c r="FA31" i="33"/>
  <c r="FG29" i="33"/>
  <c r="FI29" i="33" s="1"/>
  <c r="FB22" i="33"/>
  <c r="FA15" i="33"/>
  <c r="FL11" i="33"/>
  <c r="FR43" i="33"/>
  <c r="FN43" i="33"/>
  <c r="FQ43" i="33"/>
  <c r="FM43" i="33"/>
  <c r="FK43" i="33"/>
  <c r="FL34" i="33"/>
  <c r="FU21" i="33"/>
  <c r="FV21" i="33" s="1"/>
  <c r="FL10" i="33"/>
  <c r="FK37" i="33"/>
  <c r="FL36" i="33"/>
  <c r="FM31" i="33"/>
  <c r="FM23" i="33"/>
  <c r="FL20" i="33"/>
  <c r="EW12" i="33"/>
  <c r="FC10" i="33"/>
  <c r="HZ39" i="20"/>
  <c r="HV35" i="20"/>
  <c r="HD27" i="20"/>
  <c r="IB20" i="20"/>
  <c r="HD17" i="20"/>
  <c r="HV11" i="20"/>
  <c r="HI20" i="20"/>
  <c r="IC15" i="20"/>
  <c r="HY13" i="20"/>
  <c r="HV39" i="20"/>
  <c r="HH33" i="20"/>
  <c r="HZ23" i="20"/>
  <c r="HT22" i="20"/>
  <c r="HB22" i="20"/>
  <c r="HH17" i="20"/>
  <c r="HM16" i="20"/>
  <c r="HI16" i="20"/>
  <c r="HE16" i="20"/>
  <c r="HL16" i="20"/>
  <c r="HH16" i="20"/>
  <c r="HD16" i="20"/>
  <c r="HN16" i="20"/>
  <c r="IE16" i="20"/>
  <c r="IA16" i="20"/>
  <c r="HW16" i="20"/>
  <c r="ID16" i="20"/>
  <c r="HZ16" i="20"/>
  <c r="HV16" i="20"/>
  <c r="IF16" i="20"/>
  <c r="HW42" i="20"/>
  <c r="IA38" i="20"/>
  <c r="HE22" i="20"/>
  <c r="IC13" i="20"/>
  <c r="HY11" i="20"/>
  <c r="HH40" i="20"/>
  <c r="HZ38" i="20"/>
  <c r="HZ30" i="20"/>
  <c r="HP26" i="20"/>
  <c r="HR26" i="20" s="1"/>
  <c r="HB23" i="20"/>
  <c r="HX21" i="20"/>
  <c r="HV20" i="20"/>
  <c r="HD14" i="20"/>
  <c r="HZ10" i="20"/>
  <c r="HH41" i="20"/>
  <c r="HH27" i="20"/>
  <c r="HI41" i="20"/>
  <c r="HI39" i="20"/>
  <c r="IA37" i="20"/>
  <c r="HI35" i="20"/>
  <c r="IC26" i="20"/>
  <c r="HU26" i="20"/>
  <c r="HW25" i="20"/>
  <c r="HE21" i="20"/>
  <c r="IA17" i="20"/>
  <c r="HK16" i="20"/>
  <c r="HK12" i="20"/>
  <c r="HC12" i="20"/>
  <c r="HY10" i="20"/>
  <c r="EA33" i="8"/>
  <c r="DL40" i="8"/>
  <c r="EB31" i="8"/>
  <c r="DK38" i="8"/>
  <c r="DJ31" i="8"/>
  <c r="DZ22" i="8"/>
  <c r="DL36" i="8"/>
  <c r="DI31" i="8"/>
  <c r="DM27" i="8"/>
  <c r="DK40" i="8"/>
  <c r="DT40" i="8" s="1"/>
  <c r="DV40" i="8" s="1"/>
  <c r="DK36" i="8"/>
  <c r="DT36" i="8" s="1"/>
  <c r="DV36" i="8" s="1"/>
  <c r="DZ32" i="8"/>
  <c r="EB30" i="8"/>
  <c r="DZ24" i="8"/>
  <c r="DZ20" i="8"/>
  <c r="EB18" i="8"/>
  <c r="DK16" i="8"/>
  <c r="DZ12" i="8"/>
  <c r="EA41" i="8"/>
  <c r="DL29" i="8"/>
  <c r="DI24" i="8"/>
  <c r="DL13" i="8"/>
  <c r="DK33" i="8"/>
  <c r="DI27" i="8"/>
  <c r="DZ13" i="8"/>
  <c r="DL42" i="8"/>
  <c r="EA34" i="8"/>
  <c r="EB29" i="8"/>
  <c r="EA26" i="8"/>
  <c r="DL18" i="8"/>
  <c r="DZ11" i="8"/>
  <c r="EA37" i="8"/>
  <c r="DZ37" i="8"/>
  <c r="EC31" i="8"/>
  <c r="EA21" i="8"/>
  <c r="EA32" i="8"/>
  <c r="EA28" i="8"/>
  <c r="EA39" i="8"/>
  <c r="EA31" i="8"/>
  <c r="DI30" i="8"/>
  <c r="DL23" i="8"/>
  <c r="DX18" i="8"/>
  <c r="DI14" i="8"/>
  <c r="EA11" i="8"/>
  <c r="DL17" i="8"/>
  <c r="DN30" i="8"/>
  <c r="EA20" i="8"/>
  <c r="EA12" i="8"/>
  <c r="DZ35" i="8"/>
  <c r="DL30" i="8"/>
  <c r="DK23" i="8"/>
  <c r="DS23" i="8" s="1"/>
  <c r="DH23" i="8" s="1"/>
  <c r="DL14" i="8"/>
  <c r="FN24" i="33"/>
  <c r="FS24" i="33"/>
  <c r="FO24" i="33"/>
  <c r="FK24" i="33"/>
  <c r="FR24" i="33"/>
  <c r="FM18" i="33"/>
  <c r="FS18" i="33"/>
  <c r="FK18" i="33"/>
  <c r="FR18" i="33"/>
  <c r="FN18" i="33"/>
  <c r="FM23" i="21"/>
  <c r="FK23" i="21"/>
  <c r="FP23" i="21"/>
  <c r="FL23" i="21"/>
  <c r="FO23" i="21"/>
  <c r="FK17" i="21"/>
  <c r="FP17" i="21"/>
  <c r="FL17" i="21"/>
  <c r="EY15" i="21"/>
  <c r="EZ15" i="21"/>
  <c r="EV15" i="21"/>
  <c r="FA15" i="21"/>
  <c r="EW15" i="21"/>
  <c r="FO13" i="21"/>
  <c r="FK13" i="21"/>
  <c r="FP13" i="21"/>
  <c r="FL13" i="21"/>
  <c r="HE42" i="20"/>
  <c r="HN42" i="20"/>
  <c r="HK42" i="20"/>
  <c r="HG42" i="20"/>
  <c r="HC42" i="20"/>
  <c r="HM42" i="20"/>
  <c r="HJ42" i="20"/>
  <c r="HF42" i="20"/>
  <c r="HB42" i="20"/>
  <c r="HL42" i="20"/>
  <c r="IF41" i="20"/>
  <c r="IC41" i="20"/>
  <c r="HY41" i="20"/>
  <c r="HU41" i="20"/>
  <c r="HX41" i="20"/>
  <c r="ID41" i="20"/>
  <c r="IB41" i="20"/>
  <c r="HT41" i="20"/>
  <c r="IE41" i="20"/>
  <c r="IF33" i="20"/>
  <c r="HU33" i="20"/>
  <c r="ID33" i="20"/>
  <c r="IB33" i="20"/>
  <c r="HX33" i="20"/>
  <c r="IC33" i="20"/>
  <c r="HY33" i="20"/>
  <c r="HT33" i="20"/>
  <c r="IE33" i="20"/>
  <c r="HN32" i="20"/>
  <c r="HK32" i="20"/>
  <c r="HG32" i="20"/>
  <c r="HC32" i="20"/>
  <c r="HJ32" i="20"/>
  <c r="HF32" i="20"/>
  <c r="HB32" i="20"/>
  <c r="HL32" i="20"/>
  <c r="HM32" i="20"/>
  <c r="IF31" i="20"/>
  <c r="ID31" i="20"/>
  <c r="IB31" i="20"/>
  <c r="HX31" i="20"/>
  <c r="IC31" i="20"/>
  <c r="HY31" i="20"/>
  <c r="HU31" i="20"/>
  <c r="HT31" i="20"/>
  <c r="IE31" i="20"/>
  <c r="HM28" i="20"/>
  <c r="HN28" i="20"/>
  <c r="HI28" i="20"/>
  <c r="HE28" i="20"/>
  <c r="HL28" i="20"/>
  <c r="HB28" i="20"/>
  <c r="HJ28" i="20"/>
  <c r="HF28" i="20"/>
  <c r="IF27" i="20"/>
  <c r="IE27" i="20"/>
  <c r="HX27" i="20"/>
  <c r="IA27" i="20"/>
  <c r="HW27" i="20"/>
  <c r="IB27" i="20"/>
  <c r="HT27" i="20"/>
  <c r="ID27" i="20"/>
  <c r="HC15" i="20"/>
  <c r="HN15" i="20"/>
  <c r="HM15" i="20"/>
  <c r="HE15" i="20"/>
  <c r="HB15" i="20"/>
  <c r="HI15" i="20"/>
  <c r="HJ15" i="20"/>
  <c r="HF15" i="20"/>
  <c r="HL15" i="20"/>
  <c r="HV14" i="20"/>
  <c r="IE14" i="20"/>
  <c r="IF14" i="20"/>
  <c r="HW14" i="20"/>
  <c r="HX14" i="20"/>
  <c r="IA14" i="20"/>
  <c r="IB14" i="20"/>
  <c r="HT14" i="20"/>
  <c r="ID14" i="20"/>
  <c r="HC11" i="20"/>
  <c r="HM11" i="20"/>
  <c r="HN11" i="20"/>
  <c r="HL11" i="20"/>
  <c r="HF11" i="20"/>
  <c r="HI11" i="20"/>
  <c r="HE11" i="20"/>
  <c r="HJ11" i="20"/>
  <c r="HB11" i="20"/>
  <c r="HC10" i="20"/>
  <c r="HN10" i="20"/>
  <c r="HM10" i="20"/>
  <c r="HI10" i="20"/>
  <c r="HE10" i="20"/>
  <c r="HL10" i="20"/>
  <c r="HJ10" i="20"/>
  <c r="HF10" i="20"/>
  <c r="HB10" i="20"/>
  <c r="EX25" i="33"/>
  <c r="FC25" i="33"/>
  <c r="EY25" i="33"/>
  <c r="FD25" i="33"/>
  <c r="EZ25" i="33"/>
  <c r="EV25" i="33"/>
  <c r="FM22" i="21"/>
  <c r="FP22" i="21"/>
  <c r="FK22" i="21"/>
  <c r="FL22" i="21"/>
  <c r="EY16" i="21"/>
  <c r="EV16" i="21"/>
  <c r="FA16" i="21"/>
  <c r="EW16" i="21"/>
  <c r="EZ16" i="21"/>
  <c r="FK14" i="21"/>
  <c r="FP14" i="21"/>
  <c r="FL14" i="21"/>
  <c r="FO14" i="21"/>
  <c r="EZ10" i="21"/>
  <c r="EV10" i="21"/>
  <c r="FA10" i="21"/>
  <c r="EW10" i="21"/>
  <c r="EZ40" i="21"/>
  <c r="FA39" i="21"/>
  <c r="EW39" i="21"/>
  <c r="FA35" i="21"/>
  <c r="EY32" i="21"/>
  <c r="FB32" i="21"/>
  <c r="EX32" i="21"/>
  <c r="FA32" i="21"/>
  <c r="FG32" i="21" s="1"/>
  <c r="FI32" i="21" s="1"/>
  <c r="FL32" i="21"/>
  <c r="FP32" i="21"/>
  <c r="FN32" i="21"/>
  <c r="FQ32" i="21"/>
  <c r="FM32" i="21"/>
  <c r="EY28" i="21"/>
  <c r="EW28" i="21"/>
  <c r="EX28" i="21"/>
  <c r="FA28" i="21"/>
  <c r="EZ28" i="21"/>
  <c r="FB22" i="21"/>
  <c r="FA19" i="21"/>
  <c r="FN13" i="21"/>
  <c r="EX10" i="21"/>
  <c r="EY9" i="21"/>
  <c r="EW42" i="21"/>
  <c r="FP34" i="21"/>
  <c r="FM31" i="21"/>
  <c r="FP31" i="21"/>
  <c r="FQ31" i="21"/>
  <c r="FN31" i="21"/>
  <c r="EY31" i="21"/>
  <c r="FB31" i="21"/>
  <c r="EX31" i="21"/>
  <c r="FA31" i="21"/>
  <c r="EV27" i="21"/>
  <c r="FN24" i="21"/>
  <c r="EV19" i="21"/>
  <c r="FM17" i="21"/>
  <c r="FM13" i="21"/>
  <c r="EZ42" i="21"/>
  <c r="FP41" i="21"/>
  <c r="FP37" i="21"/>
  <c r="FM30" i="21"/>
  <c r="FP30" i="21"/>
  <c r="FQ30" i="21"/>
  <c r="FK30" i="21"/>
  <c r="FB24" i="21"/>
  <c r="EX24" i="21"/>
  <c r="FO22" i="21"/>
  <c r="EX20" i="21"/>
  <c r="EX16" i="21"/>
  <c r="FO41" i="21"/>
  <c r="EZ33" i="21"/>
  <c r="EW32" i="21"/>
  <c r="EY26" i="21"/>
  <c r="EX25" i="21"/>
  <c r="FA25" i="21"/>
  <c r="EW25" i="21"/>
  <c r="FB25" i="21"/>
  <c r="FQ25" i="21"/>
  <c r="FM25" i="21"/>
  <c r="FP25" i="21"/>
  <c r="FL25" i="21"/>
  <c r="EZ21" i="21"/>
  <c r="FA20" i="21"/>
  <c r="FB15" i="21"/>
  <c r="FP35" i="33"/>
  <c r="FR33" i="33"/>
  <c r="FN28" i="33"/>
  <c r="FQ28" i="33"/>
  <c r="FO28" i="33"/>
  <c r="FM28" i="33"/>
  <c r="FR28" i="33"/>
  <c r="FB28" i="33"/>
  <c r="EZ28" i="33"/>
  <c r="EX28" i="33"/>
  <c r="FC28" i="33"/>
  <c r="EY28" i="33"/>
  <c r="FL19" i="33"/>
  <c r="FA11" i="33"/>
  <c r="FB33" i="33"/>
  <c r="FO19" i="33"/>
  <c r="EW42" i="33"/>
  <c r="FC42" i="33"/>
  <c r="EY42" i="33"/>
  <c r="FB42" i="33"/>
  <c r="EX42" i="33"/>
  <c r="FF42" i="33" s="1"/>
  <c r="EU42" i="33" s="1"/>
  <c r="EZ38" i="33"/>
  <c r="FL37" i="33"/>
  <c r="EZ34" i="33"/>
  <c r="EY31" i="33"/>
  <c r="EW26" i="33"/>
  <c r="FB26" i="33"/>
  <c r="EX26" i="33"/>
  <c r="FC26" i="33"/>
  <c r="EY26" i="33"/>
  <c r="FM26" i="33"/>
  <c r="FR26" i="33"/>
  <c r="FN26" i="33"/>
  <c r="FQ26" i="33"/>
  <c r="EW25" i="33"/>
  <c r="FA21" i="33"/>
  <c r="FO18" i="33"/>
  <c r="EW17" i="33"/>
  <c r="GA17" i="33" s="1"/>
  <c r="FL43" i="33"/>
  <c r="FB40" i="33"/>
  <c r="EX40" i="33"/>
  <c r="FC40" i="33"/>
  <c r="EY40" i="33"/>
  <c r="FN40" i="33"/>
  <c r="FQ40" i="33"/>
  <c r="FM40" i="33"/>
  <c r="FR40" i="33"/>
  <c r="FS36" i="33"/>
  <c r="FQ30" i="33"/>
  <c r="EZ20" i="33"/>
  <c r="FP19" i="33"/>
  <c r="EX10" i="33"/>
  <c r="EW35" i="33"/>
  <c r="EX35" i="33"/>
  <c r="FC35" i="33"/>
  <c r="EY35" i="33"/>
  <c r="FB35" i="33"/>
  <c r="FF35" i="33" s="1"/>
  <c r="EU35" i="33" s="1"/>
  <c r="FY35" i="33" s="1"/>
  <c r="FM27" i="33"/>
  <c r="FR27" i="33"/>
  <c r="FN27" i="33"/>
  <c r="FQ27" i="33"/>
  <c r="FK27" i="33"/>
  <c r="FS19" i="33"/>
  <c r="FQ13" i="33"/>
  <c r="EX41" i="33"/>
  <c r="FB41" i="33"/>
  <c r="FC41" i="33"/>
  <c r="EY41" i="33"/>
  <c r="FM41" i="33"/>
  <c r="FR41" i="33"/>
  <c r="FN41" i="33"/>
  <c r="FQ41" i="33"/>
  <c r="FP40" i="33"/>
  <c r="FO37" i="33"/>
  <c r="FR34" i="33"/>
  <c r="FR30" i="33"/>
  <c r="FN30" i="33"/>
  <c r="FL28" i="33"/>
  <c r="FL24" i="33"/>
  <c r="FM11" i="33"/>
  <c r="EY10" i="33"/>
  <c r="HZ31" i="20"/>
  <c r="HD29" i="20"/>
  <c r="HZ25" i="20"/>
  <c r="IB22" i="20"/>
  <c r="HZ21" i="20"/>
  <c r="HD19" i="20"/>
  <c r="HB18" i="20"/>
  <c r="HH15" i="20"/>
  <c r="HH11" i="20"/>
  <c r="HE38" i="20"/>
  <c r="IC27" i="20"/>
  <c r="IA22" i="20"/>
  <c r="HE18" i="20"/>
  <c r="HK11" i="20"/>
  <c r="HV41" i="20"/>
  <c r="HZ35" i="20"/>
  <c r="HV31" i="20"/>
  <c r="HD21" i="20"/>
  <c r="HF18" i="20"/>
  <c r="HJ16" i="20"/>
  <c r="HE32" i="20"/>
  <c r="HE20" i="20"/>
  <c r="HU13" i="20"/>
  <c r="HV40" i="20"/>
  <c r="HH32" i="20"/>
  <c r="HD32" i="20"/>
  <c r="HD28" i="20"/>
  <c r="HJ23" i="20"/>
  <c r="HF23" i="20"/>
  <c r="HJ19" i="20"/>
  <c r="ID19" i="20"/>
  <c r="IE19" i="20"/>
  <c r="IC19" i="20"/>
  <c r="HY19" i="20"/>
  <c r="HU19" i="20"/>
  <c r="IF19" i="20"/>
  <c r="HZ12" i="20"/>
  <c r="HV12" i="20"/>
  <c r="HD10" i="20"/>
  <c r="HD37" i="20"/>
  <c r="HV33" i="20"/>
  <c r="HV23" i="20"/>
  <c r="HU27" i="20"/>
  <c r="HW41" i="20"/>
  <c r="HE37" i="20"/>
  <c r="HW33" i="20"/>
  <c r="HW31" i="20"/>
  <c r="IC30" i="20"/>
  <c r="HU30" i="20"/>
  <c r="HC28" i="20"/>
  <c r="IA25" i="20"/>
  <c r="HI19" i="20"/>
  <c r="HG16" i="20"/>
  <c r="HU16" i="20"/>
  <c r="HK10" i="20"/>
  <c r="DX28" i="8"/>
  <c r="DY30" i="8"/>
  <c r="DL25" i="8"/>
  <c r="DZ41" i="8"/>
  <c r="EA35" i="8"/>
  <c r="EB26" i="8"/>
  <c r="DL19" i="8"/>
  <c r="EA15" i="8"/>
  <c r="DZ25" i="8"/>
  <c r="DI15" i="8"/>
  <c r="DX29" i="8"/>
  <c r="DZ19" i="8"/>
  <c r="FB38" i="21"/>
  <c r="EX38" i="21"/>
  <c r="EY38" i="21"/>
  <c r="FA11" i="21"/>
  <c r="EW11" i="21"/>
  <c r="EZ11" i="21"/>
  <c r="EV11" i="21"/>
  <c r="EX11" i="21"/>
  <c r="FP34" i="33"/>
  <c r="FS26" i="33"/>
  <c r="EX15" i="33"/>
  <c r="HX16" i="20"/>
  <c r="HM9" i="20"/>
  <c r="HN9" i="20"/>
  <c r="HI9" i="20"/>
  <c r="HJ9" i="20"/>
  <c r="HL9" i="20"/>
  <c r="HE9" i="20"/>
  <c r="HF9" i="20"/>
  <c r="HB9" i="20"/>
  <c r="HV9" i="20"/>
  <c r="IF9" i="20"/>
  <c r="IE9" i="20"/>
  <c r="HW9" i="20"/>
  <c r="HX9" i="20"/>
  <c r="HT9" i="20"/>
  <c r="IA9" i="20"/>
  <c r="IB9" i="20"/>
  <c r="ID9" i="20"/>
  <c r="HU9" i="20"/>
  <c r="HI34" i="20"/>
  <c r="HN34" i="20"/>
  <c r="HF34" i="20"/>
  <c r="HB34" i="20"/>
  <c r="HM34" i="20"/>
  <c r="HK34" i="20"/>
  <c r="HG34" i="20"/>
  <c r="HC34" i="20"/>
  <c r="HL34" i="20"/>
  <c r="HJ34" i="20"/>
  <c r="HD34" i="20"/>
  <c r="FA40" i="21"/>
  <c r="FO25" i="21"/>
  <c r="FR31" i="33"/>
  <c r="FF29" i="33"/>
  <c r="EU29" i="33" s="1"/>
  <c r="FD32" i="33"/>
  <c r="EZ32" i="33"/>
  <c r="EV32" i="33"/>
  <c r="EW32" i="33"/>
  <c r="FQ11" i="33"/>
  <c r="HW40" i="20"/>
  <c r="HN36" i="20"/>
  <c r="HK36" i="20"/>
  <c r="HG36" i="20"/>
  <c r="HC36" i="20"/>
  <c r="HL36" i="20"/>
  <c r="HJ36" i="20"/>
  <c r="HF36" i="20"/>
  <c r="HB36" i="20"/>
  <c r="HM36" i="20"/>
  <c r="HN24" i="20"/>
  <c r="HC24" i="20"/>
  <c r="HF24" i="20"/>
  <c r="HB24" i="20"/>
  <c r="HK24" i="20"/>
  <c r="HG24" i="20"/>
  <c r="HL24" i="20"/>
  <c r="HM24" i="20"/>
  <c r="HD24" i="20"/>
  <c r="HY30" i="20"/>
  <c r="HG28" i="20"/>
  <c r="HO26" i="20"/>
  <c r="HA26" i="20" s="1"/>
  <c r="HY14" i="20"/>
  <c r="DZ42" i="8"/>
  <c r="EC16" i="8"/>
  <c r="DY16" i="8"/>
  <c r="EB16" i="8"/>
  <c r="DX16" i="8"/>
  <c r="EB22" i="8"/>
  <c r="DX22" i="8"/>
  <c r="EC22" i="8"/>
  <c r="DY22" i="8"/>
  <c r="DM39" i="8"/>
  <c r="DI39" i="8"/>
  <c r="DN39" i="8"/>
  <c r="DJ39" i="8"/>
  <c r="DZ28" i="8"/>
  <c r="EC28" i="8"/>
  <c r="DY28" i="8"/>
  <c r="DN24" i="8"/>
  <c r="DJ24" i="8"/>
  <c r="DM24" i="8"/>
  <c r="EC14" i="8"/>
  <c r="DY14" i="8"/>
  <c r="DZ14" i="8"/>
  <c r="DM38" i="8"/>
  <c r="DI38" i="8"/>
  <c r="DN38" i="8"/>
  <c r="DJ38" i="8"/>
  <c r="EC27" i="8"/>
  <c r="DY27" i="8"/>
  <c r="DZ27" i="8"/>
  <c r="DM34" i="8"/>
  <c r="DI34" i="8"/>
  <c r="DN34" i="8"/>
  <c r="DJ34" i="8"/>
  <c r="EB21" i="8"/>
  <c r="DX21" i="8"/>
  <c r="EC21" i="8"/>
  <c r="DY21" i="8"/>
  <c r="EV41" i="35"/>
  <c r="EW30" i="33"/>
  <c r="FD30" i="33"/>
  <c r="EZ30" i="33"/>
  <c r="EV30" i="33"/>
  <c r="EW22" i="33"/>
  <c r="EZ22" i="33"/>
  <c r="EV22" i="33"/>
  <c r="FC22" i="33"/>
  <c r="EY22" i="33"/>
  <c r="FD22" i="33"/>
  <c r="FK14" i="33"/>
  <c r="FR14" i="33"/>
  <c r="FN14" i="33"/>
  <c r="FS14" i="33"/>
  <c r="FO14" i="33"/>
  <c r="FS10" i="33"/>
  <c r="FO10" i="33"/>
  <c r="FK10" i="33"/>
  <c r="HV42" i="20"/>
  <c r="IF42" i="20"/>
  <c r="HX42" i="20"/>
  <c r="HT42" i="20"/>
  <c r="ID42" i="20"/>
  <c r="IC42" i="20"/>
  <c r="HY42" i="20"/>
  <c r="HU42" i="20"/>
  <c r="IE42" i="20"/>
  <c r="IB42" i="20"/>
  <c r="HN40" i="20"/>
  <c r="HK40" i="20"/>
  <c r="HG40" i="20"/>
  <c r="HC40" i="20"/>
  <c r="HL40" i="20"/>
  <c r="HJ40" i="20"/>
  <c r="HF40" i="20"/>
  <c r="HB40" i="20"/>
  <c r="HM40" i="20"/>
  <c r="IF39" i="20"/>
  <c r="ID39" i="20"/>
  <c r="HT39" i="20"/>
  <c r="IC39" i="20"/>
  <c r="HY39" i="20"/>
  <c r="HU39" i="20"/>
  <c r="IB39" i="20"/>
  <c r="HX39" i="20"/>
  <c r="IE39" i="20"/>
  <c r="HN38" i="20"/>
  <c r="HK38" i="20"/>
  <c r="HG38" i="20"/>
  <c r="HC38" i="20"/>
  <c r="HL38" i="20"/>
  <c r="HM38" i="20"/>
  <c r="HJ38" i="20"/>
  <c r="HF38" i="20"/>
  <c r="HB38" i="20"/>
  <c r="HU37" i="20"/>
  <c r="IF37" i="20"/>
  <c r="HX37" i="20"/>
  <c r="HT37" i="20"/>
  <c r="IE37" i="20"/>
  <c r="IC37" i="20"/>
  <c r="HY37" i="20"/>
  <c r="IB37" i="20"/>
  <c r="ID37" i="20"/>
  <c r="IF35" i="20"/>
  <c r="ID35" i="20"/>
  <c r="HT35" i="20"/>
  <c r="IC35" i="20"/>
  <c r="HY35" i="20"/>
  <c r="HU35" i="20"/>
  <c r="IB35" i="20"/>
  <c r="HX35" i="20"/>
  <c r="IE35" i="20"/>
  <c r="HB33" i="20"/>
  <c r="HN33" i="20"/>
  <c r="HK33" i="20"/>
  <c r="HG33" i="20"/>
  <c r="HM33" i="20"/>
  <c r="HC33" i="20"/>
  <c r="HL33" i="20"/>
  <c r="HJ33" i="20"/>
  <c r="HF33" i="20"/>
  <c r="HF30" i="20"/>
  <c r="HM30" i="20"/>
  <c r="HN30" i="20"/>
  <c r="HJ30" i="20"/>
  <c r="HI30" i="20"/>
  <c r="HE30" i="20"/>
  <c r="HL30" i="20"/>
  <c r="HB30" i="20"/>
  <c r="HV26" i="20"/>
  <c r="IE26" i="20"/>
  <c r="IF26" i="20"/>
  <c r="HW26" i="20"/>
  <c r="IB26" i="20"/>
  <c r="HX26" i="20"/>
  <c r="HT26" i="20"/>
  <c r="ID26" i="20"/>
  <c r="IA26" i="20"/>
  <c r="HV21" i="20"/>
  <c r="IF21" i="20"/>
  <c r="IB21" i="20"/>
  <c r="IE21" i="20"/>
  <c r="ID21" i="20"/>
  <c r="IC21" i="20"/>
  <c r="HY21" i="20"/>
  <c r="HU21" i="20"/>
  <c r="HT21" i="20"/>
  <c r="HN20" i="20"/>
  <c r="HF20" i="20"/>
  <c r="HK20" i="20"/>
  <c r="HG20" i="20"/>
  <c r="HC20" i="20"/>
  <c r="HL20" i="20"/>
  <c r="HM20" i="20"/>
  <c r="HB20" i="20"/>
  <c r="HN17" i="20"/>
  <c r="HM17" i="20"/>
  <c r="HK17" i="20"/>
  <c r="HG17" i="20"/>
  <c r="HC17" i="20"/>
  <c r="HF17" i="20"/>
  <c r="HL17" i="20"/>
  <c r="HJ17" i="20"/>
  <c r="HB17" i="20"/>
  <c r="HC14" i="20"/>
  <c r="HM14" i="20"/>
  <c r="HN14" i="20"/>
  <c r="HI14" i="20"/>
  <c r="HJ14" i="20"/>
  <c r="HB14" i="20"/>
  <c r="HL14" i="20"/>
  <c r="HE14" i="20"/>
  <c r="HF14" i="20"/>
  <c r="HM13" i="20"/>
  <c r="HN13" i="20"/>
  <c r="HI13" i="20"/>
  <c r="HJ13" i="20"/>
  <c r="HF13" i="20"/>
  <c r="HE13" i="20"/>
  <c r="HL13" i="20"/>
  <c r="HB13" i="20"/>
  <c r="IE12" i="20"/>
  <c r="IF12" i="20"/>
  <c r="IA12" i="20"/>
  <c r="HW12" i="20"/>
  <c r="HT12" i="20"/>
  <c r="ID12" i="20"/>
  <c r="IB12" i="20"/>
  <c r="HX12" i="20"/>
  <c r="FM33" i="33"/>
  <c r="FS33" i="33"/>
  <c r="FO33" i="33"/>
  <c r="FK33" i="33"/>
  <c r="FO23" i="33"/>
  <c r="FK23" i="33"/>
  <c r="FR23" i="33"/>
  <c r="FN23" i="33"/>
  <c r="FS23" i="33"/>
  <c r="FK15" i="33"/>
  <c r="FR15" i="33"/>
  <c r="FN15" i="33"/>
  <c r="FS15" i="33"/>
  <c r="FO15" i="33"/>
  <c r="EX13" i="33"/>
  <c r="FD13" i="33"/>
  <c r="FC13" i="33"/>
  <c r="EY13" i="33"/>
  <c r="EZ13" i="33"/>
  <c r="EV13" i="33"/>
  <c r="EW11" i="33"/>
  <c r="GA11" i="33" s="1"/>
  <c r="FD11" i="33"/>
  <c r="EZ11" i="33"/>
  <c r="EV11" i="33"/>
  <c r="FZ11" i="33" s="1"/>
  <c r="FL20" i="21"/>
  <c r="FO20" i="21"/>
  <c r="FK20" i="21"/>
  <c r="FA18" i="21"/>
  <c r="EW18" i="21"/>
  <c r="EV18" i="21"/>
  <c r="EX18" i="21"/>
  <c r="FL12" i="21"/>
  <c r="FO12" i="21"/>
  <c r="FP12" i="21"/>
  <c r="FK12" i="21"/>
  <c r="FL40" i="21"/>
  <c r="FN40" i="21"/>
  <c r="FQ40" i="21"/>
  <c r="FM40" i="21"/>
  <c r="EY36" i="21"/>
  <c r="FB36" i="21"/>
  <c r="EX36" i="21"/>
  <c r="FF24" i="21"/>
  <c r="EU24" i="21" s="1"/>
  <c r="FM39" i="21"/>
  <c r="FQ39" i="21"/>
  <c r="FN39" i="21"/>
  <c r="EY39" i="21"/>
  <c r="FB39" i="21"/>
  <c r="EX39" i="21"/>
  <c r="FN20" i="21"/>
  <c r="FM42" i="21"/>
  <c r="FN42" i="21"/>
  <c r="FQ42" i="21"/>
  <c r="FK42" i="21"/>
  <c r="EY34" i="21"/>
  <c r="FB34" i="21"/>
  <c r="EX34" i="21"/>
  <c r="FA36" i="21"/>
  <c r="FQ33" i="21"/>
  <c r="FM33" i="21"/>
  <c r="FN33" i="21"/>
  <c r="FK33" i="21"/>
  <c r="FM21" i="21"/>
  <c r="FP21" i="21"/>
  <c r="FL21" i="21"/>
  <c r="EX21" i="21"/>
  <c r="FA21" i="21"/>
  <c r="EW21" i="21"/>
  <c r="EY18" i="21"/>
  <c r="EX30" i="33"/>
  <c r="FL23" i="33"/>
  <c r="FB20" i="33"/>
  <c r="EX20" i="33"/>
  <c r="FC20" i="33"/>
  <c r="EY20" i="33"/>
  <c r="FN20" i="33"/>
  <c r="FQ20" i="33"/>
  <c r="FM20" i="33"/>
  <c r="FR20" i="33"/>
  <c r="FA30" i="33"/>
  <c r="EW38" i="33"/>
  <c r="EX38" i="33"/>
  <c r="FC38" i="33"/>
  <c r="FB38" i="33"/>
  <c r="EY38" i="33"/>
  <c r="FM38" i="33"/>
  <c r="FQ38" i="33"/>
  <c r="FN38" i="33"/>
  <c r="FR38" i="33"/>
  <c r="FL33" i="33"/>
  <c r="EY11" i="33"/>
  <c r="FN36" i="33"/>
  <c r="FQ36" i="33"/>
  <c r="FM36" i="33"/>
  <c r="FR36" i="33"/>
  <c r="FB36" i="33"/>
  <c r="EX36" i="33"/>
  <c r="FC36" i="33"/>
  <c r="EY36" i="33"/>
  <c r="FU18" i="33"/>
  <c r="FV18" i="33" s="1"/>
  <c r="FP15" i="33"/>
  <c r="EW43" i="33"/>
  <c r="EX43" i="33"/>
  <c r="FC43" i="33"/>
  <c r="FZ43" i="33" s="1"/>
  <c r="EY43" i="33"/>
  <c r="FB43" i="33"/>
  <c r="FL14" i="33"/>
  <c r="FM37" i="33"/>
  <c r="FQ37" i="33"/>
  <c r="FR37" i="33"/>
  <c r="FN37" i="33"/>
  <c r="EX37" i="33"/>
  <c r="FC37" i="33"/>
  <c r="EY37" i="33"/>
  <c r="FB37" i="33"/>
  <c r="EW36" i="33"/>
  <c r="FG28" i="33"/>
  <c r="FI28" i="33" s="1"/>
  <c r="EW20" i="33"/>
  <c r="FR10" i="33"/>
  <c r="HJ20" i="20"/>
  <c r="IA42" i="20"/>
  <c r="IH42" i="20" s="1"/>
  <c r="II42" i="20" s="1"/>
  <c r="HG13" i="20"/>
  <c r="HK22" i="20"/>
  <c r="HG22" i="20"/>
  <c r="HC22" i="20"/>
  <c r="HL22" i="20"/>
  <c r="HM22" i="20"/>
  <c r="HD22" i="20"/>
  <c r="HN22" i="20"/>
  <c r="HV22" i="20"/>
  <c r="IE22" i="20"/>
  <c r="IF22" i="20"/>
  <c r="IC22" i="20"/>
  <c r="HY22" i="20"/>
  <c r="HU22" i="20"/>
  <c r="ID22" i="20"/>
  <c r="HI38" i="20"/>
  <c r="HW22" i="20"/>
  <c r="HK13" i="20"/>
  <c r="HH38" i="20"/>
  <c r="HH30" i="20"/>
  <c r="HZ26" i="20"/>
  <c r="ID23" i="20"/>
  <c r="IC23" i="20"/>
  <c r="HY23" i="20"/>
  <c r="HU23" i="20"/>
  <c r="IF23" i="20"/>
  <c r="IE23" i="20"/>
  <c r="HC23" i="20"/>
  <c r="HL23" i="20"/>
  <c r="HM23" i="20"/>
  <c r="HK23" i="20"/>
  <c r="HG23" i="20"/>
  <c r="HN23" i="20"/>
  <c r="HD20" i="20"/>
  <c r="IH27" i="20"/>
  <c r="II27" i="20" s="1"/>
  <c r="IA39" i="20"/>
  <c r="IA35" i="20"/>
  <c r="IH35" i="20" s="1"/>
  <c r="II35" i="20" s="1"/>
  <c r="HW21" i="20"/>
  <c r="HI17" i="20"/>
  <c r="HK14" i="20"/>
  <c r="IC12" i="20"/>
  <c r="HU12" i="20"/>
  <c r="DL33" i="8"/>
  <c r="EA40" i="8"/>
  <c r="DM31" i="8"/>
  <c r="DZ38" i="8"/>
  <c r="DY31" i="8"/>
  <c r="DK22" i="8"/>
  <c r="EA36" i="8"/>
  <c r="DX31" i="8"/>
  <c r="EB27" i="8"/>
  <c r="DZ40" i="8"/>
  <c r="DZ36" i="8"/>
  <c r="DK32" i="8"/>
  <c r="DM30" i="8"/>
  <c r="DL27" i="8"/>
  <c r="DK24" i="8"/>
  <c r="DT24" i="8" s="1"/>
  <c r="DV24" i="8" s="1"/>
  <c r="DK20" i="8"/>
  <c r="DM18" i="8"/>
  <c r="DZ16" i="8"/>
  <c r="DM14" i="8"/>
  <c r="DK12" i="8"/>
  <c r="DL41" i="8"/>
  <c r="EA29" i="8"/>
  <c r="DX24" i="8"/>
  <c r="EA13" i="8"/>
  <c r="DZ33" i="8"/>
  <c r="DX27" i="8"/>
  <c r="EA24" i="8"/>
  <c r="DL16" i="8"/>
  <c r="DK13" i="8"/>
  <c r="EA42" i="8"/>
  <c r="EA38" i="8"/>
  <c r="DL34" i="8"/>
  <c r="DM29" i="8"/>
  <c r="DL26" i="8"/>
  <c r="DL22" i="8"/>
  <c r="EA18" i="8"/>
  <c r="DK11" i="8"/>
  <c r="DL37" i="8"/>
  <c r="DK37" i="8"/>
  <c r="DN31" i="8"/>
  <c r="DL21" i="8"/>
  <c r="DL32" i="8"/>
  <c r="DL28" i="8"/>
  <c r="DL39" i="8"/>
  <c r="DL31" i="8"/>
  <c r="DX30" i="8"/>
  <c r="EA23" i="8"/>
  <c r="DI18" i="8"/>
  <c r="DX14" i="8"/>
  <c r="DL11" i="8"/>
  <c r="DZ34" i="8"/>
  <c r="EA17" i="8"/>
  <c r="EC30" i="8"/>
  <c r="DL20" i="8"/>
  <c r="DL12" i="8"/>
  <c r="DK35" i="8"/>
  <c r="EA30" i="8"/>
  <c r="DZ23" i="8"/>
  <c r="EA14" i="8"/>
  <c r="EV24" i="33"/>
  <c r="FC24" i="33"/>
  <c r="EY24" i="33"/>
  <c r="FD24" i="33"/>
  <c r="EZ24" i="33"/>
  <c r="FM22" i="33"/>
  <c r="FS22" i="33"/>
  <c r="FO22" i="33"/>
  <c r="FK22" i="33"/>
  <c r="FR22" i="33"/>
  <c r="FN22" i="33"/>
  <c r="FD16" i="33"/>
  <c r="EZ16" i="33"/>
  <c r="EV16" i="33"/>
  <c r="FC16" i="33"/>
  <c r="EY16" i="33"/>
  <c r="FD12" i="33"/>
  <c r="EZ12" i="33"/>
  <c r="EV12" i="33"/>
  <c r="FC12" i="33"/>
  <c r="EY12" i="33"/>
  <c r="EY23" i="21"/>
  <c r="EZ23" i="21"/>
  <c r="EV23" i="21"/>
  <c r="FA23" i="21"/>
  <c r="EW23" i="21"/>
  <c r="EX17" i="21"/>
  <c r="EV17" i="21"/>
  <c r="FA17" i="21"/>
  <c r="EW17" i="21"/>
  <c r="EX13" i="21"/>
  <c r="FA13" i="21"/>
  <c r="EW13" i="21"/>
  <c r="EZ13" i="21"/>
  <c r="EV13" i="21"/>
  <c r="FO9" i="21"/>
  <c r="FK9" i="21"/>
  <c r="FP9" i="21"/>
  <c r="FL9" i="21"/>
  <c r="HU32" i="20"/>
  <c r="IF32" i="20"/>
  <c r="HT32" i="20"/>
  <c r="ID32" i="20"/>
  <c r="IE32" i="20"/>
  <c r="IC32" i="20"/>
  <c r="HY32" i="20"/>
  <c r="IB32" i="20"/>
  <c r="HX32" i="20"/>
  <c r="HC31" i="20"/>
  <c r="HN31" i="20"/>
  <c r="HK31" i="20"/>
  <c r="HG31" i="20"/>
  <c r="HB31" i="20"/>
  <c r="HM31" i="20"/>
  <c r="HL31" i="20"/>
  <c r="HJ31" i="20"/>
  <c r="HF31" i="20"/>
  <c r="IE28" i="20"/>
  <c r="IF28" i="20"/>
  <c r="IB28" i="20"/>
  <c r="HX28" i="20"/>
  <c r="IA28" i="20"/>
  <c r="HW28" i="20"/>
  <c r="ID28" i="20"/>
  <c r="HT28" i="20"/>
  <c r="IE15" i="20"/>
  <c r="IF15" i="20"/>
  <c r="IA15" i="20"/>
  <c r="IB15" i="20"/>
  <c r="HX15" i="20"/>
  <c r="ID15" i="20"/>
  <c r="HW15" i="20"/>
  <c r="HT15" i="20"/>
  <c r="IE10" i="20"/>
  <c r="IF10" i="20"/>
  <c r="HT10" i="20"/>
  <c r="IA10" i="20"/>
  <c r="HW10" i="20"/>
  <c r="ID10" i="20"/>
  <c r="IB10" i="20"/>
  <c r="HX10" i="20"/>
  <c r="EW31" i="33"/>
  <c r="FD31" i="33"/>
  <c r="EZ31" i="33"/>
  <c r="EV31" i="33"/>
  <c r="FM29" i="33"/>
  <c r="FS29" i="33"/>
  <c r="FO29" i="33"/>
  <c r="FK29" i="33"/>
  <c r="FM25" i="33"/>
  <c r="FS25" i="33"/>
  <c r="FO25" i="33"/>
  <c r="FK25" i="33"/>
  <c r="FR25" i="33"/>
  <c r="FN25" i="33"/>
  <c r="FM17" i="33"/>
  <c r="FR17" i="33"/>
  <c r="FN17" i="33"/>
  <c r="FS17" i="33"/>
  <c r="FO17" i="33"/>
  <c r="FK17" i="33"/>
  <c r="FM26" i="21"/>
  <c r="FP26" i="21"/>
  <c r="FL26" i="21"/>
  <c r="FK26" i="21"/>
  <c r="EW22" i="21"/>
  <c r="EV22" i="21"/>
  <c r="FA22" i="21"/>
  <c r="EX22" i="21"/>
  <c r="FL16" i="21"/>
  <c r="FP16" i="21"/>
  <c r="FO16" i="21"/>
  <c r="FK16" i="21"/>
  <c r="FA14" i="21"/>
  <c r="EW14" i="21"/>
  <c r="EZ14" i="21"/>
  <c r="EV14" i="21"/>
  <c r="FP10" i="21"/>
  <c r="FL10" i="21"/>
  <c r="FK10" i="21"/>
  <c r="FO10" i="21"/>
  <c r="FO40" i="21"/>
  <c r="FP39" i="21"/>
  <c r="FL39" i="21"/>
  <c r="FO36" i="21"/>
  <c r="FU36" i="21" s="1"/>
  <c r="FV36" i="21" s="1"/>
  <c r="FF28" i="21"/>
  <c r="EU28" i="21" s="1"/>
  <c r="FL28" i="21"/>
  <c r="FP28" i="21"/>
  <c r="FO28" i="21"/>
  <c r="FU28" i="21" s="1"/>
  <c r="FV28" i="21" s="1"/>
  <c r="FM28" i="21"/>
  <c r="EY13" i="21"/>
  <c r="FM10" i="21"/>
  <c r="FN9" i="21"/>
  <c r="FL42" i="21"/>
  <c r="FO39" i="21"/>
  <c r="FM35" i="21"/>
  <c r="FQ35" i="21"/>
  <c r="FN35" i="21"/>
  <c r="EY35" i="21"/>
  <c r="FB35" i="21"/>
  <c r="EX35" i="21"/>
  <c r="FA34" i="21"/>
  <c r="FF31" i="21"/>
  <c r="EU31" i="21" s="1"/>
  <c r="FM27" i="21"/>
  <c r="FP27" i="21"/>
  <c r="FL27" i="21"/>
  <c r="EY27" i="21"/>
  <c r="EX27" i="21"/>
  <c r="FA27" i="21"/>
  <c r="EW27" i="21"/>
  <c r="FM19" i="21"/>
  <c r="FN19" i="21"/>
  <c r="EY19" i="21"/>
  <c r="FN16" i="21"/>
  <c r="FN12" i="21"/>
  <c r="FO42" i="21"/>
  <c r="FU42" i="21" s="1"/>
  <c r="FV42" i="21" s="1"/>
  <c r="FA41" i="21"/>
  <c r="FO34" i="21"/>
  <c r="FA33" i="21"/>
  <c r="FB30" i="21"/>
  <c r="EX30" i="21"/>
  <c r="FA30" i="21"/>
  <c r="FQ24" i="21"/>
  <c r="FM24" i="21"/>
  <c r="EZ22" i="21"/>
  <c r="FM20" i="21"/>
  <c r="EZ18" i="21"/>
  <c r="FM16" i="21"/>
  <c r="EX12" i="21"/>
  <c r="EZ41" i="21"/>
  <c r="EW40" i="21"/>
  <c r="FF40" i="21" s="1"/>
  <c r="EU40" i="21" s="1"/>
  <c r="EX37" i="21"/>
  <c r="FB37" i="21"/>
  <c r="EY37" i="21"/>
  <c r="FN37" i="21"/>
  <c r="FQ37" i="21"/>
  <c r="FU37" i="21" s="1"/>
  <c r="FV37" i="21" s="1"/>
  <c r="FM37" i="21"/>
  <c r="EW36" i="21"/>
  <c r="FO33" i="21"/>
  <c r="FU33" i="21" s="1"/>
  <c r="FV33" i="21" s="1"/>
  <c r="FQ27" i="21"/>
  <c r="FN26" i="21"/>
  <c r="FO21" i="21"/>
  <c r="FP20" i="21"/>
  <c r="FQ19" i="21"/>
  <c r="FG35" i="33"/>
  <c r="FI35" i="33" s="1"/>
  <c r="FC33" i="33"/>
  <c r="FL31" i="33"/>
  <c r="FR29" i="33"/>
  <c r="FF28" i="33"/>
  <c r="EU28" i="33" s="1"/>
  <c r="FG23" i="33"/>
  <c r="FI23" i="33" s="1"/>
  <c r="EX22" i="33"/>
  <c r="FD20" i="33"/>
  <c r="FL15" i="33"/>
  <c r="FP11" i="33"/>
  <c r="EW39" i="33"/>
  <c r="EY39" i="33"/>
  <c r="FC39" i="33"/>
  <c r="FB39" i="33"/>
  <c r="EX39" i="33"/>
  <c r="FR39" i="33"/>
  <c r="FQ39" i="33"/>
  <c r="FM39" i="33"/>
  <c r="FN39" i="33"/>
  <c r="FQ33" i="33"/>
  <c r="FU27" i="33"/>
  <c r="FV27" i="33" s="1"/>
  <c r="FL22" i="33"/>
  <c r="FM42" i="33"/>
  <c r="FQ42" i="33"/>
  <c r="FR42" i="33"/>
  <c r="FN42" i="33"/>
  <c r="FK42" i="33"/>
  <c r="FO38" i="33"/>
  <c r="EW37" i="33"/>
  <c r="FO34" i="33"/>
  <c r="FA33" i="33"/>
  <c r="FG33" i="33" s="1"/>
  <c r="FI33" i="33" s="1"/>
  <c r="FN31" i="33"/>
  <c r="FL25" i="33"/>
  <c r="FL17" i="33"/>
  <c r="FB16" i="33"/>
  <c r="FP13" i="33"/>
  <c r="EX12" i="33"/>
  <c r="FR11" i="33"/>
  <c r="FF40" i="33"/>
  <c r="EU40" i="33" s="1"/>
  <c r="FD36" i="33"/>
  <c r="FB30" i="33"/>
  <c r="FO20" i="33"/>
  <c r="FQ14" i="33"/>
  <c r="FM10" i="33"/>
  <c r="FS43" i="33"/>
  <c r="FU43" i="33" s="1"/>
  <c r="FV43" i="33" s="1"/>
  <c r="FL38" i="33"/>
  <c r="FR35" i="33"/>
  <c r="FN35" i="33"/>
  <c r="FQ35" i="33"/>
  <c r="FM35" i="33"/>
  <c r="FK35" i="33"/>
  <c r="FQ29" i="33"/>
  <c r="EW27" i="33"/>
  <c r="FC27" i="33"/>
  <c r="EY27" i="33"/>
  <c r="FB27" i="33"/>
  <c r="EX27" i="33"/>
  <c r="FP22" i="33"/>
  <c r="EW19" i="33"/>
  <c r="FC19" i="33"/>
  <c r="FZ19" i="33" s="1"/>
  <c r="FB19" i="33"/>
  <c r="EX19" i="33"/>
  <c r="EY19" i="33"/>
  <c r="FN19" i="33"/>
  <c r="FR19" i="33"/>
  <c r="FQ19" i="33"/>
  <c r="FM19" i="33"/>
  <c r="FB17" i="33"/>
  <c r="FB13" i="33"/>
  <c r="FA10" i="33"/>
  <c r="FF41" i="33"/>
  <c r="EU41" i="33" s="1"/>
  <c r="FG40" i="33"/>
  <c r="FI40" i="33" s="1"/>
  <c r="EZ37" i="33"/>
  <c r="FA36" i="33"/>
  <c r="FC34" i="33"/>
  <c r="FQ31" i="33"/>
  <c r="FC30" i="33"/>
  <c r="EY30" i="33"/>
  <c r="EW24" i="33"/>
  <c r="FQ23" i="33"/>
  <c r="FP20" i="33"/>
  <c r="FB15" i="33"/>
  <c r="FA12" i="33"/>
  <c r="EX11" i="33"/>
  <c r="FN10" i="33"/>
  <c r="HH37" i="20"/>
  <c r="HP37" i="20" s="1"/>
  <c r="HR37" i="20" s="1"/>
  <c r="HH31" i="20"/>
  <c r="HP25" i="20"/>
  <c r="HR25" i="20" s="1"/>
  <c r="HJ22" i="20"/>
  <c r="HH21" i="20"/>
  <c r="HC18" i="20"/>
  <c r="HN18" i="20"/>
  <c r="HL18" i="20"/>
  <c r="HM18" i="20"/>
  <c r="HK18" i="20"/>
  <c r="HG18" i="20"/>
  <c r="HH18" i="20"/>
  <c r="HD18" i="20"/>
  <c r="HV18" i="20"/>
  <c r="ID18" i="20"/>
  <c r="IF18" i="20"/>
  <c r="IC18" i="20"/>
  <c r="HY18" i="20"/>
  <c r="HU18" i="20"/>
  <c r="HZ18" i="20"/>
  <c r="IE18" i="20"/>
  <c r="HZ15" i="20"/>
  <c r="HZ11" i="20"/>
  <c r="HW38" i="20"/>
  <c r="HK29" i="20"/>
  <c r="HP29" i="20" s="1"/>
  <c r="HR29" i="20" s="1"/>
  <c r="HK27" i="20"/>
  <c r="HP27" i="20" s="1"/>
  <c r="HR27" i="20" s="1"/>
  <c r="HI22" i="20"/>
  <c r="HW18" i="20"/>
  <c r="HU15" i="20"/>
  <c r="IC11" i="20"/>
  <c r="HD41" i="20"/>
  <c r="HH35" i="20"/>
  <c r="HD31" i="20"/>
  <c r="HF22" i="20"/>
  <c r="HX18" i="20"/>
  <c r="IB16" i="20"/>
  <c r="HD13" i="20"/>
  <c r="IA40" i="20"/>
  <c r="HW32" i="20"/>
  <c r="HW20" i="20"/>
  <c r="HG15" i="20"/>
  <c r="HC13" i="20"/>
  <c r="HD42" i="20"/>
  <c r="HP42" i="20" s="1"/>
  <c r="HR42" i="20" s="1"/>
  <c r="HD40" i="20"/>
  <c r="HZ32" i="20"/>
  <c r="HV32" i="20"/>
  <c r="HD30" i="20"/>
  <c r="HV28" i="20"/>
  <c r="IB23" i="20"/>
  <c r="HX23" i="20"/>
  <c r="HZ22" i="20"/>
  <c r="HZ20" i="20"/>
  <c r="HC19" i="20"/>
  <c r="HL19" i="20"/>
  <c r="HK19" i="20"/>
  <c r="HG19" i="20"/>
  <c r="HN19" i="20"/>
  <c r="HM19" i="20"/>
  <c r="HB19" i="20"/>
  <c r="HZ14" i="20"/>
  <c r="HH12" i="20"/>
  <c r="HD12" i="20"/>
  <c r="HV10" i="20"/>
  <c r="HV37" i="20"/>
  <c r="HD33" i="20"/>
  <c r="HD23" i="20"/>
  <c r="HE41" i="20"/>
  <c r="HE39" i="20"/>
  <c r="HW37" i="20"/>
  <c r="HE35" i="20"/>
  <c r="HE33" i="20"/>
  <c r="HE31" i="20"/>
  <c r="HK30" i="20"/>
  <c r="HC30" i="20"/>
  <c r="HU28" i="20"/>
  <c r="HE23" i="20"/>
  <c r="HI21" i="20"/>
  <c r="HW17" i="20"/>
  <c r="HY16" i="20"/>
  <c r="HC16" i="20"/>
  <c r="HU14" i="20"/>
  <c r="HG12" i="20"/>
  <c r="IC10" i="20"/>
  <c r="DI28" i="8"/>
  <c r="DJ30" i="8"/>
  <c r="EA25" i="8"/>
  <c r="DK41" i="8"/>
  <c r="DT41" i="8" s="1"/>
  <c r="DV41" i="8" s="1"/>
  <c r="DK21" i="8"/>
  <c r="DL35" i="8"/>
  <c r="DM26" i="8"/>
  <c r="DT26" i="8" s="1"/>
  <c r="DV26" i="8" s="1"/>
  <c r="EA19" i="8"/>
  <c r="DL15" i="8"/>
  <c r="DM28" i="8"/>
  <c r="DK25" i="8"/>
  <c r="DT25" i="8" s="1"/>
  <c r="DV25" i="8" s="1"/>
  <c r="DX15" i="8"/>
  <c r="DZ39" i="8"/>
  <c r="DI29" i="8"/>
  <c r="DS29" i="8" s="1"/>
  <c r="DH29" i="8" s="1"/>
  <c r="DK19" i="8"/>
  <c r="FN21" i="21"/>
  <c r="FM38" i="21"/>
  <c r="FN38" i="21"/>
  <c r="FQ38" i="21"/>
  <c r="FK38" i="21"/>
  <c r="FN23" i="21"/>
  <c r="EX29" i="21"/>
  <c r="FB29" i="21"/>
  <c r="FA29" i="21"/>
  <c r="FG29" i="21" s="1"/>
  <c r="FI29" i="21" s="1"/>
  <c r="EW29" i="21"/>
  <c r="FQ29" i="21"/>
  <c r="FM29" i="21"/>
  <c r="FP29" i="21"/>
  <c r="FU29" i="21" s="1"/>
  <c r="FV29" i="21" s="1"/>
  <c r="FL29" i="21"/>
  <c r="FM11" i="21"/>
  <c r="FO11" i="21"/>
  <c r="FK11" i="21"/>
  <c r="FP11" i="21"/>
  <c r="FL11" i="21"/>
  <c r="FA34" i="33"/>
  <c r="FG34" i="33" s="1"/>
  <c r="FI34" i="33" s="1"/>
  <c r="FA37" i="33"/>
  <c r="FD26" i="33"/>
  <c r="FF26" i="33" s="1"/>
  <c r="EU26" i="33" s="1"/>
  <c r="FS37" i="33"/>
  <c r="FM15" i="33"/>
  <c r="HF16" i="20"/>
  <c r="HV34" i="20"/>
  <c r="IF34" i="20"/>
  <c r="IC34" i="20"/>
  <c r="HY34" i="20"/>
  <c r="HU34" i="20"/>
  <c r="ID34" i="20"/>
  <c r="IB34" i="20"/>
  <c r="HX34" i="20"/>
  <c r="HT34" i="20"/>
  <c r="IE34" i="20"/>
  <c r="IA23" i="20"/>
  <c r="FP40" i="21"/>
  <c r="EZ25" i="21"/>
  <c r="FF25" i="21" s="1"/>
  <c r="EU25" i="21" s="1"/>
  <c r="EY10" i="21"/>
  <c r="FO36" i="33"/>
  <c r="FU36" i="33" s="1"/>
  <c r="FV36" i="33" s="1"/>
  <c r="FF23" i="33"/>
  <c r="EU23" i="33" s="1"/>
  <c r="FB25" i="33"/>
  <c r="FG25" i="33" s="1"/>
  <c r="FI25" i="33" s="1"/>
  <c r="FC31" i="33"/>
  <c r="FM24" i="33"/>
  <c r="FP38" i="33"/>
  <c r="FN32" i="33"/>
  <c r="FK32" i="33"/>
  <c r="FS32" i="33"/>
  <c r="FO32" i="33"/>
  <c r="FL32" i="33"/>
  <c r="FB11" i="33"/>
  <c r="HE40" i="20"/>
  <c r="IB18" i="20"/>
  <c r="IF36" i="20"/>
  <c r="IC36" i="20"/>
  <c r="HY36" i="20"/>
  <c r="HU36" i="20"/>
  <c r="ID36" i="20"/>
  <c r="IB36" i="20"/>
  <c r="HX36" i="20"/>
  <c r="IE36" i="20"/>
  <c r="HT36" i="20"/>
  <c r="HY24" i="20"/>
  <c r="IF24" i="20"/>
  <c r="IC24" i="20"/>
  <c r="ID24" i="20"/>
  <c r="IE24" i="20"/>
  <c r="HT24" i="20"/>
  <c r="HU24" i="20"/>
  <c r="HX24" i="20"/>
  <c r="HV24" i="20"/>
  <c r="HG30" i="20"/>
  <c r="HY28" i="20"/>
  <c r="HO25" i="20"/>
  <c r="HA25" i="20" s="1"/>
  <c r="HG14" i="20"/>
  <c r="DK42" i="8"/>
  <c r="DT42" i="8" s="1"/>
  <c r="DV42" i="8" s="1"/>
  <c r="FB8" i="21"/>
  <c r="FQ8" i="21"/>
  <c r="FO8" i="21"/>
  <c r="FK8" i="21"/>
  <c r="FL8" i="21"/>
  <c r="FP8" i="21"/>
  <c r="FA8" i="21"/>
  <c r="FM8" i="21"/>
  <c r="EV8" i="21"/>
  <c r="DQ38" i="21"/>
  <c r="AB35" i="5" s="1"/>
  <c r="AA35" i="5"/>
  <c r="DQ37" i="21"/>
  <c r="AB34" i="5" s="1"/>
  <c r="AA34" i="5"/>
  <c r="DQ28" i="21"/>
  <c r="AB25" i="5" s="1"/>
  <c r="AA25" i="5"/>
  <c r="DQ23" i="21"/>
  <c r="AB20" i="5" s="1"/>
  <c r="AA20" i="5"/>
  <c r="DQ27" i="21"/>
  <c r="AB24" i="5" s="1"/>
  <c r="AA24" i="5"/>
  <c r="DQ10" i="21"/>
  <c r="AB7" i="5" s="1"/>
  <c r="AA7" i="5"/>
  <c r="DQ25" i="21"/>
  <c r="AB22" i="5" s="1"/>
  <c r="AA22" i="5"/>
  <c r="DQ26" i="21"/>
  <c r="AB23" i="5" s="1"/>
  <c r="AA23" i="5"/>
  <c r="DQ9" i="21"/>
  <c r="AB6" i="5" s="1"/>
  <c r="AA6" i="5"/>
  <c r="DQ34" i="21"/>
  <c r="AB31" i="5" s="1"/>
  <c r="AA31" i="5"/>
  <c r="DQ32" i="21"/>
  <c r="AB29" i="5" s="1"/>
  <c r="AA29" i="5"/>
  <c r="DQ19" i="21"/>
  <c r="AB16" i="5" s="1"/>
  <c r="AA16" i="5"/>
  <c r="DQ33" i="21"/>
  <c r="AB30" i="5" s="1"/>
  <c r="AA30" i="5"/>
  <c r="DQ36" i="21"/>
  <c r="AB33" i="5" s="1"/>
  <c r="AA33" i="5"/>
  <c r="DQ42" i="21"/>
  <c r="AB39" i="5" s="1"/>
  <c r="AA39" i="5"/>
  <c r="DQ18" i="21"/>
  <c r="AB15" i="5" s="1"/>
  <c r="AA15" i="5"/>
  <c r="DQ41" i="21"/>
  <c r="AB38" i="5" s="1"/>
  <c r="AA38" i="5"/>
  <c r="DQ17" i="21"/>
  <c r="AB14" i="5" s="1"/>
  <c r="AA14" i="5"/>
  <c r="DQ31" i="21"/>
  <c r="AB28" i="5" s="1"/>
  <c r="AA28" i="5"/>
  <c r="DQ40" i="21"/>
  <c r="AB37" i="5" s="1"/>
  <c r="AA37" i="5"/>
  <c r="DQ20" i="21"/>
  <c r="AB17" i="5" s="1"/>
  <c r="AA17" i="5"/>
  <c r="DQ13" i="21"/>
  <c r="AB10" i="5" s="1"/>
  <c r="AA10" i="5"/>
  <c r="DQ35" i="21"/>
  <c r="AB32" i="5" s="1"/>
  <c r="AA32" i="5"/>
  <c r="DQ11" i="21"/>
  <c r="AB8" i="5" s="1"/>
  <c r="AA8" i="5"/>
  <c r="DQ21" i="21"/>
  <c r="AB18" i="5" s="1"/>
  <c r="AA18" i="5"/>
  <c r="DQ22" i="21"/>
  <c r="AB19" i="5" s="1"/>
  <c r="AA19" i="5"/>
  <c r="DQ30" i="21"/>
  <c r="AB27" i="5" s="1"/>
  <c r="AA27" i="5"/>
  <c r="DQ39" i="21"/>
  <c r="AB36" i="5" s="1"/>
  <c r="AA36" i="5"/>
  <c r="DQ12" i="21"/>
  <c r="AB9" i="5" s="1"/>
  <c r="AA9" i="5"/>
  <c r="DQ29" i="21"/>
  <c r="AB26" i="5" s="1"/>
  <c r="AA26" i="5"/>
  <c r="DQ24" i="21"/>
  <c r="AB21" i="5" s="1"/>
  <c r="AA21" i="5"/>
  <c r="DQ16" i="21"/>
  <c r="AB13" i="5" s="1"/>
  <c r="AA13" i="5"/>
  <c r="DQ15" i="21"/>
  <c r="AB12" i="5" s="1"/>
  <c r="AA12" i="5"/>
  <c r="DQ14" i="21"/>
  <c r="AB11" i="5" s="1"/>
  <c r="AA11" i="5"/>
  <c r="FL8" i="35"/>
  <c r="FU32" i="35"/>
  <c r="FV32" i="35" s="1"/>
  <c r="FL36" i="35"/>
  <c r="EW10" i="35"/>
  <c r="GA10" i="35" s="1"/>
  <c r="EY10" i="35"/>
  <c r="FM15" i="35"/>
  <c r="FN23" i="35"/>
  <c r="FO15" i="35"/>
  <c r="FB10" i="35"/>
  <c r="FF11" i="35"/>
  <c r="EU11" i="35" s="1"/>
  <c r="FY11" i="35" s="1"/>
  <c r="EV25" i="35"/>
  <c r="EX34" i="35"/>
  <c r="EY34" i="35"/>
  <c r="FL22" i="35"/>
  <c r="FL15" i="35"/>
  <c r="FQ15" i="35"/>
  <c r="FG33" i="35"/>
  <c r="FI33" i="35" s="1"/>
  <c r="EV10" i="35"/>
  <c r="FO18" i="35"/>
  <c r="FP34" i="35"/>
  <c r="FS34" i="35"/>
  <c r="FQ34" i="35"/>
  <c r="FO34" i="35"/>
  <c r="FR34" i="35"/>
  <c r="FK34" i="35"/>
  <c r="FO13" i="35"/>
  <c r="FS13" i="35"/>
  <c r="FP13" i="35"/>
  <c r="FR13" i="35"/>
  <c r="FQ13" i="35"/>
  <c r="FK13" i="35"/>
  <c r="FQ37" i="35"/>
  <c r="FR37" i="35"/>
  <c r="FP37" i="35"/>
  <c r="FO37" i="35"/>
  <c r="FS37" i="35"/>
  <c r="FN37" i="35"/>
  <c r="FM37" i="35"/>
  <c r="FR42" i="35"/>
  <c r="FO42" i="35"/>
  <c r="FS42" i="35"/>
  <c r="FQ42" i="35"/>
  <c r="FP42" i="35"/>
  <c r="FN42" i="35"/>
  <c r="FM42" i="35"/>
  <c r="EY24" i="35"/>
  <c r="FD24" i="35"/>
  <c r="EZ24" i="35"/>
  <c r="FB24" i="35"/>
  <c r="FC24" i="35"/>
  <c r="FA24" i="35"/>
  <c r="EX24" i="35"/>
  <c r="EW24" i="35"/>
  <c r="FR14" i="35"/>
  <c r="FP14" i="35"/>
  <c r="FO14" i="35"/>
  <c r="FS14" i="35"/>
  <c r="FQ14" i="35"/>
  <c r="FK14" i="35"/>
  <c r="EY40" i="35"/>
  <c r="FD40" i="35"/>
  <c r="EZ40" i="35"/>
  <c r="FC40" i="35"/>
  <c r="FA40" i="35"/>
  <c r="FB40" i="35"/>
  <c r="EX40" i="35"/>
  <c r="EZ19" i="35"/>
  <c r="FD19" i="35"/>
  <c r="FC19" i="35"/>
  <c r="FA19" i="35"/>
  <c r="FB19" i="35"/>
  <c r="EX19" i="35"/>
  <c r="FQ29" i="35"/>
  <c r="FP29" i="35"/>
  <c r="FR29" i="35"/>
  <c r="FS29" i="35"/>
  <c r="FO29" i="35"/>
  <c r="FN29" i="35"/>
  <c r="FL29" i="35"/>
  <c r="FM29" i="35"/>
  <c r="FK31" i="35"/>
  <c r="FP31" i="35"/>
  <c r="FR31" i="35"/>
  <c r="FS31" i="35"/>
  <c r="FO31" i="35"/>
  <c r="FQ31" i="35"/>
  <c r="FM31" i="35"/>
  <c r="FN31" i="35"/>
  <c r="FO22" i="35"/>
  <c r="FS22" i="35"/>
  <c r="FP22" i="35"/>
  <c r="FR22" i="35"/>
  <c r="FQ22" i="35"/>
  <c r="FM22" i="35"/>
  <c r="FR38" i="35"/>
  <c r="FQ38" i="35"/>
  <c r="FO38" i="35"/>
  <c r="FS38" i="35"/>
  <c r="FP38" i="35"/>
  <c r="FM38" i="35"/>
  <c r="FN38" i="35"/>
  <c r="EW18" i="35"/>
  <c r="FB18" i="35"/>
  <c r="FD18" i="35"/>
  <c r="FC18" i="35"/>
  <c r="EZ18" i="35"/>
  <c r="FA18" i="35"/>
  <c r="EV18" i="35"/>
  <c r="EY18" i="35"/>
  <c r="FP10" i="35"/>
  <c r="FR10" i="35"/>
  <c r="FQ10" i="35"/>
  <c r="FO10" i="35"/>
  <c r="FS10" i="35"/>
  <c r="FK10" i="35"/>
  <c r="EY36" i="35"/>
  <c r="FD36" i="35"/>
  <c r="EZ36" i="35"/>
  <c r="FB36" i="35"/>
  <c r="FA36" i="35"/>
  <c r="FC36" i="35"/>
  <c r="FZ36" i="35" s="1"/>
  <c r="EX36" i="35"/>
  <c r="FM21" i="35"/>
  <c r="FS21" i="35"/>
  <c r="FR21" i="35"/>
  <c r="FO21" i="35"/>
  <c r="FP21" i="35"/>
  <c r="FQ21" i="35"/>
  <c r="FB31" i="35"/>
  <c r="FC31" i="35"/>
  <c r="FA31" i="35"/>
  <c r="FD31" i="35"/>
  <c r="EZ31" i="35"/>
  <c r="EX31" i="35"/>
  <c r="EY31" i="35"/>
  <c r="FO9" i="35"/>
  <c r="FS9" i="35"/>
  <c r="FP9" i="35"/>
  <c r="FR9" i="35"/>
  <c r="FQ9" i="35"/>
  <c r="FK9" i="35"/>
  <c r="FN16" i="35"/>
  <c r="FO16" i="35"/>
  <c r="FS16" i="35"/>
  <c r="FP16" i="35"/>
  <c r="FR16" i="35"/>
  <c r="FQ16" i="35"/>
  <c r="FK16" i="35"/>
  <c r="EW22" i="35"/>
  <c r="EZ22" i="35"/>
  <c r="FB22" i="35"/>
  <c r="FD22" i="35"/>
  <c r="FC22" i="35"/>
  <c r="FA22" i="35"/>
  <c r="EX22" i="35"/>
  <c r="FA42" i="35"/>
  <c r="EZ42" i="35"/>
  <c r="FB42" i="35"/>
  <c r="FD42" i="35"/>
  <c r="FC42" i="35"/>
  <c r="EY42" i="35"/>
  <c r="EX42" i="35"/>
  <c r="FN24" i="35"/>
  <c r="FS24" i="35"/>
  <c r="FP24" i="35"/>
  <c r="FO24" i="35"/>
  <c r="FR24" i="35"/>
  <c r="FQ24" i="35"/>
  <c r="FM24" i="35"/>
  <c r="FL24" i="35"/>
  <c r="EX17" i="35"/>
  <c r="FD17" i="35"/>
  <c r="FC17" i="35"/>
  <c r="EZ17" i="35"/>
  <c r="FB17" i="35"/>
  <c r="FA17" i="35"/>
  <c r="EV17" i="35"/>
  <c r="FZ17" i="35" s="1"/>
  <c r="EY17" i="35"/>
  <c r="FM17" i="35"/>
  <c r="FO17" i="35"/>
  <c r="FS17" i="35"/>
  <c r="FP17" i="35"/>
  <c r="FR17" i="35"/>
  <c r="FQ17" i="35"/>
  <c r="FN17" i="35"/>
  <c r="FK17" i="35"/>
  <c r="FA30" i="35"/>
  <c r="FD30" i="35"/>
  <c r="FB30" i="35"/>
  <c r="EZ30" i="35"/>
  <c r="FC30" i="35"/>
  <c r="EW30" i="35"/>
  <c r="EX30" i="35"/>
  <c r="EY30" i="35"/>
  <c r="FN36" i="35"/>
  <c r="FP36" i="35"/>
  <c r="FS36" i="35"/>
  <c r="FO36" i="35"/>
  <c r="FR36" i="35"/>
  <c r="FQ36" i="35"/>
  <c r="FM36" i="35"/>
  <c r="EY28" i="35"/>
  <c r="FD28" i="35"/>
  <c r="EZ28" i="35"/>
  <c r="FC28" i="35"/>
  <c r="FB28" i="35"/>
  <c r="FA28" i="35"/>
  <c r="EW28" i="35"/>
  <c r="EX28" i="35"/>
  <c r="EZ27" i="35"/>
  <c r="FD27" i="35"/>
  <c r="FA27" i="35"/>
  <c r="FC27" i="35"/>
  <c r="FB27" i="35"/>
  <c r="EW27" i="35"/>
  <c r="EX27" i="35"/>
  <c r="EY27" i="35"/>
  <c r="EX41" i="35"/>
  <c r="FC41" i="35"/>
  <c r="EZ41" i="35"/>
  <c r="FD41" i="35"/>
  <c r="FB41" i="35"/>
  <c r="FA41" i="35"/>
  <c r="EY41" i="35"/>
  <c r="EX21" i="35"/>
  <c r="FC21" i="35"/>
  <c r="FD21" i="35"/>
  <c r="EZ21" i="35"/>
  <c r="FB21" i="35"/>
  <c r="FA21" i="35"/>
  <c r="EZ35" i="35"/>
  <c r="FD35" i="35"/>
  <c r="FC35" i="35"/>
  <c r="FA35" i="35"/>
  <c r="FB35" i="35"/>
  <c r="EX35" i="35"/>
  <c r="EY35" i="35"/>
  <c r="FN14" i="35"/>
  <c r="FL42" i="35"/>
  <c r="FK22" i="35"/>
  <c r="FN25" i="35"/>
  <c r="FL34" i="35"/>
  <c r="EW19" i="35"/>
  <c r="GA19" i="35" s="1"/>
  <c r="FF33" i="35"/>
  <c r="EU33" i="35" s="1"/>
  <c r="FL9" i="35"/>
  <c r="EW31" i="35"/>
  <c r="GA31" i="35" s="1"/>
  <c r="FK38" i="35"/>
  <c r="FL21" i="35"/>
  <c r="EX18" i="35"/>
  <c r="FL14" i="35"/>
  <c r="EW16" i="35"/>
  <c r="EW17" i="35"/>
  <c r="FN34" i="35"/>
  <c r="FN9" i="35"/>
  <c r="EW36" i="35"/>
  <c r="FK29" i="35"/>
  <c r="FC23" i="35"/>
  <c r="EZ23" i="35"/>
  <c r="FD23" i="35"/>
  <c r="FB23" i="35"/>
  <c r="FA23" i="35"/>
  <c r="EX23" i="35"/>
  <c r="FN20" i="35"/>
  <c r="FP20" i="35"/>
  <c r="FS20" i="35"/>
  <c r="FO20" i="35"/>
  <c r="FR20" i="35"/>
  <c r="FQ20" i="35"/>
  <c r="FM20" i="35"/>
  <c r="FO25" i="35"/>
  <c r="FS25" i="35"/>
  <c r="FP25" i="35"/>
  <c r="FR25" i="35"/>
  <c r="FQ25" i="35"/>
  <c r="FL25" i="35"/>
  <c r="FM25" i="35"/>
  <c r="FB39" i="35"/>
  <c r="FC39" i="35"/>
  <c r="GA39" i="35" s="1"/>
  <c r="FA39" i="35"/>
  <c r="FD39" i="35"/>
  <c r="EZ39" i="35"/>
  <c r="EY39" i="35"/>
  <c r="EX39" i="35"/>
  <c r="EY12" i="35"/>
  <c r="EZ12" i="35"/>
  <c r="FD12" i="35"/>
  <c r="FA12" i="35"/>
  <c r="FB12" i="35"/>
  <c r="FC12" i="35"/>
  <c r="EV12" i="35"/>
  <c r="FC26" i="35"/>
  <c r="FZ26" i="35" s="1"/>
  <c r="FB26" i="35"/>
  <c r="FA26" i="35"/>
  <c r="EZ26" i="35"/>
  <c r="FD26" i="35"/>
  <c r="EW26" i="35"/>
  <c r="EY26" i="35"/>
  <c r="EX26" i="35"/>
  <c r="FR30" i="35"/>
  <c r="FQ30" i="35"/>
  <c r="FO30" i="35"/>
  <c r="FS30" i="35"/>
  <c r="FP30" i="35"/>
  <c r="FM30" i="35"/>
  <c r="FN30" i="35"/>
  <c r="FL30" i="35"/>
  <c r="FN28" i="35"/>
  <c r="FP28" i="35"/>
  <c r="FS28" i="35"/>
  <c r="FO28" i="35"/>
  <c r="FQ28" i="35"/>
  <c r="FR28" i="35"/>
  <c r="FM28" i="35"/>
  <c r="FL28" i="35"/>
  <c r="FO33" i="35"/>
  <c r="FS33" i="35"/>
  <c r="FP33" i="35"/>
  <c r="FR33" i="35"/>
  <c r="FQ33" i="35"/>
  <c r="FL33" i="35"/>
  <c r="FK33" i="35"/>
  <c r="EX37" i="35"/>
  <c r="FC37" i="35"/>
  <c r="FD37" i="35"/>
  <c r="EZ37" i="35"/>
  <c r="FA37" i="35"/>
  <c r="FB37" i="35"/>
  <c r="EY37" i="35"/>
  <c r="FN12" i="35"/>
  <c r="FO12" i="35"/>
  <c r="FS12" i="35"/>
  <c r="FP12" i="35"/>
  <c r="FR12" i="35"/>
  <c r="FQ12" i="35"/>
  <c r="FK12" i="35"/>
  <c r="EW14" i="35"/>
  <c r="EZ14" i="35"/>
  <c r="FD14" i="35"/>
  <c r="FA14" i="35"/>
  <c r="FC14" i="35"/>
  <c r="FB14" i="35"/>
  <c r="EV14" i="35"/>
  <c r="FZ14" i="35" s="1"/>
  <c r="FQ41" i="35"/>
  <c r="FR41" i="35"/>
  <c r="FP41" i="35"/>
  <c r="FO41" i="35"/>
  <c r="FS41" i="35"/>
  <c r="FN41" i="35"/>
  <c r="FM41" i="35"/>
  <c r="FN40" i="35"/>
  <c r="FS40" i="35"/>
  <c r="FP40" i="35"/>
  <c r="FO40" i="35"/>
  <c r="FQ40" i="35"/>
  <c r="FR40" i="35"/>
  <c r="FM40" i="35"/>
  <c r="FK19" i="35"/>
  <c r="FP19" i="35"/>
  <c r="FS19" i="35"/>
  <c r="FQ19" i="35"/>
  <c r="FR19" i="35"/>
  <c r="FO19" i="35"/>
  <c r="FM19" i="35"/>
  <c r="EX29" i="35"/>
  <c r="FC29" i="35"/>
  <c r="FD29" i="35"/>
  <c r="EZ29" i="35"/>
  <c r="FB29" i="35"/>
  <c r="FA29" i="35"/>
  <c r="EY29" i="35"/>
  <c r="EW29" i="35"/>
  <c r="FK11" i="35"/>
  <c r="FP11" i="35"/>
  <c r="FS11" i="35"/>
  <c r="FR11" i="35"/>
  <c r="FO11" i="35"/>
  <c r="FQ11" i="35"/>
  <c r="FC34" i="35"/>
  <c r="FB34" i="35"/>
  <c r="EZ34" i="35"/>
  <c r="FD34" i="35"/>
  <c r="FA34" i="35"/>
  <c r="EV34" i="35"/>
  <c r="FB15" i="35"/>
  <c r="FD15" i="35"/>
  <c r="FC15" i="35"/>
  <c r="FA15" i="35"/>
  <c r="EZ15" i="35"/>
  <c r="EV15" i="35"/>
  <c r="FK23" i="35"/>
  <c r="FP23" i="35"/>
  <c r="FS23" i="35"/>
  <c r="FR23" i="35"/>
  <c r="FQ23" i="35"/>
  <c r="FO23" i="35"/>
  <c r="FM23" i="35"/>
  <c r="FA38" i="35"/>
  <c r="FD38" i="35"/>
  <c r="FB38" i="35"/>
  <c r="EZ38" i="35"/>
  <c r="FC38" i="35"/>
  <c r="EX38" i="35"/>
  <c r="EY38" i="35"/>
  <c r="EY20" i="35"/>
  <c r="FD20" i="35"/>
  <c r="EZ20" i="35"/>
  <c r="FA20" i="35"/>
  <c r="FB20" i="35"/>
  <c r="FC20" i="35"/>
  <c r="FZ20" i="35" s="1"/>
  <c r="EX20" i="35"/>
  <c r="EX25" i="35"/>
  <c r="FC25" i="35"/>
  <c r="EZ25" i="35"/>
  <c r="FD25" i="35"/>
  <c r="FB25" i="35"/>
  <c r="FA25" i="35"/>
  <c r="EW25" i="35"/>
  <c r="FK39" i="35"/>
  <c r="FP39" i="35"/>
  <c r="FR39" i="35"/>
  <c r="FQ39" i="35"/>
  <c r="FO39" i="35"/>
  <c r="FS39" i="35"/>
  <c r="FN39" i="35"/>
  <c r="FM39" i="35"/>
  <c r="EY32" i="35"/>
  <c r="FD32" i="35"/>
  <c r="EZ32" i="35"/>
  <c r="FC32" i="35"/>
  <c r="GA32" i="35" s="1"/>
  <c r="FA32" i="35"/>
  <c r="FB32" i="35"/>
  <c r="EV32" i="35"/>
  <c r="EX9" i="35"/>
  <c r="FC9" i="35"/>
  <c r="GA9" i="35" s="1"/>
  <c r="FD9" i="35"/>
  <c r="EZ9" i="35"/>
  <c r="FA9" i="35"/>
  <c r="FB9" i="35"/>
  <c r="EV9" i="35"/>
  <c r="EY16" i="35"/>
  <c r="FD16" i="35"/>
  <c r="EZ16" i="35"/>
  <c r="FB16" i="35"/>
  <c r="FC16" i="35"/>
  <c r="FA16" i="35"/>
  <c r="EV16" i="35"/>
  <c r="FP26" i="35"/>
  <c r="FS26" i="35"/>
  <c r="FQ26" i="35"/>
  <c r="FO26" i="35"/>
  <c r="FR26" i="35"/>
  <c r="FN26" i="35"/>
  <c r="FL26" i="35"/>
  <c r="FM26" i="35"/>
  <c r="FK27" i="35"/>
  <c r="FP27" i="35"/>
  <c r="FO27" i="35"/>
  <c r="FR27" i="35"/>
  <c r="FQ27" i="35"/>
  <c r="FS27" i="35"/>
  <c r="FM27" i="35"/>
  <c r="FN27" i="35"/>
  <c r="FL27" i="35"/>
  <c r="FK35" i="35"/>
  <c r="FP35" i="35"/>
  <c r="FR35" i="35"/>
  <c r="FO35" i="35"/>
  <c r="FQ35" i="35"/>
  <c r="FS35" i="35"/>
  <c r="FM35" i="35"/>
  <c r="FN35" i="35"/>
  <c r="FL37" i="35"/>
  <c r="EW12" i="35"/>
  <c r="FM33" i="35"/>
  <c r="FM13" i="35"/>
  <c r="EW37" i="35"/>
  <c r="FK42" i="35"/>
  <c r="FK20" i="35"/>
  <c r="EY14" i="35"/>
  <c r="FK30" i="35"/>
  <c r="FM11" i="35"/>
  <c r="FL11" i="35"/>
  <c r="EX12" i="35"/>
  <c r="FK37" i="35"/>
  <c r="FG11" i="35"/>
  <c r="FI11" i="35" s="1"/>
  <c r="FL31" i="35"/>
  <c r="FN13" i="35"/>
  <c r="EW40" i="35"/>
  <c r="EV24" i="35"/>
  <c r="FM34" i="35"/>
  <c r="FM9" i="35"/>
  <c r="EW23" i="35"/>
  <c r="FL13" i="35"/>
  <c r="FK41" i="35"/>
  <c r="EY22" i="35"/>
  <c r="EX15" i="35"/>
  <c r="FL12" i="35"/>
  <c r="EY23" i="35"/>
  <c r="EW42" i="35"/>
  <c r="EV40" i="35"/>
  <c r="FM16" i="35"/>
  <c r="EV19" i="35"/>
  <c r="EV31" i="35"/>
  <c r="FB8" i="35"/>
  <c r="FC8" i="35"/>
  <c r="FD8" i="35"/>
  <c r="FK8" i="35"/>
  <c r="FR8" i="35"/>
  <c r="FS8" i="35"/>
  <c r="DQ14" i="35"/>
  <c r="Z11" i="5" s="1"/>
  <c r="Y11" i="5"/>
  <c r="DQ27" i="35"/>
  <c r="Z24" i="5" s="1"/>
  <c r="Y24" i="5"/>
  <c r="DQ18" i="35"/>
  <c r="Z15" i="5" s="1"/>
  <c r="Y15" i="5"/>
  <c r="DQ9" i="35"/>
  <c r="Z6" i="5" s="1"/>
  <c r="Y6" i="5"/>
  <c r="DQ12" i="35"/>
  <c r="Z9" i="5" s="1"/>
  <c r="Y9" i="5"/>
  <c r="DQ22" i="35"/>
  <c r="Z19" i="5" s="1"/>
  <c r="Y19" i="5"/>
  <c r="DQ41" i="35"/>
  <c r="Z38" i="5" s="1"/>
  <c r="Y38" i="5"/>
  <c r="DQ42" i="35"/>
  <c r="Z39" i="5" s="1"/>
  <c r="Y39" i="5"/>
  <c r="DQ10" i="35"/>
  <c r="Z7" i="5" s="1"/>
  <c r="Y7" i="5"/>
  <c r="DQ31" i="35"/>
  <c r="Z28" i="5" s="1"/>
  <c r="Y28" i="5"/>
  <c r="DQ21" i="35"/>
  <c r="Z18" i="5" s="1"/>
  <c r="Y18" i="5"/>
  <c r="DQ35" i="35"/>
  <c r="Z32" i="5" s="1"/>
  <c r="Y32" i="5"/>
  <c r="DQ26" i="35"/>
  <c r="Z23" i="5" s="1"/>
  <c r="Y23" i="5"/>
  <c r="DQ34" i="35"/>
  <c r="Z31" i="5" s="1"/>
  <c r="Y31" i="5"/>
  <c r="DQ33" i="35"/>
  <c r="Z30" i="5" s="1"/>
  <c r="Y30" i="5"/>
  <c r="DQ19" i="35"/>
  <c r="Z16" i="5" s="1"/>
  <c r="Y16" i="5"/>
  <c r="DQ38" i="35"/>
  <c r="Z35" i="5" s="1"/>
  <c r="Y35" i="5"/>
  <c r="DQ28" i="35"/>
  <c r="Z25" i="5" s="1"/>
  <c r="Y25" i="5"/>
  <c r="DQ15" i="35"/>
  <c r="Z12" i="5" s="1"/>
  <c r="Y12" i="5"/>
  <c r="DQ25" i="35"/>
  <c r="Z22" i="5" s="1"/>
  <c r="Y22" i="5"/>
  <c r="DQ17" i="35"/>
  <c r="Z14" i="5" s="1"/>
  <c r="Y14" i="5"/>
  <c r="DQ32" i="35"/>
  <c r="Z29" i="5" s="1"/>
  <c r="Y29" i="5"/>
  <c r="DQ16" i="35"/>
  <c r="Z13" i="5" s="1"/>
  <c r="Y13" i="5"/>
  <c r="DQ37" i="35"/>
  <c r="Z34" i="5" s="1"/>
  <c r="Y34" i="5"/>
  <c r="DQ23" i="35"/>
  <c r="Z20" i="5" s="1"/>
  <c r="Y20" i="5"/>
  <c r="DQ30" i="35"/>
  <c r="Z27" i="5" s="1"/>
  <c r="Y27" i="5"/>
  <c r="DQ24" i="35"/>
  <c r="Z21" i="5" s="1"/>
  <c r="Y21" i="5"/>
  <c r="DQ20" i="35"/>
  <c r="Z17" i="5" s="1"/>
  <c r="Y17" i="5"/>
  <c r="DQ36" i="35"/>
  <c r="Z33" i="5" s="1"/>
  <c r="Y33" i="5"/>
  <c r="DQ13" i="35"/>
  <c r="Z10" i="5" s="1"/>
  <c r="Y10" i="5"/>
  <c r="DQ40" i="35"/>
  <c r="Z37" i="5" s="1"/>
  <c r="Y37" i="5"/>
  <c r="DQ11" i="35"/>
  <c r="Z8" i="5" s="1"/>
  <c r="Y8" i="5"/>
  <c r="DQ29" i="35"/>
  <c r="Z26" i="5" s="1"/>
  <c r="Y26" i="5"/>
  <c r="DQ39" i="35"/>
  <c r="Z36" i="5" s="1"/>
  <c r="Y36" i="5"/>
  <c r="FM9" i="33"/>
  <c r="FO9" i="33"/>
  <c r="FS9" i="33"/>
  <c r="FK9" i="33"/>
  <c r="FP9" i="33"/>
  <c r="FQ9" i="33"/>
  <c r="FL9" i="33"/>
  <c r="FN9" i="33"/>
  <c r="EX9" i="33"/>
  <c r="EZ9" i="33"/>
  <c r="FD9" i="33"/>
  <c r="EY9" i="33"/>
  <c r="EV9" i="33"/>
  <c r="FB9" i="33"/>
  <c r="EW9" i="33"/>
  <c r="GA9" i="33" s="1"/>
  <c r="FA9" i="33"/>
  <c r="FR9" i="33"/>
  <c r="FO8" i="33"/>
  <c r="FR8" i="33"/>
  <c r="FS8" i="33"/>
  <c r="EZ8" i="33"/>
  <c r="FC8" i="33"/>
  <c r="FD8" i="33"/>
  <c r="DQ21" i="33"/>
  <c r="X18" i="5" s="1"/>
  <c r="W18" i="5"/>
  <c r="DQ30" i="33"/>
  <c r="X27" i="5" s="1"/>
  <c r="W27" i="5"/>
  <c r="DQ32" i="33"/>
  <c r="X29" i="5" s="1"/>
  <c r="W29" i="5"/>
  <c r="DQ42" i="33"/>
  <c r="X39" i="5" s="1"/>
  <c r="W39" i="5"/>
  <c r="DQ37" i="33"/>
  <c r="X34" i="5" s="1"/>
  <c r="W34" i="5"/>
  <c r="DQ17" i="33"/>
  <c r="X14" i="5" s="1"/>
  <c r="W14" i="5"/>
  <c r="DQ22" i="33"/>
  <c r="X19" i="5" s="1"/>
  <c r="W19" i="5"/>
  <c r="DQ28" i="33"/>
  <c r="X25" i="5" s="1"/>
  <c r="W25" i="5"/>
  <c r="DQ31" i="33"/>
  <c r="X28" i="5" s="1"/>
  <c r="W28" i="5"/>
  <c r="DQ25" i="33"/>
  <c r="X22" i="5" s="1"/>
  <c r="W22" i="5"/>
  <c r="DQ40" i="33"/>
  <c r="X37" i="5" s="1"/>
  <c r="W37" i="5"/>
  <c r="DQ35" i="33"/>
  <c r="X32" i="5" s="1"/>
  <c r="W32" i="5"/>
  <c r="DQ10" i="33"/>
  <c r="X7" i="5" s="1"/>
  <c r="W7" i="5"/>
  <c r="DQ23" i="33"/>
  <c r="X20" i="5" s="1"/>
  <c r="W20" i="5"/>
  <c r="DQ38" i="33"/>
  <c r="X35" i="5" s="1"/>
  <c r="W35" i="5"/>
  <c r="DQ24" i="33"/>
  <c r="X21" i="5" s="1"/>
  <c r="W21" i="5"/>
  <c r="DQ33" i="33"/>
  <c r="X30" i="5" s="1"/>
  <c r="W30" i="5"/>
  <c r="DQ36" i="33"/>
  <c r="X33" i="5" s="1"/>
  <c r="W33" i="5"/>
  <c r="DQ27" i="33"/>
  <c r="X24" i="5" s="1"/>
  <c r="W24" i="5"/>
  <c r="DQ14" i="33"/>
  <c r="X11" i="5" s="1"/>
  <c r="W11" i="5"/>
  <c r="DQ41" i="33"/>
  <c r="X38" i="5" s="1"/>
  <c r="W38" i="5"/>
  <c r="DQ9" i="33"/>
  <c r="X6" i="5" s="1"/>
  <c r="W6" i="5"/>
  <c r="DQ16" i="33"/>
  <c r="X13" i="5" s="1"/>
  <c r="W13" i="5"/>
  <c r="DQ12" i="33"/>
  <c r="X9" i="5" s="1"/>
  <c r="W9" i="5"/>
  <c r="DQ20" i="33"/>
  <c r="X17" i="5" s="1"/>
  <c r="W17" i="5"/>
  <c r="DQ19" i="33"/>
  <c r="X16" i="5" s="1"/>
  <c r="W16" i="5"/>
  <c r="DQ34" i="33"/>
  <c r="X31" i="5" s="1"/>
  <c r="W31" i="5"/>
  <c r="DQ26" i="33"/>
  <c r="X23" i="5" s="1"/>
  <c r="W23" i="5"/>
  <c r="DQ11" i="33"/>
  <c r="X8" i="5" s="1"/>
  <c r="W8" i="5"/>
  <c r="DQ13" i="33"/>
  <c r="X10" i="5" s="1"/>
  <c r="W10" i="5"/>
  <c r="DQ15" i="33"/>
  <c r="X12" i="5" s="1"/>
  <c r="W12" i="5"/>
  <c r="DQ39" i="33"/>
  <c r="X36" i="5" s="1"/>
  <c r="W36" i="5"/>
  <c r="DQ18" i="33"/>
  <c r="X15" i="5" s="1"/>
  <c r="W15" i="5"/>
  <c r="DQ29" i="33"/>
  <c r="X26" i="5" s="1"/>
  <c r="W26" i="5"/>
  <c r="HZ8" i="20"/>
  <c r="FQ23" i="20"/>
  <c r="V20" i="5" s="1"/>
  <c r="U20" i="5"/>
  <c r="FQ9" i="20"/>
  <c r="V6" i="5" s="1"/>
  <c r="U6" i="5"/>
  <c r="FQ14" i="20"/>
  <c r="V11" i="5" s="1"/>
  <c r="U11" i="5"/>
  <c r="FQ10" i="20"/>
  <c r="V7" i="5" s="1"/>
  <c r="U7" i="5"/>
  <c r="FQ29" i="20"/>
  <c r="V26" i="5" s="1"/>
  <c r="U26" i="5"/>
  <c r="FQ21" i="20"/>
  <c r="V18" i="5" s="1"/>
  <c r="U18" i="5"/>
  <c r="FQ38" i="20"/>
  <c r="V35" i="5" s="1"/>
  <c r="U35" i="5"/>
  <c r="FQ39" i="20"/>
  <c r="V36" i="5" s="1"/>
  <c r="U36" i="5"/>
  <c r="FQ32" i="20"/>
  <c r="V29" i="5" s="1"/>
  <c r="U29" i="5"/>
  <c r="FQ34" i="20"/>
  <c r="V31" i="5" s="1"/>
  <c r="U31" i="5"/>
  <c r="FQ22" i="20"/>
  <c r="V19" i="5" s="1"/>
  <c r="U19" i="5"/>
  <c r="FQ25" i="20"/>
  <c r="V22" i="5" s="1"/>
  <c r="U22" i="5"/>
  <c r="FQ24" i="20"/>
  <c r="V21" i="5" s="1"/>
  <c r="U21" i="5"/>
  <c r="FQ42" i="20"/>
  <c r="V39" i="5" s="1"/>
  <c r="U39" i="5"/>
  <c r="FQ41" i="20"/>
  <c r="V38" i="5" s="1"/>
  <c r="U38" i="5"/>
  <c r="FQ27" i="20"/>
  <c r="V24" i="5" s="1"/>
  <c r="U24" i="5"/>
  <c r="FQ40" i="20"/>
  <c r="V37" i="5" s="1"/>
  <c r="U37" i="5"/>
  <c r="FQ28" i="20"/>
  <c r="V25" i="5" s="1"/>
  <c r="U25" i="5"/>
  <c r="FQ30" i="20"/>
  <c r="V27" i="5" s="1"/>
  <c r="U27" i="5"/>
  <c r="FQ11" i="20"/>
  <c r="V8" i="5" s="1"/>
  <c r="U8" i="5"/>
  <c r="FQ19" i="20"/>
  <c r="V16" i="5" s="1"/>
  <c r="U16" i="5"/>
  <c r="FQ31" i="20"/>
  <c r="V28" i="5" s="1"/>
  <c r="U28" i="5"/>
  <c r="FQ33" i="20"/>
  <c r="V30" i="5" s="1"/>
  <c r="U30" i="5"/>
  <c r="FQ18" i="20"/>
  <c r="V15" i="5" s="1"/>
  <c r="U15" i="5"/>
  <c r="FQ20" i="20"/>
  <c r="V17" i="5" s="1"/>
  <c r="U17" i="5"/>
  <c r="FQ26" i="20"/>
  <c r="V23" i="5" s="1"/>
  <c r="U23" i="5"/>
  <c r="FQ13" i="20"/>
  <c r="V10" i="5" s="1"/>
  <c r="U10" i="5"/>
  <c r="FQ37" i="20"/>
  <c r="V34" i="5" s="1"/>
  <c r="U34" i="5"/>
  <c r="FQ36" i="20"/>
  <c r="V33" i="5" s="1"/>
  <c r="U33" i="5"/>
  <c r="FQ17" i="20"/>
  <c r="V14" i="5" s="1"/>
  <c r="U14" i="5"/>
  <c r="FQ15" i="20"/>
  <c r="V12" i="5" s="1"/>
  <c r="U12" i="5"/>
  <c r="FQ12" i="20"/>
  <c r="V9" i="5" s="1"/>
  <c r="U9" i="5"/>
  <c r="FQ35" i="20"/>
  <c r="V32" i="5" s="1"/>
  <c r="U32" i="5"/>
  <c r="FQ16" i="20"/>
  <c r="V13" i="5" s="1"/>
  <c r="U13" i="5"/>
  <c r="FO8" i="19"/>
  <c r="EV8" i="19"/>
  <c r="FC8" i="19"/>
  <c r="FD8" i="19"/>
  <c r="FK8" i="19"/>
  <c r="FS8" i="19"/>
  <c r="FR8" i="19"/>
  <c r="FK42" i="19"/>
  <c r="FO42" i="19"/>
  <c r="FS42" i="19"/>
  <c r="FL42" i="19"/>
  <c r="FN42" i="19"/>
  <c r="FR42" i="19"/>
  <c r="FM42" i="19"/>
  <c r="FP42" i="19"/>
  <c r="EZ37" i="19"/>
  <c r="EX37" i="19"/>
  <c r="FC37" i="19"/>
  <c r="EV37" i="19"/>
  <c r="EW42" i="19"/>
  <c r="EY42" i="19"/>
  <c r="EX42" i="19"/>
  <c r="EV42" i="19"/>
  <c r="EZ42" i="19"/>
  <c r="FD42" i="19"/>
  <c r="FC42" i="19"/>
  <c r="FA42" i="19"/>
  <c r="FA37" i="19"/>
  <c r="EY37" i="19"/>
  <c r="FK31" i="19"/>
  <c r="FO31" i="19"/>
  <c r="FS31" i="19"/>
  <c r="FN31" i="19"/>
  <c r="FR31" i="19"/>
  <c r="FM31" i="19"/>
  <c r="FL31" i="19"/>
  <c r="FQ31" i="19"/>
  <c r="FL38" i="19"/>
  <c r="FN38" i="19"/>
  <c r="FK38" i="19"/>
  <c r="FO38" i="19"/>
  <c r="FS38" i="19"/>
  <c r="FR38" i="19"/>
  <c r="FM38" i="19"/>
  <c r="FP38" i="19"/>
  <c r="EW30" i="19"/>
  <c r="FC30" i="19"/>
  <c r="EV30" i="19"/>
  <c r="EZ30" i="19"/>
  <c r="FD30" i="19"/>
  <c r="EY30" i="19"/>
  <c r="EX30" i="19"/>
  <c r="FB30" i="19"/>
  <c r="FN23" i="19"/>
  <c r="FR23" i="19"/>
  <c r="FL23" i="19"/>
  <c r="FO23" i="19"/>
  <c r="FM23" i="19"/>
  <c r="FK23" i="19"/>
  <c r="FS23" i="19"/>
  <c r="FP23" i="19"/>
  <c r="FM14" i="19"/>
  <c r="FO14" i="19"/>
  <c r="FR14" i="19"/>
  <c r="FL14" i="19"/>
  <c r="FK14" i="19"/>
  <c r="FS14" i="19"/>
  <c r="FN14" i="19"/>
  <c r="FP14" i="19"/>
  <c r="EX12" i="19"/>
  <c r="EZ12" i="19"/>
  <c r="FC12" i="19"/>
  <c r="EW12" i="19"/>
  <c r="EV12" i="19"/>
  <c r="FD12" i="19"/>
  <c r="EY12" i="19"/>
  <c r="FA12" i="19"/>
  <c r="FL18" i="19"/>
  <c r="FN18" i="19"/>
  <c r="FK18" i="19"/>
  <c r="FO18" i="19"/>
  <c r="FS18" i="19"/>
  <c r="FR18" i="19"/>
  <c r="FM18" i="19"/>
  <c r="FP18" i="19"/>
  <c r="FN22" i="19"/>
  <c r="FR22" i="19"/>
  <c r="FK22" i="19"/>
  <c r="FS22" i="19"/>
  <c r="FM22" i="19"/>
  <c r="FL22" i="19"/>
  <c r="FO22" i="19"/>
  <c r="FP22" i="19"/>
  <c r="EV21" i="19"/>
  <c r="EZ21" i="19"/>
  <c r="FD21" i="19"/>
  <c r="EX21" i="19"/>
  <c r="EY21" i="19"/>
  <c r="FC21" i="19"/>
  <c r="EW21" i="19"/>
  <c r="FA21" i="19"/>
  <c r="FM27" i="19"/>
  <c r="FK27" i="19"/>
  <c r="FS27" i="19"/>
  <c r="FL27" i="19"/>
  <c r="FO27" i="19"/>
  <c r="FN27" i="19"/>
  <c r="FR27" i="19"/>
  <c r="FQ27" i="19"/>
  <c r="FN28" i="19"/>
  <c r="FR28" i="19"/>
  <c r="FL28" i="19"/>
  <c r="FM28" i="19"/>
  <c r="FO28" i="19"/>
  <c r="FS28" i="19"/>
  <c r="FK28" i="19"/>
  <c r="FQ28" i="19"/>
  <c r="FM39" i="19"/>
  <c r="FK39" i="19"/>
  <c r="FS39" i="19"/>
  <c r="FL39" i="19"/>
  <c r="FO39" i="19"/>
  <c r="FN39" i="19"/>
  <c r="FR39" i="19"/>
  <c r="FP39" i="19"/>
  <c r="EW24" i="19"/>
  <c r="EY24" i="19"/>
  <c r="EX24" i="19"/>
  <c r="EV24" i="19"/>
  <c r="EZ24" i="19"/>
  <c r="FD24" i="19"/>
  <c r="FC24" i="19"/>
  <c r="FB24" i="19"/>
  <c r="EV16" i="19"/>
  <c r="EZ16" i="19"/>
  <c r="FD16" i="19"/>
  <c r="EW16" i="19"/>
  <c r="EY16" i="19"/>
  <c r="FC16" i="19"/>
  <c r="EX16" i="19"/>
  <c r="FA16" i="19"/>
  <c r="EY19" i="19"/>
  <c r="FC19" i="19"/>
  <c r="EW19" i="19"/>
  <c r="EZ19" i="19"/>
  <c r="EX19" i="19"/>
  <c r="EV19" i="19"/>
  <c r="FD19" i="19"/>
  <c r="FA19" i="19"/>
  <c r="FM15" i="19"/>
  <c r="FK15" i="19"/>
  <c r="FS15" i="19"/>
  <c r="FN15" i="19"/>
  <c r="FL15" i="19"/>
  <c r="FO15" i="19"/>
  <c r="FR15" i="19"/>
  <c r="FP15" i="19"/>
  <c r="FK25" i="19"/>
  <c r="FO25" i="19"/>
  <c r="FS25" i="19"/>
  <c r="FN25" i="19"/>
  <c r="FR25" i="19"/>
  <c r="FM25" i="19"/>
  <c r="FL25" i="19"/>
  <c r="FQ25" i="19"/>
  <c r="FK17" i="19"/>
  <c r="FO17" i="19"/>
  <c r="FS17" i="19"/>
  <c r="FM17" i="19"/>
  <c r="FN17" i="19"/>
  <c r="FR17" i="19"/>
  <c r="FL17" i="19"/>
  <c r="FP17" i="19"/>
  <c r="EX32" i="19"/>
  <c r="EZ32" i="19"/>
  <c r="EW32" i="19"/>
  <c r="EV32" i="19"/>
  <c r="FD32" i="19"/>
  <c r="FC32" i="19"/>
  <c r="EY32" i="19"/>
  <c r="FB32" i="19"/>
  <c r="EX38" i="19"/>
  <c r="EZ38" i="19"/>
  <c r="EW38" i="19"/>
  <c r="EV38" i="19"/>
  <c r="FD38" i="19"/>
  <c r="EY38" i="19"/>
  <c r="FC38" i="19"/>
  <c r="FA38" i="19"/>
  <c r="FK36" i="19"/>
  <c r="FO36" i="19"/>
  <c r="FS36" i="19"/>
  <c r="FN36" i="19"/>
  <c r="FR36" i="19"/>
  <c r="FM36" i="19"/>
  <c r="FL36" i="19"/>
  <c r="FP36" i="19"/>
  <c r="EW29" i="19"/>
  <c r="EY29" i="19"/>
  <c r="EV29" i="19"/>
  <c r="EZ29" i="19"/>
  <c r="FD29" i="19"/>
  <c r="FC29" i="19"/>
  <c r="EX29" i="19"/>
  <c r="FB29" i="19"/>
  <c r="EW23" i="19"/>
  <c r="EY23" i="19"/>
  <c r="EV23" i="19"/>
  <c r="EZ23" i="19"/>
  <c r="FD23" i="19"/>
  <c r="FC23" i="19"/>
  <c r="EX23" i="19"/>
  <c r="FA23" i="19"/>
  <c r="FK24" i="19"/>
  <c r="FO24" i="19"/>
  <c r="FS24" i="19"/>
  <c r="FM24" i="19"/>
  <c r="FL24" i="19"/>
  <c r="FN24" i="19"/>
  <c r="FR24" i="19"/>
  <c r="FQ24" i="19"/>
  <c r="EV40" i="19"/>
  <c r="EZ40" i="19"/>
  <c r="FD40" i="19"/>
  <c r="EY40" i="19"/>
  <c r="FC40" i="19"/>
  <c r="EX40" i="19"/>
  <c r="EW40" i="19"/>
  <c r="FA40" i="19"/>
  <c r="EX18" i="19"/>
  <c r="EZ18" i="19"/>
  <c r="FC18" i="19"/>
  <c r="EW18" i="19"/>
  <c r="EV18" i="19"/>
  <c r="FD18" i="19"/>
  <c r="EY18" i="19"/>
  <c r="FA18" i="19"/>
  <c r="FN35" i="19"/>
  <c r="FR35" i="19"/>
  <c r="FL35" i="19"/>
  <c r="FM35" i="19"/>
  <c r="FS35" i="19"/>
  <c r="FO35" i="19"/>
  <c r="FK35" i="19"/>
  <c r="FP35" i="19"/>
  <c r="FL19" i="19"/>
  <c r="FR19" i="19"/>
  <c r="FM19" i="19"/>
  <c r="FK19" i="19"/>
  <c r="FO19" i="19"/>
  <c r="FS19" i="19"/>
  <c r="FN19" i="19"/>
  <c r="FP19" i="19"/>
  <c r="FL26" i="19"/>
  <c r="FN26" i="19"/>
  <c r="FK26" i="19"/>
  <c r="FO26" i="19"/>
  <c r="FS26" i="19"/>
  <c r="FR26" i="19"/>
  <c r="FM26" i="19"/>
  <c r="FQ26" i="19"/>
  <c r="EW10" i="19"/>
  <c r="EY10" i="19"/>
  <c r="EV10" i="19"/>
  <c r="EZ10" i="19"/>
  <c r="FD10" i="19"/>
  <c r="FC10" i="19"/>
  <c r="EX10" i="19"/>
  <c r="EX25" i="19"/>
  <c r="EV25" i="19"/>
  <c r="FD25" i="19"/>
  <c r="EY25" i="19"/>
  <c r="EW25" i="19"/>
  <c r="EZ25" i="19"/>
  <c r="FC25" i="19"/>
  <c r="FB25" i="19"/>
  <c r="EY13" i="19"/>
  <c r="FC13" i="19"/>
  <c r="EW13" i="19"/>
  <c r="EZ13" i="19"/>
  <c r="EX13" i="19"/>
  <c r="EV13" i="19"/>
  <c r="FD13" i="19"/>
  <c r="FA13" i="19"/>
  <c r="FK37" i="19"/>
  <c r="FO37" i="19"/>
  <c r="FS37" i="19"/>
  <c r="FN37" i="19"/>
  <c r="FR37" i="19"/>
  <c r="FM37" i="19"/>
  <c r="FL37" i="19"/>
  <c r="FP37" i="19"/>
  <c r="FA30" i="19"/>
  <c r="FP25" i="19"/>
  <c r="FQ22" i="19"/>
  <c r="FP31" i="19"/>
  <c r="FQ37" i="19"/>
  <c r="FP26" i="19"/>
  <c r="FB23" i="19"/>
  <c r="FA24" i="19"/>
  <c r="FQ39" i="19"/>
  <c r="FQ38" i="19"/>
  <c r="FB10" i="19"/>
  <c r="FA10" i="19"/>
  <c r="FB16" i="19"/>
  <c r="FQ35" i="19"/>
  <c r="FQ14" i="19"/>
  <c r="FB13" i="19"/>
  <c r="FB40" i="19"/>
  <c r="EY27" i="19"/>
  <c r="FC27" i="19"/>
  <c r="EW27" i="19"/>
  <c r="EX27" i="19"/>
  <c r="EZ27" i="19"/>
  <c r="FD27" i="19"/>
  <c r="EV27" i="19"/>
  <c r="FB27" i="19"/>
  <c r="EY39" i="19"/>
  <c r="FC39" i="19"/>
  <c r="EW39" i="19"/>
  <c r="EX39" i="19"/>
  <c r="FD39" i="19"/>
  <c r="EZ39" i="19"/>
  <c r="EV39" i="19"/>
  <c r="FA39" i="19"/>
  <c r="EX11" i="19"/>
  <c r="EZ11" i="19"/>
  <c r="FD11" i="19"/>
  <c r="FC11" i="19"/>
  <c r="EW11" i="19"/>
  <c r="EV11" i="19"/>
  <c r="EY11" i="19"/>
  <c r="FA11" i="19"/>
  <c r="FN16" i="19"/>
  <c r="FR16" i="19"/>
  <c r="FK16" i="19"/>
  <c r="FS16" i="19"/>
  <c r="FM16" i="19"/>
  <c r="FL16" i="19"/>
  <c r="FO16" i="19"/>
  <c r="FP16" i="19"/>
  <c r="EY20" i="19"/>
  <c r="FC20" i="19"/>
  <c r="EV20" i="19"/>
  <c r="FD20" i="19"/>
  <c r="EX20" i="19"/>
  <c r="EW20" i="19"/>
  <c r="EZ20" i="19"/>
  <c r="FA20" i="19"/>
  <c r="EW41" i="19"/>
  <c r="FC41" i="19"/>
  <c r="EV41" i="19"/>
  <c r="EZ41" i="19"/>
  <c r="FD41" i="19"/>
  <c r="EY41" i="19"/>
  <c r="EX41" i="19"/>
  <c r="FA41" i="19"/>
  <c r="FL32" i="19"/>
  <c r="FN32" i="19"/>
  <c r="FK32" i="19"/>
  <c r="FO32" i="19"/>
  <c r="FS32" i="19"/>
  <c r="FR32" i="19"/>
  <c r="FM32" i="19"/>
  <c r="FQ32" i="19"/>
  <c r="EY34" i="19"/>
  <c r="FC34" i="19"/>
  <c r="EX34" i="19"/>
  <c r="EW34" i="19"/>
  <c r="FD34" i="19"/>
  <c r="EV34" i="19"/>
  <c r="EZ34" i="19"/>
  <c r="FA34" i="19"/>
  <c r="EV35" i="19"/>
  <c r="EZ35" i="19"/>
  <c r="FD35" i="19"/>
  <c r="EX35" i="19"/>
  <c r="EY35" i="19"/>
  <c r="FC35" i="19"/>
  <c r="EW35" i="19"/>
  <c r="FA35" i="19"/>
  <c r="EX26" i="19"/>
  <c r="EZ26" i="19"/>
  <c r="EW26" i="19"/>
  <c r="EV26" i="19"/>
  <c r="FD26" i="19"/>
  <c r="FC26" i="19"/>
  <c r="EY26" i="19"/>
  <c r="FB26" i="19"/>
  <c r="FM20" i="19"/>
  <c r="FO20" i="19"/>
  <c r="FR20" i="19"/>
  <c r="FL20" i="19"/>
  <c r="FK20" i="19"/>
  <c r="FS20" i="19"/>
  <c r="FN20" i="19"/>
  <c r="FP20" i="19"/>
  <c r="FL33" i="19"/>
  <c r="FR33" i="19"/>
  <c r="FK33" i="19"/>
  <c r="FO33" i="19"/>
  <c r="FS33" i="19"/>
  <c r="FN33" i="19"/>
  <c r="FM33" i="19"/>
  <c r="FQ33" i="19"/>
  <c r="FM21" i="19"/>
  <c r="FK21" i="19"/>
  <c r="FS21" i="19"/>
  <c r="FN21" i="19"/>
  <c r="FL21" i="19"/>
  <c r="FO21" i="19"/>
  <c r="FR21" i="19"/>
  <c r="FP21" i="19"/>
  <c r="EX31" i="19"/>
  <c r="EV31" i="19"/>
  <c r="FD31" i="19"/>
  <c r="EW31" i="19"/>
  <c r="EZ31" i="19"/>
  <c r="FC31" i="19"/>
  <c r="EY31" i="19"/>
  <c r="FB31" i="19"/>
  <c r="EV28" i="19"/>
  <c r="EZ28" i="19"/>
  <c r="FD28" i="19"/>
  <c r="EY28" i="19"/>
  <c r="FC28" i="19"/>
  <c r="EX28" i="19"/>
  <c r="EW28" i="19"/>
  <c r="FB28" i="19"/>
  <c r="EW36" i="19"/>
  <c r="FC36" i="19"/>
  <c r="EV36" i="19"/>
  <c r="EZ36" i="19"/>
  <c r="FD36" i="19"/>
  <c r="EY36" i="19"/>
  <c r="EX36" i="19"/>
  <c r="FA36" i="19"/>
  <c r="FK30" i="19"/>
  <c r="FO30" i="19"/>
  <c r="FS30" i="19"/>
  <c r="FN30" i="19"/>
  <c r="FR30" i="19"/>
  <c r="FM30" i="19"/>
  <c r="FL30" i="19"/>
  <c r="FQ30" i="19"/>
  <c r="FN29" i="19"/>
  <c r="FR29" i="19"/>
  <c r="FL29" i="19"/>
  <c r="FM29" i="19"/>
  <c r="FS29" i="19"/>
  <c r="FO29" i="19"/>
  <c r="FK29" i="19"/>
  <c r="FQ29" i="19"/>
  <c r="FM34" i="19"/>
  <c r="FO34" i="19"/>
  <c r="FL34" i="19"/>
  <c r="FK34" i="19"/>
  <c r="FS34" i="19"/>
  <c r="FR34" i="19"/>
  <c r="FN34" i="19"/>
  <c r="FP34" i="19"/>
  <c r="EY14" i="19"/>
  <c r="FC14" i="19"/>
  <c r="EV14" i="19"/>
  <c r="FD14" i="19"/>
  <c r="EX14" i="19"/>
  <c r="EW14" i="19"/>
  <c r="EZ14" i="19"/>
  <c r="FA14" i="19"/>
  <c r="FL12" i="19"/>
  <c r="FN12" i="19"/>
  <c r="FK12" i="19"/>
  <c r="FO12" i="19"/>
  <c r="FS12" i="19"/>
  <c r="FR12" i="19"/>
  <c r="FM12" i="19"/>
  <c r="FP12" i="19"/>
  <c r="FN40" i="19"/>
  <c r="FR40" i="19"/>
  <c r="FM40" i="19"/>
  <c r="FL40" i="19"/>
  <c r="FO40" i="19"/>
  <c r="FS40" i="19"/>
  <c r="FK40" i="19"/>
  <c r="FP40" i="19"/>
  <c r="FK11" i="19"/>
  <c r="FO11" i="19"/>
  <c r="FS11" i="19"/>
  <c r="FN11" i="19"/>
  <c r="FR11" i="19"/>
  <c r="FM11" i="19"/>
  <c r="FL11" i="19"/>
  <c r="FP11" i="19"/>
  <c r="FN41" i="19"/>
  <c r="FR41" i="19"/>
  <c r="FM41" i="19"/>
  <c r="FL41" i="19"/>
  <c r="FO41" i="19"/>
  <c r="FK41" i="19"/>
  <c r="FS41" i="19"/>
  <c r="FP41" i="19"/>
  <c r="EV22" i="19"/>
  <c r="EZ22" i="19"/>
  <c r="FD22" i="19"/>
  <c r="EW22" i="19"/>
  <c r="EY22" i="19"/>
  <c r="FC22" i="19"/>
  <c r="EX22" i="19"/>
  <c r="FA22" i="19"/>
  <c r="EV15" i="19"/>
  <c r="EZ15" i="19"/>
  <c r="FD15" i="19"/>
  <c r="EX15" i="19"/>
  <c r="EY15" i="19"/>
  <c r="FC15" i="19"/>
  <c r="EW15" i="19"/>
  <c r="FA15" i="19"/>
  <c r="FK10" i="19"/>
  <c r="FO10" i="19"/>
  <c r="FS10" i="19"/>
  <c r="FL10" i="19"/>
  <c r="FN10" i="19"/>
  <c r="FR10" i="19"/>
  <c r="FM10" i="19"/>
  <c r="EY33" i="19"/>
  <c r="FC33" i="19"/>
  <c r="EW33" i="19"/>
  <c r="EX33" i="19"/>
  <c r="EV33" i="19"/>
  <c r="FD33" i="19"/>
  <c r="EZ33" i="19"/>
  <c r="FB33" i="19"/>
  <c r="EW17" i="19"/>
  <c r="EY17" i="19"/>
  <c r="EV17" i="19"/>
  <c r="EZ17" i="19"/>
  <c r="FD17" i="19"/>
  <c r="FC17" i="19"/>
  <c r="EX17" i="19"/>
  <c r="FA17" i="19"/>
  <c r="FL13" i="19"/>
  <c r="FR13" i="19"/>
  <c r="FM13" i="19"/>
  <c r="FK13" i="19"/>
  <c r="FO13" i="19"/>
  <c r="FS13" i="19"/>
  <c r="FN13" i="19"/>
  <c r="FP13" i="19"/>
  <c r="FB12" i="19"/>
  <c r="FQ18" i="19"/>
  <c r="FB21" i="19"/>
  <c r="FB20" i="19"/>
  <c r="FQ41" i="19"/>
  <c r="FA26" i="19"/>
  <c r="FP32" i="19"/>
  <c r="FQ23" i="19"/>
  <c r="FB17" i="19"/>
  <c r="FP24" i="19"/>
  <c r="FP27" i="19"/>
  <c r="FB39" i="19"/>
  <c r="FQ34" i="19"/>
  <c r="FP10" i="19"/>
  <c r="FP33" i="19"/>
  <c r="FQ16" i="19"/>
  <c r="FB35" i="19"/>
  <c r="FQ11" i="19"/>
  <c r="FB14" i="19"/>
  <c r="FQ13" i="19"/>
  <c r="FQ40" i="19"/>
  <c r="FB9" i="19"/>
  <c r="EW9" i="19"/>
  <c r="FA9" i="19"/>
  <c r="EV9" i="19"/>
  <c r="EZ9" i="19"/>
  <c r="FD9" i="19"/>
  <c r="EY9" i="19"/>
  <c r="FC9" i="19"/>
  <c r="EX9" i="19"/>
  <c r="FL9" i="19"/>
  <c r="FP9" i="19"/>
  <c r="FQ9" i="19"/>
  <c r="FK9" i="19"/>
  <c r="FO9" i="19"/>
  <c r="FS9" i="19"/>
  <c r="FN9" i="19"/>
  <c r="FR9" i="19"/>
  <c r="DQ31" i="19"/>
  <c r="T28" i="5" s="1"/>
  <c r="S28" i="5"/>
  <c r="DQ22" i="19"/>
  <c r="T19" i="5" s="1"/>
  <c r="S19" i="5"/>
  <c r="DQ24" i="19"/>
  <c r="T21" i="5" s="1"/>
  <c r="S21" i="5"/>
  <c r="DQ25" i="19"/>
  <c r="T22" i="5" s="1"/>
  <c r="S22" i="5"/>
  <c r="DQ29" i="19"/>
  <c r="T26" i="5" s="1"/>
  <c r="S26" i="5"/>
  <c r="DQ16" i="19"/>
  <c r="T13" i="5" s="1"/>
  <c r="S13" i="5"/>
  <c r="DQ19" i="19"/>
  <c r="T16" i="5" s="1"/>
  <c r="S16" i="5"/>
  <c r="DQ21" i="19"/>
  <c r="T18" i="5" s="1"/>
  <c r="S18" i="5"/>
  <c r="DQ38" i="19"/>
  <c r="T35" i="5" s="1"/>
  <c r="S35" i="5"/>
  <c r="DQ30" i="19"/>
  <c r="T27" i="5" s="1"/>
  <c r="S27" i="5"/>
  <c r="DQ23" i="19"/>
  <c r="T20" i="5" s="1"/>
  <c r="S20" i="5"/>
  <c r="DQ11" i="19"/>
  <c r="T8" i="5" s="1"/>
  <c r="S8" i="5"/>
  <c r="DQ26" i="19"/>
  <c r="T23" i="5" s="1"/>
  <c r="S23" i="5"/>
  <c r="DQ15" i="19"/>
  <c r="T12" i="5" s="1"/>
  <c r="S12" i="5"/>
  <c r="DQ9" i="19"/>
  <c r="T6" i="5" s="1"/>
  <c r="S6" i="5"/>
  <c r="DQ13" i="19"/>
  <c r="T10" i="5" s="1"/>
  <c r="S10" i="5"/>
  <c r="DQ17" i="19"/>
  <c r="T14" i="5" s="1"/>
  <c r="S14" i="5"/>
  <c r="DQ32" i="19"/>
  <c r="T29" i="5" s="1"/>
  <c r="S29" i="5"/>
  <c r="DQ14" i="19"/>
  <c r="T11" i="5" s="1"/>
  <c r="S11" i="5"/>
  <c r="DQ40" i="19"/>
  <c r="T37" i="5" s="1"/>
  <c r="S37" i="5"/>
  <c r="DQ41" i="19"/>
  <c r="T38" i="5" s="1"/>
  <c r="S38" i="5"/>
  <c r="DQ39" i="19"/>
  <c r="T36" i="5" s="1"/>
  <c r="S36" i="5"/>
  <c r="DQ18" i="19"/>
  <c r="T15" i="5" s="1"/>
  <c r="S15" i="5"/>
  <c r="DQ35" i="19"/>
  <c r="T32" i="5" s="1"/>
  <c r="S32" i="5"/>
  <c r="DQ27" i="19"/>
  <c r="T24" i="5" s="1"/>
  <c r="S24" i="5"/>
  <c r="DQ28" i="19"/>
  <c r="T25" i="5" s="1"/>
  <c r="S25" i="5"/>
  <c r="DQ36" i="19"/>
  <c r="T33" i="5" s="1"/>
  <c r="S33" i="5"/>
  <c r="DQ34" i="19"/>
  <c r="T31" i="5" s="1"/>
  <c r="S31" i="5"/>
  <c r="DQ12" i="19"/>
  <c r="T9" i="5" s="1"/>
  <c r="S9" i="5"/>
  <c r="DQ42" i="19"/>
  <c r="T39" i="5" s="1"/>
  <c r="S39" i="5"/>
  <c r="DQ20" i="19"/>
  <c r="T17" i="5" s="1"/>
  <c r="S17" i="5"/>
  <c r="DQ10" i="19"/>
  <c r="T7" i="5" s="1"/>
  <c r="S7" i="5"/>
  <c r="DQ33" i="19"/>
  <c r="T30" i="5" s="1"/>
  <c r="S30" i="5"/>
  <c r="DQ37" i="19"/>
  <c r="T34" i="5" s="1"/>
  <c r="S34" i="5"/>
  <c r="DJ10" i="8"/>
  <c r="DN10" i="8"/>
  <c r="DM10" i="8"/>
  <c r="DK10" i="8"/>
  <c r="DL10" i="8"/>
  <c r="DI10" i="8"/>
  <c r="DZ10" i="8"/>
  <c r="DY10" i="8"/>
  <c r="EC10" i="8"/>
  <c r="EB10" i="8"/>
  <c r="EA10" i="8"/>
  <c r="DX10" i="8"/>
  <c r="EA9" i="8"/>
  <c r="DZ9" i="8"/>
  <c r="EC9" i="8"/>
  <c r="EB9" i="8"/>
  <c r="DY9" i="8"/>
  <c r="DX9" i="8"/>
  <c r="DK9" i="8"/>
  <c r="DJ9" i="8"/>
  <c r="DL9" i="8"/>
  <c r="DN9" i="8"/>
  <c r="DM9" i="8"/>
  <c r="DI9" i="8"/>
  <c r="CD42" i="8"/>
  <c r="R39" i="5" s="1"/>
  <c r="Q39" i="5"/>
  <c r="CD17" i="8"/>
  <c r="R14" i="5" s="1"/>
  <c r="Q14" i="5"/>
  <c r="CD15" i="8"/>
  <c r="R12" i="5" s="1"/>
  <c r="Q12" i="5"/>
  <c r="CD24" i="8"/>
  <c r="R21" i="5" s="1"/>
  <c r="Q21" i="5"/>
  <c r="CD19" i="8"/>
  <c r="R16" i="5" s="1"/>
  <c r="Q16" i="5"/>
  <c r="CD36" i="8"/>
  <c r="R33" i="5" s="1"/>
  <c r="Q33" i="5"/>
  <c r="CD8" i="8"/>
  <c r="R5" i="5" s="1"/>
  <c r="Q5" i="5"/>
  <c r="CD39" i="8"/>
  <c r="R36" i="5" s="1"/>
  <c r="Q36" i="5"/>
  <c r="CD13" i="8"/>
  <c r="R10" i="5" s="1"/>
  <c r="Q10" i="5"/>
  <c r="CD22" i="8"/>
  <c r="R19" i="5" s="1"/>
  <c r="Q19" i="5"/>
  <c r="CD14" i="8"/>
  <c r="R11" i="5" s="1"/>
  <c r="Q11" i="5"/>
  <c r="CD38" i="8"/>
  <c r="R35" i="5" s="1"/>
  <c r="Q35" i="5"/>
  <c r="CD37" i="8"/>
  <c r="R34" i="5" s="1"/>
  <c r="Q34" i="5"/>
  <c r="CD9" i="8"/>
  <c r="R6" i="5" s="1"/>
  <c r="Q6" i="5"/>
  <c r="CD32" i="8"/>
  <c r="R29" i="5" s="1"/>
  <c r="Q29" i="5"/>
  <c r="CD35" i="8"/>
  <c r="R32" i="5" s="1"/>
  <c r="Q32" i="5"/>
  <c r="CD41" i="8"/>
  <c r="R38" i="5" s="1"/>
  <c r="Q38" i="5"/>
  <c r="CD21" i="8"/>
  <c r="R18" i="5" s="1"/>
  <c r="Q18" i="5"/>
  <c r="CD28" i="8"/>
  <c r="R25" i="5" s="1"/>
  <c r="Q25" i="5"/>
  <c r="CD23" i="8"/>
  <c r="R20" i="5" s="1"/>
  <c r="Q20" i="5"/>
  <c r="CD33" i="8"/>
  <c r="R30" i="5" s="1"/>
  <c r="Q30" i="5"/>
  <c r="CD10" i="8"/>
  <c r="R7" i="5" s="1"/>
  <c r="Q7" i="5"/>
  <c r="CD11" i="8"/>
  <c r="R8" i="5" s="1"/>
  <c r="Q8" i="5"/>
  <c r="CD31" i="8"/>
  <c r="R28" i="5" s="1"/>
  <c r="Q28" i="5"/>
  <c r="CD40" i="8"/>
  <c r="R37" i="5" s="1"/>
  <c r="Q37" i="5"/>
  <c r="CD27" i="8"/>
  <c r="R24" i="5" s="1"/>
  <c r="Q24" i="5"/>
  <c r="CD25" i="8"/>
  <c r="R22" i="5" s="1"/>
  <c r="Q22" i="5"/>
  <c r="CD20" i="8"/>
  <c r="R17" i="5" s="1"/>
  <c r="Q17" i="5"/>
  <c r="CD30" i="8"/>
  <c r="R27" i="5" s="1"/>
  <c r="Q27" i="5"/>
  <c r="CD29" i="8"/>
  <c r="R26" i="5" s="1"/>
  <c r="Q26" i="5"/>
  <c r="CD18" i="8"/>
  <c r="R15" i="5" s="1"/>
  <c r="Q15" i="5"/>
  <c r="CD26" i="8"/>
  <c r="R23" i="5" s="1"/>
  <c r="Q23" i="5"/>
  <c r="CD12" i="8"/>
  <c r="R9" i="5" s="1"/>
  <c r="Q9" i="5"/>
  <c r="CD34" i="8"/>
  <c r="R31" i="5" s="1"/>
  <c r="Q31" i="5"/>
  <c r="CD16" i="8"/>
  <c r="R13" i="5" s="1"/>
  <c r="Q13" i="5"/>
  <c r="EY8" i="19"/>
  <c r="FZ34" i="33"/>
  <c r="EY8" i="35"/>
  <c r="EW8" i="19"/>
  <c r="FL8" i="19"/>
  <c r="FM8" i="19"/>
  <c r="DL8" i="27"/>
  <c r="EZ8" i="19"/>
  <c r="FN8" i="19"/>
  <c r="EX8" i="19"/>
  <c r="EX8" i="33"/>
  <c r="EW8" i="33"/>
  <c r="FQ8" i="33"/>
  <c r="EY8" i="33"/>
  <c r="FP8" i="33"/>
  <c r="FA8" i="33"/>
  <c r="EV8" i="33"/>
  <c r="FB8" i="33"/>
  <c r="FQ8" i="35"/>
  <c r="FP8" i="35"/>
  <c r="FN8" i="35"/>
  <c r="FO8" i="35"/>
  <c r="FL8" i="33"/>
  <c r="FM8" i="33"/>
  <c r="FN8" i="33"/>
  <c r="FK8" i="33"/>
  <c r="Z11" i="6"/>
  <c r="BI15" i="38" s="1"/>
  <c r="Z35" i="6"/>
  <c r="BI39" i="38" s="1"/>
  <c r="EW8" i="35"/>
  <c r="EV8" i="35"/>
  <c r="EX8" i="35"/>
  <c r="FA8" i="35"/>
  <c r="EZ8" i="35"/>
  <c r="FZ35" i="35"/>
  <c r="CM7" i="35"/>
  <c r="DN7" i="35"/>
  <c r="CG7" i="35"/>
  <c r="DH7" i="35"/>
  <c r="CJ7" i="35"/>
  <c r="DK7" i="35"/>
  <c r="CN7" i="35"/>
  <c r="DO7" i="35"/>
  <c r="CI7" i="35"/>
  <c r="DJ7" i="35"/>
  <c r="CF7" i="35"/>
  <c r="DG7" i="35"/>
  <c r="CH7" i="35"/>
  <c r="DI7" i="35"/>
  <c r="FZ33" i="33"/>
  <c r="FZ30" i="33"/>
  <c r="FZ35" i="33"/>
  <c r="FZ29" i="33"/>
  <c r="GA31" i="33"/>
  <c r="GI23" i="33"/>
  <c r="FZ18" i="33"/>
  <c r="FZ24" i="33"/>
  <c r="FZ14" i="33"/>
  <c r="GA18" i="33"/>
  <c r="CL7" i="33"/>
  <c r="DM7" i="33"/>
  <c r="CM7" i="33"/>
  <c r="DN7" i="33"/>
  <c r="CN7" i="33"/>
  <c r="DO7" i="33"/>
  <c r="CG7" i="33"/>
  <c r="DH7" i="33"/>
  <c r="CI7" i="33"/>
  <c r="DJ7" i="33"/>
  <c r="CF7" i="33"/>
  <c r="DG7" i="33"/>
  <c r="CH7" i="33"/>
  <c r="DI7" i="33"/>
  <c r="CK7" i="33"/>
  <c r="DL7" i="33"/>
  <c r="CJ7" i="33"/>
  <c r="DK7" i="33"/>
  <c r="HX8" i="20"/>
  <c r="IB8" i="20"/>
  <c r="HU8" i="20"/>
  <c r="IC8" i="20"/>
  <c r="IA8" i="20"/>
  <c r="HT8" i="20"/>
  <c r="ID8" i="20"/>
  <c r="IE8" i="20"/>
  <c r="IF8" i="20"/>
  <c r="HY8" i="20"/>
  <c r="HW8" i="20"/>
  <c r="HV8" i="20"/>
  <c r="HB8" i="20"/>
  <c r="HF8" i="20"/>
  <c r="HJ8" i="20"/>
  <c r="HN8" i="20"/>
  <c r="HK8" i="20"/>
  <c r="HD8" i="20"/>
  <c r="HH8" i="20"/>
  <c r="HE8" i="20"/>
  <c r="HI8" i="20"/>
  <c r="HG8" i="20"/>
  <c r="HL8" i="20"/>
  <c r="HM8" i="20"/>
  <c r="HC8" i="20"/>
  <c r="FB8" i="19"/>
  <c r="FA8" i="19"/>
  <c r="FQ8" i="19"/>
  <c r="EA8" i="8"/>
  <c r="EB8" i="8"/>
  <c r="DY8" i="8"/>
  <c r="DZ8" i="8"/>
  <c r="EC8" i="8"/>
  <c r="DK8" i="8"/>
  <c r="DJ8" i="8"/>
  <c r="EN8" i="8" s="1"/>
  <c r="ER8" i="8" s="1"/>
  <c r="DL8" i="8"/>
  <c r="DM8" i="8"/>
  <c r="DN8" i="8"/>
  <c r="GA22" i="33"/>
  <c r="GA40" i="33"/>
  <c r="GA23" i="35"/>
  <c r="FZ23" i="35"/>
  <c r="GA28" i="33"/>
  <c r="FZ28" i="33"/>
  <c r="GA34" i="33"/>
  <c r="FY28" i="33"/>
  <c r="GA29" i="33"/>
  <c r="FY29" i="33"/>
  <c r="FZ39" i="33"/>
  <c r="FY14" i="33"/>
  <c r="GA14" i="33"/>
  <c r="FZ40" i="33"/>
  <c r="GA35" i="33"/>
  <c r="GA11" i="35"/>
  <c r="GA39" i="33"/>
  <c r="GA36" i="33"/>
  <c r="GA27" i="33"/>
  <c r="FZ11" i="35"/>
  <c r="FZ27" i="33"/>
  <c r="GA33" i="33"/>
  <c r="FZ22" i="35"/>
  <c r="GA22" i="35"/>
  <c r="FZ36" i="33"/>
  <c r="FZ32" i="33"/>
  <c r="GA43" i="33"/>
  <c r="FY23" i="33"/>
  <c r="FY42" i="33"/>
  <c r="GA42" i="33"/>
  <c r="FZ42" i="33"/>
  <c r="GA38" i="33"/>
  <c r="GA23" i="33"/>
  <c r="FZ23" i="33"/>
  <c r="GA32" i="33"/>
  <c r="FZ27" i="35"/>
  <c r="GA30" i="33"/>
  <c r="Z37" i="6"/>
  <c r="BI41" i="38" s="1"/>
  <c r="Z30" i="6"/>
  <c r="BI34" i="38" s="1"/>
  <c r="Z27" i="6"/>
  <c r="BI31" i="38" s="1"/>
  <c r="Z14" i="6"/>
  <c r="BI18" i="38" s="1"/>
  <c r="Z20" i="6"/>
  <c r="BI24" i="38" s="1"/>
  <c r="Z40" i="6"/>
  <c r="BI44" i="38" s="1"/>
  <c r="Z19" i="6"/>
  <c r="BI23" i="38" s="1"/>
  <c r="Z26" i="6"/>
  <c r="BI30" i="38" s="1"/>
  <c r="Z33" i="6"/>
  <c r="BI37" i="38" s="1"/>
  <c r="Z32" i="6"/>
  <c r="BI36" i="38" s="1"/>
  <c r="Z21" i="6"/>
  <c r="BI25" i="38" s="1"/>
  <c r="Z36" i="6"/>
  <c r="BI40" i="38" s="1"/>
  <c r="BI12" i="38"/>
  <c r="Z34" i="6"/>
  <c r="BI38" i="38" s="1"/>
  <c r="Z13" i="6"/>
  <c r="BI17" i="38" s="1"/>
  <c r="Z16" i="6"/>
  <c r="BI20" i="38" s="1"/>
  <c r="Z38" i="6"/>
  <c r="BI42" i="38" s="1"/>
  <c r="Z28" i="6"/>
  <c r="BI32" i="38" s="1"/>
  <c r="Z24" i="6"/>
  <c r="BI28" i="38" s="1"/>
  <c r="BI46" i="38"/>
  <c r="BI14" i="38"/>
  <c r="Z29" i="6"/>
  <c r="BI33" i="38" s="1"/>
  <c r="BI48" i="38"/>
  <c r="Z6" i="6"/>
  <c r="BI10" i="38" s="1"/>
  <c r="J34" i="37" s="1"/>
  <c r="Z17" i="6"/>
  <c r="BI21" i="38" s="1"/>
  <c r="Z23" i="6"/>
  <c r="BI27" i="38" s="1"/>
  <c r="BI49" i="38"/>
  <c r="Z12" i="6"/>
  <c r="BI16" i="38" s="1"/>
  <c r="Z25" i="6"/>
  <c r="BI29" i="38" s="1"/>
  <c r="BI45" i="38"/>
  <c r="Z31" i="6"/>
  <c r="BI35" i="38" s="1"/>
  <c r="BI13" i="38"/>
  <c r="Z39" i="6"/>
  <c r="BI43" i="38" s="1"/>
  <c r="Z18" i="6"/>
  <c r="BI22" i="38" s="1"/>
  <c r="X36" i="6"/>
  <c r="BG40" i="38" s="1"/>
  <c r="X34" i="6"/>
  <c r="BG38" i="38" s="1"/>
  <c r="X32" i="6"/>
  <c r="BG36" i="38" s="1"/>
  <c r="X29" i="6"/>
  <c r="BG33" i="38" s="1"/>
  <c r="BG12" i="38"/>
  <c r="X31" i="6"/>
  <c r="BG35" i="38" s="1"/>
  <c r="X11" i="6"/>
  <c r="BG15" i="38" s="1"/>
  <c r="X15" i="6"/>
  <c r="BG19" i="38" s="1"/>
  <c r="X30" i="6"/>
  <c r="BG34" i="38" s="1"/>
  <c r="X14" i="6"/>
  <c r="BG18" i="38" s="1"/>
  <c r="X23" i="6"/>
  <c r="BG27" i="38" s="1"/>
  <c r="X27" i="6"/>
  <c r="BG31" i="38" s="1"/>
  <c r="X38" i="6"/>
  <c r="BG42" i="38" s="1"/>
  <c r="BG46" i="38"/>
  <c r="X40" i="6"/>
  <c r="BG44" i="38" s="1"/>
  <c r="BG14" i="38"/>
  <c r="X12" i="6"/>
  <c r="BG16" i="38" s="1"/>
  <c r="X20" i="6"/>
  <c r="BG24" i="38" s="1"/>
  <c r="X25" i="6"/>
  <c r="BG29" i="38" s="1"/>
  <c r="X13" i="6"/>
  <c r="BG17" i="38" s="1"/>
  <c r="X6" i="6"/>
  <c r="BG10" i="38" s="1"/>
  <c r="J33" i="37" s="1"/>
  <c r="X18" i="6"/>
  <c r="BG22" i="38" s="1"/>
  <c r="BG13" i="38"/>
  <c r="BG48" i="38"/>
  <c r="BG45" i="38"/>
  <c r="X16" i="6"/>
  <c r="BG20" i="38" s="1"/>
  <c r="X7" i="6"/>
  <c r="BG11" i="38" s="1"/>
  <c r="X35" i="6"/>
  <c r="BG39" i="38" s="1"/>
  <c r="X37" i="6"/>
  <c r="BG41" i="38" s="1"/>
  <c r="X22" i="6"/>
  <c r="BG26" i="38" s="1"/>
  <c r="BG49" i="38"/>
  <c r="X28" i="6"/>
  <c r="BG32" i="38" s="1"/>
  <c r="X33" i="6"/>
  <c r="BG37" i="38" s="1"/>
  <c r="X39" i="6"/>
  <c r="BG43" i="38" s="1"/>
  <c r="X26" i="6"/>
  <c r="BG30" i="38" s="1"/>
  <c r="X19" i="6"/>
  <c r="BG23" i="38" s="1"/>
  <c r="X24" i="6"/>
  <c r="BG28" i="38" s="1"/>
  <c r="X21" i="6"/>
  <c r="BG25" i="38" s="1"/>
  <c r="BG47" i="38"/>
  <c r="X17" i="6"/>
  <c r="BG21" i="38" s="1"/>
  <c r="FZ41" i="35"/>
  <c r="GA41" i="35"/>
  <c r="GA25" i="35"/>
  <c r="FZ33" i="35"/>
  <c r="GA33" i="35"/>
  <c r="FZ37" i="35"/>
  <c r="GA37" i="35"/>
  <c r="FZ29" i="35"/>
  <c r="FZ28" i="35"/>
  <c r="GA40" i="35"/>
  <c r="FZ30" i="35"/>
  <c r="GA38" i="35"/>
  <c r="FZ38" i="35"/>
  <c r="FZ42" i="35"/>
  <c r="GA35" i="35"/>
  <c r="FZ26" i="33"/>
  <c r="GA26" i="33"/>
  <c r="FZ31" i="33"/>
  <c r="GA24" i="33"/>
  <c r="FZ37" i="33"/>
  <c r="GA37" i="33"/>
  <c r="FY41" i="33"/>
  <c r="FZ41" i="33"/>
  <c r="GA41" i="33"/>
  <c r="FZ25" i="33"/>
  <c r="GA25" i="33"/>
  <c r="A46" i="8"/>
  <c r="A47" i="8"/>
  <c r="A48" i="8"/>
  <c r="B45" i="7"/>
  <c r="GZ6" i="7" s="1"/>
  <c r="HO6" i="7" s="1"/>
  <c r="B46" i="7"/>
  <c r="HA6" i="7" s="1"/>
  <c r="B47" i="7"/>
  <c r="HB6" i="7" s="1"/>
  <c r="B48" i="7"/>
  <c r="HC6" i="7" s="1"/>
  <c r="A46" i="7"/>
  <c r="A47" i="7"/>
  <c r="A48" i="7"/>
  <c r="A45" i="7"/>
  <c r="A45" i="8"/>
  <c r="B45" i="22"/>
  <c r="CB6" i="22" s="1"/>
  <c r="CQ6" i="22" s="1"/>
  <c r="B46" i="22"/>
  <c r="CC6" i="22" s="1"/>
  <c r="CR6" i="22" s="1"/>
  <c r="B47" i="22"/>
  <c r="CD6" i="22" s="1"/>
  <c r="CS6" i="22" s="1"/>
  <c r="B48" i="22"/>
  <c r="CE6" i="22" s="1"/>
  <c r="CT6" i="22" s="1"/>
  <c r="B49" i="22"/>
  <c r="CF6" i="22" s="1"/>
  <c r="CU6" i="22" s="1"/>
  <c r="A46" i="22"/>
  <c r="A47" i="22"/>
  <c r="A48" i="22"/>
  <c r="A49" i="22"/>
  <c r="A45" i="22"/>
  <c r="B45" i="25"/>
  <c r="IW6" i="25" s="1"/>
  <c r="B46" i="25"/>
  <c r="IX6" i="25" s="1"/>
  <c r="B47" i="25"/>
  <c r="IY6" i="25" s="1"/>
  <c r="JN6" i="25" s="1"/>
  <c r="B48" i="25"/>
  <c r="IZ6" i="25" s="1"/>
  <c r="JO6" i="25" s="1"/>
  <c r="A46" i="25"/>
  <c r="A47" i="25"/>
  <c r="A48" i="25"/>
  <c r="A49" i="25"/>
  <c r="A45" i="25"/>
  <c r="J7" i="26"/>
  <c r="K7" i="26"/>
  <c r="L7" i="26"/>
  <c r="B45" i="21"/>
  <c r="EV6" i="21" s="1"/>
  <c r="FK6" i="21" s="1"/>
  <c r="B46" i="21"/>
  <c r="EW6" i="21" s="1"/>
  <c r="FL6" i="21" s="1"/>
  <c r="FU15" i="21" s="1"/>
  <c r="FV15" i="21" s="1"/>
  <c r="B47" i="21"/>
  <c r="EX6" i="21" s="1"/>
  <c r="FM6" i="21" s="1"/>
  <c r="FU18" i="21" s="1"/>
  <c r="FV18" i="21" s="1"/>
  <c r="B48" i="21"/>
  <c r="EY6" i="21" s="1"/>
  <c r="FN6" i="21" s="1"/>
  <c r="B49" i="21"/>
  <c r="EZ6" i="21" s="1"/>
  <c r="FO6" i="21" s="1"/>
  <c r="B50" i="21"/>
  <c r="FA6" i="21" s="1"/>
  <c r="FP6" i="21" s="1"/>
  <c r="A46" i="21"/>
  <c r="A47" i="21"/>
  <c r="A48" i="21"/>
  <c r="A49" i="21"/>
  <c r="A50" i="21"/>
  <c r="A45" i="21"/>
  <c r="B45" i="20"/>
  <c r="B46" i="20"/>
  <c r="B47" i="20"/>
  <c r="B48" i="20"/>
  <c r="B49" i="20"/>
  <c r="B54" i="20"/>
  <c r="B55" i="20"/>
  <c r="HL6" i="20" s="1"/>
  <c r="ID6" i="20" s="1"/>
  <c r="A55" i="20"/>
  <c r="A46" i="20"/>
  <c r="A47" i="20"/>
  <c r="A48" i="20"/>
  <c r="A49" i="20"/>
  <c r="A50" i="20"/>
  <c r="A51" i="20"/>
  <c r="GA7" i="20" s="1"/>
  <c r="A52" i="20"/>
  <c r="GB7" i="20" s="1"/>
  <c r="A53" i="20"/>
  <c r="A54" i="20"/>
  <c r="A45" i="20"/>
  <c r="A46" i="19"/>
  <c r="A47" i="19"/>
  <c r="A48" i="19"/>
  <c r="A45" i="19"/>
  <c r="AC7" i="6"/>
  <c r="BL11" i="38" s="1"/>
  <c r="AD7" i="6"/>
  <c r="BM11" i="38" s="1"/>
  <c r="BL12" i="38"/>
  <c r="BM12" i="38"/>
  <c r="BL13" i="38"/>
  <c r="BM13" i="38"/>
  <c r="BL14" i="38"/>
  <c r="BM14" i="38"/>
  <c r="AC11" i="6"/>
  <c r="BL15" i="38" s="1"/>
  <c r="AD11" i="6"/>
  <c r="BM15" i="38" s="1"/>
  <c r="AC12" i="6"/>
  <c r="BL16" i="38" s="1"/>
  <c r="AD12" i="6"/>
  <c r="BM16" i="38" s="1"/>
  <c r="AC13" i="6"/>
  <c r="BL17" i="38" s="1"/>
  <c r="AD13" i="6"/>
  <c r="BM17" i="38" s="1"/>
  <c r="AC14" i="6"/>
  <c r="BL18" i="38" s="1"/>
  <c r="AD14" i="6"/>
  <c r="BM18" i="38" s="1"/>
  <c r="AC15" i="6"/>
  <c r="BL19" i="38" s="1"/>
  <c r="AD15" i="6"/>
  <c r="BM19" i="38" s="1"/>
  <c r="AC16" i="6"/>
  <c r="BL20" i="38" s="1"/>
  <c r="AD16" i="6"/>
  <c r="BM20" i="38" s="1"/>
  <c r="AC17" i="6"/>
  <c r="BL21" i="38" s="1"/>
  <c r="AD17" i="6"/>
  <c r="BM21" i="38" s="1"/>
  <c r="AC18" i="6"/>
  <c r="BL22" i="38" s="1"/>
  <c r="AD18" i="6"/>
  <c r="BM22" i="38" s="1"/>
  <c r="AC19" i="6"/>
  <c r="BL23" i="38" s="1"/>
  <c r="AD19" i="6"/>
  <c r="BM23" i="38" s="1"/>
  <c r="AC20" i="6"/>
  <c r="BL24" i="38" s="1"/>
  <c r="AD20" i="6"/>
  <c r="BM24" i="38" s="1"/>
  <c r="AC21" i="6"/>
  <c r="BL25" i="38" s="1"/>
  <c r="AD21" i="6"/>
  <c r="BM25" i="38" s="1"/>
  <c r="AC22" i="6"/>
  <c r="BL26" i="38" s="1"/>
  <c r="AD22" i="6"/>
  <c r="BM26" i="38" s="1"/>
  <c r="AC23" i="6"/>
  <c r="BL27" i="38" s="1"/>
  <c r="AD23" i="6"/>
  <c r="BM27" i="38" s="1"/>
  <c r="AC24" i="6"/>
  <c r="BL28" i="38" s="1"/>
  <c r="AD24" i="6"/>
  <c r="BM28" i="38" s="1"/>
  <c r="AC25" i="6"/>
  <c r="BL29" i="38" s="1"/>
  <c r="AD25" i="6"/>
  <c r="BM29" i="38" s="1"/>
  <c r="AC26" i="6"/>
  <c r="BL30" i="38" s="1"/>
  <c r="AD26" i="6"/>
  <c r="BM30" i="38" s="1"/>
  <c r="AC27" i="6"/>
  <c r="BL31" i="38" s="1"/>
  <c r="AD27" i="6"/>
  <c r="BM31" i="38" s="1"/>
  <c r="AC28" i="6"/>
  <c r="BL32" i="38" s="1"/>
  <c r="AD28" i="6"/>
  <c r="BM32" i="38" s="1"/>
  <c r="AC29" i="6"/>
  <c r="BL33" i="38" s="1"/>
  <c r="AD29" i="6"/>
  <c r="BM33" i="38" s="1"/>
  <c r="AC30" i="6"/>
  <c r="BL34" i="38" s="1"/>
  <c r="AD30" i="6"/>
  <c r="BM34" i="38" s="1"/>
  <c r="AC31" i="6"/>
  <c r="BL35" i="38" s="1"/>
  <c r="AD31" i="6"/>
  <c r="BM35" i="38" s="1"/>
  <c r="AC32" i="6"/>
  <c r="BL36" i="38" s="1"/>
  <c r="AD32" i="6"/>
  <c r="BM36" i="38" s="1"/>
  <c r="AC33" i="6"/>
  <c r="BL37" i="38" s="1"/>
  <c r="AD33" i="6"/>
  <c r="BM37" i="38" s="1"/>
  <c r="AC34" i="6"/>
  <c r="BL38" i="38" s="1"/>
  <c r="AD34" i="6"/>
  <c r="BM38" i="38" s="1"/>
  <c r="AC35" i="6"/>
  <c r="BL39" i="38" s="1"/>
  <c r="AD35" i="6"/>
  <c r="BM39" i="38" s="1"/>
  <c r="AC36" i="6"/>
  <c r="BL40" i="38" s="1"/>
  <c r="AD36" i="6"/>
  <c r="BM40" i="38" s="1"/>
  <c r="AC37" i="6"/>
  <c r="BL41" i="38" s="1"/>
  <c r="AD37" i="6"/>
  <c r="BM41" i="38" s="1"/>
  <c r="AC38" i="6"/>
  <c r="BL42" i="38" s="1"/>
  <c r="AD38" i="6"/>
  <c r="BM42" i="38" s="1"/>
  <c r="AC39" i="6"/>
  <c r="BL43" i="38" s="1"/>
  <c r="AD39" i="6"/>
  <c r="BM43" i="38" s="1"/>
  <c r="AC40" i="6"/>
  <c r="BL44" i="38" s="1"/>
  <c r="AD40" i="6"/>
  <c r="BM44" i="38" s="1"/>
  <c r="BL45" i="38"/>
  <c r="BM45" i="38"/>
  <c r="BL46" i="38"/>
  <c r="BM46" i="38"/>
  <c r="BL47" i="38"/>
  <c r="BM47" i="38"/>
  <c r="BL48" i="38"/>
  <c r="BM48" i="38"/>
  <c r="BL49" i="38"/>
  <c r="BM49" i="38"/>
  <c r="AD6" i="6"/>
  <c r="BM10" i="38" s="1"/>
  <c r="J36" i="37" s="1"/>
  <c r="C7" i="6"/>
  <c r="D7" i="6"/>
  <c r="C11" i="6"/>
  <c r="D11" i="6"/>
  <c r="C12" i="6"/>
  <c r="D12" i="6"/>
  <c r="C13" i="6"/>
  <c r="D13" i="6"/>
  <c r="C14" i="6"/>
  <c r="D14" i="6"/>
  <c r="C15" i="6"/>
  <c r="D15" i="6"/>
  <c r="C16" i="6"/>
  <c r="D16" i="6"/>
  <c r="C17" i="6"/>
  <c r="D17" i="6"/>
  <c r="C18" i="6"/>
  <c r="D18" i="6"/>
  <c r="C19" i="6"/>
  <c r="D19" i="6"/>
  <c r="C20" i="6"/>
  <c r="D20" i="6"/>
  <c r="C21" i="6"/>
  <c r="D21" i="6"/>
  <c r="C22" i="6"/>
  <c r="D22" i="6"/>
  <c r="C23" i="6"/>
  <c r="D23" i="6"/>
  <c r="C24" i="6"/>
  <c r="D24" i="6"/>
  <c r="C25" i="6"/>
  <c r="D25" i="6"/>
  <c r="C26" i="6"/>
  <c r="D26" i="6"/>
  <c r="C27" i="6"/>
  <c r="D27" i="6"/>
  <c r="C28" i="6"/>
  <c r="D28" i="6"/>
  <c r="C29" i="6"/>
  <c r="D29" i="6"/>
  <c r="C30" i="6"/>
  <c r="D30" i="6"/>
  <c r="C31" i="6"/>
  <c r="D31" i="6"/>
  <c r="C32" i="6"/>
  <c r="D32" i="6"/>
  <c r="C33" i="6"/>
  <c r="D33" i="6"/>
  <c r="C34" i="6"/>
  <c r="D34" i="6"/>
  <c r="C35" i="6"/>
  <c r="D35" i="6"/>
  <c r="C36" i="6"/>
  <c r="D36" i="6"/>
  <c r="C37" i="6"/>
  <c r="D37" i="6"/>
  <c r="C38" i="6"/>
  <c r="D38" i="6"/>
  <c r="C39" i="6"/>
  <c r="D39" i="6"/>
  <c r="C40" i="6"/>
  <c r="D40" i="6"/>
  <c r="D6" i="6"/>
  <c r="C6" i="6"/>
  <c r="AC6" i="6"/>
  <c r="BL10" i="38" s="1"/>
  <c r="I36" i="37" s="1"/>
  <c r="AE11" i="38"/>
  <c r="AE12" i="38"/>
  <c r="AE13" i="38"/>
  <c r="AE14" i="38"/>
  <c r="AE15" i="38"/>
  <c r="AE16" i="38"/>
  <c r="AE17" i="38"/>
  <c r="AE18" i="38"/>
  <c r="AE19" i="38"/>
  <c r="AE20" i="38"/>
  <c r="AE21" i="38"/>
  <c r="AE22" i="38"/>
  <c r="AE23" i="38"/>
  <c r="AE24" i="38"/>
  <c r="AE25" i="38"/>
  <c r="AE26" i="38"/>
  <c r="AE27" i="38"/>
  <c r="AE28" i="38"/>
  <c r="AE29" i="38"/>
  <c r="AE30" i="38"/>
  <c r="AE31" i="38"/>
  <c r="AE32" i="38"/>
  <c r="AE33" i="38"/>
  <c r="AE34" i="38"/>
  <c r="AE35" i="38"/>
  <c r="AE36" i="38"/>
  <c r="AE37" i="38"/>
  <c r="AE38" i="38"/>
  <c r="AE39" i="38"/>
  <c r="AE40" i="38"/>
  <c r="AE41" i="38"/>
  <c r="AE42" i="38"/>
  <c r="AE43" i="38"/>
  <c r="AE44" i="38"/>
  <c r="AE45" i="38"/>
  <c r="AE46" i="38"/>
  <c r="AE47" i="38"/>
  <c r="AE48" i="38"/>
  <c r="AE49" i="38"/>
  <c r="AC5" i="5"/>
  <c r="AE10" i="38" s="1"/>
  <c r="E36" i="37" s="1"/>
  <c r="C5" i="5"/>
  <c r="JW22" i="25" l="1"/>
  <c r="JX22" i="25" s="1"/>
  <c r="JY22" i="25" s="1"/>
  <c r="ES22" i="25" s="1"/>
  <c r="AD24" i="10" s="1"/>
  <c r="JW20" i="25"/>
  <c r="JX20" i="25" s="1"/>
  <c r="JM6" i="25"/>
  <c r="JI9" i="25"/>
  <c r="JJ9" i="25" s="1"/>
  <c r="HL13" i="7"/>
  <c r="HM13" i="7" s="1"/>
  <c r="HL19" i="7"/>
  <c r="HM19" i="7" s="1"/>
  <c r="HL10" i="7"/>
  <c r="HM10" i="7" s="1"/>
  <c r="HZ22" i="7"/>
  <c r="IA22" i="7" s="1"/>
  <c r="HZ10" i="7"/>
  <c r="IA10" i="7" s="1"/>
  <c r="FF41" i="35"/>
  <c r="EU41" i="35" s="1"/>
  <c r="FF27" i="35"/>
  <c r="EU27" i="35" s="1"/>
  <c r="GA28" i="35"/>
  <c r="GA30" i="35"/>
  <c r="GA24" i="35"/>
  <c r="IH24" i="20"/>
  <c r="II24" i="20" s="1"/>
  <c r="FF37" i="21"/>
  <c r="EU37" i="21" s="1"/>
  <c r="FU26" i="21"/>
  <c r="FV26" i="21" s="1"/>
  <c r="IH32" i="20"/>
  <c r="II32" i="20" s="1"/>
  <c r="FG23" i="21"/>
  <c r="FI23" i="21" s="1"/>
  <c r="FG24" i="33"/>
  <c r="FI24" i="33" s="1"/>
  <c r="FG36" i="21"/>
  <c r="FI36" i="21" s="1"/>
  <c r="HP40" i="20"/>
  <c r="HR40" i="20" s="1"/>
  <c r="DT34" i="8"/>
  <c r="DV34" i="8" s="1"/>
  <c r="DT39" i="8"/>
  <c r="DV39" i="8" s="1"/>
  <c r="HP24" i="20"/>
  <c r="HR24" i="20" s="1"/>
  <c r="FG32" i="33"/>
  <c r="FI32" i="33" s="1"/>
  <c r="HP34" i="20"/>
  <c r="HR34" i="20" s="1"/>
  <c r="FG38" i="21"/>
  <c r="FI38" i="21" s="1"/>
  <c r="FU40" i="33"/>
  <c r="FV40" i="33" s="1"/>
  <c r="FG33" i="21"/>
  <c r="FI33" i="21" s="1"/>
  <c r="FU32" i="21"/>
  <c r="FV32" i="21" s="1"/>
  <c r="IH41" i="20"/>
  <c r="II41" i="20" s="1"/>
  <c r="FU23" i="21"/>
  <c r="FV23" i="21" s="1"/>
  <c r="IH38" i="20"/>
  <c r="II38" i="20" s="1"/>
  <c r="DT37" i="8"/>
  <c r="DV37" i="8" s="1"/>
  <c r="JI19" i="25"/>
  <c r="JJ19" i="25" s="1"/>
  <c r="JY19" i="25" s="1"/>
  <c r="ES19" i="25" s="1"/>
  <c r="AD21" i="10" s="1"/>
  <c r="JI13" i="25"/>
  <c r="JJ13" i="25" s="1"/>
  <c r="JY13" i="25" s="1"/>
  <c r="ES13" i="25" s="1"/>
  <c r="AD15" i="10" s="1"/>
  <c r="JI17" i="25"/>
  <c r="JJ17" i="25" s="1"/>
  <c r="JI21" i="25"/>
  <c r="JJ21" i="25" s="1"/>
  <c r="JI20" i="25"/>
  <c r="JJ20" i="25" s="1"/>
  <c r="JY20" i="25" s="1"/>
  <c r="ES20" i="25" s="1"/>
  <c r="AD22" i="10" s="1"/>
  <c r="HR6" i="7"/>
  <c r="HL11" i="7"/>
  <c r="HM11" i="7" s="1"/>
  <c r="HL12" i="7"/>
  <c r="HM12" i="7" s="1"/>
  <c r="HP6" i="7"/>
  <c r="HZ19" i="7" s="1"/>
  <c r="IA19" i="7" s="1"/>
  <c r="HL22" i="7"/>
  <c r="HM22" i="7" s="1"/>
  <c r="IB22" i="7" s="1"/>
  <c r="DM22" i="7" s="1"/>
  <c r="AC24" i="10" s="1"/>
  <c r="HL14" i="7"/>
  <c r="HM14" i="7" s="1"/>
  <c r="HL15" i="7"/>
  <c r="HM15" i="7" s="1"/>
  <c r="HL18" i="7"/>
  <c r="HM18" i="7" s="1"/>
  <c r="HL21" i="7"/>
  <c r="HM21" i="7" s="1"/>
  <c r="HL20" i="7"/>
  <c r="HM20" i="7" s="1"/>
  <c r="HL9" i="7"/>
  <c r="HM9" i="7" s="1"/>
  <c r="HL17" i="7"/>
  <c r="HM17" i="7" s="1"/>
  <c r="HL16" i="7"/>
  <c r="HM16" i="7" s="1"/>
  <c r="IH36" i="20"/>
  <c r="II36" i="20" s="1"/>
  <c r="IH34" i="20"/>
  <c r="II34" i="20" s="1"/>
  <c r="FF29" i="21"/>
  <c r="EU29" i="21" s="1"/>
  <c r="FU38" i="21"/>
  <c r="FV38" i="21" s="1"/>
  <c r="FG27" i="33"/>
  <c r="FI27" i="33" s="1"/>
  <c r="FU35" i="33"/>
  <c r="FV35" i="33" s="1"/>
  <c r="FF37" i="33"/>
  <c r="EU37" i="33" s="1"/>
  <c r="FU39" i="33"/>
  <c r="FV39" i="33" s="1"/>
  <c r="FG39" i="33"/>
  <c r="FI39" i="33" s="1"/>
  <c r="FF39" i="33"/>
  <c r="EU39" i="33" s="1"/>
  <c r="FY39" i="33" s="1"/>
  <c r="FG37" i="21"/>
  <c r="FI37" i="21" s="1"/>
  <c r="FF30" i="21"/>
  <c r="EU30" i="21" s="1"/>
  <c r="FG41" i="21"/>
  <c r="FI41" i="21" s="1"/>
  <c r="FU27" i="21"/>
  <c r="FV27" i="21" s="1"/>
  <c r="FF35" i="21"/>
  <c r="EU35" i="21" s="1"/>
  <c r="FU35" i="21"/>
  <c r="FV35" i="21" s="1"/>
  <c r="FU39" i="21"/>
  <c r="FV39" i="21" s="1"/>
  <c r="FU40" i="21"/>
  <c r="FV40" i="21" s="1"/>
  <c r="FU25" i="33"/>
  <c r="FV25" i="33" s="1"/>
  <c r="IH28" i="20"/>
  <c r="II28" i="20" s="1"/>
  <c r="DS37" i="8"/>
  <c r="DH37" i="8" s="1"/>
  <c r="DT30" i="8"/>
  <c r="DV30" i="8" s="1"/>
  <c r="HO27" i="20"/>
  <c r="HA27" i="20" s="1"/>
  <c r="IL27" i="20" s="1"/>
  <c r="HO23" i="20"/>
  <c r="HA23" i="20" s="1"/>
  <c r="FG43" i="33"/>
  <c r="FI43" i="33" s="1"/>
  <c r="FF43" i="33"/>
  <c r="EU43" i="33" s="1"/>
  <c r="FG38" i="33"/>
  <c r="FI38" i="33" s="1"/>
  <c r="FU33" i="33"/>
  <c r="FV33" i="33" s="1"/>
  <c r="FG30" i="33"/>
  <c r="FI30" i="33" s="1"/>
  <c r="EH28" i="8"/>
  <c r="EI28" i="8" s="1"/>
  <c r="IH25" i="20"/>
  <c r="II25" i="20" s="1"/>
  <c r="IH31" i="20"/>
  <c r="II31" i="20" s="1"/>
  <c r="FU41" i="33"/>
  <c r="FV41" i="33" s="1"/>
  <c r="FU26" i="33"/>
  <c r="FV26" i="33" s="1"/>
  <c r="FU28" i="33"/>
  <c r="FV28" i="33" s="1"/>
  <c r="FF32" i="21"/>
  <c r="EU32" i="21" s="1"/>
  <c r="FU41" i="21"/>
  <c r="FV41" i="21" s="1"/>
  <c r="FU30" i="21"/>
  <c r="FV30" i="21" s="1"/>
  <c r="FG42" i="21"/>
  <c r="FI42" i="21" s="1"/>
  <c r="FG31" i="21"/>
  <c r="FI31" i="21" s="1"/>
  <c r="FU31" i="21"/>
  <c r="FV31" i="21" s="1"/>
  <c r="FG28" i="21"/>
  <c r="FI28" i="21" s="1"/>
  <c r="HP28" i="20"/>
  <c r="HR28" i="20" s="1"/>
  <c r="FU24" i="33"/>
  <c r="FV24" i="33" s="1"/>
  <c r="IH30" i="20"/>
  <c r="II30" i="20" s="1"/>
  <c r="FF33" i="21"/>
  <c r="EU33" i="21" s="1"/>
  <c r="FU24" i="21"/>
  <c r="FV24" i="21" s="1"/>
  <c r="GA21" i="35"/>
  <c r="GA13" i="33"/>
  <c r="GA16" i="33"/>
  <c r="HO11" i="20"/>
  <c r="HA11" i="20" s="1"/>
  <c r="HO19" i="20"/>
  <c r="HA19" i="20" s="1"/>
  <c r="GA20" i="35"/>
  <c r="FZ18" i="35"/>
  <c r="FU18" i="35"/>
  <c r="FV18" i="35" s="1"/>
  <c r="FG13" i="35"/>
  <c r="FI13" i="35" s="1"/>
  <c r="GA16" i="35"/>
  <c r="FF13" i="35"/>
  <c r="EU13" i="35" s="1"/>
  <c r="FY13" i="35" s="1"/>
  <c r="FU16" i="33"/>
  <c r="FV16" i="33" s="1"/>
  <c r="FZ17" i="33"/>
  <c r="GA21" i="33"/>
  <c r="FZ21" i="33"/>
  <c r="GA12" i="33"/>
  <c r="FU17" i="21"/>
  <c r="FV17" i="21" s="1"/>
  <c r="FG17" i="33"/>
  <c r="FI17" i="33" s="1"/>
  <c r="FG18" i="33"/>
  <c r="FI18" i="33" s="1"/>
  <c r="DT19" i="8"/>
  <c r="DV19" i="8" s="1"/>
  <c r="HO17" i="20"/>
  <c r="HA17" i="20" s="1"/>
  <c r="HO16" i="20"/>
  <c r="HA16" i="20" s="1"/>
  <c r="HO15" i="20"/>
  <c r="HA15" i="20" s="1"/>
  <c r="FF18" i="33"/>
  <c r="EU18" i="33" s="1"/>
  <c r="FY18" i="33" s="1"/>
  <c r="FZ10" i="33"/>
  <c r="GA13" i="35"/>
  <c r="FU19" i="21"/>
  <c r="FV19" i="21" s="1"/>
  <c r="FG21" i="21"/>
  <c r="FI21" i="21" s="1"/>
  <c r="FU16" i="21"/>
  <c r="FV16" i="21" s="1"/>
  <c r="FU22" i="21"/>
  <c r="FV22" i="21" s="1"/>
  <c r="FU20" i="21"/>
  <c r="FV20" i="21" s="1"/>
  <c r="FG17" i="21"/>
  <c r="FI17" i="21" s="1"/>
  <c r="FG16" i="21"/>
  <c r="FI16" i="21" s="1"/>
  <c r="FF14" i="21"/>
  <c r="EU14" i="21" s="1"/>
  <c r="FU12" i="21"/>
  <c r="FV12" i="21" s="1"/>
  <c r="FG12" i="21"/>
  <c r="FI12" i="21" s="1"/>
  <c r="FU11" i="21"/>
  <c r="FV11" i="21" s="1"/>
  <c r="FG10" i="21"/>
  <c r="FI10" i="21" s="1"/>
  <c r="FG9" i="21"/>
  <c r="FI9" i="21" s="1"/>
  <c r="GA15" i="35"/>
  <c r="FU15" i="35"/>
  <c r="FV15" i="35" s="1"/>
  <c r="FF10" i="35"/>
  <c r="EU10" i="35" s="1"/>
  <c r="FY10" i="35" s="1"/>
  <c r="FG10" i="35"/>
  <c r="FI10" i="35" s="1"/>
  <c r="FZ10" i="35"/>
  <c r="FF21" i="33"/>
  <c r="EU21" i="33" s="1"/>
  <c r="FY21" i="33" s="1"/>
  <c r="GA19" i="33"/>
  <c r="FU20" i="33"/>
  <c r="FV20" i="33" s="1"/>
  <c r="FZ13" i="33"/>
  <c r="FZ20" i="33"/>
  <c r="FF10" i="33"/>
  <c r="EU10" i="33" s="1"/>
  <c r="FY10" i="33" s="1"/>
  <c r="GA15" i="33"/>
  <c r="FZ12" i="33"/>
  <c r="GA10" i="33"/>
  <c r="FU22" i="33"/>
  <c r="FV22" i="33" s="1"/>
  <c r="FG22" i="33"/>
  <c r="FI22" i="33" s="1"/>
  <c r="FG21" i="33"/>
  <c r="FI21" i="33" s="1"/>
  <c r="FG20" i="33"/>
  <c r="FI20" i="33" s="1"/>
  <c r="FG19" i="33"/>
  <c r="FI19" i="33" s="1"/>
  <c r="FF19" i="33"/>
  <c r="EU19" i="33" s="1"/>
  <c r="FY19" i="33" s="1"/>
  <c r="FU17" i="33"/>
  <c r="FV17" i="33" s="1"/>
  <c r="FG16" i="33"/>
  <c r="FI16" i="33" s="1"/>
  <c r="FG15" i="33"/>
  <c r="FI15" i="33" s="1"/>
  <c r="FG13" i="33"/>
  <c r="FI13" i="33" s="1"/>
  <c r="FG12" i="33"/>
  <c r="FI12" i="33" s="1"/>
  <c r="FG10" i="33"/>
  <c r="FI10" i="33" s="1"/>
  <c r="FG19" i="19"/>
  <c r="FI19" i="19" s="1"/>
  <c r="FG15" i="19"/>
  <c r="FI15" i="19" s="1"/>
  <c r="DT11" i="8"/>
  <c r="DV11" i="8" s="1"/>
  <c r="DT13" i="8"/>
  <c r="DV13" i="8" s="1"/>
  <c r="DT23" i="8"/>
  <c r="DV23" i="8" s="1"/>
  <c r="FY26" i="33"/>
  <c r="GI26" i="33"/>
  <c r="FX29" i="21"/>
  <c r="FY37" i="33"/>
  <c r="FX39" i="33"/>
  <c r="FX35" i="33"/>
  <c r="FX43" i="33"/>
  <c r="FY43" i="33"/>
  <c r="FX37" i="21"/>
  <c r="FX33" i="21"/>
  <c r="FF15" i="19"/>
  <c r="EU15" i="19" s="1"/>
  <c r="FG31" i="19"/>
  <c r="FI31" i="19" s="1"/>
  <c r="FG41" i="19"/>
  <c r="FI41" i="19" s="1"/>
  <c r="FG23" i="19"/>
  <c r="FI23" i="19" s="1"/>
  <c r="GA42" i="35"/>
  <c r="FF24" i="35"/>
  <c r="EU24" i="35" s="1"/>
  <c r="GI24" i="35" s="1"/>
  <c r="FG38" i="35"/>
  <c r="FI38" i="35" s="1"/>
  <c r="FZ15" i="35"/>
  <c r="FZ34" i="35"/>
  <c r="GA14" i="35"/>
  <c r="GA26" i="35"/>
  <c r="FZ12" i="35"/>
  <c r="FF36" i="35"/>
  <c r="EU36" i="35" s="1"/>
  <c r="GA27" i="35"/>
  <c r="IL25" i="20"/>
  <c r="FU32" i="33"/>
  <c r="FV32" i="33" s="1"/>
  <c r="DT21" i="8"/>
  <c r="DV21" i="8" s="1"/>
  <c r="DS28" i="8"/>
  <c r="DH28" i="8" s="1"/>
  <c r="FG36" i="33"/>
  <c r="FI36" i="33" s="1"/>
  <c r="FU29" i="33"/>
  <c r="FV29" i="33" s="1"/>
  <c r="FX40" i="33"/>
  <c r="FY40" i="33"/>
  <c r="FU42" i="33"/>
  <c r="FV42" i="33" s="1"/>
  <c r="FX28" i="33"/>
  <c r="FG30" i="21"/>
  <c r="FI30" i="21" s="1"/>
  <c r="FG27" i="21"/>
  <c r="FI27" i="21" s="1"/>
  <c r="FG34" i="21"/>
  <c r="FI34" i="21" s="1"/>
  <c r="FU10" i="21"/>
  <c r="FV10" i="21" s="1"/>
  <c r="FG14" i="21"/>
  <c r="FI14" i="21" s="1"/>
  <c r="FG22" i="21"/>
  <c r="FI22" i="21" s="1"/>
  <c r="HP31" i="20"/>
  <c r="HR31" i="20" s="1"/>
  <c r="FU9" i="21"/>
  <c r="FV9" i="21" s="1"/>
  <c r="FF13" i="21"/>
  <c r="EU13" i="21" s="1"/>
  <c r="FF17" i="21"/>
  <c r="EU17" i="21" s="1"/>
  <c r="FF12" i="33"/>
  <c r="EU12" i="33" s="1"/>
  <c r="FF16" i="33"/>
  <c r="EU16" i="33" s="1"/>
  <c r="DT35" i="8"/>
  <c r="DV35" i="8" s="1"/>
  <c r="DS18" i="8"/>
  <c r="DH18" i="8" s="1"/>
  <c r="DT12" i="8"/>
  <c r="DV12" i="8" s="1"/>
  <c r="DT20" i="8"/>
  <c r="DV20" i="8" s="1"/>
  <c r="DT32" i="8"/>
  <c r="DV32" i="8" s="1"/>
  <c r="DT22" i="8"/>
  <c r="DV22" i="8" s="1"/>
  <c r="HP23" i="20"/>
  <c r="HR23" i="20" s="1"/>
  <c r="IH26" i="20"/>
  <c r="II26" i="20" s="1"/>
  <c r="HP38" i="20"/>
  <c r="HR38" i="20" s="1"/>
  <c r="HO29" i="20"/>
  <c r="HA29" i="20" s="1"/>
  <c r="IL29" i="20" s="1"/>
  <c r="FU38" i="33"/>
  <c r="FV38" i="33" s="1"/>
  <c r="FF38" i="33"/>
  <c r="EU38" i="33" s="1"/>
  <c r="FY38" i="33" s="1"/>
  <c r="FG26" i="33"/>
  <c r="FI26" i="33" s="1"/>
  <c r="FX26" i="33" s="1"/>
  <c r="FF34" i="21"/>
  <c r="EU34" i="21" s="1"/>
  <c r="FF18" i="21"/>
  <c r="EU18" i="21" s="1"/>
  <c r="FF11" i="33"/>
  <c r="EU11" i="33" s="1"/>
  <c r="FY11" i="33" s="1"/>
  <c r="GE11" i="33" s="1"/>
  <c r="GH11" i="33" s="1"/>
  <c r="FU15" i="33"/>
  <c r="FV15" i="33" s="1"/>
  <c r="FU23" i="33"/>
  <c r="FV23" i="33" s="1"/>
  <c r="HO13" i="20"/>
  <c r="HA13" i="20" s="1"/>
  <c r="HO20" i="20"/>
  <c r="HA20" i="20" s="1"/>
  <c r="HO30" i="20"/>
  <c r="HA30" i="20" s="1"/>
  <c r="HO33" i="20"/>
  <c r="HA33" i="20" s="1"/>
  <c r="HO38" i="20"/>
  <c r="HA38" i="20" s="1"/>
  <c r="IL38" i="20" s="1"/>
  <c r="FU14" i="33"/>
  <c r="FV14" i="33" s="1"/>
  <c r="FX14" i="33" s="1"/>
  <c r="FF30" i="33"/>
  <c r="EU30" i="33" s="1"/>
  <c r="EH21" i="8"/>
  <c r="EI21" i="8" s="1"/>
  <c r="DS34" i="8"/>
  <c r="DH34" i="8" s="1"/>
  <c r="EH14" i="8"/>
  <c r="EI14" i="8" s="1"/>
  <c r="DS39" i="8"/>
  <c r="DH39" i="8" s="1"/>
  <c r="EH22" i="8"/>
  <c r="EI22" i="8" s="1"/>
  <c r="HO24" i="20"/>
  <c r="HA24" i="20" s="1"/>
  <c r="IL24" i="20" s="1"/>
  <c r="HO36" i="20"/>
  <c r="HA36" i="20" s="1"/>
  <c r="HP36" i="20"/>
  <c r="HR36" i="20" s="1"/>
  <c r="FU11" i="33"/>
  <c r="FV11" i="33" s="1"/>
  <c r="FF32" i="33"/>
  <c r="EU32" i="33" s="1"/>
  <c r="FU25" i="21"/>
  <c r="FV25" i="21" s="1"/>
  <c r="HO9" i="20"/>
  <c r="HA9" i="20" s="1"/>
  <c r="FF11" i="21"/>
  <c r="EU11" i="21" s="1"/>
  <c r="FF38" i="21"/>
  <c r="EU38" i="21" s="1"/>
  <c r="FX38" i="21" s="1"/>
  <c r="FG41" i="33"/>
  <c r="FI41" i="33" s="1"/>
  <c r="FG11" i="33"/>
  <c r="FI11" i="33" s="1"/>
  <c r="FG20" i="21"/>
  <c r="FI20" i="21" s="1"/>
  <c r="FF19" i="21"/>
  <c r="EU19" i="21" s="1"/>
  <c r="FF27" i="21"/>
  <c r="EU27" i="21" s="1"/>
  <c r="FX27" i="21" s="1"/>
  <c r="FF10" i="21"/>
  <c r="EU10" i="21" s="1"/>
  <c r="FG19" i="21"/>
  <c r="FI19" i="21" s="1"/>
  <c r="FU14" i="21"/>
  <c r="FV14" i="21" s="1"/>
  <c r="FF16" i="21"/>
  <c r="EU16" i="21" s="1"/>
  <c r="FF25" i="33"/>
  <c r="EU25" i="33" s="1"/>
  <c r="HP32" i="20"/>
  <c r="HR32" i="20" s="1"/>
  <c r="IH33" i="20"/>
  <c r="II33" i="20" s="1"/>
  <c r="FU13" i="21"/>
  <c r="FV13" i="21" s="1"/>
  <c r="FF15" i="21"/>
  <c r="EU15" i="21" s="1"/>
  <c r="EH31" i="8"/>
  <c r="EI31" i="8" s="1"/>
  <c r="DS27" i="8"/>
  <c r="DH27" i="8" s="1"/>
  <c r="DS31" i="8"/>
  <c r="DH31" i="8" s="1"/>
  <c r="DT38" i="8"/>
  <c r="DV38" i="8" s="1"/>
  <c r="HP33" i="20"/>
  <c r="HR33" i="20" s="1"/>
  <c r="IH39" i="20"/>
  <c r="II39" i="20" s="1"/>
  <c r="FG31" i="33"/>
  <c r="FI31" i="33" s="1"/>
  <c r="FU34" i="33"/>
  <c r="FV34" i="33" s="1"/>
  <c r="FZ38" i="33"/>
  <c r="FF20" i="33"/>
  <c r="EU20" i="33" s="1"/>
  <c r="FF20" i="21"/>
  <c r="EU20" i="21" s="1"/>
  <c r="FG24" i="21"/>
  <c r="FI24" i="21" s="1"/>
  <c r="FX24" i="21" s="1"/>
  <c r="FF36" i="21"/>
  <c r="EU36" i="21" s="1"/>
  <c r="FX36" i="21" s="1"/>
  <c r="FF26" i="21"/>
  <c r="EU26" i="21" s="1"/>
  <c r="FF15" i="33"/>
  <c r="EU15" i="33" s="1"/>
  <c r="HO21" i="20"/>
  <c r="HA21" i="20" s="1"/>
  <c r="HO37" i="20"/>
  <c r="HA37" i="20" s="1"/>
  <c r="HO39" i="20"/>
  <c r="HA39" i="20" s="1"/>
  <c r="IH40" i="20"/>
  <c r="II40" i="20" s="1"/>
  <c r="FF9" i="21"/>
  <c r="EU9" i="21" s="1"/>
  <c r="DS33" i="8"/>
  <c r="DH33" i="8" s="1"/>
  <c r="EH13" i="8"/>
  <c r="EI13" i="8" s="1"/>
  <c r="DS25" i="8"/>
  <c r="DH25" i="8" s="1"/>
  <c r="EH25" i="8"/>
  <c r="EI25" i="8" s="1"/>
  <c r="DS35" i="8"/>
  <c r="DH35" i="8" s="1"/>
  <c r="DS32" i="8"/>
  <c r="DH32" i="8" s="1"/>
  <c r="EH36" i="8"/>
  <c r="EI36" i="8" s="1"/>
  <c r="DT18" i="8"/>
  <c r="DV18" i="8" s="1"/>
  <c r="EH15" i="8"/>
  <c r="EI15" i="8" s="1"/>
  <c r="EH23" i="8"/>
  <c r="EI23" i="8" s="1"/>
  <c r="EK23" i="8" s="1"/>
  <c r="EH17" i="8"/>
  <c r="EI17" i="8" s="1"/>
  <c r="DS17" i="8"/>
  <c r="DH17" i="8" s="1"/>
  <c r="DT14" i="8"/>
  <c r="DV14" i="8" s="1"/>
  <c r="DS40" i="8"/>
  <c r="DH40" i="8" s="1"/>
  <c r="EH40" i="8"/>
  <c r="EI40" i="8" s="1"/>
  <c r="DT29" i="8"/>
  <c r="DV29" i="8" s="1"/>
  <c r="DS13" i="8"/>
  <c r="DH13" i="8" s="1"/>
  <c r="EH42" i="8"/>
  <c r="EI42" i="8" s="1"/>
  <c r="DT31" i="8"/>
  <c r="DV31" i="8" s="1"/>
  <c r="DS20" i="8"/>
  <c r="DH20" i="8" s="1"/>
  <c r="DS21" i="8"/>
  <c r="DH21" i="8" s="1"/>
  <c r="EH41" i="8"/>
  <c r="EI41" i="8" s="1"/>
  <c r="EH12" i="8"/>
  <c r="EI12" i="8" s="1"/>
  <c r="EH37" i="8"/>
  <c r="EI37" i="8" s="1"/>
  <c r="EK37" i="8" s="1"/>
  <c r="DS36" i="8"/>
  <c r="DH36" i="8" s="1"/>
  <c r="EK36" i="8" s="1"/>
  <c r="EH26" i="8"/>
  <c r="EI26" i="8" s="1"/>
  <c r="DS19" i="8"/>
  <c r="DH19" i="8" s="1"/>
  <c r="DS30" i="8"/>
  <c r="DH30" i="8" s="1"/>
  <c r="FG25" i="19"/>
  <c r="FI25" i="19" s="1"/>
  <c r="FF37" i="19"/>
  <c r="EU37" i="19" s="1"/>
  <c r="FG21" i="35"/>
  <c r="FI21" i="35" s="1"/>
  <c r="HO40" i="20"/>
  <c r="HA40" i="20" s="1"/>
  <c r="FX41" i="33"/>
  <c r="FF27" i="33"/>
  <c r="EU27" i="33" s="1"/>
  <c r="FX23" i="33"/>
  <c r="FU21" i="21"/>
  <c r="FV21" i="21" s="1"/>
  <c r="FX30" i="21"/>
  <c r="FX31" i="21"/>
  <c r="FX28" i="21"/>
  <c r="FF22" i="21"/>
  <c r="EU22" i="21" s="1"/>
  <c r="FF31" i="33"/>
  <c r="EU31" i="33" s="1"/>
  <c r="HO31" i="20"/>
  <c r="HA31" i="20" s="1"/>
  <c r="IL31" i="20" s="1"/>
  <c r="FG13" i="21"/>
  <c r="FI13" i="21" s="1"/>
  <c r="FF23" i="21"/>
  <c r="EU23" i="21" s="1"/>
  <c r="FX23" i="21" s="1"/>
  <c r="FF24" i="33"/>
  <c r="EU24" i="33" s="1"/>
  <c r="EH30" i="8"/>
  <c r="EI30" i="8" s="1"/>
  <c r="HP30" i="20"/>
  <c r="HR30" i="20" s="1"/>
  <c r="FG37" i="33"/>
  <c r="FI37" i="33" s="1"/>
  <c r="FX37" i="33" s="1"/>
  <c r="DR37" i="33" s="1"/>
  <c r="FU37" i="33"/>
  <c r="FV37" i="33" s="1"/>
  <c r="FF34" i="33"/>
  <c r="EU34" i="33" s="1"/>
  <c r="FY34" i="33" s="1"/>
  <c r="FF21" i="21"/>
  <c r="EU21" i="21" s="1"/>
  <c r="FF41" i="21"/>
  <c r="EU41" i="21" s="1"/>
  <c r="FX41" i="21" s="1"/>
  <c r="FG18" i="21"/>
  <c r="FI18" i="21" s="1"/>
  <c r="FF13" i="33"/>
  <c r="EU13" i="33" s="1"/>
  <c r="HO14" i="20"/>
  <c r="HA14" i="20" s="1"/>
  <c r="IH37" i="20"/>
  <c r="II37" i="20" s="1"/>
  <c r="FU10" i="33"/>
  <c r="FV10" i="33" s="1"/>
  <c r="FF22" i="33"/>
  <c r="EU22" i="33" s="1"/>
  <c r="FY22" i="33" s="1"/>
  <c r="EH27" i="8"/>
  <c r="EI27" i="8" s="1"/>
  <c r="DS38" i="8"/>
  <c r="DH38" i="8" s="1"/>
  <c r="EH16" i="8"/>
  <c r="EI16" i="8" s="1"/>
  <c r="IL26" i="20"/>
  <c r="FG40" i="21"/>
  <c r="FI40" i="21" s="1"/>
  <c r="FX40" i="21" s="1"/>
  <c r="DR40" i="21" s="1"/>
  <c r="HO34" i="20"/>
  <c r="HA34" i="20" s="1"/>
  <c r="IL34" i="20" s="1"/>
  <c r="FG11" i="21"/>
  <c r="FI11" i="21" s="1"/>
  <c r="DS15" i="8"/>
  <c r="DH15" i="8" s="1"/>
  <c r="HO10" i="20"/>
  <c r="HA10" i="20" s="1"/>
  <c r="HO18" i="20"/>
  <c r="HA18" i="20" s="1"/>
  <c r="FU13" i="33"/>
  <c r="FV13" i="33" s="1"/>
  <c r="FU30" i="33"/>
  <c r="FV30" i="33" s="1"/>
  <c r="FF17" i="33"/>
  <c r="EU17" i="33" s="1"/>
  <c r="FU19" i="33"/>
  <c r="FV19" i="33" s="1"/>
  <c r="FG42" i="33"/>
  <c r="FI42" i="33" s="1"/>
  <c r="FX42" i="33" s="1"/>
  <c r="FG25" i="21"/>
  <c r="FI25" i="21" s="1"/>
  <c r="FX25" i="21" s="1"/>
  <c r="FX32" i="21"/>
  <c r="FG35" i="21"/>
  <c r="FI35" i="21" s="1"/>
  <c r="FX35" i="21" s="1"/>
  <c r="FG39" i="21"/>
  <c r="FI39" i="21" s="1"/>
  <c r="HO28" i="20"/>
  <c r="HA28" i="20" s="1"/>
  <c r="IL28" i="20" s="1"/>
  <c r="HO32" i="20"/>
  <c r="HA32" i="20" s="1"/>
  <c r="IL32" i="20" s="1"/>
  <c r="HO42" i="20"/>
  <c r="HA42" i="20" s="1"/>
  <c r="IL42" i="20" s="1"/>
  <c r="FG15" i="21"/>
  <c r="FI15" i="21" s="1"/>
  <c r="DS14" i="8"/>
  <c r="DH14" i="8" s="1"/>
  <c r="DT33" i="8"/>
  <c r="DV33" i="8" s="1"/>
  <c r="DS24" i="8"/>
  <c r="DH24" i="8" s="1"/>
  <c r="DT16" i="8"/>
  <c r="DV16" i="8" s="1"/>
  <c r="HO22" i="20"/>
  <c r="HA22" i="20" s="1"/>
  <c r="IH23" i="20"/>
  <c r="II23" i="20" s="1"/>
  <c r="FX29" i="33"/>
  <c r="FF36" i="33"/>
  <c r="EU36" i="33" s="1"/>
  <c r="FY36" i="33" s="1"/>
  <c r="FU34" i="21"/>
  <c r="FV34" i="21" s="1"/>
  <c r="FF42" i="21"/>
  <c r="EU42" i="21" s="1"/>
  <c r="FX42" i="21" s="1"/>
  <c r="FF39" i="21"/>
  <c r="EU39" i="21" s="1"/>
  <c r="FX39" i="21" s="1"/>
  <c r="FF12" i="21"/>
  <c r="EU12" i="21" s="1"/>
  <c r="FG26" i="21"/>
  <c r="FI26" i="21" s="1"/>
  <c r="FU31" i="33"/>
  <c r="FV31" i="33" s="1"/>
  <c r="FF33" i="33"/>
  <c r="EU33" i="33" s="1"/>
  <c r="FY33" i="33" s="1"/>
  <c r="HO12" i="20"/>
  <c r="HA12" i="20" s="1"/>
  <c r="HO35" i="20"/>
  <c r="HA35" i="20" s="1"/>
  <c r="HP35" i="20"/>
  <c r="HR35" i="20" s="1"/>
  <c r="HP39" i="20"/>
  <c r="HR39" i="20" s="1"/>
  <c r="IL39" i="20" s="1"/>
  <c r="HP41" i="20"/>
  <c r="HR41" i="20" s="1"/>
  <c r="HO41" i="20"/>
  <c r="HA41" i="20" s="1"/>
  <c r="EH20" i="8"/>
  <c r="EI20" i="8" s="1"/>
  <c r="EH34" i="8"/>
  <c r="EI34" i="8" s="1"/>
  <c r="DS41" i="8"/>
  <c r="DH41" i="8" s="1"/>
  <c r="EK41" i="8" s="1"/>
  <c r="DT27" i="8"/>
  <c r="DV27" i="8" s="1"/>
  <c r="DS12" i="8"/>
  <c r="DH12" i="8" s="1"/>
  <c r="EH18" i="8"/>
  <c r="EI18" i="8" s="1"/>
  <c r="EH38" i="8"/>
  <c r="EI38" i="8" s="1"/>
  <c r="EH19" i="8"/>
  <c r="EI19" i="8" s="1"/>
  <c r="DT17" i="8"/>
  <c r="DV17" i="8" s="1"/>
  <c r="EH24" i="8"/>
  <c r="EI24" i="8" s="1"/>
  <c r="EH39" i="8"/>
  <c r="EI39" i="8" s="1"/>
  <c r="DT28" i="8"/>
  <c r="DV28" i="8" s="1"/>
  <c r="DS16" i="8"/>
  <c r="DH16" i="8" s="1"/>
  <c r="DS22" i="8"/>
  <c r="DH22" i="8" s="1"/>
  <c r="EH35" i="8"/>
  <c r="EI35" i="8" s="1"/>
  <c r="EH32" i="8"/>
  <c r="EI32" i="8" s="1"/>
  <c r="DS26" i="8"/>
  <c r="DH26" i="8" s="1"/>
  <c r="EK26" i="8" s="1"/>
  <c r="EH33" i="8"/>
  <c r="EI33" i="8" s="1"/>
  <c r="DT15" i="8"/>
  <c r="DV15" i="8" s="1"/>
  <c r="DS42" i="8"/>
  <c r="DH42" i="8" s="1"/>
  <c r="EK42" i="8" s="1"/>
  <c r="EH29" i="8"/>
  <c r="EI29" i="8" s="1"/>
  <c r="EK29" i="8" s="1"/>
  <c r="DS11" i="8"/>
  <c r="DH11" i="8" s="1"/>
  <c r="EH11" i="8"/>
  <c r="EI11" i="8" s="1"/>
  <c r="DS8" i="8"/>
  <c r="DH8" i="8" s="1"/>
  <c r="JW8" i="25"/>
  <c r="JX8" i="25" s="1"/>
  <c r="JW9" i="25"/>
  <c r="JX9" i="25" s="1"/>
  <c r="JY9" i="25" s="1"/>
  <c r="ES9" i="25" s="1"/>
  <c r="AD11" i="10" s="1"/>
  <c r="FU8" i="21"/>
  <c r="FV8" i="21" s="1"/>
  <c r="FF8" i="21"/>
  <c r="EU8" i="21" s="1"/>
  <c r="FU27" i="35"/>
  <c r="FV27" i="35" s="1"/>
  <c r="FU23" i="35"/>
  <c r="FV23" i="35" s="1"/>
  <c r="FG27" i="35"/>
  <c r="FI27" i="35" s="1"/>
  <c r="FZ39" i="35"/>
  <c r="FF12" i="35"/>
  <c r="EU12" i="35" s="1"/>
  <c r="GI12" i="35" s="1"/>
  <c r="FG9" i="35"/>
  <c r="FI9" i="35" s="1"/>
  <c r="FG14" i="35"/>
  <c r="FI14" i="35" s="1"/>
  <c r="FU12" i="35"/>
  <c r="FV12" i="35" s="1"/>
  <c r="FU28" i="35"/>
  <c r="FV28" i="35" s="1"/>
  <c r="FF21" i="35"/>
  <c r="EU21" i="35" s="1"/>
  <c r="FY21" i="35" s="1"/>
  <c r="FG30" i="35"/>
  <c r="FI30" i="35" s="1"/>
  <c r="GA17" i="35"/>
  <c r="FG42" i="35"/>
  <c r="FI42" i="35" s="1"/>
  <c r="GA18" i="35"/>
  <c r="FF32" i="35"/>
  <c r="EU32" i="35" s="1"/>
  <c r="FY32" i="35" s="1"/>
  <c r="GE32" i="35" s="1"/>
  <c r="GH32" i="35" s="1"/>
  <c r="FU39" i="35"/>
  <c r="FV39" i="35" s="1"/>
  <c r="FF20" i="35"/>
  <c r="EU20" i="35" s="1"/>
  <c r="GI20" i="35" s="1"/>
  <c r="FF38" i="35"/>
  <c r="EU38" i="35" s="1"/>
  <c r="FY38" i="35" s="1"/>
  <c r="GE38" i="35" s="1"/>
  <c r="GH38" i="35" s="1"/>
  <c r="FU19" i="35"/>
  <c r="FV19" i="35" s="1"/>
  <c r="FF37" i="35"/>
  <c r="EU37" i="35" s="1"/>
  <c r="FG26" i="35"/>
  <c r="FI26" i="35" s="1"/>
  <c r="FF39" i="35"/>
  <c r="EU39" i="35" s="1"/>
  <c r="FY39" i="35" s="1"/>
  <c r="GE39" i="35" s="1"/>
  <c r="GH39" i="35" s="1"/>
  <c r="FF23" i="35"/>
  <c r="EU23" i="35" s="1"/>
  <c r="FY23" i="35" s="1"/>
  <c r="GE23" i="35" s="1"/>
  <c r="GH23" i="35" s="1"/>
  <c r="FF28" i="35"/>
  <c r="EU28" i="35" s="1"/>
  <c r="FY28" i="35" s="1"/>
  <c r="GE28" i="35" s="1"/>
  <c r="GH28" i="35" s="1"/>
  <c r="FG22" i="35"/>
  <c r="FI22" i="35" s="1"/>
  <c r="FF22" i="35"/>
  <c r="EU22" i="35" s="1"/>
  <c r="GI22" i="35" s="1"/>
  <c r="FZ31" i="35"/>
  <c r="FU21" i="35"/>
  <c r="FV21" i="35" s="1"/>
  <c r="FG36" i="35"/>
  <c r="FI36" i="35" s="1"/>
  <c r="FG19" i="35"/>
  <c r="FI19" i="35" s="1"/>
  <c r="FU11" i="35"/>
  <c r="FV11" i="35" s="1"/>
  <c r="FX11" i="35" s="1"/>
  <c r="DR11" i="35" s="1"/>
  <c r="FU35" i="35"/>
  <c r="FV35" i="35" s="1"/>
  <c r="FF25" i="35"/>
  <c r="EU25" i="35" s="1"/>
  <c r="FY25" i="35" s="1"/>
  <c r="FF34" i="35"/>
  <c r="EU34" i="35" s="1"/>
  <c r="FF29" i="35"/>
  <c r="EU29" i="35" s="1"/>
  <c r="FY29" i="35" s="1"/>
  <c r="FG29" i="35"/>
  <c r="FI29" i="35" s="1"/>
  <c r="FG35" i="35"/>
  <c r="FI35" i="35" s="1"/>
  <c r="FZ40" i="35"/>
  <c r="FY41" i="35"/>
  <c r="FY37" i="35"/>
  <c r="GE37" i="35" s="1"/>
  <c r="GH37" i="35" s="1"/>
  <c r="GI23" i="35"/>
  <c r="FY36" i="35"/>
  <c r="GI27" i="35"/>
  <c r="FY27" i="35"/>
  <c r="GE27" i="35" s="1"/>
  <c r="GH27" i="35" s="1"/>
  <c r="FY34" i="35"/>
  <c r="FU25" i="35"/>
  <c r="FV25" i="35" s="1"/>
  <c r="FU22" i="35"/>
  <c r="FV22" i="35" s="1"/>
  <c r="FU34" i="35"/>
  <c r="FV34" i="35" s="1"/>
  <c r="FZ24" i="35"/>
  <c r="FZ16" i="35"/>
  <c r="FG16" i="35"/>
  <c r="FI16" i="35" s="1"/>
  <c r="FG25" i="35"/>
  <c r="FI25" i="35" s="1"/>
  <c r="FF15" i="35"/>
  <c r="EU15" i="35" s="1"/>
  <c r="GI15" i="35" s="1"/>
  <c r="FG34" i="35"/>
  <c r="FI34" i="35" s="1"/>
  <c r="FG37" i="35"/>
  <c r="FI37" i="35" s="1"/>
  <c r="FF26" i="35"/>
  <c r="EU26" i="35" s="1"/>
  <c r="FG12" i="35"/>
  <c r="FI12" i="35" s="1"/>
  <c r="FF30" i="35"/>
  <c r="EU30" i="35" s="1"/>
  <c r="FU16" i="35"/>
  <c r="FV16" i="35" s="1"/>
  <c r="GA34" i="35"/>
  <c r="FY24" i="35"/>
  <c r="GE24" i="35" s="1"/>
  <c r="GH24" i="35" s="1"/>
  <c r="GA36" i="35"/>
  <c r="FZ32" i="35"/>
  <c r="FZ9" i="35"/>
  <c r="FF31" i="35"/>
  <c r="EU31" i="35" s="1"/>
  <c r="FF40" i="35"/>
  <c r="EU40" i="35" s="1"/>
  <c r="FF16" i="35"/>
  <c r="EU16" i="35" s="1"/>
  <c r="FG32" i="35"/>
  <c r="FI32" i="35" s="1"/>
  <c r="FX32" i="35" s="1"/>
  <c r="DR32" i="35" s="1"/>
  <c r="FU40" i="35"/>
  <c r="FV40" i="35" s="1"/>
  <c r="FU41" i="35"/>
  <c r="FV41" i="35" s="1"/>
  <c r="FF14" i="35"/>
  <c r="EU14" i="35" s="1"/>
  <c r="FU33" i="35"/>
  <c r="FV33" i="35" s="1"/>
  <c r="FX33" i="35" s="1"/>
  <c r="FU20" i="35"/>
  <c r="FV20" i="35" s="1"/>
  <c r="FG41" i="35"/>
  <c r="FI41" i="35" s="1"/>
  <c r="FX41" i="35" s="1"/>
  <c r="FG17" i="35"/>
  <c r="FI17" i="35" s="1"/>
  <c r="FU9" i="35"/>
  <c r="FV9" i="35" s="1"/>
  <c r="FG18" i="35"/>
  <c r="FI18" i="35" s="1"/>
  <c r="FG40" i="35"/>
  <c r="FI40" i="35" s="1"/>
  <c r="FU14" i="35"/>
  <c r="FV14" i="35" s="1"/>
  <c r="FU42" i="35"/>
  <c r="FV42" i="35" s="1"/>
  <c r="FU13" i="35"/>
  <c r="FV13" i="35" s="1"/>
  <c r="FX13" i="35" s="1"/>
  <c r="DR13" i="35" s="1"/>
  <c r="FY33" i="35"/>
  <c r="GE33" i="35" s="1"/>
  <c r="GH33" i="35" s="1"/>
  <c r="FF19" i="35"/>
  <c r="EU19" i="35" s="1"/>
  <c r="FY19" i="35" s="1"/>
  <c r="FU26" i="35"/>
  <c r="FV26" i="35" s="1"/>
  <c r="FG39" i="35"/>
  <c r="FI39" i="35" s="1"/>
  <c r="FF17" i="35"/>
  <c r="EU17" i="35" s="1"/>
  <c r="FF42" i="35"/>
  <c r="EU42" i="35" s="1"/>
  <c r="FG31" i="35"/>
  <c r="FI31" i="35" s="1"/>
  <c r="FU37" i="35"/>
  <c r="FV37" i="35" s="1"/>
  <c r="FZ19" i="35"/>
  <c r="GA12" i="35"/>
  <c r="FF9" i="35"/>
  <c r="EU9" i="35" s="1"/>
  <c r="FG20" i="35"/>
  <c r="FI20" i="35" s="1"/>
  <c r="FG15" i="35"/>
  <c r="FI15" i="35" s="1"/>
  <c r="FU30" i="35"/>
  <c r="FV30" i="35" s="1"/>
  <c r="FG23" i="35"/>
  <c r="FI23" i="35" s="1"/>
  <c r="FF35" i="35"/>
  <c r="EU35" i="35" s="1"/>
  <c r="FG28" i="35"/>
  <c r="FI28" i="35" s="1"/>
  <c r="FU36" i="35"/>
  <c r="FV36" i="35" s="1"/>
  <c r="FU17" i="35"/>
  <c r="FV17" i="35" s="1"/>
  <c r="FU24" i="35"/>
  <c r="FV24" i="35" s="1"/>
  <c r="FU10" i="35"/>
  <c r="FV10" i="35" s="1"/>
  <c r="FF18" i="35"/>
  <c r="EU18" i="35" s="1"/>
  <c r="FU38" i="35"/>
  <c r="FV38" i="35" s="1"/>
  <c r="FU31" i="35"/>
  <c r="FV31" i="35" s="1"/>
  <c r="FU29" i="35"/>
  <c r="FV29" i="35" s="1"/>
  <c r="FG24" i="35"/>
  <c r="FI24" i="35" s="1"/>
  <c r="FF8" i="35"/>
  <c r="EU8" i="35" s="1"/>
  <c r="FG9" i="33"/>
  <c r="FI9" i="33" s="1"/>
  <c r="FG8" i="33"/>
  <c r="FI8" i="33" s="1"/>
  <c r="FF9" i="33"/>
  <c r="EU9" i="33" s="1"/>
  <c r="FZ9" i="33"/>
  <c r="FU9" i="33"/>
  <c r="FV9" i="33" s="1"/>
  <c r="FU8" i="33"/>
  <c r="FV8" i="33" s="1"/>
  <c r="FF8" i="33"/>
  <c r="EU8" i="33" s="1"/>
  <c r="HO8" i="20"/>
  <c r="HA8" i="20" s="1"/>
  <c r="FG8" i="19"/>
  <c r="FI8" i="19" s="1"/>
  <c r="FU8" i="19"/>
  <c r="FV8" i="19" s="1"/>
  <c r="FF8" i="19"/>
  <c r="EU8" i="19" s="1"/>
  <c r="FU35" i="19"/>
  <c r="FV35" i="19" s="1"/>
  <c r="FU11" i="19"/>
  <c r="FV11" i="19" s="1"/>
  <c r="FF17" i="19"/>
  <c r="EU17" i="19" s="1"/>
  <c r="FG33" i="19"/>
  <c r="FI33" i="19" s="1"/>
  <c r="FG11" i="19"/>
  <c r="FI11" i="19" s="1"/>
  <c r="FG27" i="19"/>
  <c r="FI27" i="19" s="1"/>
  <c r="FF25" i="19"/>
  <c r="EU25" i="19" s="1"/>
  <c r="FU19" i="19"/>
  <c r="FV19" i="19" s="1"/>
  <c r="FF18" i="19"/>
  <c r="EU18" i="19" s="1"/>
  <c r="FG29" i="19"/>
  <c r="FI29" i="19" s="1"/>
  <c r="FG37" i="19"/>
  <c r="FI37" i="19" s="1"/>
  <c r="FG42" i="19"/>
  <c r="FI42" i="19" s="1"/>
  <c r="FG18" i="19"/>
  <c r="FI18" i="19" s="1"/>
  <c r="FU42" i="19"/>
  <c r="FV42" i="19" s="1"/>
  <c r="FF12" i="19"/>
  <c r="EU12" i="19" s="1"/>
  <c r="FU21" i="19"/>
  <c r="FV21" i="19" s="1"/>
  <c r="FU20" i="19"/>
  <c r="FV20" i="19" s="1"/>
  <c r="FU16" i="19"/>
  <c r="FV16" i="19" s="1"/>
  <c r="FF39" i="19"/>
  <c r="EU39" i="19" s="1"/>
  <c r="FF27" i="19"/>
  <c r="EU27" i="19" s="1"/>
  <c r="FG13" i="19"/>
  <c r="FI13" i="19" s="1"/>
  <c r="FG21" i="19"/>
  <c r="FI21" i="19" s="1"/>
  <c r="FG12" i="19"/>
  <c r="FI12" i="19" s="1"/>
  <c r="FU14" i="19"/>
  <c r="FV14" i="19" s="1"/>
  <c r="FF42" i="19"/>
  <c r="EU42" i="19" s="1"/>
  <c r="FF35" i="19"/>
  <c r="EU35" i="19" s="1"/>
  <c r="FF21" i="19"/>
  <c r="EU21" i="19" s="1"/>
  <c r="FF22" i="19"/>
  <c r="EU22" i="19" s="1"/>
  <c r="FU40" i="19"/>
  <c r="FV40" i="19" s="1"/>
  <c r="FF28" i="19"/>
  <c r="EU28" i="19" s="1"/>
  <c r="FF31" i="19"/>
  <c r="EU31" i="19" s="1"/>
  <c r="FF34" i="19"/>
  <c r="EU34" i="19" s="1"/>
  <c r="FG20" i="19"/>
  <c r="FI20" i="19" s="1"/>
  <c r="FF20" i="19"/>
  <c r="EU20" i="19" s="1"/>
  <c r="FF13" i="19"/>
  <c r="EU13" i="19" s="1"/>
  <c r="FG40" i="19"/>
  <c r="FI40" i="19" s="1"/>
  <c r="FF29" i="19"/>
  <c r="EU29" i="19" s="1"/>
  <c r="FF38" i="19"/>
  <c r="EU38" i="19" s="1"/>
  <c r="FF32" i="19"/>
  <c r="EU32" i="19" s="1"/>
  <c r="FF16" i="19"/>
  <c r="EU16" i="19" s="1"/>
  <c r="FU39" i="19"/>
  <c r="FV39" i="19" s="1"/>
  <c r="FU28" i="19"/>
  <c r="FV28" i="19" s="1"/>
  <c r="FU31" i="19"/>
  <c r="FV31" i="19" s="1"/>
  <c r="FU13" i="19"/>
  <c r="FV13" i="19" s="1"/>
  <c r="FG39" i="19"/>
  <c r="FI39" i="19" s="1"/>
  <c r="FF33" i="19"/>
  <c r="EU33" i="19" s="1"/>
  <c r="FG22" i="19"/>
  <c r="FI22" i="19" s="1"/>
  <c r="FU34" i="19"/>
  <c r="FV34" i="19" s="1"/>
  <c r="FU29" i="19"/>
  <c r="FV29" i="19" s="1"/>
  <c r="FU30" i="19"/>
  <c r="FV30" i="19" s="1"/>
  <c r="FG28" i="19"/>
  <c r="FI28" i="19" s="1"/>
  <c r="FG34" i="19"/>
  <c r="FI34" i="19" s="1"/>
  <c r="FF41" i="19"/>
  <c r="EU41" i="19" s="1"/>
  <c r="FF11" i="19"/>
  <c r="EU11" i="19" s="1"/>
  <c r="FU37" i="19"/>
  <c r="FV37" i="19" s="1"/>
  <c r="FX37" i="19" s="1"/>
  <c r="DR37" i="19" s="1"/>
  <c r="FF10" i="19"/>
  <c r="EU10" i="19" s="1"/>
  <c r="FF23" i="19"/>
  <c r="EU23" i="19" s="1"/>
  <c r="FF19" i="19"/>
  <c r="EU19" i="19" s="1"/>
  <c r="FG16" i="19"/>
  <c r="FI16" i="19" s="1"/>
  <c r="FU22" i="19"/>
  <c r="FV22" i="19" s="1"/>
  <c r="FF30" i="19"/>
  <c r="EU30" i="19" s="1"/>
  <c r="FU12" i="19"/>
  <c r="FV12" i="19" s="1"/>
  <c r="FG36" i="19"/>
  <c r="FI36" i="19" s="1"/>
  <c r="FF40" i="19"/>
  <c r="EU40" i="19" s="1"/>
  <c r="FF24" i="19"/>
  <c r="EU24" i="19" s="1"/>
  <c r="FU41" i="19"/>
  <c r="FV41" i="19" s="1"/>
  <c r="FG26" i="19"/>
  <c r="FI26" i="19" s="1"/>
  <c r="FU24" i="19"/>
  <c r="FV24" i="19" s="1"/>
  <c r="FG24" i="19"/>
  <c r="FI24" i="19" s="1"/>
  <c r="FU27" i="19"/>
  <c r="FV27" i="19" s="1"/>
  <c r="FG35" i="19"/>
  <c r="FI35" i="19" s="1"/>
  <c r="FG17" i="19"/>
  <c r="FI17" i="19" s="1"/>
  <c r="FU10" i="19"/>
  <c r="FV10" i="19" s="1"/>
  <c r="FG14" i="19"/>
  <c r="FI14" i="19" s="1"/>
  <c r="FF14" i="19"/>
  <c r="EU14" i="19" s="1"/>
  <c r="FF36" i="19"/>
  <c r="EU36" i="19" s="1"/>
  <c r="FU33" i="19"/>
  <c r="FV33" i="19" s="1"/>
  <c r="FF26" i="19"/>
  <c r="EU26" i="19" s="1"/>
  <c r="FU32" i="19"/>
  <c r="FV32" i="19" s="1"/>
  <c r="FG10" i="19"/>
  <c r="FI10" i="19" s="1"/>
  <c r="FU26" i="19"/>
  <c r="FV26" i="19" s="1"/>
  <c r="FU36" i="19"/>
  <c r="FV36" i="19" s="1"/>
  <c r="FG38" i="19"/>
  <c r="FI38" i="19" s="1"/>
  <c r="FG32" i="19"/>
  <c r="FI32" i="19" s="1"/>
  <c r="FU17" i="19"/>
  <c r="FV17" i="19" s="1"/>
  <c r="FU25" i="19"/>
  <c r="FV25" i="19" s="1"/>
  <c r="FU15" i="19"/>
  <c r="FV15" i="19" s="1"/>
  <c r="FU18" i="19"/>
  <c r="FV18" i="19" s="1"/>
  <c r="FU23" i="19"/>
  <c r="FV23" i="19" s="1"/>
  <c r="FG30" i="19"/>
  <c r="FI30" i="19" s="1"/>
  <c r="FU38" i="19"/>
  <c r="FV38" i="19" s="1"/>
  <c r="FF9" i="19"/>
  <c r="EU9" i="19" s="1"/>
  <c r="FG9" i="19"/>
  <c r="FI9" i="19" s="1"/>
  <c r="FU9" i="19"/>
  <c r="FV9" i="19" s="1"/>
  <c r="DS10" i="8"/>
  <c r="DH10" i="8" s="1"/>
  <c r="EH10" i="8"/>
  <c r="EI10" i="8" s="1"/>
  <c r="DT10" i="8"/>
  <c r="DV10" i="8" s="1"/>
  <c r="DT9" i="8"/>
  <c r="DV9" i="8" s="1"/>
  <c r="EH9" i="8"/>
  <c r="EI9" i="8" s="1"/>
  <c r="DS9" i="8"/>
  <c r="DH9" i="8" s="1"/>
  <c r="E23" i="37"/>
  <c r="DR28" i="33"/>
  <c r="DR31" i="21"/>
  <c r="DR41" i="21"/>
  <c r="GA29" i="35"/>
  <c r="IJ8" i="27"/>
  <c r="II8" i="27"/>
  <c r="IK8" i="27"/>
  <c r="IF8" i="27"/>
  <c r="IH8" i="27"/>
  <c r="IE8" i="27"/>
  <c r="IG8" i="27"/>
  <c r="FR24" i="20"/>
  <c r="IZ8" i="27"/>
  <c r="IY8" i="27"/>
  <c r="IU8" i="27"/>
  <c r="IW8" i="27"/>
  <c r="IX8" i="27"/>
  <c r="IV8" i="27"/>
  <c r="IT8" i="27"/>
  <c r="FU8" i="35"/>
  <c r="FV8" i="35" s="1"/>
  <c r="JL6" i="25"/>
  <c r="JW14" i="25" s="1"/>
  <c r="JX14" i="25" s="1"/>
  <c r="JY14" i="25" s="1"/>
  <c r="ES14" i="25" s="1"/>
  <c r="AD16" i="10" s="1"/>
  <c r="JI8" i="25"/>
  <c r="HQ6" i="7"/>
  <c r="HL8" i="7"/>
  <c r="HM8" i="7" s="1"/>
  <c r="GC42" i="25"/>
  <c r="AD44" i="10" s="1"/>
  <c r="EJ6" i="21"/>
  <c r="DX7" i="21"/>
  <c r="FG8" i="21"/>
  <c r="DU7" i="21"/>
  <c r="EG6" i="21"/>
  <c r="EI6" i="21"/>
  <c r="DW7" i="21"/>
  <c r="DR23" i="21"/>
  <c r="EL6" i="21"/>
  <c r="DZ7" i="21"/>
  <c r="EH6" i="21"/>
  <c r="DV7" i="21"/>
  <c r="DY7" i="21"/>
  <c r="EK6" i="21"/>
  <c r="FZ25" i="35"/>
  <c r="FZ21" i="35"/>
  <c r="FG8" i="35"/>
  <c r="FI8" i="35" s="1"/>
  <c r="GI26" i="35"/>
  <c r="FZ22" i="33"/>
  <c r="GA20" i="33"/>
  <c r="FZ16" i="33"/>
  <c r="GI14" i="33"/>
  <c r="GI21" i="33"/>
  <c r="GI24" i="33"/>
  <c r="GE7" i="20"/>
  <c r="EG6" i="19"/>
  <c r="DU7" i="19"/>
  <c r="DW7" i="19"/>
  <c r="EI6" i="19"/>
  <c r="EJ6" i="19"/>
  <c r="DX7" i="19"/>
  <c r="DV7" i="19"/>
  <c r="EH6" i="19"/>
  <c r="CI7" i="8"/>
  <c r="CU6" i="8"/>
  <c r="CT6" i="8"/>
  <c r="CH7" i="8"/>
  <c r="CK7" i="8"/>
  <c r="CW6" i="8"/>
  <c r="CJ7" i="8"/>
  <c r="CV6" i="8"/>
  <c r="EH8" i="8"/>
  <c r="EI8" i="8" s="1"/>
  <c r="DT8" i="8"/>
  <c r="DV8" i="8" s="1"/>
  <c r="W7" i="26"/>
  <c r="AI7" i="26" s="1"/>
  <c r="AU7" i="26" s="1"/>
  <c r="X7" i="26"/>
  <c r="AJ7" i="26" s="1"/>
  <c r="AV7" i="26" s="1"/>
  <c r="V7" i="26"/>
  <c r="AH7" i="26" s="1"/>
  <c r="AT7" i="26" s="1"/>
  <c r="GE18" i="33"/>
  <c r="GH18" i="33" s="1"/>
  <c r="GE28" i="33"/>
  <c r="GH28" i="33" s="1"/>
  <c r="GE34" i="33"/>
  <c r="GH34" i="33" s="1"/>
  <c r="GE40" i="33"/>
  <c r="GH40" i="33" s="1"/>
  <c r="GE14" i="33"/>
  <c r="GH14" i="33" s="1"/>
  <c r="GE29" i="33"/>
  <c r="GH29" i="33" s="1"/>
  <c r="GE39" i="33"/>
  <c r="GH39" i="33" s="1"/>
  <c r="GE11" i="35"/>
  <c r="GH11" i="35" s="1"/>
  <c r="GE33" i="33"/>
  <c r="GH33" i="33" s="1"/>
  <c r="GE35" i="33"/>
  <c r="GH35" i="33" s="1"/>
  <c r="GE42" i="33"/>
  <c r="GH42" i="33" s="1"/>
  <c r="GE23" i="33"/>
  <c r="GH23" i="33" s="1"/>
  <c r="GE43" i="33"/>
  <c r="GH43" i="33" s="1"/>
  <c r="GE36" i="33"/>
  <c r="GH36" i="33" s="1"/>
  <c r="GE38" i="33"/>
  <c r="GH38" i="33" s="1"/>
  <c r="GE41" i="33"/>
  <c r="GH41" i="33" s="1"/>
  <c r="GE26" i="33"/>
  <c r="GH26" i="33" s="1"/>
  <c r="GE37" i="33"/>
  <c r="GH37" i="33" s="1"/>
  <c r="GE41" i="35"/>
  <c r="GH41" i="35" s="1"/>
  <c r="GS7" i="20"/>
  <c r="GR7" i="20"/>
  <c r="GC7" i="20"/>
  <c r="GD7" i="20"/>
  <c r="M7" i="20"/>
  <c r="Z7" i="20" s="1"/>
  <c r="AM7" i="20" s="1"/>
  <c r="AZ7" i="20" s="1"/>
  <c r="BM7" i="20" s="1"/>
  <c r="BZ7" i="20" s="1"/>
  <c r="CM7" i="20" s="1"/>
  <c r="CZ7" i="20" s="1"/>
  <c r="L7" i="20"/>
  <c r="Y7" i="20" s="1"/>
  <c r="AL7" i="20" s="1"/>
  <c r="AY7" i="20" s="1"/>
  <c r="BL7" i="20" s="1"/>
  <c r="BY7" i="20" s="1"/>
  <c r="CL7" i="20" s="1"/>
  <c r="CY7" i="20" s="1"/>
  <c r="G50" i="3"/>
  <c r="G49" i="3"/>
  <c r="D3" i="3"/>
  <c r="D2" i="3"/>
  <c r="B9" i="28"/>
  <c r="B10" i="28"/>
  <c r="B11" i="28"/>
  <c r="B12" i="28"/>
  <c r="B13" i="28"/>
  <c r="B14" i="28"/>
  <c r="B15" i="28"/>
  <c r="B16" i="28"/>
  <c r="B17" i="28"/>
  <c r="B18" i="28"/>
  <c r="B19" i="28"/>
  <c r="B20" i="28"/>
  <c r="B21" i="28"/>
  <c r="B22" i="28"/>
  <c r="B23" i="28"/>
  <c r="B24" i="28"/>
  <c r="B25" i="28"/>
  <c r="B26" i="28"/>
  <c r="B27" i="28"/>
  <c r="B28" i="28"/>
  <c r="B29" i="28"/>
  <c r="B30" i="28"/>
  <c r="B31" i="28"/>
  <c r="B32" i="28"/>
  <c r="B33" i="28"/>
  <c r="B34" i="28"/>
  <c r="B35" i="28"/>
  <c r="B36" i="28"/>
  <c r="B37" i="28"/>
  <c r="B38" i="28"/>
  <c r="B39" i="28"/>
  <c r="B40" i="28"/>
  <c r="B41" i="28"/>
  <c r="B42" i="28"/>
  <c r="B8" i="28"/>
  <c r="B9" i="27"/>
  <c r="B10" i="27"/>
  <c r="B11" i="27"/>
  <c r="B12" i="27"/>
  <c r="B13" i="27"/>
  <c r="B14" i="27"/>
  <c r="B15" i="27"/>
  <c r="B16" i="27"/>
  <c r="B17" i="27"/>
  <c r="B18" i="27"/>
  <c r="B19" i="27"/>
  <c r="B20" i="27"/>
  <c r="B21" i="27"/>
  <c r="B22" i="27"/>
  <c r="B23" i="27"/>
  <c r="B24" i="27"/>
  <c r="B25" i="27"/>
  <c r="B26" i="27"/>
  <c r="B27" i="27"/>
  <c r="B28" i="27"/>
  <c r="B29" i="27"/>
  <c r="B30" i="27"/>
  <c r="B31" i="27"/>
  <c r="B32" i="27"/>
  <c r="B33" i="27"/>
  <c r="B34" i="27"/>
  <c r="B35" i="27"/>
  <c r="B36" i="27"/>
  <c r="B37" i="27"/>
  <c r="B38" i="27"/>
  <c r="B39" i="27"/>
  <c r="B40" i="27"/>
  <c r="B41" i="27"/>
  <c r="B42" i="27"/>
  <c r="B8" i="27"/>
  <c r="B9" i="26"/>
  <c r="B10" i="26"/>
  <c r="B11" i="26"/>
  <c r="B12" i="26"/>
  <c r="B13" i="26"/>
  <c r="B14" i="26"/>
  <c r="B15" i="26"/>
  <c r="B16" i="26"/>
  <c r="B17" i="26"/>
  <c r="B18" i="26"/>
  <c r="B19" i="26"/>
  <c r="B20" i="26"/>
  <c r="B21" i="26"/>
  <c r="B22" i="26"/>
  <c r="B23" i="26"/>
  <c r="B24" i="26"/>
  <c r="B25" i="26"/>
  <c r="B26" i="26"/>
  <c r="B27" i="26"/>
  <c r="B28" i="26"/>
  <c r="B29" i="26"/>
  <c r="B30" i="26"/>
  <c r="B31" i="26"/>
  <c r="B32" i="26"/>
  <c r="B33" i="26"/>
  <c r="B34" i="26"/>
  <c r="B35" i="26"/>
  <c r="B36" i="26"/>
  <c r="B37" i="26"/>
  <c r="B38" i="26"/>
  <c r="B39" i="26"/>
  <c r="B40" i="26"/>
  <c r="B41" i="26"/>
  <c r="B42" i="26"/>
  <c r="B8" i="26"/>
  <c r="B9" i="25"/>
  <c r="B10" i="25"/>
  <c r="B11" i="25"/>
  <c r="B12" i="25"/>
  <c r="B13" i="25"/>
  <c r="B14" i="25"/>
  <c r="B15" i="25"/>
  <c r="B16" i="25"/>
  <c r="B17" i="25"/>
  <c r="B18" i="25"/>
  <c r="B19" i="25"/>
  <c r="B20" i="25"/>
  <c r="B21" i="25"/>
  <c r="B22" i="25"/>
  <c r="B23" i="25"/>
  <c r="B24" i="25"/>
  <c r="B25" i="25"/>
  <c r="B26" i="25"/>
  <c r="B27" i="25"/>
  <c r="B28" i="25"/>
  <c r="B29" i="25"/>
  <c r="B30" i="25"/>
  <c r="B31" i="25"/>
  <c r="B32" i="25"/>
  <c r="B33" i="25"/>
  <c r="B34" i="25"/>
  <c r="B35" i="25"/>
  <c r="B36" i="25"/>
  <c r="B37" i="25"/>
  <c r="B38" i="25"/>
  <c r="B39" i="25"/>
  <c r="B40" i="25"/>
  <c r="B41" i="25"/>
  <c r="B42" i="25"/>
  <c r="B8" i="25"/>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8" i="22"/>
  <c r="B9" i="21"/>
  <c r="B10" i="21"/>
  <c r="B11" i="21"/>
  <c r="B12" i="21"/>
  <c r="B13" i="21"/>
  <c r="B14" i="21"/>
  <c r="B15" i="21"/>
  <c r="B16" i="21"/>
  <c r="B17" i="21"/>
  <c r="B18" i="21"/>
  <c r="B19" i="21"/>
  <c r="B20" i="21"/>
  <c r="B21" i="21"/>
  <c r="B22" i="21"/>
  <c r="B23" i="21"/>
  <c r="B24" i="21"/>
  <c r="B25" i="21"/>
  <c r="B26" i="21"/>
  <c r="B27" i="21"/>
  <c r="B28" i="21"/>
  <c r="B29" i="21"/>
  <c r="B30" i="21"/>
  <c r="B31" i="21"/>
  <c r="B32" i="21"/>
  <c r="B33" i="21"/>
  <c r="B34" i="21"/>
  <c r="B35" i="21"/>
  <c r="B36" i="21"/>
  <c r="B37" i="21"/>
  <c r="B38" i="21"/>
  <c r="B39" i="21"/>
  <c r="B40" i="21"/>
  <c r="B41" i="21"/>
  <c r="B42" i="21"/>
  <c r="B9" i="20"/>
  <c r="B10" i="20"/>
  <c r="B11" i="20"/>
  <c r="B12" i="20"/>
  <c r="B13" i="20"/>
  <c r="B14" i="20"/>
  <c r="B15" i="20"/>
  <c r="B16" i="20"/>
  <c r="B17" i="20"/>
  <c r="B18" i="20"/>
  <c r="B19" i="20"/>
  <c r="B20" i="20"/>
  <c r="B21" i="20"/>
  <c r="B22" i="20"/>
  <c r="B23" i="20"/>
  <c r="B24" i="20"/>
  <c r="B25" i="20"/>
  <c r="B26" i="20"/>
  <c r="B27" i="20"/>
  <c r="B28" i="20"/>
  <c r="B29" i="20"/>
  <c r="B30" i="20"/>
  <c r="B31" i="20"/>
  <c r="B32" i="20"/>
  <c r="B33" i="20"/>
  <c r="B34" i="20"/>
  <c r="B35" i="20"/>
  <c r="B36" i="20"/>
  <c r="B37" i="20"/>
  <c r="B38" i="20"/>
  <c r="B39" i="20"/>
  <c r="B40" i="20"/>
  <c r="B41" i="20"/>
  <c r="B42" i="20"/>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8" i="8"/>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8" i="7"/>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8" i="3"/>
  <c r="V11" i="10"/>
  <c r="V12" i="10"/>
  <c r="V13" i="10"/>
  <c r="V14" i="10"/>
  <c r="V15" i="10"/>
  <c r="V16" i="10"/>
  <c r="V17" i="10"/>
  <c r="V18" i="10"/>
  <c r="V19" i="10"/>
  <c r="V20" i="10"/>
  <c r="V21" i="10"/>
  <c r="V22" i="10"/>
  <c r="V23" i="10"/>
  <c r="V24" i="10"/>
  <c r="V25" i="10"/>
  <c r="V26" i="10"/>
  <c r="V27" i="10"/>
  <c r="V28" i="10"/>
  <c r="V29" i="10"/>
  <c r="V30" i="10"/>
  <c r="V31" i="10"/>
  <c r="V32" i="10"/>
  <c r="V33" i="10"/>
  <c r="V34" i="10"/>
  <c r="V35" i="10"/>
  <c r="V36" i="10"/>
  <c r="V37" i="10"/>
  <c r="V38" i="10"/>
  <c r="V39" i="10"/>
  <c r="V40" i="10"/>
  <c r="V41" i="10"/>
  <c r="V42" i="10"/>
  <c r="V43" i="10"/>
  <c r="V44" i="10"/>
  <c r="V10" i="10"/>
  <c r="AI10" i="10"/>
  <c r="K36" i="37" s="1"/>
  <c r="B47" i="29"/>
  <c r="B46" i="29"/>
  <c r="B45" i="29"/>
  <c r="B44" i="29"/>
  <c r="B43" i="29"/>
  <c r="B42" i="29"/>
  <c r="B41" i="29"/>
  <c r="B40" i="29"/>
  <c r="B39" i="29"/>
  <c r="B38" i="29"/>
  <c r="B37" i="29"/>
  <c r="B36" i="29"/>
  <c r="B35" i="29"/>
  <c r="B34" i="29"/>
  <c r="B33" i="29"/>
  <c r="B32" i="29"/>
  <c r="B31" i="29"/>
  <c r="B30" i="29"/>
  <c r="B29" i="29"/>
  <c r="B28" i="29"/>
  <c r="B27" i="29"/>
  <c r="B26" i="29"/>
  <c r="B25" i="29"/>
  <c r="B24" i="29"/>
  <c r="B23" i="29"/>
  <c r="B22" i="29"/>
  <c r="B21" i="29"/>
  <c r="B20" i="29"/>
  <c r="B19" i="29"/>
  <c r="B18" i="29"/>
  <c r="B17" i="29"/>
  <c r="B16" i="29"/>
  <c r="B15" i="29"/>
  <c r="B14" i="29"/>
  <c r="B13" i="29"/>
  <c r="B12" i="29"/>
  <c r="B11" i="29"/>
  <c r="B10" i="29"/>
  <c r="B9" i="29"/>
  <c r="B8" i="29"/>
  <c r="C5" i="29"/>
  <c r="C4" i="29"/>
  <c r="C3" i="29"/>
  <c r="G11" i="10"/>
  <c r="G12" i="10"/>
  <c r="G13"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10" i="10"/>
  <c r="B44" i="28"/>
  <c r="I7" i="28"/>
  <c r="P7" i="28" s="1"/>
  <c r="W7" i="28" s="1"/>
  <c r="AD7" i="28" s="1"/>
  <c r="AK7" i="28" s="1"/>
  <c r="AR7" i="28" s="1"/>
  <c r="AY7" i="28" s="1"/>
  <c r="BF7" i="28" s="1"/>
  <c r="BM7" i="28" s="1"/>
  <c r="BT7" i="28" s="1"/>
  <c r="CA7" i="28" s="1"/>
  <c r="CH7" i="28" s="1"/>
  <c r="CO7" i="28" s="1"/>
  <c r="H7" i="28"/>
  <c r="O7" i="28" s="1"/>
  <c r="V7" i="28" s="1"/>
  <c r="AC7" i="28" s="1"/>
  <c r="AJ7" i="28" s="1"/>
  <c r="AQ7" i="28" s="1"/>
  <c r="AX7" i="28" s="1"/>
  <c r="BE7" i="28" s="1"/>
  <c r="BL7" i="28" s="1"/>
  <c r="BS7" i="28" s="1"/>
  <c r="BZ7" i="28" s="1"/>
  <c r="CG7" i="28" s="1"/>
  <c r="CN7" i="28" s="1"/>
  <c r="G7" i="28"/>
  <c r="N7" i="28" s="1"/>
  <c r="U7" i="28" s="1"/>
  <c r="AB7" i="28" s="1"/>
  <c r="AI7" i="28" s="1"/>
  <c r="AP7" i="28" s="1"/>
  <c r="AW7" i="28" s="1"/>
  <c r="BD7" i="28" s="1"/>
  <c r="BK7" i="28" s="1"/>
  <c r="BR7" i="28" s="1"/>
  <c r="BY7" i="28" s="1"/>
  <c r="CF7" i="28" s="1"/>
  <c r="CM7" i="28" s="1"/>
  <c r="F7" i="28"/>
  <c r="M7" i="28" s="1"/>
  <c r="T7" i="28" s="1"/>
  <c r="AA7" i="28" s="1"/>
  <c r="AH7" i="28" s="1"/>
  <c r="AO7" i="28" s="1"/>
  <c r="AV7" i="28" s="1"/>
  <c r="BC7" i="28" s="1"/>
  <c r="BJ7" i="28" s="1"/>
  <c r="BQ7" i="28" s="1"/>
  <c r="BX7" i="28" s="1"/>
  <c r="CE7" i="28" s="1"/>
  <c r="CL7" i="28" s="1"/>
  <c r="E7" i="28"/>
  <c r="L7" i="28" s="1"/>
  <c r="S7" i="28" s="1"/>
  <c r="Z7" i="28" s="1"/>
  <c r="AG7" i="28" s="1"/>
  <c r="AN7" i="28" s="1"/>
  <c r="AU7" i="28" s="1"/>
  <c r="BB7" i="28" s="1"/>
  <c r="BI7" i="28" s="1"/>
  <c r="BP7" i="28" s="1"/>
  <c r="BW7" i="28" s="1"/>
  <c r="CD7" i="28" s="1"/>
  <c r="CK7" i="28" s="1"/>
  <c r="D7" i="28"/>
  <c r="K7" i="28" s="1"/>
  <c r="R7" i="28" s="1"/>
  <c r="Y7" i="28" s="1"/>
  <c r="AF7" i="28" s="1"/>
  <c r="AM7" i="28" s="1"/>
  <c r="AT7" i="28" s="1"/>
  <c r="BA7" i="28" s="1"/>
  <c r="BH7" i="28" s="1"/>
  <c r="BO7" i="28" s="1"/>
  <c r="BV7" i="28" s="1"/>
  <c r="CC7" i="28" s="1"/>
  <c r="CJ7" i="28" s="1"/>
  <c r="C7" i="28"/>
  <c r="J7" i="28" s="1"/>
  <c r="Q7" i="28" s="1"/>
  <c r="X7" i="28" s="1"/>
  <c r="AE7" i="28" s="1"/>
  <c r="AL7" i="28" s="1"/>
  <c r="AS7" i="28" s="1"/>
  <c r="AZ7" i="28" s="1"/>
  <c r="BG7" i="28" s="1"/>
  <c r="BN7" i="28" s="1"/>
  <c r="BU7" i="28" s="1"/>
  <c r="CB7" i="28" s="1"/>
  <c r="CI7" i="28" s="1"/>
  <c r="N3" i="28"/>
  <c r="I3" i="28"/>
  <c r="C3" i="28"/>
  <c r="B44" i="27"/>
  <c r="I7" i="27"/>
  <c r="P7" i="27" s="1"/>
  <c r="W7" i="27" s="1"/>
  <c r="AD7" i="27" s="1"/>
  <c r="AK7" i="27" s="1"/>
  <c r="AR7" i="27" s="1"/>
  <c r="AY7" i="27" s="1"/>
  <c r="BF7" i="27" s="1"/>
  <c r="BM7" i="27" s="1"/>
  <c r="BT7" i="27" s="1"/>
  <c r="CA7" i="27" s="1"/>
  <c r="CH7" i="27" s="1"/>
  <c r="H7" i="27"/>
  <c r="O7" i="27" s="1"/>
  <c r="V7" i="27" s="1"/>
  <c r="AC7" i="27" s="1"/>
  <c r="AJ7" i="27" s="1"/>
  <c r="AQ7" i="27" s="1"/>
  <c r="AX7" i="27" s="1"/>
  <c r="BE7" i="27" s="1"/>
  <c r="BL7" i="27" s="1"/>
  <c r="BS7" i="27" s="1"/>
  <c r="BZ7" i="27" s="1"/>
  <c r="CG7" i="27" s="1"/>
  <c r="G7" i="27"/>
  <c r="N7" i="27" s="1"/>
  <c r="U7" i="27" s="1"/>
  <c r="AB7" i="27" s="1"/>
  <c r="AI7" i="27" s="1"/>
  <c r="AP7" i="27" s="1"/>
  <c r="AW7" i="27" s="1"/>
  <c r="BD7" i="27" s="1"/>
  <c r="BK7" i="27" s="1"/>
  <c r="BR7" i="27" s="1"/>
  <c r="BY7" i="27" s="1"/>
  <c r="CF7" i="27" s="1"/>
  <c r="F7" i="27"/>
  <c r="M7" i="27" s="1"/>
  <c r="T7" i="27" s="1"/>
  <c r="AA7" i="27" s="1"/>
  <c r="AH7" i="27" s="1"/>
  <c r="AO7" i="27" s="1"/>
  <c r="AV7" i="27" s="1"/>
  <c r="BC7" i="27" s="1"/>
  <c r="BJ7" i="27" s="1"/>
  <c r="BQ7" i="27" s="1"/>
  <c r="BX7" i="27" s="1"/>
  <c r="CE7" i="27" s="1"/>
  <c r="E7" i="27"/>
  <c r="L7" i="27" s="1"/>
  <c r="S7" i="27" s="1"/>
  <c r="Z7" i="27" s="1"/>
  <c r="AG7" i="27" s="1"/>
  <c r="AN7" i="27" s="1"/>
  <c r="AU7" i="27" s="1"/>
  <c r="BB7" i="27" s="1"/>
  <c r="BI7" i="27" s="1"/>
  <c r="BP7" i="27" s="1"/>
  <c r="BW7" i="27" s="1"/>
  <c r="CD7" i="27" s="1"/>
  <c r="D7" i="27"/>
  <c r="K7" i="27" s="1"/>
  <c r="R7" i="27" s="1"/>
  <c r="Y7" i="27" s="1"/>
  <c r="AF7" i="27" s="1"/>
  <c r="AM7" i="27" s="1"/>
  <c r="AT7" i="27" s="1"/>
  <c r="BA7" i="27" s="1"/>
  <c r="BH7" i="27" s="1"/>
  <c r="BO7" i="27" s="1"/>
  <c r="BV7" i="27" s="1"/>
  <c r="CC7" i="27" s="1"/>
  <c r="C7" i="27"/>
  <c r="J7" i="27" s="1"/>
  <c r="Q7" i="27" s="1"/>
  <c r="X7" i="27" s="1"/>
  <c r="C3" i="27"/>
  <c r="B44" i="26"/>
  <c r="I7" i="26"/>
  <c r="H7" i="26"/>
  <c r="G7" i="26"/>
  <c r="F7" i="26"/>
  <c r="E7" i="26"/>
  <c r="D7" i="26"/>
  <c r="C7" i="26"/>
  <c r="S3" i="26"/>
  <c r="I3" i="26"/>
  <c r="C3" i="26"/>
  <c r="B44" i="25"/>
  <c r="I7" i="25"/>
  <c r="R7" i="25" s="1"/>
  <c r="AA7" i="25" s="1"/>
  <c r="H7" i="25"/>
  <c r="Q7" i="25" s="1"/>
  <c r="Z7" i="25" s="1"/>
  <c r="G7" i="25"/>
  <c r="P7" i="25" s="1"/>
  <c r="Y7" i="25" s="1"/>
  <c r="F7" i="25"/>
  <c r="O7" i="25" s="1"/>
  <c r="X7" i="25" s="1"/>
  <c r="E7" i="25"/>
  <c r="N7" i="25" s="1"/>
  <c r="W7" i="25" s="1"/>
  <c r="D7" i="25"/>
  <c r="M7" i="25" s="1"/>
  <c r="V7" i="25" s="1"/>
  <c r="C7" i="25"/>
  <c r="L7" i="25" s="1"/>
  <c r="U7" i="25" s="1"/>
  <c r="P3" i="25"/>
  <c r="I3" i="25"/>
  <c r="C3" i="25"/>
  <c r="E11"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10" i="10"/>
  <c r="T10" i="10"/>
  <c r="H36" i="37" s="1"/>
  <c r="T11" i="10"/>
  <c r="T12" i="10"/>
  <c r="T13" i="10"/>
  <c r="T14" i="10"/>
  <c r="T15" i="10"/>
  <c r="T16" i="10"/>
  <c r="T17" i="10"/>
  <c r="T18" i="10"/>
  <c r="T19" i="10"/>
  <c r="T20" i="10"/>
  <c r="T21" i="10"/>
  <c r="T22" i="10"/>
  <c r="T23" i="10"/>
  <c r="T24" i="10"/>
  <c r="T25" i="10"/>
  <c r="T26" i="10"/>
  <c r="T27" i="10"/>
  <c r="T28" i="10"/>
  <c r="T29" i="10"/>
  <c r="T30" i="10"/>
  <c r="T31" i="10"/>
  <c r="T32" i="10"/>
  <c r="T33" i="10"/>
  <c r="T34" i="10"/>
  <c r="T35" i="10"/>
  <c r="T36" i="10"/>
  <c r="T37" i="10"/>
  <c r="T38" i="10"/>
  <c r="T39" i="10"/>
  <c r="T40" i="10"/>
  <c r="T41" i="10"/>
  <c r="T42" i="10"/>
  <c r="T43" i="10"/>
  <c r="T44" i="10"/>
  <c r="B7" i="23"/>
  <c r="B8" i="23"/>
  <c r="B9" i="23"/>
  <c r="B10" i="23"/>
  <c r="B11" i="23"/>
  <c r="B12" i="23"/>
  <c r="B13" i="23"/>
  <c r="B14" i="23"/>
  <c r="B15" i="23"/>
  <c r="B16" i="23"/>
  <c r="B17" i="23"/>
  <c r="B18" i="23"/>
  <c r="B19" i="23"/>
  <c r="B20" i="23"/>
  <c r="B21" i="23"/>
  <c r="B22" i="23"/>
  <c r="B23" i="23"/>
  <c r="B24" i="23"/>
  <c r="B25" i="23"/>
  <c r="B26" i="23"/>
  <c r="B27" i="23"/>
  <c r="B28" i="23"/>
  <c r="B29" i="23"/>
  <c r="B30" i="23"/>
  <c r="B31" i="23"/>
  <c r="B32" i="23"/>
  <c r="B33" i="23"/>
  <c r="B34" i="23"/>
  <c r="B35" i="23"/>
  <c r="B36" i="23"/>
  <c r="B37" i="23"/>
  <c r="B38" i="23"/>
  <c r="B39" i="23"/>
  <c r="B40" i="23"/>
  <c r="B41" i="23"/>
  <c r="B42" i="23"/>
  <c r="B43" i="23"/>
  <c r="B44" i="23"/>
  <c r="B45" i="23"/>
  <c r="B6" i="23"/>
  <c r="C3" i="23"/>
  <c r="C4" i="23"/>
  <c r="C2" i="23"/>
  <c r="B44" i="22"/>
  <c r="BG42" i="22"/>
  <c r="BS42" i="22" s="1"/>
  <c r="BD42" i="22"/>
  <c r="BP42" i="22" s="1"/>
  <c r="BC42" i="22"/>
  <c r="BO42" i="22" s="1"/>
  <c r="BG41" i="22"/>
  <c r="BS41" i="22" s="1"/>
  <c r="BD41" i="22"/>
  <c r="BP41" i="22" s="1"/>
  <c r="BC41" i="22"/>
  <c r="BO41" i="22" s="1"/>
  <c r="BH40" i="22"/>
  <c r="BT40" i="22" s="1"/>
  <c r="BG40" i="22"/>
  <c r="BS40" i="22" s="1"/>
  <c r="BD40" i="22"/>
  <c r="BP40" i="22" s="1"/>
  <c r="BC40" i="22"/>
  <c r="BO40" i="22" s="1"/>
  <c r="BH39" i="22"/>
  <c r="BT39" i="22" s="1"/>
  <c r="BG39" i="22"/>
  <c r="BS39" i="22" s="1"/>
  <c r="BD39" i="22"/>
  <c r="BP39" i="22" s="1"/>
  <c r="BC39" i="22"/>
  <c r="BO39" i="22" s="1"/>
  <c r="BH38" i="22"/>
  <c r="BT38" i="22" s="1"/>
  <c r="BG38" i="22"/>
  <c r="BS38" i="22" s="1"/>
  <c r="BD38" i="22"/>
  <c r="BP38" i="22" s="1"/>
  <c r="BC38" i="22"/>
  <c r="BO38" i="22" s="1"/>
  <c r="BH37" i="22"/>
  <c r="BT37" i="22" s="1"/>
  <c r="BG37" i="22"/>
  <c r="BS37" i="22" s="1"/>
  <c r="BD37" i="22"/>
  <c r="BP37" i="22" s="1"/>
  <c r="BC37" i="22"/>
  <c r="BO37" i="22" s="1"/>
  <c r="BH36" i="22"/>
  <c r="BT36" i="22" s="1"/>
  <c r="BG36" i="22"/>
  <c r="BS36" i="22" s="1"/>
  <c r="BD36" i="22"/>
  <c r="BP36" i="22" s="1"/>
  <c r="BC36" i="22"/>
  <c r="BO36" i="22" s="1"/>
  <c r="BH35" i="22"/>
  <c r="BT35" i="22" s="1"/>
  <c r="BG35" i="22"/>
  <c r="BS35" i="22" s="1"/>
  <c r="BD35" i="22"/>
  <c r="BP35" i="22" s="1"/>
  <c r="BC35" i="22"/>
  <c r="BO35" i="22" s="1"/>
  <c r="BH34" i="22"/>
  <c r="BT34" i="22" s="1"/>
  <c r="BG34" i="22"/>
  <c r="BS34" i="22" s="1"/>
  <c r="BD34" i="22"/>
  <c r="BP34" i="22" s="1"/>
  <c r="BC34" i="22"/>
  <c r="BO34" i="22" s="1"/>
  <c r="BH33" i="22"/>
  <c r="BT33" i="22" s="1"/>
  <c r="BG33" i="22"/>
  <c r="BS33" i="22" s="1"/>
  <c r="BD33" i="22"/>
  <c r="BP33" i="22" s="1"/>
  <c r="BC33" i="22"/>
  <c r="BO33" i="22" s="1"/>
  <c r="BH32" i="22"/>
  <c r="BT32" i="22" s="1"/>
  <c r="BG32" i="22"/>
  <c r="BS32" i="22" s="1"/>
  <c r="BD32" i="22"/>
  <c r="BP32" i="22" s="1"/>
  <c r="BC32" i="22"/>
  <c r="BO32" i="22" s="1"/>
  <c r="BF31" i="22"/>
  <c r="BR31" i="22" s="1"/>
  <c r="BB31" i="22"/>
  <c r="BN31" i="22" s="1"/>
  <c r="BA31" i="22"/>
  <c r="BM31" i="22" s="1"/>
  <c r="BF30" i="22"/>
  <c r="BR30" i="22" s="1"/>
  <c r="BB30" i="22"/>
  <c r="BN30" i="22" s="1"/>
  <c r="BI29" i="22"/>
  <c r="BU29" i="22" s="1"/>
  <c r="BF29" i="22"/>
  <c r="BR29" i="22" s="1"/>
  <c r="BE29" i="22"/>
  <c r="BQ29" i="22" s="1"/>
  <c r="BB29" i="22"/>
  <c r="BN29" i="22" s="1"/>
  <c r="BA29" i="22"/>
  <c r="BM29" i="22" s="1"/>
  <c r="BI28" i="22"/>
  <c r="BU28" i="22" s="1"/>
  <c r="BF28" i="22"/>
  <c r="BR28" i="22" s="1"/>
  <c r="BE28" i="22"/>
  <c r="BQ28" i="22" s="1"/>
  <c r="BB28" i="22"/>
  <c r="BN28" i="22" s="1"/>
  <c r="BA28" i="22"/>
  <c r="BM28" i="22" s="1"/>
  <c r="BI27" i="22"/>
  <c r="BU27" i="22" s="1"/>
  <c r="BF27" i="22"/>
  <c r="BR27" i="22" s="1"/>
  <c r="BE27" i="22"/>
  <c r="BQ27" i="22" s="1"/>
  <c r="BB27" i="22"/>
  <c r="BN27" i="22" s="1"/>
  <c r="BA27" i="22"/>
  <c r="BM27" i="22" s="1"/>
  <c r="BI26" i="22"/>
  <c r="BU26" i="22" s="1"/>
  <c r="BF26" i="22"/>
  <c r="BR26" i="22" s="1"/>
  <c r="BE26" i="22"/>
  <c r="BQ26" i="22" s="1"/>
  <c r="BB26" i="22"/>
  <c r="BN26" i="22" s="1"/>
  <c r="BA26" i="22"/>
  <c r="BM26" i="22" s="1"/>
  <c r="BI25" i="22"/>
  <c r="BU25" i="22" s="1"/>
  <c r="BF25" i="22"/>
  <c r="BR25" i="22" s="1"/>
  <c r="BE25" i="22"/>
  <c r="BQ25" i="22" s="1"/>
  <c r="BB25" i="22"/>
  <c r="BN25" i="22" s="1"/>
  <c r="BA25" i="22"/>
  <c r="BM25" i="22" s="1"/>
  <c r="BI24" i="22"/>
  <c r="BU24" i="22" s="1"/>
  <c r="BF24" i="22"/>
  <c r="BR24" i="22" s="1"/>
  <c r="BE24" i="22"/>
  <c r="BQ24" i="22" s="1"/>
  <c r="BB24" i="22"/>
  <c r="BN24" i="22" s="1"/>
  <c r="BA24" i="22"/>
  <c r="BM24" i="22" s="1"/>
  <c r="BI23" i="22"/>
  <c r="BU23" i="22" s="1"/>
  <c r="BH23" i="22"/>
  <c r="BT23" i="22" s="1"/>
  <c r="BF23" i="22"/>
  <c r="BR23" i="22" s="1"/>
  <c r="BE23" i="22"/>
  <c r="BQ23" i="22" s="1"/>
  <c r="BB23" i="22"/>
  <c r="BN23" i="22" s="1"/>
  <c r="BA23" i="22"/>
  <c r="BM23" i="22" s="1"/>
  <c r="BI22" i="22"/>
  <c r="BU22" i="22" s="1"/>
  <c r="BF22" i="22"/>
  <c r="BR22" i="22" s="1"/>
  <c r="BE22" i="22"/>
  <c r="BQ22" i="22" s="1"/>
  <c r="BB22" i="22"/>
  <c r="BN22" i="22" s="1"/>
  <c r="BA22" i="22"/>
  <c r="BM22" i="22" s="1"/>
  <c r="BI21" i="22"/>
  <c r="BU21" i="22" s="1"/>
  <c r="BF21" i="22"/>
  <c r="BR21" i="22" s="1"/>
  <c r="BE21" i="22"/>
  <c r="BQ21" i="22" s="1"/>
  <c r="BB21" i="22"/>
  <c r="BN21" i="22" s="1"/>
  <c r="BA21" i="22"/>
  <c r="BM21" i="22" s="1"/>
  <c r="BI20" i="22"/>
  <c r="BU20" i="22" s="1"/>
  <c r="BF20" i="22"/>
  <c r="BR20" i="22" s="1"/>
  <c r="BE20" i="22"/>
  <c r="BQ20" i="22" s="1"/>
  <c r="BB20" i="22"/>
  <c r="BN20" i="22" s="1"/>
  <c r="BA20" i="22"/>
  <c r="BM20" i="22" s="1"/>
  <c r="BI19" i="22"/>
  <c r="BU19" i="22" s="1"/>
  <c r="BF19" i="22"/>
  <c r="BR19" i="22" s="1"/>
  <c r="BE19" i="22"/>
  <c r="BQ19" i="22" s="1"/>
  <c r="BB19" i="22"/>
  <c r="BN19" i="22" s="1"/>
  <c r="BA19" i="22"/>
  <c r="BM19" i="22" s="1"/>
  <c r="BI18" i="22"/>
  <c r="BU18" i="22" s="1"/>
  <c r="BF18" i="22"/>
  <c r="BR18" i="22" s="1"/>
  <c r="BE18" i="22"/>
  <c r="BQ18" i="22" s="1"/>
  <c r="BB18" i="22"/>
  <c r="BN18" i="22" s="1"/>
  <c r="BA18" i="22"/>
  <c r="BM18" i="22" s="1"/>
  <c r="BI17" i="22"/>
  <c r="BU17" i="22" s="1"/>
  <c r="BF17" i="22"/>
  <c r="BR17" i="22" s="1"/>
  <c r="BE17" i="22"/>
  <c r="BQ17" i="22" s="1"/>
  <c r="BB17" i="22"/>
  <c r="BN17" i="22" s="1"/>
  <c r="BA17" i="22"/>
  <c r="BM17" i="22" s="1"/>
  <c r="BI16" i="22"/>
  <c r="BU16" i="22" s="1"/>
  <c r="BF16" i="22"/>
  <c r="BR16" i="22" s="1"/>
  <c r="BE16" i="22"/>
  <c r="BQ16" i="22" s="1"/>
  <c r="BB16" i="22"/>
  <c r="BN16" i="22" s="1"/>
  <c r="BA16" i="22"/>
  <c r="BM16" i="22" s="1"/>
  <c r="BI15" i="22"/>
  <c r="BU15" i="22" s="1"/>
  <c r="BF15" i="22"/>
  <c r="BR15" i="22" s="1"/>
  <c r="BE15" i="22"/>
  <c r="BQ15" i="22" s="1"/>
  <c r="BB15" i="22"/>
  <c r="BN15" i="22" s="1"/>
  <c r="BA15" i="22"/>
  <c r="BM15" i="22" s="1"/>
  <c r="BI14" i="22"/>
  <c r="BU14" i="22" s="1"/>
  <c r="BF14" i="22"/>
  <c r="BR14" i="22" s="1"/>
  <c r="BE14" i="22"/>
  <c r="BQ14" i="22" s="1"/>
  <c r="BB14" i="22"/>
  <c r="BN14" i="22" s="1"/>
  <c r="BA14" i="22"/>
  <c r="BM14" i="22" s="1"/>
  <c r="BI13" i="22"/>
  <c r="BU13" i="22" s="1"/>
  <c r="BF13" i="22"/>
  <c r="BR13" i="22" s="1"/>
  <c r="BE13" i="22"/>
  <c r="BQ13" i="22" s="1"/>
  <c r="BB13" i="22"/>
  <c r="BN13" i="22" s="1"/>
  <c r="BA13" i="22"/>
  <c r="BM13" i="22" s="1"/>
  <c r="BI12" i="22"/>
  <c r="BU12" i="22" s="1"/>
  <c r="BF12" i="22"/>
  <c r="BR12" i="22" s="1"/>
  <c r="BE12" i="22"/>
  <c r="BQ12" i="22" s="1"/>
  <c r="BB12" i="22"/>
  <c r="BN12" i="22" s="1"/>
  <c r="BA12" i="22"/>
  <c r="BM12" i="22" s="1"/>
  <c r="BI11" i="22"/>
  <c r="BU11" i="22" s="1"/>
  <c r="BF11" i="22"/>
  <c r="BR11" i="22" s="1"/>
  <c r="BE11" i="22"/>
  <c r="BQ11" i="22" s="1"/>
  <c r="BB11" i="22"/>
  <c r="BN11" i="22" s="1"/>
  <c r="BA11" i="22"/>
  <c r="BM11" i="22" s="1"/>
  <c r="BI10" i="22"/>
  <c r="BU10" i="22" s="1"/>
  <c r="BF10" i="22"/>
  <c r="BR10" i="22" s="1"/>
  <c r="BE10" i="22"/>
  <c r="BQ10" i="22" s="1"/>
  <c r="BB10" i="22"/>
  <c r="BN10" i="22" s="1"/>
  <c r="BA10" i="22"/>
  <c r="BM10" i="22" s="1"/>
  <c r="BI9" i="22"/>
  <c r="BU9" i="22" s="1"/>
  <c r="BF9" i="22"/>
  <c r="BR9" i="22" s="1"/>
  <c r="BE9" i="22"/>
  <c r="BQ9" i="22" s="1"/>
  <c r="BB9" i="22"/>
  <c r="BN9" i="22" s="1"/>
  <c r="BA9" i="22"/>
  <c r="BM9" i="22" s="1"/>
  <c r="BI8" i="22"/>
  <c r="BU8" i="22" s="1"/>
  <c r="BF8" i="22"/>
  <c r="BR8" i="22" s="1"/>
  <c r="BE8" i="22"/>
  <c r="BQ8" i="22" s="1"/>
  <c r="BB8" i="22"/>
  <c r="BN8" i="22" s="1"/>
  <c r="BA8" i="22"/>
  <c r="BM8" i="22" s="1"/>
  <c r="K7" i="22"/>
  <c r="T7" i="22" s="1"/>
  <c r="AC7" i="22" s="1"/>
  <c r="J7" i="22"/>
  <c r="S7" i="22" s="1"/>
  <c r="AB7" i="22" s="1"/>
  <c r="I7" i="22"/>
  <c r="R7" i="22" s="1"/>
  <c r="AA7" i="22" s="1"/>
  <c r="H7" i="22"/>
  <c r="Q7" i="22" s="1"/>
  <c r="Z7" i="22" s="1"/>
  <c r="G7" i="22"/>
  <c r="P7" i="22" s="1"/>
  <c r="Y7" i="22" s="1"/>
  <c r="F7" i="22"/>
  <c r="O7" i="22" s="1"/>
  <c r="X7" i="22" s="1"/>
  <c r="E7" i="22"/>
  <c r="N7" i="22" s="1"/>
  <c r="W7" i="22" s="1"/>
  <c r="D7" i="22"/>
  <c r="M7" i="22" s="1"/>
  <c r="V7" i="22" s="1"/>
  <c r="C7" i="22"/>
  <c r="L7" i="22" s="1"/>
  <c r="U7" i="22" s="1"/>
  <c r="DJ6" i="22"/>
  <c r="DI6" i="22"/>
  <c r="P3" i="22"/>
  <c r="G3" i="22"/>
  <c r="C3" i="22"/>
  <c r="B44" i="21"/>
  <c r="K7" i="21"/>
  <c r="T7" i="21" s="1"/>
  <c r="AC7" i="21" s="1"/>
  <c r="AL7" i="21" s="1"/>
  <c r="AU7" i="21" s="1"/>
  <c r="BD7" i="21" s="1"/>
  <c r="BM7" i="21" s="1"/>
  <c r="BV7" i="21" s="1"/>
  <c r="J7" i="21"/>
  <c r="S7" i="21" s="1"/>
  <c r="AB7" i="21" s="1"/>
  <c r="AK7" i="21" s="1"/>
  <c r="AT7" i="21" s="1"/>
  <c r="BC7" i="21" s="1"/>
  <c r="BL7" i="21" s="1"/>
  <c r="BU7" i="21" s="1"/>
  <c r="I7" i="21"/>
  <c r="R7" i="21" s="1"/>
  <c r="AA7" i="21" s="1"/>
  <c r="AJ7" i="21" s="1"/>
  <c r="AS7" i="21" s="1"/>
  <c r="BB7" i="21" s="1"/>
  <c r="BK7" i="21" s="1"/>
  <c r="BT7" i="21" s="1"/>
  <c r="H7" i="21"/>
  <c r="Q7" i="21" s="1"/>
  <c r="Z7" i="21" s="1"/>
  <c r="AI7" i="21" s="1"/>
  <c r="AR7" i="21" s="1"/>
  <c r="BA7" i="21" s="1"/>
  <c r="BJ7" i="21" s="1"/>
  <c r="BS7" i="21" s="1"/>
  <c r="G7" i="21"/>
  <c r="P7" i="21" s="1"/>
  <c r="Y7" i="21" s="1"/>
  <c r="AH7" i="21" s="1"/>
  <c r="AQ7" i="21" s="1"/>
  <c r="AZ7" i="21" s="1"/>
  <c r="BI7" i="21" s="1"/>
  <c r="BR7" i="21" s="1"/>
  <c r="F7" i="21"/>
  <c r="O7" i="21" s="1"/>
  <c r="X7" i="21" s="1"/>
  <c r="AG7" i="21" s="1"/>
  <c r="AP7" i="21" s="1"/>
  <c r="AY7" i="21" s="1"/>
  <c r="BH7" i="21" s="1"/>
  <c r="BQ7" i="21" s="1"/>
  <c r="E7" i="21"/>
  <c r="N7" i="21" s="1"/>
  <c r="W7" i="21" s="1"/>
  <c r="AF7" i="21" s="1"/>
  <c r="AO7" i="21" s="1"/>
  <c r="AX7" i="21" s="1"/>
  <c r="BG7" i="21" s="1"/>
  <c r="BP7" i="21" s="1"/>
  <c r="D7" i="21"/>
  <c r="M7" i="21" s="1"/>
  <c r="V7" i="21" s="1"/>
  <c r="AE7" i="21" s="1"/>
  <c r="AN7" i="21" s="1"/>
  <c r="AW7" i="21" s="1"/>
  <c r="BF7" i="21" s="1"/>
  <c r="BO7" i="21" s="1"/>
  <c r="C7" i="21"/>
  <c r="L7" i="21" s="1"/>
  <c r="U7" i="21" s="1"/>
  <c r="AD7" i="21" s="1"/>
  <c r="AM7" i="21" s="1"/>
  <c r="AV7" i="21" s="1"/>
  <c r="BE7" i="21" s="1"/>
  <c r="BN7" i="21" s="1"/>
  <c r="GD6" i="21"/>
  <c r="GC6" i="21"/>
  <c r="C3" i="21"/>
  <c r="B44" i="20"/>
  <c r="GQ7" i="20"/>
  <c r="GP7" i="20"/>
  <c r="GO7" i="20"/>
  <c r="GN7" i="20"/>
  <c r="GM7" i="20"/>
  <c r="GL7" i="20"/>
  <c r="GK7" i="20"/>
  <c r="GJ7" i="20"/>
  <c r="GI7" i="20"/>
  <c r="FZ7" i="20"/>
  <c r="FY7" i="20"/>
  <c r="FX7" i="20"/>
  <c r="FW7" i="20"/>
  <c r="FV7" i="20"/>
  <c r="FU7" i="20"/>
  <c r="K7" i="20"/>
  <c r="X7" i="20" s="1"/>
  <c r="AK7" i="20" s="1"/>
  <c r="AX7" i="20" s="1"/>
  <c r="BK7" i="20" s="1"/>
  <c r="BX7" i="20" s="1"/>
  <c r="CK7" i="20" s="1"/>
  <c r="CX7" i="20" s="1"/>
  <c r="J7" i="20"/>
  <c r="W7" i="20" s="1"/>
  <c r="AJ7" i="20" s="1"/>
  <c r="AW7" i="20" s="1"/>
  <c r="BJ7" i="20" s="1"/>
  <c r="BW7" i="20" s="1"/>
  <c r="CJ7" i="20" s="1"/>
  <c r="CW7" i="20" s="1"/>
  <c r="I7" i="20"/>
  <c r="V7" i="20" s="1"/>
  <c r="AI7" i="20" s="1"/>
  <c r="AV7" i="20" s="1"/>
  <c r="BI7" i="20" s="1"/>
  <c r="BV7" i="20" s="1"/>
  <c r="CI7" i="20" s="1"/>
  <c r="CV7" i="20" s="1"/>
  <c r="H7" i="20"/>
  <c r="U7" i="20" s="1"/>
  <c r="AH7" i="20" s="1"/>
  <c r="AU7" i="20" s="1"/>
  <c r="BH7" i="20" s="1"/>
  <c r="BU7" i="20" s="1"/>
  <c r="CH7" i="20" s="1"/>
  <c r="CU7" i="20" s="1"/>
  <c r="G7" i="20"/>
  <c r="T7" i="20" s="1"/>
  <c r="AG7" i="20" s="1"/>
  <c r="AT7" i="20" s="1"/>
  <c r="BG7" i="20" s="1"/>
  <c r="BT7" i="20" s="1"/>
  <c r="CG7" i="20" s="1"/>
  <c r="CT7" i="20" s="1"/>
  <c r="F7" i="20"/>
  <c r="S7" i="20" s="1"/>
  <c r="AF7" i="20" s="1"/>
  <c r="AS7" i="20" s="1"/>
  <c r="BF7" i="20" s="1"/>
  <c r="BS7" i="20" s="1"/>
  <c r="CF7" i="20" s="1"/>
  <c r="CS7" i="20" s="1"/>
  <c r="E7" i="20"/>
  <c r="R7" i="20" s="1"/>
  <c r="AE7" i="20" s="1"/>
  <c r="AR7" i="20" s="1"/>
  <c r="BE7" i="20" s="1"/>
  <c r="BR7" i="20" s="1"/>
  <c r="CE7" i="20" s="1"/>
  <c r="CR7" i="20" s="1"/>
  <c r="D7" i="20"/>
  <c r="Q7" i="20" s="1"/>
  <c r="AD7" i="20" s="1"/>
  <c r="AQ7" i="20" s="1"/>
  <c r="BD7" i="20" s="1"/>
  <c r="BQ7" i="20" s="1"/>
  <c r="CD7" i="20" s="1"/>
  <c r="CQ7" i="20" s="1"/>
  <c r="C7" i="20"/>
  <c r="P7" i="20" s="1"/>
  <c r="AC7" i="20" s="1"/>
  <c r="AP7" i="20" s="1"/>
  <c r="BC7" i="20" s="1"/>
  <c r="BP7" i="20" s="1"/>
  <c r="CC7" i="20" s="1"/>
  <c r="CP7" i="20" s="1"/>
  <c r="HK6" i="20"/>
  <c r="IC6" i="20" s="1"/>
  <c r="HJ6" i="20"/>
  <c r="IB6" i="20" s="1"/>
  <c r="HI6" i="20"/>
  <c r="IA6" i="20" s="1"/>
  <c r="HH6" i="20"/>
  <c r="HZ6" i="20" s="1"/>
  <c r="HG6" i="20"/>
  <c r="HY6" i="20" s="1"/>
  <c r="HF6" i="20"/>
  <c r="HX6" i="20" s="1"/>
  <c r="HE6" i="20"/>
  <c r="HW6" i="20" s="1"/>
  <c r="IH13" i="20" s="1"/>
  <c r="II13" i="20" s="1"/>
  <c r="HD6" i="20"/>
  <c r="HV6" i="20" s="1"/>
  <c r="IH9" i="20" s="1"/>
  <c r="II9" i="20" s="1"/>
  <c r="HC6" i="20"/>
  <c r="HU6" i="20" s="1"/>
  <c r="IH11" i="20" s="1"/>
  <c r="II11" i="20" s="1"/>
  <c r="HB6" i="20"/>
  <c r="HT6" i="20" s="1"/>
  <c r="T3" i="20"/>
  <c r="C3" i="20"/>
  <c r="B44" i="19"/>
  <c r="K7" i="19"/>
  <c r="T7" i="19" s="1"/>
  <c r="AC7" i="19" s="1"/>
  <c r="AL7" i="19" s="1"/>
  <c r="AU7" i="19" s="1"/>
  <c r="BD7" i="19" s="1"/>
  <c r="BM7" i="19" s="1"/>
  <c r="BV7" i="19" s="1"/>
  <c r="J7" i="19"/>
  <c r="S7" i="19" s="1"/>
  <c r="AB7" i="19" s="1"/>
  <c r="AK7" i="19" s="1"/>
  <c r="AT7" i="19" s="1"/>
  <c r="BC7" i="19" s="1"/>
  <c r="BL7" i="19" s="1"/>
  <c r="BU7" i="19" s="1"/>
  <c r="I7" i="19"/>
  <c r="R7" i="19" s="1"/>
  <c r="AA7" i="19" s="1"/>
  <c r="AJ7" i="19" s="1"/>
  <c r="AS7" i="19" s="1"/>
  <c r="BB7" i="19" s="1"/>
  <c r="BK7" i="19" s="1"/>
  <c r="BT7" i="19" s="1"/>
  <c r="H7" i="19"/>
  <c r="Q7" i="19" s="1"/>
  <c r="Z7" i="19" s="1"/>
  <c r="AI7" i="19" s="1"/>
  <c r="AR7" i="19" s="1"/>
  <c r="BA7" i="19" s="1"/>
  <c r="BJ7" i="19" s="1"/>
  <c r="BS7" i="19" s="1"/>
  <c r="G7" i="19"/>
  <c r="P7" i="19" s="1"/>
  <c r="Y7" i="19" s="1"/>
  <c r="AH7" i="19" s="1"/>
  <c r="AQ7" i="19" s="1"/>
  <c r="AZ7" i="19" s="1"/>
  <c r="BI7" i="19" s="1"/>
  <c r="BR7" i="19" s="1"/>
  <c r="F7" i="19"/>
  <c r="O7" i="19" s="1"/>
  <c r="X7" i="19" s="1"/>
  <c r="AG7" i="19" s="1"/>
  <c r="AP7" i="19" s="1"/>
  <c r="AY7" i="19" s="1"/>
  <c r="BH7" i="19" s="1"/>
  <c r="BQ7" i="19" s="1"/>
  <c r="E7" i="19"/>
  <c r="N7" i="19" s="1"/>
  <c r="W7" i="19" s="1"/>
  <c r="AF7" i="19" s="1"/>
  <c r="AO7" i="19" s="1"/>
  <c r="AX7" i="19" s="1"/>
  <c r="BG7" i="19" s="1"/>
  <c r="BP7" i="19" s="1"/>
  <c r="D7" i="19"/>
  <c r="M7" i="19" s="1"/>
  <c r="V7" i="19" s="1"/>
  <c r="AE7" i="19" s="1"/>
  <c r="AN7" i="19" s="1"/>
  <c r="AW7" i="19" s="1"/>
  <c r="BF7" i="19" s="1"/>
  <c r="BO7" i="19" s="1"/>
  <c r="C7" i="19"/>
  <c r="L7" i="19" s="1"/>
  <c r="U7" i="19" s="1"/>
  <c r="AD7" i="19" s="1"/>
  <c r="AM7" i="19" s="1"/>
  <c r="AV7" i="19" s="1"/>
  <c r="BE7" i="19" s="1"/>
  <c r="BN7" i="19" s="1"/>
  <c r="GD6" i="19"/>
  <c r="GC6" i="19"/>
  <c r="GB6" i="19"/>
  <c r="GA6" i="19"/>
  <c r="FZ6" i="19"/>
  <c r="C3" i="19"/>
  <c r="Q12" i="6"/>
  <c r="Q26" i="6"/>
  <c r="Q30" i="6"/>
  <c r="C3" i="7"/>
  <c r="B44" i="7"/>
  <c r="I7" i="7"/>
  <c r="P7" i="7" s="1"/>
  <c r="W7" i="7" s="1"/>
  <c r="AD7" i="7" s="1"/>
  <c r="AK7" i="7" s="1"/>
  <c r="AR7" i="7" s="1"/>
  <c r="AY7" i="7" s="1"/>
  <c r="BF7" i="7" s="1"/>
  <c r="BM7" i="7" s="1"/>
  <c r="BT7" i="7" s="1"/>
  <c r="CA7" i="7" s="1"/>
  <c r="CH7" i="7" s="1"/>
  <c r="DJ7" i="7" s="1"/>
  <c r="H7" i="7"/>
  <c r="O7" i="7" s="1"/>
  <c r="V7" i="7" s="1"/>
  <c r="AC7" i="7" s="1"/>
  <c r="AJ7" i="7" s="1"/>
  <c r="AQ7" i="7" s="1"/>
  <c r="AX7" i="7" s="1"/>
  <c r="BE7" i="7" s="1"/>
  <c r="BL7" i="7" s="1"/>
  <c r="BS7" i="7" s="1"/>
  <c r="BZ7" i="7" s="1"/>
  <c r="CG7" i="7" s="1"/>
  <c r="DI7" i="7" s="1"/>
  <c r="G7" i="7"/>
  <c r="N7" i="7" s="1"/>
  <c r="U7" i="7" s="1"/>
  <c r="AB7" i="7" s="1"/>
  <c r="AI7" i="7" s="1"/>
  <c r="AP7" i="7" s="1"/>
  <c r="AW7" i="7" s="1"/>
  <c r="BD7" i="7" s="1"/>
  <c r="BK7" i="7" s="1"/>
  <c r="BR7" i="7" s="1"/>
  <c r="BY7" i="7" s="1"/>
  <c r="CF7" i="7" s="1"/>
  <c r="DH7" i="7" s="1"/>
  <c r="F7" i="7"/>
  <c r="M7" i="7" s="1"/>
  <c r="T7" i="7" s="1"/>
  <c r="AA7" i="7" s="1"/>
  <c r="AH7" i="7" s="1"/>
  <c r="AO7" i="7" s="1"/>
  <c r="AV7" i="7" s="1"/>
  <c r="BC7" i="7" s="1"/>
  <c r="BJ7" i="7" s="1"/>
  <c r="BQ7" i="7" s="1"/>
  <c r="BX7" i="7" s="1"/>
  <c r="CE7" i="7" s="1"/>
  <c r="DG7" i="7" s="1"/>
  <c r="E7" i="7"/>
  <c r="L7" i="7" s="1"/>
  <c r="S7" i="7" s="1"/>
  <c r="Z7" i="7" s="1"/>
  <c r="AG7" i="7" s="1"/>
  <c r="AN7" i="7" s="1"/>
  <c r="AU7" i="7" s="1"/>
  <c r="BB7" i="7" s="1"/>
  <c r="BI7" i="7" s="1"/>
  <c r="BP7" i="7" s="1"/>
  <c r="BW7" i="7" s="1"/>
  <c r="CD7" i="7" s="1"/>
  <c r="DF7" i="7" s="1"/>
  <c r="D7" i="7"/>
  <c r="K7" i="7" s="1"/>
  <c r="R7" i="7" s="1"/>
  <c r="Y7" i="7" s="1"/>
  <c r="AF7" i="7" s="1"/>
  <c r="AM7" i="7" s="1"/>
  <c r="AT7" i="7" s="1"/>
  <c r="BA7" i="7" s="1"/>
  <c r="BH7" i="7" s="1"/>
  <c r="BO7" i="7" s="1"/>
  <c r="BV7" i="7" s="1"/>
  <c r="CC7" i="7" s="1"/>
  <c r="DE7" i="7" s="1"/>
  <c r="C7" i="7"/>
  <c r="J7" i="7" s="1"/>
  <c r="Q7" i="7" s="1"/>
  <c r="X7" i="7" s="1"/>
  <c r="AE7" i="7" s="1"/>
  <c r="AL7" i="7" s="1"/>
  <c r="AS7" i="7" s="1"/>
  <c r="AZ7" i="7" s="1"/>
  <c r="BG7" i="7" s="1"/>
  <c r="BN7" i="7" s="1"/>
  <c r="BU7" i="7" s="1"/>
  <c r="CB7" i="7" s="1"/>
  <c r="DD7" i="7" s="1"/>
  <c r="AK11" i="10"/>
  <c r="AL11" i="10"/>
  <c r="AM11" i="10"/>
  <c r="AK12" i="10"/>
  <c r="AL12" i="10"/>
  <c r="AM12" i="10"/>
  <c r="AK13" i="10"/>
  <c r="AL13" i="10"/>
  <c r="AM13" i="10"/>
  <c r="AK14" i="10"/>
  <c r="AL14" i="10"/>
  <c r="AM14" i="10"/>
  <c r="AK15" i="10"/>
  <c r="AL15" i="10"/>
  <c r="AM15" i="10"/>
  <c r="AK16" i="10"/>
  <c r="AL16" i="10"/>
  <c r="AM16" i="10"/>
  <c r="AK17" i="10"/>
  <c r="AL17" i="10"/>
  <c r="AM17" i="10"/>
  <c r="AK18" i="10"/>
  <c r="AL18" i="10"/>
  <c r="AM18" i="10"/>
  <c r="AK19" i="10"/>
  <c r="AL19" i="10"/>
  <c r="AM19" i="10"/>
  <c r="AK20" i="10"/>
  <c r="AL20" i="10"/>
  <c r="AM20" i="10"/>
  <c r="AK21" i="10"/>
  <c r="AL21" i="10"/>
  <c r="AM21" i="10"/>
  <c r="AK22" i="10"/>
  <c r="AL22" i="10"/>
  <c r="AM22" i="10"/>
  <c r="AK23" i="10"/>
  <c r="AL23" i="10"/>
  <c r="AM23" i="10"/>
  <c r="AK24" i="10"/>
  <c r="AL24" i="10"/>
  <c r="AM24" i="10"/>
  <c r="AK25" i="10"/>
  <c r="AL25" i="10"/>
  <c r="AM25" i="10"/>
  <c r="AK26" i="10"/>
  <c r="AL26" i="10"/>
  <c r="AM26" i="10"/>
  <c r="AK27" i="10"/>
  <c r="AL27" i="10"/>
  <c r="AM27" i="10"/>
  <c r="AK28" i="10"/>
  <c r="AL28" i="10"/>
  <c r="AM28" i="10"/>
  <c r="AK29" i="10"/>
  <c r="AL29" i="10"/>
  <c r="AM29" i="10"/>
  <c r="AK30" i="10"/>
  <c r="AL30" i="10"/>
  <c r="AM30" i="10"/>
  <c r="AK31" i="10"/>
  <c r="AL31" i="10"/>
  <c r="AM31" i="10"/>
  <c r="AK32" i="10"/>
  <c r="AL32" i="10"/>
  <c r="AM32" i="10"/>
  <c r="AK33" i="10"/>
  <c r="AL33" i="10"/>
  <c r="AM33" i="10"/>
  <c r="AK34" i="10"/>
  <c r="AL34" i="10"/>
  <c r="AM34" i="10"/>
  <c r="AK35" i="10"/>
  <c r="AL35" i="10"/>
  <c r="AM35" i="10"/>
  <c r="AK36" i="10"/>
  <c r="AL36" i="10"/>
  <c r="AM36" i="10"/>
  <c r="AK37" i="10"/>
  <c r="AL37" i="10"/>
  <c r="AM37" i="10"/>
  <c r="AK38" i="10"/>
  <c r="AL38" i="10"/>
  <c r="AM38" i="10"/>
  <c r="AK39" i="10"/>
  <c r="AL39" i="10"/>
  <c r="AM39" i="10"/>
  <c r="AK40" i="10"/>
  <c r="AL40" i="10"/>
  <c r="AM40" i="10"/>
  <c r="AK41" i="10"/>
  <c r="AL41" i="10"/>
  <c r="AM41" i="10"/>
  <c r="AK42" i="10"/>
  <c r="AL42" i="10"/>
  <c r="AM42" i="10"/>
  <c r="AK43" i="10"/>
  <c r="AL43" i="10"/>
  <c r="AM43" i="10"/>
  <c r="AK44" i="10"/>
  <c r="AL44" i="10"/>
  <c r="AM44" i="10"/>
  <c r="AL10" i="10"/>
  <c r="AM10" i="10"/>
  <c r="AK10" i="10"/>
  <c r="D3" i="18"/>
  <c r="D2"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6" i="18"/>
  <c r="B7" i="18"/>
  <c r="B8" i="18"/>
  <c r="B9" i="18"/>
  <c r="B10" i="18"/>
  <c r="B11" i="18"/>
  <c r="B12" i="18"/>
  <c r="B13" i="18"/>
  <c r="B14" i="18"/>
  <c r="B15" i="18"/>
  <c r="B16" i="18"/>
  <c r="B17" i="18"/>
  <c r="B18" i="18"/>
  <c r="B19" i="18"/>
  <c r="B20" i="18"/>
  <c r="B21" i="18"/>
  <c r="B22" i="18"/>
  <c r="B23" i="18"/>
  <c r="B24" i="18"/>
  <c r="B25" i="18"/>
  <c r="B26" i="18"/>
  <c r="B27" i="18"/>
  <c r="B28" i="18"/>
  <c r="B29" i="18"/>
  <c r="B30" i="18"/>
  <c r="B31" i="18"/>
  <c r="B32" i="18"/>
  <c r="B33" i="18"/>
  <c r="B34" i="18"/>
  <c r="B35" i="18"/>
  <c r="B36" i="18"/>
  <c r="B37" i="18"/>
  <c r="B38" i="18"/>
  <c r="B39" i="18"/>
  <c r="B40" i="18"/>
  <c r="B41" i="18"/>
  <c r="B42" i="18"/>
  <c r="B43" i="18"/>
  <c r="B44" i="18"/>
  <c r="B45" i="18"/>
  <c r="B6" i="18"/>
  <c r="D3" i="4"/>
  <c r="D2" i="4"/>
  <c r="F16" i="10"/>
  <c r="F20" i="10"/>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9" i="4"/>
  <c r="B8" i="4"/>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7" i="6"/>
  <c r="B6" i="6"/>
  <c r="S4" i="6"/>
  <c r="S3" i="6"/>
  <c r="S2" i="6"/>
  <c r="AE44" i="5"/>
  <c r="V3" i="5"/>
  <c r="V2" i="5"/>
  <c r="C3" i="5"/>
  <c r="C2"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5" i="5"/>
  <c r="C3" i="2"/>
  <c r="C2" i="2"/>
  <c r="E6" i="10"/>
  <c r="E5" i="10"/>
  <c r="E4" i="10"/>
  <c r="E3" i="10"/>
  <c r="E149" i="9"/>
  <c r="E146" i="9"/>
  <c r="E143" i="9"/>
  <c r="E140" i="9"/>
  <c r="B149" i="9"/>
  <c r="B146" i="9"/>
  <c r="B143" i="9"/>
  <c r="B140" i="9"/>
  <c r="B7" i="13"/>
  <c r="B8" i="13"/>
  <c r="B9" i="13"/>
  <c r="B10" i="13"/>
  <c r="B11" i="13"/>
  <c r="B12" i="13"/>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6" i="13"/>
  <c r="F240" i="9"/>
  <c r="F237" i="9"/>
  <c r="F234" i="9"/>
  <c r="F231" i="9"/>
  <c r="B240" i="9"/>
  <c r="B237" i="9"/>
  <c r="B234" i="9"/>
  <c r="B231" i="9"/>
  <c r="E224" i="9"/>
  <c r="E221" i="9"/>
  <c r="E218" i="9"/>
  <c r="E215" i="9"/>
  <c r="H210" i="9"/>
  <c r="H209" i="9"/>
  <c r="G209" i="9"/>
  <c r="G210" i="9"/>
  <c r="B7" i="11"/>
  <c r="B8" i="11"/>
  <c r="B9" i="11"/>
  <c r="B10" i="11"/>
  <c r="B11" i="11"/>
  <c r="B12" i="11"/>
  <c r="B13" i="11"/>
  <c r="B14" i="11"/>
  <c r="B15" i="11"/>
  <c r="B16" i="11"/>
  <c r="B17"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6" i="11"/>
  <c r="H23" i="37" l="1"/>
  <c r="K23" i="37"/>
  <c r="IH8" i="20"/>
  <c r="II8" i="20" s="1"/>
  <c r="HZ8" i="7"/>
  <c r="IA8" i="7" s="1"/>
  <c r="HZ14" i="7"/>
  <c r="IA14" i="7" s="1"/>
  <c r="HZ20" i="7"/>
  <c r="IA20" i="7" s="1"/>
  <c r="HZ15" i="7"/>
  <c r="IA15" i="7" s="1"/>
  <c r="HZ18" i="7"/>
  <c r="IA18" i="7" s="1"/>
  <c r="HZ9" i="7"/>
  <c r="IA9" i="7" s="1"/>
  <c r="HZ11" i="7"/>
  <c r="IA11" i="7" s="1"/>
  <c r="HZ12" i="7"/>
  <c r="IA12" i="7" s="1"/>
  <c r="IL35" i="20"/>
  <c r="IH12" i="20"/>
  <c r="II12" i="20" s="1"/>
  <c r="HP19" i="20"/>
  <c r="HR19" i="20" s="1"/>
  <c r="HP17" i="20"/>
  <c r="HR17" i="20" s="1"/>
  <c r="HP13" i="20"/>
  <c r="HR13" i="20" s="1"/>
  <c r="HP21" i="20"/>
  <c r="HR21" i="20" s="1"/>
  <c r="IH16" i="20"/>
  <c r="II16" i="20" s="1"/>
  <c r="HP9" i="20"/>
  <c r="HR9" i="20" s="1"/>
  <c r="IL9" i="20" s="1"/>
  <c r="FR9" i="20" s="1"/>
  <c r="IH10" i="20"/>
  <c r="II10" i="20" s="1"/>
  <c r="IH14" i="20"/>
  <c r="II14" i="20" s="1"/>
  <c r="IH15" i="20"/>
  <c r="II15" i="20" s="1"/>
  <c r="IH17" i="20"/>
  <c r="II17" i="20" s="1"/>
  <c r="IH19" i="20"/>
  <c r="II19" i="20" s="1"/>
  <c r="HP22" i="20"/>
  <c r="HR22" i="20" s="1"/>
  <c r="HP15" i="20"/>
  <c r="HR15" i="20" s="1"/>
  <c r="IH20" i="20"/>
  <c r="II20" i="20" s="1"/>
  <c r="IB20" i="7"/>
  <c r="DM20" i="7" s="1"/>
  <c r="AC22" i="10" s="1"/>
  <c r="IB18" i="7"/>
  <c r="DM18" i="7" s="1"/>
  <c r="AC20" i="10" s="1"/>
  <c r="IB14" i="7"/>
  <c r="DM14" i="7" s="1"/>
  <c r="AC16" i="10" s="1"/>
  <c r="IB11" i="7"/>
  <c r="DM11" i="7" s="1"/>
  <c r="AC13" i="10" s="1"/>
  <c r="IB19" i="7"/>
  <c r="DM19" i="7" s="1"/>
  <c r="AC21" i="10" s="1"/>
  <c r="HP16" i="20"/>
  <c r="HR16" i="20" s="1"/>
  <c r="HP20" i="20"/>
  <c r="HR20" i="20" s="1"/>
  <c r="HP12" i="20"/>
  <c r="HR12" i="20" s="1"/>
  <c r="HP18" i="20"/>
  <c r="HR18" i="20" s="1"/>
  <c r="HP11" i="20"/>
  <c r="HR11" i="20" s="1"/>
  <c r="HP14" i="20"/>
  <c r="HR14" i="20" s="1"/>
  <c r="IH18" i="20"/>
  <c r="II18" i="20" s="1"/>
  <c r="IH21" i="20"/>
  <c r="II21" i="20" s="1"/>
  <c r="HP10" i="20"/>
  <c r="HR10" i="20" s="1"/>
  <c r="IH22" i="20"/>
  <c r="II22" i="20" s="1"/>
  <c r="IB9" i="7"/>
  <c r="DM9" i="7" s="1"/>
  <c r="AC11" i="10" s="1"/>
  <c r="IB15" i="7"/>
  <c r="DM15" i="7" s="1"/>
  <c r="AC17" i="10" s="1"/>
  <c r="IB12" i="7"/>
  <c r="DM12" i="7" s="1"/>
  <c r="AC14" i="10" s="1"/>
  <c r="HZ13" i="7"/>
  <c r="IA13" i="7" s="1"/>
  <c r="HZ21" i="7"/>
  <c r="IA21" i="7" s="1"/>
  <c r="IB21" i="7" s="1"/>
  <c r="DM21" i="7" s="1"/>
  <c r="AC23" i="10" s="1"/>
  <c r="HZ17" i="7"/>
  <c r="IA17" i="7" s="1"/>
  <c r="IB17" i="7" s="1"/>
  <c r="DM17" i="7" s="1"/>
  <c r="AC19" i="10" s="1"/>
  <c r="HZ16" i="7"/>
  <c r="IA16" i="7" s="1"/>
  <c r="IB16" i="7" s="1"/>
  <c r="DM16" i="7" s="1"/>
  <c r="AC18" i="10" s="1"/>
  <c r="IB10" i="7"/>
  <c r="DM10" i="7" s="1"/>
  <c r="AC12" i="10" s="1"/>
  <c r="IB13" i="7"/>
  <c r="DM13" i="7" s="1"/>
  <c r="AC15" i="10" s="1"/>
  <c r="JW18" i="25"/>
  <c r="JX18" i="25" s="1"/>
  <c r="JY18" i="25" s="1"/>
  <c r="ES18" i="25" s="1"/>
  <c r="AD20" i="10" s="1"/>
  <c r="JW17" i="25"/>
  <c r="JX17" i="25" s="1"/>
  <c r="JY17" i="25" s="1"/>
  <c r="ES17" i="25" s="1"/>
  <c r="AD19" i="10" s="1"/>
  <c r="JW21" i="25"/>
  <c r="JX21" i="25" s="1"/>
  <c r="JY21" i="25" s="1"/>
  <c r="ES21" i="25" s="1"/>
  <c r="AD23" i="10" s="1"/>
  <c r="JW12" i="25"/>
  <c r="JX12" i="25" s="1"/>
  <c r="JY12" i="25" s="1"/>
  <c r="ES12" i="25" s="1"/>
  <c r="AD14" i="10" s="1"/>
  <c r="JW10" i="25"/>
  <c r="JX10" i="25" s="1"/>
  <c r="JY10" i="25" s="1"/>
  <c r="ES10" i="25" s="1"/>
  <c r="AD12" i="10" s="1"/>
  <c r="IL22" i="20"/>
  <c r="IL16" i="20"/>
  <c r="IL11" i="20"/>
  <c r="FR11" i="20" s="1"/>
  <c r="IL10" i="20"/>
  <c r="FR10" i="20" s="1"/>
  <c r="IL15" i="20"/>
  <c r="FR15" i="20" s="1"/>
  <c r="IL21" i="20"/>
  <c r="FR21" i="20" s="1"/>
  <c r="GE13" i="35"/>
  <c r="GH13" i="35" s="1"/>
  <c r="GI13" i="35"/>
  <c r="GE22" i="33"/>
  <c r="GH22" i="33" s="1"/>
  <c r="GE21" i="33"/>
  <c r="GH21" i="33" s="1"/>
  <c r="GI22" i="33"/>
  <c r="GE19" i="33"/>
  <c r="GH19" i="33" s="1"/>
  <c r="FX22" i="21"/>
  <c r="DR22" i="21" s="1"/>
  <c r="FX16" i="21"/>
  <c r="DR16" i="21" s="1"/>
  <c r="FX20" i="21"/>
  <c r="DR20" i="21" s="1"/>
  <c r="FX17" i="33"/>
  <c r="DR17" i="33" s="1"/>
  <c r="Q19" i="10" s="1"/>
  <c r="GI18" i="33"/>
  <c r="FX18" i="33"/>
  <c r="DR18" i="33" s="1"/>
  <c r="GE10" i="33"/>
  <c r="GH10" i="33" s="1"/>
  <c r="IL18" i="20"/>
  <c r="IL17" i="20"/>
  <c r="FR17" i="20" s="1"/>
  <c r="IL14" i="20"/>
  <c r="FR14" i="20" s="1"/>
  <c r="EK22" i="8"/>
  <c r="CE22" i="8" s="1"/>
  <c r="GE10" i="35"/>
  <c r="GH10" i="35" s="1"/>
  <c r="FX10" i="35"/>
  <c r="FX12" i="21"/>
  <c r="DR12" i="21" s="1"/>
  <c r="FX21" i="21"/>
  <c r="DR21" i="21" s="1"/>
  <c r="FX17" i="21"/>
  <c r="DR17" i="21" s="1"/>
  <c r="FX10" i="21"/>
  <c r="DR10" i="21" s="1"/>
  <c r="FX9" i="21"/>
  <c r="DR9" i="21" s="1"/>
  <c r="FX21" i="35"/>
  <c r="DR21" i="35" s="1"/>
  <c r="R23" i="10" s="1"/>
  <c r="FY22" i="35"/>
  <c r="GE22" i="35" s="1"/>
  <c r="GH22" i="35" s="1"/>
  <c r="FY20" i="35"/>
  <c r="GE20" i="35" s="1"/>
  <c r="GH20" i="35" s="1"/>
  <c r="GI21" i="35"/>
  <c r="FX21" i="33"/>
  <c r="DR21" i="33" s="1"/>
  <c r="Q23" i="10" s="1"/>
  <c r="FX19" i="33"/>
  <c r="DR19" i="33" s="1"/>
  <c r="Q21" i="10" s="1"/>
  <c r="GI19" i="33"/>
  <c r="FX10" i="33"/>
  <c r="DR10" i="33" s="1"/>
  <c r="Q12" i="10" s="1"/>
  <c r="FX15" i="19"/>
  <c r="DR15" i="19" s="1"/>
  <c r="EK16" i="8"/>
  <c r="CE16" i="8" s="1"/>
  <c r="EK13" i="8"/>
  <c r="EK12" i="8"/>
  <c r="CE12" i="8" s="1"/>
  <c r="EK11" i="8"/>
  <c r="CE11" i="8" s="1"/>
  <c r="EK24" i="8"/>
  <c r="EK40" i="8"/>
  <c r="FX26" i="21"/>
  <c r="DR26" i="21" s="1"/>
  <c r="FX19" i="21"/>
  <c r="DR19" i="21" s="1"/>
  <c r="FX11" i="33"/>
  <c r="DR11" i="33" s="1"/>
  <c r="Q13" i="10" s="1"/>
  <c r="EK39" i="8"/>
  <c r="CE39" i="8" s="1"/>
  <c r="FX14" i="21"/>
  <c r="DR14" i="21" s="1"/>
  <c r="EK19" i="8"/>
  <c r="CE19" i="8" s="1"/>
  <c r="IL37" i="20"/>
  <c r="GE34" i="35"/>
  <c r="GH34" i="35" s="1"/>
  <c r="GE36" i="35"/>
  <c r="GH36" i="35" s="1"/>
  <c r="GE25" i="35"/>
  <c r="GH25" i="35" s="1"/>
  <c r="IL41" i="20"/>
  <c r="FX13" i="33"/>
  <c r="DR13" i="33" s="1"/>
  <c r="GI13" i="33"/>
  <c r="FY13" i="33"/>
  <c r="GE13" i="33" s="1"/>
  <c r="GH13" i="33" s="1"/>
  <c r="GI27" i="33"/>
  <c r="FY27" i="33"/>
  <c r="GE27" i="33" s="1"/>
  <c r="GH27" i="33" s="1"/>
  <c r="EK14" i="8"/>
  <c r="CE14" i="8" s="1"/>
  <c r="EK35" i="8"/>
  <c r="EK25" i="8"/>
  <c r="EK33" i="8"/>
  <c r="IL40" i="20"/>
  <c r="FX15" i="33"/>
  <c r="DR15" i="33" s="1"/>
  <c r="Q17" i="10" s="1"/>
  <c r="GI15" i="33"/>
  <c r="FY15" i="33"/>
  <c r="GE15" i="33" s="1"/>
  <c r="GH15" i="33" s="1"/>
  <c r="EK31" i="8"/>
  <c r="FX11" i="21"/>
  <c r="DR11" i="21" s="1"/>
  <c r="IL36" i="20"/>
  <c r="IL33" i="20"/>
  <c r="IL20" i="20"/>
  <c r="FR20" i="20" s="1"/>
  <c r="IL13" i="20"/>
  <c r="FR13" i="20" s="1"/>
  <c r="FX18" i="21"/>
  <c r="DR18" i="21" s="1"/>
  <c r="FX34" i="21"/>
  <c r="IL23" i="20"/>
  <c r="FX12" i="33"/>
  <c r="DR12" i="33" s="1"/>
  <c r="Q14" i="10" s="1"/>
  <c r="FY12" i="33"/>
  <c r="GE12" i="33" s="1"/>
  <c r="GH12" i="33" s="1"/>
  <c r="GI12" i="33"/>
  <c r="FX13" i="21"/>
  <c r="DR13" i="21" s="1"/>
  <c r="EK28" i="8"/>
  <c r="FX22" i="33"/>
  <c r="DR22" i="33" s="1"/>
  <c r="Q24" i="10" s="1"/>
  <c r="FX38" i="33"/>
  <c r="DR38" i="33" s="1"/>
  <c r="FX33" i="33"/>
  <c r="FX36" i="33"/>
  <c r="GE29" i="35"/>
  <c r="GH29" i="35" s="1"/>
  <c r="GE21" i="35"/>
  <c r="GH21" i="35" s="1"/>
  <c r="GI17" i="33"/>
  <c r="FY17" i="33"/>
  <c r="GE17" i="33" s="1"/>
  <c r="GH17" i="33" s="1"/>
  <c r="IL12" i="20"/>
  <c r="FR12" i="20" s="1"/>
  <c r="EK15" i="8"/>
  <c r="CE15" i="8" s="1"/>
  <c r="EK38" i="8"/>
  <c r="FX24" i="33"/>
  <c r="FY24" i="33"/>
  <c r="GE24" i="33" s="1"/>
  <c r="GH24" i="33" s="1"/>
  <c r="FX31" i="33"/>
  <c r="DR31" i="33" s="1"/>
  <c r="FY31" i="33"/>
  <c r="GE31" i="33" s="1"/>
  <c r="GH31" i="33" s="1"/>
  <c r="EK30" i="8"/>
  <c r="EK20" i="8"/>
  <c r="CE20" i="8" s="1"/>
  <c r="EK17" i="8"/>
  <c r="CE17" i="8" s="1"/>
  <c r="EK32" i="8"/>
  <c r="FY20" i="33"/>
  <c r="GE20" i="33" s="1"/>
  <c r="GH20" i="33" s="1"/>
  <c r="GI20" i="33"/>
  <c r="EK27" i="8"/>
  <c r="FX15" i="21"/>
  <c r="DR15" i="21" s="1"/>
  <c r="FY25" i="33"/>
  <c r="GE25" i="33" s="1"/>
  <c r="GH25" i="33" s="1"/>
  <c r="GI25" i="33"/>
  <c r="FX32" i="33"/>
  <c r="FY32" i="33"/>
  <c r="GE32" i="33" s="1"/>
  <c r="GH32" i="33" s="1"/>
  <c r="EK34" i="8"/>
  <c r="FX30" i="33"/>
  <c r="FY30" i="33"/>
  <c r="GE30" i="33" s="1"/>
  <c r="GH30" i="33" s="1"/>
  <c r="IL30" i="20"/>
  <c r="EK18" i="8"/>
  <c r="CE18" i="8" s="1"/>
  <c r="FX16" i="33"/>
  <c r="DR16" i="33" s="1"/>
  <c r="Q18" i="10" s="1"/>
  <c r="GI16" i="33"/>
  <c r="FY16" i="33"/>
  <c r="GE16" i="33" s="1"/>
  <c r="GH16" i="33" s="1"/>
  <c r="EK21" i="8"/>
  <c r="CE21" i="8" s="1"/>
  <c r="FX20" i="33"/>
  <c r="DR20" i="33" s="1"/>
  <c r="Q22" i="10" s="1"/>
  <c r="FX27" i="33"/>
  <c r="FX34" i="33"/>
  <c r="DR34" i="33" s="1"/>
  <c r="FX25" i="33"/>
  <c r="HP8" i="20"/>
  <c r="HR8" i="20" s="1"/>
  <c r="IL8" i="20" s="1"/>
  <c r="IB8" i="7"/>
  <c r="DM8" i="7" s="1"/>
  <c r="AC10" i="10" s="1"/>
  <c r="FX39" i="19"/>
  <c r="GE19" i="35"/>
  <c r="GH19" i="35" s="1"/>
  <c r="FX25" i="19"/>
  <c r="DR25" i="19" s="1"/>
  <c r="IP8" i="27"/>
  <c r="ID8" i="27" s="1"/>
  <c r="JJ8" i="25"/>
  <c r="AH7" i="25"/>
  <c r="AQ7" i="25" s="1"/>
  <c r="AZ7" i="25" s="1"/>
  <c r="BI7" i="25" s="1"/>
  <c r="BR7" i="25" s="1"/>
  <c r="CA7" i="25" s="1"/>
  <c r="CJ7" i="25" s="1"/>
  <c r="CS7" i="25" s="1"/>
  <c r="DB7" i="25" s="1"/>
  <c r="DK7" i="25" s="1"/>
  <c r="DT7" i="25" s="1"/>
  <c r="EC7" i="25" s="1"/>
  <c r="AG7" i="25"/>
  <c r="AP7" i="25" s="1"/>
  <c r="AY7" i="25" s="1"/>
  <c r="BH7" i="25" s="1"/>
  <c r="BQ7" i="25" s="1"/>
  <c r="BZ7" i="25" s="1"/>
  <c r="CI7" i="25" s="1"/>
  <c r="CR7" i="25" s="1"/>
  <c r="DA7" i="25" s="1"/>
  <c r="DJ7" i="25" s="1"/>
  <c r="DS7" i="25" s="1"/>
  <c r="EB7" i="25" s="1"/>
  <c r="AF7" i="25"/>
  <c r="AO7" i="25" s="1"/>
  <c r="AX7" i="25" s="1"/>
  <c r="BG7" i="25" s="1"/>
  <c r="BP7" i="25" s="1"/>
  <c r="BY7" i="25" s="1"/>
  <c r="CH7" i="25" s="1"/>
  <c r="CQ7" i="25" s="1"/>
  <c r="CZ7" i="25" s="1"/>
  <c r="DI7" i="25" s="1"/>
  <c r="DR7" i="25" s="1"/>
  <c r="EA7" i="25" s="1"/>
  <c r="AJ7" i="25"/>
  <c r="AS7" i="25" s="1"/>
  <c r="BB7" i="25" s="1"/>
  <c r="BK7" i="25" s="1"/>
  <c r="BT7" i="25" s="1"/>
  <c r="CC7" i="25" s="1"/>
  <c r="CL7" i="25" s="1"/>
  <c r="CU7" i="25" s="1"/>
  <c r="DD7" i="25" s="1"/>
  <c r="DM7" i="25" s="1"/>
  <c r="DV7" i="25" s="1"/>
  <c r="EE7" i="25" s="1"/>
  <c r="AD7" i="25"/>
  <c r="AM7" i="25" s="1"/>
  <c r="AV7" i="25" s="1"/>
  <c r="BE7" i="25" s="1"/>
  <c r="BN7" i="25" s="1"/>
  <c r="BW7" i="25" s="1"/>
  <c r="CF7" i="25" s="1"/>
  <c r="CO7" i="25" s="1"/>
  <c r="CX7" i="25" s="1"/>
  <c r="DG7" i="25" s="1"/>
  <c r="DP7" i="25" s="1"/>
  <c r="DY7" i="25" s="1"/>
  <c r="AE7" i="25"/>
  <c r="AN7" i="25" s="1"/>
  <c r="AW7" i="25" s="1"/>
  <c r="BF7" i="25" s="1"/>
  <c r="BO7" i="25" s="1"/>
  <c r="BX7" i="25" s="1"/>
  <c r="CG7" i="25" s="1"/>
  <c r="CP7" i="25" s="1"/>
  <c r="CY7" i="25" s="1"/>
  <c r="DH7" i="25" s="1"/>
  <c r="DQ7" i="25" s="1"/>
  <c r="DZ7" i="25" s="1"/>
  <c r="AI7" i="25"/>
  <c r="AR7" i="25" s="1"/>
  <c r="BA7" i="25" s="1"/>
  <c r="BJ7" i="25" s="1"/>
  <c r="BS7" i="25" s="1"/>
  <c r="CB7" i="25" s="1"/>
  <c r="CK7" i="25" s="1"/>
  <c r="CT7" i="25" s="1"/>
  <c r="DC7" i="25" s="1"/>
  <c r="DL7" i="25" s="1"/>
  <c r="DU7" i="25" s="1"/>
  <c r="ED7" i="25" s="1"/>
  <c r="AZ30" i="38"/>
  <c r="AZ16" i="38"/>
  <c r="AZ34" i="38"/>
  <c r="FX12" i="19"/>
  <c r="DR12" i="19" s="1"/>
  <c r="FX19" i="19"/>
  <c r="DR19" i="19" s="1"/>
  <c r="FX42" i="19"/>
  <c r="DR42" i="19" s="1"/>
  <c r="FX18" i="19"/>
  <c r="DR18" i="19" s="1"/>
  <c r="FX29" i="35"/>
  <c r="DR29" i="35" s="1"/>
  <c r="FX28" i="35"/>
  <c r="DR28" i="35" s="1"/>
  <c r="R30" i="10" s="1"/>
  <c r="FX37" i="35"/>
  <c r="DR37" i="35" s="1"/>
  <c r="R39" i="10" s="1"/>
  <c r="FX27" i="35"/>
  <c r="DR27" i="35" s="1"/>
  <c r="R29" i="10" s="1"/>
  <c r="FX10" i="19"/>
  <c r="DR10" i="19" s="1"/>
  <c r="FX34" i="35"/>
  <c r="DR34" i="35" s="1"/>
  <c r="R36" i="10" s="1"/>
  <c r="FI8" i="21"/>
  <c r="FX8" i="21" s="1"/>
  <c r="DR8" i="21" s="1"/>
  <c r="FX19" i="35"/>
  <c r="DR19" i="35" s="1"/>
  <c r="R21" i="10" s="1"/>
  <c r="FX38" i="35"/>
  <c r="DR38" i="35" s="1"/>
  <c r="R40" i="10" s="1"/>
  <c r="FX23" i="35"/>
  <c r="DR23" i="35" s="1"/>
  <c r="R25" i="10" s="1"/>
  <c r="FX12" i="35"/>
  <c r="DR12" i="35" s="1"/>
  <c r="R14" i="10" s="1"/>
  <c r="GI25" i="35"/>
  <c r="FX22" i="35"/>
  <c r="DR22" i="35" s="1"/>
  <c r="R24" i="10" s="1"/>
  <c r="FX36" i="35"/>
  <c r="DR36" i="35" s="1"/>
  <c r="FY12" i="35"/>
  <c r="GE12" i="35" s="1"/>
  <c r="GH12" i="35" s="1"/>
  <c r="FX25" i="35"/>
  <c r="DR25" i="35" s="1"/>
  <c r="R27" i="10" s="1"/>
  <c r="GI19" i="35"/>
  <c r="FX24" i="35"/>
  <c r="DR24" i="35" s="1"/>
  <c r="R26" i="10" s="1"/>
  <c r="FX20" i="35"/>
  <c r="DR20" i="35" s="1"/>
  <c r="R22" i="10" s="1"/>
  <c r="FX39" i="35"/>
  <c r="DR39" i="35" s="1"/>
  <c r="R41" i="10" s="1"/>
  <c r="FX14" i="35"/>
  <c r="DR14" i="35" s="1"/>
  <c r="R16" i="10" s="1"/>
  <c r="FY14" i="35"/>
  <c r="GE14" i="35" s="1"/>
  <c r="GH14" i="35" s="1"/>
  <c r="GI14" i="35"/>
  <c r="FX18" i="35"/>
  <c r="DR18" i="35" s="1"/>
  <c r="R20" i="10" s="1"/>
  <c r="FY18" i="35"/>
  <c r="GE18" i="35" s="1"/>
  <c r="GH18" i="35" s="1"/>
  <c r="GI18" i="35"/>
  <c r="FX42" i="35"/>
  <c r="DR42" i="35" s="1"/>
  <c r="R44" i="10" s="1"/>
  <c r="FY42" i="35"/>
  <c r="GE42" i="35" s="1"/>
  <c r="GH42" i="35" s="1"/>
  <c r="FX31" i="35"/>
  <c r="DR31" i="35" s="1"/>
  <c r="R33" i="10" s="1"/>
  <c r="FY31" i="35"/>
  <c r="GE31" i="35" s="1"/>
  <c r="GH31" i="35" s="1"/>
  <c r="FX26" i="35"/>
  <c r="DR26" i="35" s="1"/>
  <c r="R28" i="10" s="1"/>
  <c r="FY26" i="35"/>
  <c r="GE26" i="35" s="1"/>
  <c r="GH26" i="35" s="1"/>
  <c r="FX35" i="35"/>
  <c r="DR35" i="35" s="1"/>
  <c r="R37" i="10" s="1"/>
  <c r="FY35" i="35"/>
  <c r="GE35" i="35" s="1"/>
  <c r="GH35" i="35" s="1"/>
  <c r="FX16" i="35"/>
  <c r="DR16" i="35" s="1"/>
  <c r="R18" i="10" s="1"/>
  <c r="FY16" i="35"/>
  <c r="GE16" i="35" s="1"/>
  <c r="GH16" i="35" s="1"/>
  <c r="FX17" i="35"/>
  <c r="DR17" i="35" s="1"/>
  <c r="R19" i="10" s="1"/>
  <c r="GI17" i="35"/>
  <c r="FY17" i="35"/>
  <c r="GE17" i="35" s="1"/>
  <c r="GH17" i="35" s="1"/>
  <c r="FX30" i="35"/>
  <c r="DR30" i="35" s="1"/>
  <c r="R32" i="10" s="1"/>
  <c r="FY30" i="35"/>
  <c r="GE30" i="35" s="1"/>
  <c r="GH30" i="35" s="1"/>
  <c r="FX9" i="35"/>
  <c r="DR9" i="35" s="1"/>
  <c r="FY9" i="35"/>
  <c r="GE9" i="35" s="1"/>
  <c r="GH9" i="35" s="1"/>
  <c r="FX40" i="35"/>
  <c r="DR40" i="35" s="1"/>
  <c r="R42" i="10" s="1"/>
  <c r="FY40" i="35"/>
  <c r="GE40" i="35" s="1"/>
  <c r="GH40" i="35" s="1"/>
  <c r="FX15" i="35"/>
  <c r="DR15" i="35" s="1"/>
  <c r="R17" i="10" s="1"/>
  <c r="FY15" i="35"/>
  <c r="GE15" i="35" s="1"/>
  <c r="GH15" i="35" s="1"/>
  <c r="GI16" i="35"/>
  <c r="FX8" i="35"/>
  <c r="DR8" i="35" s="1"/>
  <c r="FX9" i="33"/>
  <c r="DR9" i="33" s="1"/>
  <c r="FY9" i="33"/>
  <c r="GE9" i="33" s="1"/>
  <c r="GH9" i="33" s="1"/>
  <c r="FX8" i="33"/>
  <c r="DR8" i="33" s="1"/>
  <c r="FX8" i="19"/>
  <c r="DR8" i="19" s="1"/>
  <c r="FX34" i="19"/>
  <c r="DR34" i="19" s="1"/>
  <c r="FX29" i="19"/>
  <c r="DR29" i="19" s="1"/>
  <c r="FX17" i="19"/>
  <c r="DR17" i="19" s="1"/>
  <c r="FX11" i="19"/>
  <c r="DR11" i="19" s="1"/>
  <c r="FX26" i="19"/>
  <c r="DR26" i="19" s="1"/>
  <c r="FX27" i="19"/>
  <c r="DR27" i="19" s="1"/>
  <c r="FX21" i="19"/>
  <c r="DR21" i="19" s="1"/>
  <c r="FX22" i="19"/>
  <c r="DR22" i="19" s="1"/>
  <c r="FX40" i="19"/>
  <c r="DR40" i="19" s="1"/>
  <c r="FX35" i="19"/>
  <c r="DR35" i="19" s="1"/>
  <c r="FX36" i="19"/>
  <c r="FX24" i="19"/>
  <c r="DR24" i="19" s="1"/>
  <c r="FX30" i="19"/>
  <c r="DR30" i="19" s="1"/>
  <c r="FX23" i="19"/>
  <c r="DR23" i="19" s="1"/>
  <c r="FX41" i="19"/>
  <c r="FX38" i="19"/>
  <c r="DR38" i="19" s="1"/>
  <c r="FX20" i="19"/>
  <c r="DR20" i="19" s="1"/>
  <c r="FX28" i="19"/>
  <c r="DR28" i="19" s="1"/>
  <c r="FX16" i="19"/>
  <c r="DR16" i="19" s="1"/>
  <c r="FX14" i="19"/>
  <c r="DR14" i="19" s="1"/>
  <c r="FX33" i="19"/>
  <c r="DR33" i="19" s="1"/>
  <c r="FX32" i="19"/>
  <c r="FX13" i="19"/>
  <c r="DR13" i="19" s="1"/>
  <c r="FX31" i="19"/>
  <c r="DR31" i="19" s="1"/>
  <c r="FX9" i="19"/>
  <c r="DR9" i="19" s="1"/>
  <c r="EK8" i="8"/>
  <c r="CE8" i="8" s="1"/>
  <c r="DR36" i="19"/>
  <c r="EK10" i="8"/>
  <c r="CE10" i="8" s="1"/>
  <c r="EK9" i="8"/>
  <c r="CE9" i="8" s="1"/>
  <c r="CE13" i="8"/>
  <c r="CE33" i="8"/>
  <c r="CE36" i="8"/>
  <c r="CE34" i="8"/>
  <c r="FR38" i="20"/>
  <c r="DR27" i="33"/>
  <c r="Q29" i="10" s="1"/>
  <c r="DR36" i="21"/>
  <c r="DR42" i="33"/>
  <c r="Q44" i="10" s="1"/>
  <c r="CE28" i="8"/>
  <c r="DR27" i="21"/>
  <c r="DR29" i="33"/>
  <c r="Q31" i="10" s="1"/>
  <c r="DR24" i="33"/>
  <c r="Q26" i="10" s="1"/>
  <c r="DR32" i="19"/>
  <c r="CE37" i="8"/>
  <c r="DR25" i="33"/>
  <c r="Q27" i="10" s="1"/>
  <c r="DR41" i="33"/>
  <c r="Q43" i="10" s="1"/>
  <c r="FR32" i="20"/>
  <c r="FR27" i="20"/>
  <c r="DR36" i="33"/>
  <c r="Q38" i="10" s="1"/>
  <c r="FR28" i="20"/>
  <c r="DR41" i="35"/>
  <c r="R43" i="10" s="1"/>
  <c r="DR26" i="33"/>
  <c r="Q28" i="10" s="1"/>
  <c r="DR43" i="33"/>
  <c r="FR23" i="20"/>
  <c r="CE30" i="8"/>
  <c r="DR10" i="35"/>
  <c r="R12" i="10" s="1"/>
  <c r="DR32" i="21"/>
  <c r="CE29" i="8"/>
  <c r="DR42" i="21"/>
  <c r="FR30" i="20"/>
  <c r="DR23" i="33"/>
  <c r="Q25" i="10" s="1"/>
  <c r="FR26" i="20"/>
  <c r="FR34" i="20"/>
  <c r="DR34" i="21"/>
  <c r="DR33" i="21"/>
  <c r="Q15" i="10"/>
  <c r="DR40" i="33"/>
  <c r="Q42" i="10" s="1"/>
  <c r="FR31" i="20"/>
  <c r="FR37" i="20"/>
  <c r="FR41" i="20"/>
  <c r="FR40" i="20"/>
  <c r="CE42" i="8"/>
  <c r="CE25" i="8"/>
  <c r="FR39" i="20"/>
  <c r="DR39" i="33"/>
  <c r="Q41" i="10" s="1"/>
  <c r="DR29" i="21"/>
  <c r="DR32" i="33"/>
  <c r="Q34" i="10" s="1"/>
  <c r="CE41" i="8"/>
  <c r="R15" i="10"/>
  <c r="FR29" i="20"/>
  <c r="FR35" i="20"/>
  <c r="DR35" i="33"/>
  <c r="Q37" i="10" s="1"/>
  <c r="DR14" i="33"/>
  <c r="Q16" i="10" s="1"/>
  <c r="DR37" i="21"/>
  <c r="FR36" i="20"/>
  <c r="FR25" i="20"/>
  <c r="DR30" i="33"/>
  <c r="Q32" i="10" s="1"/>
  <c r="Q20" i="10"/>
  <c r="CE27" i="8"/>
  <c r="FR42" i="20"/>
  <c r="DR39" i="21"/>
  <c r="DR28" i="21"/>
  <c r="CE23" i="8"/>
  <c r="JE8" i="27"/>
  <c r="JF8" i="27" s="1"/>
  <c r="DR41" i="19"/>
  <c r="IQ8" i="27"/>
  <c r="IR8" i="27" s="1"/>
  <c r="Q40" i="10"/>
  <c r="DR35" i="21"/>
  <c r="R31" i="10"/>
  <c r="DR25" i="21"/>
  <c r="R13" i="10"/>
  <c r="DR38" i="21"/>
  <c r="Q30" i="10"/>
  <c r="Q39" i="10"/>
  <c r="FR33" i="20"/>
  <c r="CE26" i="8"/>
  <c r="CE24" i="8"/>
  <c r="DR33" i="35"/>
  <c r="R35" i="10" s="1"/>
  <c r="CE35" i="8"/>
  <c r="CE32" i="8"/>
  <c r="CQ8" i="28"/>
  <c r="AE25" i="6"/>
  <c r="BN29" i="38" s="1"/>
  <c r="AE33" i="6"/>
  <c r="BN37" i="38" s="1"/>
  <c r="DR24" i="21"/>
  <c r="DR30" i="21"/>
  <c r="BD8" i="22"/>
  <c r="BP8" i="22" s="1"/>
  <c r="BH8" i="22"/>
  <c r="BT8" i="22" s="1"/>
  <c r="BC9" i="22"/>
  <c r="BO9" i="22" s="1"/>
  <c r="BG9" i="22"/>
  <c r="BS9" i="22" s="1"/>
  <c r="BD12" i="22"/>
  <c r="BP12" i="22" s="1"/>
  <c r="BH12" i="22"/>
  <c r="BT12" i="22" s="1"/>
  <c r="BC13" i="22"/>
  <c r="BO13" i="22" s="1"/>
  <c r="BG13" i="22"/>
  <c r="BS13" i="22" s="1"/>
  <c r="BD16" i="22"/>
  <c r="BP16" i="22" s="1"/>
  <c r="BH16" i="22"/>
  <c r="BT16" i="22" s="1"/>
  <c r="BC17" i="22"/>
  <c r="BO17" i="22" s="1"/>
  <c r="BG17" i="22"/>
  <c r="BS17" i="22" s="1"/>
  <c r="BD20" i="22"/>
  <c r="BP20" i="22" s="1"/>
  <c r="BH20" i="22"/>
  <c r="BT20" i="22" s="1"/>
  <c r="BC21" i="22"/>
  <c r="BO21" i="22" s="1"/>
  <c r="BG21" i="22"/>
  <c r="BS21" i="22" s="1"/>
  <c r="BD24" i="22"/>
  <c r="BP24" i="22" s="1"/>
  <c r="BH24" i="22"/>
  <c r="BT24" i="22" s="1"/>
  <c r="BC25" i="22"/>
  <c r="BO25" i="22" s="1"/>
  <c r="BG25" i="22"/>
  <c r="BS25" i="22" s="1"/>
  <c r="BD28" i="22"/>
  <c r="BP28" i="22" s="1"/>
  <c r="BH28" i="22"/>
  <c r="BT28" i="22" s="1"/>
  <c r="BC29" i="22"/>
  <c r="BO29" i="22" s="1"/>
  <c r="BG29" i="22"/>
  <c r="BS29" i="22" s="1"/>
  <c r="BE31" i="22"/>
  <c r="BQ31" i="22"/>
  <c r="BI31" i="22"/>
  <c r="BU31" i="22" s="1"/>
  <c r="BB34" i="22"/>
  <c r="BN34" i="22" s="1"/>
  <c r="BF34" i="22"/>
  <c r="BR34" i="22" s="1"/>
  <c r="BA35" i="22"/>
  <c r="BM35" i="22" s="1"/>
  <c r="BE35" i="22"/>
  <c r="BQ35" i="22" s="1"/>
  <c r="BI35" i="22"/>
  <c r="BU35" i="22" s="1"/>
  <c r="BB38" i="22"/>
  <c r="BN38" i="22" s="1"/>
  <c r="BF38" i="22"/>
  <c r="BR38" i="22" s="1"/>
  <c r="BA39" i="22"/>
  <c r="BM39" i="22" s="1"/>
  <c r="BE39" i="22"/>
  <c r="BQ39" i="22" s="1"/>
  <c r="BI39" i="22"/>
  <c r="BU39" i="22" s="1"/>
  <c r="BB42" i="22"/>
  <c r="BN42" i="22" s="1"/>
  <c r="BF42" i="22"/>
  <c r="BR42" i="22" s="1"/>
  <c r="BD9" i="22"/>
  <c r="BP9" i="22" s="1"/>
  <c r="BH9" i="22"/>
  <c r="BT9" i="22" s="1"/>
  <c r="BC10" i="22"/>
  <c r="BO10" i="22" s="1"/>
  <c r="BG10" i="22"/>
  <c r="BS10" i="22" s="1"/>
  <c r="BD13" i="22"/>
  <c r="BP13" i="22" s="1"/>
  <c r="BH13" i="22"/>
  <c r="BT13" i="22" s="1"/>
  <c r="BC14" i="22"/>
  <c r="BO14" i="22" s="1"/>
  <c r="BG14" i="22"/>
  <c r="BS14" i="22" s="1"/>
  <c r="BD17" i="22"/>
  <c r="BP17" i="22" s="1"/>
  <c r="BH17" i="22"/>
  <c r="BT17" i="22" s="1"/>
  <c r="BC18" i="22"/>
  <c r="BO18" i="22" s="1"/>
  <c r="BG18" i="22"/>
  <c r="BS18" i="22" s="1"/>
  <c r="BD21" i="22"/>
  <c r="BP21" i="22" s="1"/>
  <c r="BH21" i="22"/>
  <c r="BT21" i="22" s="1"/>
  <c r="BC22" i="22"/>
  <c r="BO22" i="22" s="1"/>
  <c r="BG22" i="22"/>
  <c r="BS22" i="22" s="1"/>
  <c r="BD25" i="22"/>
  <c r="BP25" i="22" s="1"/>
  <c r="BH25" i="22"/>
  <c r="BT25" i="22" s="1"/>
  <c r="BC26" i="22"/>
  <c r="BO26" i="22" s="1"/>
  <c r="BG26" i="22"/>
  <c r="BS26" i="22" s="1"/>
  <c r="BD29" i="22"/>
  <c r="BP29" i="22" s="1"/>
  <c r="BH29" i="22"/>
  <c r="BT29" i="22" s="1"/>
  <c r="BC30" i="22"/>
  <c r="BO30" i="22" s="1"/>
  <c r="BG30" i="22"/>
  <c r="BS30" i="22" s="1"/>
  <c r="BA32" i="22"/>
  <c r="BM32" i="22" s="1"/>
  <c r="BE32" i="22"/>
  <c r="BQ32" i="22" s="1"/>
  <c r="BI32" i="22"/>
  <c r="BU32" i="22" s="1"/>
  <c r="BB35" i="22"/>
  <c r="BN35" i="22" s="1"/>
  <c r="BF35" i="22"/>
  <c r="BR35" i="22" s="1"/>
  <c r="BA36" i="22"/>
  <c r="BM36" i="22" s="1"/>
  <c r="BE36" i="22"/>
  <c r="BQ36" i="22" s="1"/>
  <c r="BI36" i="22"/>
  <c r="BU36" i="22" s="1"/>
  <c r="BB39" i="22"/>
  <c r="BN39" i="22" s="1"/>
  <c r="BF39" i="22"/>
  <c r="BR39" i="22"/>
  <c r="BA40" i="22"/>
  <c r="BM40" i="22" s="1"/>
  <c r="BE40" i="22"/>
  <c r="BQ40" i="22" s="1"/>
  <c r="BI40" i="22"/>
  <c r="BU40" i="22" s="1"/>
  <c r="BH41" i="22"/>
  <c r="BT41" i="22" s="1"/>
  <c r="BD10" i="22"/>
  <c r="BP10" i="22" s="1"/>
  <c r="BH10" i="22"/>
  <c r="BT10" i="22" s="1"/>
  <c r="BC11" i="22"/>
  <c r="BO11" i="22" s="1"/>
  <c r="BG11" i="22"/>
  <c r="BS11" i="22" s="1"/>
  <c r="BD14" i="22"/>
  <c r="BP14" i="22" s="1"/>
  <c r="BH14" i="22"/>
  <c r="BT14" i="22" s="1"/>
  <c r="BC15" i="22"/>
  <c r="BO15" i="22" s="1"/>
  <c r="BG15" i="22"/>
  <c r="BS15" i="22" s="1"/>
  <c r="BD18" i="22"/>
  <c r="BP18" i="22" s="1"/>
  <c r="BH18" i="22"/>
  <c r="BT18" i="22" s="1"/>
  <c r="BC19" i="22"/>
  <c r="BO19" i="22" s="1"/>
  <c r="BG19" i="22"/>
  <c r="BS19" i="22" s="1"/>
  <c r="BD22" i="22"/>
  <c r="BP22" i="22" s="1"/>
  <c r="BH22" i="22"/>
  <c r="BT22" i="22" s="1"/>
  <c r="BC23" i="22"/>
  <c r="BO23" i="22" s="1"/>
  <c r="BG23" i="22"/>
  <c r="BS23" i="22" s="1"/>
  <c r="BD26" i="22"/>
  <c r="BP26" i="22" s="1"/>
  <c r="BH26" i="22"/>
  <c r="BT26" i="22" s="1"/>
  <c r="BC27" i="22"/>
  <c r="BO27" i="22" s="1"/>
  <c r="BG27" i="22"/>
  <c r="BS27" i="22" s="1"/>
  <c r="BD30" i="22"/>
  <c r="BP30" i="22" s="1"/>
  <c r="BH30" i="22"/>
  <c r="BT30" i="22" s="1"/>
  <c r="BC31" i="22"/>
  <c r="BO31" i="22" s="1"/>
  <c r="BG31" i="22"/>
  <c r="BS31" i="22" s="1"/>
  <c r="BB32" i="22"/>
  <c r="BN32" i="22" s="1"/>
  <c r="BF32" i="22"/>
  <c r="BR32" i="22" s="1"/>
  <c r="BA33" i="22"/>
  <c r="BM33" i="22" s="1"/>
  <c r="BE33" i="22"/>
  <c r="BQ33" i="22"/>
  <c r="BI33" i="22"/>
  <c r="BU33" i="22" s="1"/>
  <c r="BB36" i="22"/>
  <c r="BN36" i="22" s="1"/>
  <c r="BF36" i="22"/>
  <c r="BR36" i="22" s="1"/>
  <c r="BA37" i="22"/>
  <c r="BM37" i="22" s="1"/>
  <c r="BE37" i="22"/>
  <c r="BQ37" i="22" s="1"/>
  <c r="BI37" i="22"/>
  <c r="BU37" i="22" s="1"/>
  <c r="BB40" i="22"/>
  <c r="BN40" i="22" s="1"/>
  <c r="BF40" i="22"/>
  <c r="BR40" i="22" s="1"/>
  <c r="BA41" i="22"/>
  <c r="BM41" i="22" s="1"/>
  <c r="BE41" i="22"/>
  <c r="BQ41" i="22" s="1"/>
  <c r="BI41" i="22"/>
  <c r="BU41" i="22" s="1"/>
  <c r="BH42" i="22"/>
  <c r="BT42" i="22" s="1"/>
  <c r="BC8" i="22"/>
  <c r="BO8" i="22" s="1"/>
  <c r="BG8" i="22"/>
  <c r="BS8" i="22" s="1"/>
  <c r="BD11" i="22"/>
  <c r="BP11" i="22" s="1"/>
  <c r="BH11" i="22"/>
  <c r="BT11" i="22" s="1"/>
  <c r="BC12" i="22"/>
  <c r="BO12" i="22" s="1"/>
  <c r="BG12" i="22"/>
  <c r="BS12" i="22" s="1"/>
  <c r="BD15" i="22"/>
  <c r="BP15" i="22" s="1"/>
  <c r="BH15" i="22"/>
  <c r="BT15" i="22" s="1"/>
  <c r="BC16" i="22"/>
  <c r="BO16" i="22" s="1"/>
  <c r="BG16" i="22"/>
  <c r="BS16" i="22" s="1"/>
  <c r="BD19" i="22"/>
  <c r="BP19" i="22" s="1"/>
  <c r="BH19" i="22"/>
  <c r="BT19" i="22" s="1"/>
  <c r="BC20" i="22"/>
  <c r="BO20" i="22" s="1"/>
  <c r="BG20" i="22"/>
  <c r="BS20" i="22" s="1"/>
  <c r="BD23" i="22"/>
  <c r="BP23" i="22" s="1"/>
  <c r="BC24" i="22"/>
  <c r="BO24" i="22" s="1"/>
  <c r="BG24" i="22"/>
  <c r="BS24" i="22" s="1"/>
  <c r="BD27" i="22"/>
  <c r="BP27" i="22" s="1"/>
  <c r="BH27" i="22"/>
  <c r="BT27" i="22" s="1"/>
  <c r="BC28" i="22"/>
  <c r="BO28" i="22" s="1"/>
  <c r="BG28" i="22"/>
  <c r="BS28" i="22" s="1"/>
  <c r="BA30" i="22"/>
  <c r="BM30" i="22" s="1"/>
  <c r="BE30" i="22"/>
  <c r="BQ30" i="22" s="1"/>
  <c r="BI30" i="22"/>
  <c r="BU30" i="22" s="1"/>
  <c r="BD31" i="22"/>
  <c r="BP31" i="22" s="1"/>
  <c r="BH31" i="22"/>
  <c r="BT31" i="22" s="1"/>
  <c r="BB33" i="22"/>
  <c r="BN33" i="22" s="1"/>
  <c r="BF33" i="22"/>
  <c r="BR33" i="22" s="1"/>
  <c r="BA34" i="22"/>
  <c r="BM34" i="22" s="1"/>
  <c r="BE34" i="22"/>
  <c r="BQ34" i="22" s="1"/>
  <c r="BI34" i="22"/>
  <c r="BU34" i="22" s="1"/>
  <c r="BB37" i="22"/>
  <c r="BN37" i="22" s="1"/>
  <c r="BF37" i="22"/>
  <c r="BR37" i="22" s="1"/>
  <c r="BA38" i="22"/>
  <c r="BM38" i="22" s="1"/>
  <c r="BE38" i="22"/>
  <c r="BQ38" i="22" s="1"/>
  <c r="BI38" i="22"/>
  <c r="BU38" i="22" s="1"/>
  <c r="BB41" i="22"/>
  <c r="BN41" i="22" s="1"/>
  <c r="BF41" i="22"/>
  <c r="BR41" i="22" s="1"/>
  <c r="BA42" i="22"/>
  <c r="BM42" i="22" s="1"/>
  <c r="BE42" i="22"/>
  <c r="BQ42" i="22" s="1"/>
  <c r="BI42" i="22"/>
  <c r="BU42" i="22" s="1"/>
  <c r="AU7" i="22"/>
  <c r="BI7" i="22" s="1"/>
  <c r="BU7" i="22" s="1"/>
  <c r="AL7" i="22"/>
  <c r="AN7" i="22"/>
  <c r="BB7" i="22" s="1"/>
  <c r="BN7" i="22" s="1"/>
  <c r="AE7" i="22"/>
  <c r="AR7" i="22"/>
  <c r="BF7" i="22" s="1"/>
  <c r="BR7" i="22" s="1"/>
  <c r="AI7" i="22"/>
  <c r="AM7" i="22"/>
  <c r="BA7" i="22" s="1"/>
  <c r="BM7" i="22" s="1"/>
  <c r="AD7" i="22"/>
  <c r="AO7" i="22"/>
  <c r="BC7" i="22" s="1"/>
  <c r="BO7" i="22" s="1"/>
  <c r="AF7" i="22"/>
  <c r="AS7" i="22"/>
  <c r="BG7" i="22" s="1"/>
  <c r="BS7" i="22" s="1"/>
  <c r="AJ7" i="22"/>
  <c r="AQ7" i="22"/>
  <c r="BE7" i="22" s="1"/>
  <c r="BQ7" i="22" s="1"/>
  <c r="AH7" i="22"/>
  <c r="AP7" i="22"/>
  <c r="BD7" i="22" s="1"/>
  <c r="BP7" i="22" s="1"/>
  <c r="AG7" i="22"/>
  <c r="AT7" i="22"/>
  <c r="BH7" i="22" s="1"/>
  <c r="BT7" i="22" s="1"/>
  <c r="AK7" i="22"/>
  <c r="R34" i="10"/>
  <c r="R38" i="10"/>
  <c r="DR33" i="33"/>
  <c r="Q35" i="10" s="1"/>
  <c r="Q33" i="10"/>
  <c r="Q36" i="10"/>
  <c r="FR18" i="20"/>
  <c r="FR22" i="20"/>
  <c r="FR16" i="20"/>
  <c r="CE31" i="8"/>
  <c r="DR39" i="19"/>
  <c r="CE38" i="8"/>
  <c r="CE40" i="8"/>
  <c r="CO7" i="7"/>
  <c r="CV7" i="7" s="1"/>
  <c r="DC7" i="7" s="1"/>
  <c r="CV7" i="21"/>
  <c r="CD7" i="21"/>
  <c r="DE7" i="21" s="1"/>
  <c r="CW7" i="21"/>
  <c r="CE7" i="21"/>
  <c r="DF7" i="21" s="1"/>
  <c r="CV7" i="19"/>
  <c r="CD7" i="19"/>
  <c r="DE7" i="19" s="1"/>
  <c r="CW7" i="19"/>
  <c r="CE7" i="19"/>
  <c r="DF7" i="19" s="1"/>
  <c r="CU7" i="21"/>
  <c r="CC7" i="21"/>
  <c r="DD7" i="21" s="1"/>
  <c r="CN7" i="7"/>
  <c r="CU7" i="7" s="1"/>
  <c r="DB7" i="7" s="1"/>
  <c r="CM7" i="7"/>
  <c r="CT7" i="7" s="1"/>
  <c r="DA7" i="7" s="1"/>
  <c r="H167" i="9"/>
  <c r="CI7" i="7"/>
  <c r="CP7" i="7" s="1"/>
  <c r="CW7" i="7" s="1"/>
  <c r="CK7" i="7"/>
  <c r="CR7" i="7" s="1"/>
  <c r="CY7" i="7" s="1"/>
  <c r="CP7" i="19"/>
  <c r="BX7" i="19"/>
  <c r="CY7" i="19" s="1"/>
  <c r="CR7" i="19"/>
  <c r="BZ7" i="19"/>
  <c r="DA7" i="19" s="1"/>
  <c r="CT7" i="19"/>
  <c r="CB7" i="19"/>
  <c r="DC7" i="19" s="1"/>
  <c r="EC7" i="20"/>
  <c r="DC7" i="20"/>
  <c r="EE7" i="20"/>
  <c r="DE7" i="20"/>
  <c r="EG7" i="20"/>
  <c r="DG7" i="20"/>
  <c r="EI7" i="20"/>
  <c r="DI7" i="20"/>
  <c r="EK7" i="20"/>
  <c r="DK7" i="20"/>
  <c r="CO7" i="21"/>
  <c r="BW7" i="21"/>
  <c r="CX7" i="21" s="1"/>
  <c r="CQ7" i="21"/>
  <c r="BY7" i="21"/>
  <c r="CZ7" i="21" s="1"/>
  <c r="CS7" i="21"/>
  <c r="CA7" i="21"/>
  <c r="DB7" i="21" s="1"/>
  <c r="EL7" i="20"/>
  <c r="DL7" i="20"/>
  <c r="H166" i="9"/>
  <c r="CJ7" i="7"/>
  <c r="CQ7" i="7" s="1"/>
  <c r="CX7" i="7" s="1"/>
  <c r="CL7" i="7"/>
  <c r="CS7" i="7" s="1"/>
  <c r="CZ7" i="7" s="1"/>
  <c r="CO7" i="19"/>
  <c r="BW7" i="19"/>
  <c r="CX7" i="19" s="1"/>
  <c r="CQ7" i="19"/>
  <c r="BY7" i="19"/>
  <c r="CZ7" i="19" s="1"/>
  <c r="CS7" i="19"/>
  <c r="CA7" i="19"/>
  <c r="DB7" i="19" s="1"/>
  <c r="CU7" i="19"/>
  <c r="CC7" i="19"/>
  <c r="DD7" i="19" s="1"/>
  <c r="ED7" i="20"/>
  <c r="DD7" i="20"/>
  <c r="EF7" i="20"/>
  <c r="DF7" i="20"/>
  <c r="EH7" i="20"/>
  <c r="DH7" i="20"/>
  <c r="EJ7" i="20"/>
  <c r="DJ7" i="20"/>
  <c r="CP7" i="21"/>
  <c r="BX7" i="21"/>
  <c r="CY7" i="21" s="1"/>
  <c r="CR7" i="21"/>
  <c r="BZ7" i="21"/>
  <c r="DA7" i="21" s="1"/>
  <c r="CT7" i="21"/>
  <c r="CB7" i="21"/>
  <c r="DC7" i="21" s="1"/>
  <c r="F21" i="9"/>
  <c r="EM7" i="20"/>
  <c r="DM7" i="20"/>
  <c r="O7" i="26"/>
  <c r="AA7" i="26" s="1"/>
  <c r="AM7" i="26" s="1"/>
  <c r="Q7" i="26"/>
  <c r="AC7" i="26" s="1"/>
  <c r="AO7" i="26" s="1"/>
  <c r="S7" i="26"/>
  <c r="AE7" i="26" s="1"/>
  <c r="AQ7" i="26" s="1"/>
  <c r="U7" i="26"/>
  <c r="AG7" i="26" s="1"/>
  <c r="AS7" i="26" s="1"/>
  <c r="P7" i="26"/>
  <c r="AB7" i="26" s="1"/>
  <c r="AN7" i="26" s="1"/>
  <c r="R7" i="26"/>
  <c r="AD7" i="26" s="1"/>
  <c r="AP7" i="26" s="1"/>
  <c r="T7" i="26"/>
  <c r="AF7" i="26" s="1"/>
  <c r="AR7" i="26" s="1"/>
  <c r="DE7" i="27"/>
  <c r="CJ7" i="27"/>
  <c r="CQ7" i="27" s="1"/>
  <c r="CX7" i="27" s="1"/>
  <c r="DG7" i="27"/>
  <c r="CL7" i="27"/>
  <c r="CS7" i="27" s="1"/>
  <c r="CZ7" i="27" s="1"/>
  <c r="DI7" i="27"/>
  <c r="CN7" i="27"/>
  <c r="CU7" i="27" s="1"/>
  <c r="DB7" i="27" s="1"/>
  <c r="DF7" i="27"/>
  <c r="CK7" i="27"/>
  <c r="CR7" i="27" s="1"/>
  <c r="CY7" i="27" s="1"/>
  <c r="DH7" i="27"/>
  <c r="CM7" i="27"/>
  <c r="CT7" i="27" s="1"/>
  <c r="DA7" i="27" s="1"/>
  <c r="DJ7" i="27"/>
  <c r="CO7" i="27"/>
  <c r="CV7" i="27" s="1"/>
  <c r="DC7" i="27" s="1"/>
  <c r="BJ14" i="38"/>
  <c r="AA6" i="6"/>
  <c r="BJ10" i="38" s="1"/>
  <c r="I35" i="37" s="1"/>
  <c r="F10" i="37"/>
  <c r="E9" i="9"/>
  <c r="AE23" i="6"/>
  <c r="BN27" i="38" s="1"/>
  <c r="W5" i="5"/>
  <c r="Y10" i="38" s="1"/>
  <c r="E33" i="37" s="1"/>
  <c r="U18" i="38"/>
  <c r="AZ48" i="38"/>
  <c r="Q16" i="6"/>
  <c r="Q22" i="6"/>
  <c r="Q18" i="6"/>
  <c r="Q14" i="6"/>
  <c r="Q20" i="6"/>
  <c r="Q24" i="6"/>
  <c r="AE7" i="27"/>
  <c r="AL7" i="27" s="1"/>
  <c r="AS7" i="27" s="1"/>
  <c r="AZ7" i="27" s="1"/>
  <c r="BG7" i="27" s="1"/>
  <c r="BN7" i="27" s="1"/>
  <c r="BU7" i="27" s="1"/>
  <c r="CB7" i="27" s="1"/>
  <c r="S27" i="38"/>
  <c r="F32" i="10"/>
  <c r="F12" i="10"/>
  <c r="F40" i="10"/>
  <c r="F24" i="10"/>
  <c r="F23" i="10"/>
  <c r="F22" i="10"/>
  <c r="F19" i="10"/>
  <c r="F18" i="10"/>
  <c r="F15" i="10"/>
  <c r="F14" i="10"/>
  <c r="F11" i="10"/>
  <c r="BN13" i="38"/>
  <c r="AE11" i="6"/>
  <c r="BN15" i="38" s="1"/>
  <c r="AE15" i="6"/>
  <c r="BN19" i="38" s="1"/>
  <c r="AE7" i="6"/>
  <c r="BN11" i="38" s="1"/>
  <c r="BN12" i="38"/>
  <c r="BN14" i="38"/>
  <c r="AE12" i="6"/>
  <c r="BN16" i="38" s="1"/>
  <c r="AE14" i="6"/>
  <c r="BN18" i="38" s="1"/>
  <c r="AE16" i="6"/>
  <c r="BN20" i="38" s="1"/>
  <c r="AE18" i="6"/>
  <c r="BN22" i="38" s="1"/>
  <c r="AE20" i="6"/>
  <c r="BN24" i="38" s="1"/>
  <c r="AE22" i="6"/>
  <c r="BN26" i="38" s="1"/>
  <c r="AE24" i="6"/>
  <c r="BN28" i="38" s="1"/>
  <c r="AE26" i="6"/>
  <c r="BN30" i="38" s="1"/>
  <c r="AE28" i="6"/>
  <c r="BN32" i="38" s="1"/>
  <c r="AE17" i="6"/>
  <c r="BN21" i="38" s="1"/>
  <c r="AE19" i="6"/>
  <c r="BN23" i="38" s="1"/>
  <c r="AE27" i="6"/>
  <c r="BN31" i="38" s="1"/>
  <c r="AE29" i="6"/>
  <c r="BN33" i="38" s="1"/>
  <c r="AE31" i="6"/>
  <c r="BN35" i="38" s="1"/>
  <c r="AE35" i="6"/>
  <c r="BN39" i="38" s="1"/>
  <c r="AE37" i="6"/>
  <c r="BN41" i="38" s="1"/>
  <c r="AE39" i="6"/>
  <c r="BN43" i="38" s="1"/>
  <c r="BN45" i="38"/>
  <c r="BN47" i="38"/>
  <c r="BN49" i="38"/>
  <c r="AE30" i="6"/>
  <c r="BN34" i="38" s="1"/>
  <c r="AE32" i="6"/>
  <c r="BN36" i="38" s="1"/>
  <c r="AE34" i="6"/>
  <c r="BN38" i="38" s="1"/>
  <c r="AE36" i="6"/>
  <c r="BN40" i="38" s="1"/>
  <c r="AE40" i="6"/>
  <c r="BN44" i="38" s="1"/>
  <c r="BN46" i="38"/>
  <c r="BN48" i="38"/>
  <c r="AA7" i="6"/>
  <c r="BJ11" i="38" s="1"/>
  <c r="BJ12" i="38"/>
  <c r="AA12" i="6"/>
  <c r="BJ16" i="38" s="1"/>
  <c r="AA14" i="6"/>
  <c r="BJ18" i="38" s="1"/>
  <c r="BJ13" i="38"/>
  <c r="AA11" i="6"/>
  <c r="BJ15" i="38" s="1"/>
  <c r="AA13" i="6"/>
  <c r="BJ17" i="38" s="1"/>
  <c r="AA15" i="6"/>
  <c r="BJ19" i="38" s="1"/>
  <c r="AA16" i="6"/>
  <c r="BJ20" i="38" s="1"/>
  <c r="AA18" i="6"/>
  <c r="BJ22" i="38" s="1"/>
  <c r="AA20" i="6"/>
  <c r="BJ24" i="38" s="1"/>
  <c r="AA22" i="6"/>
  <c r="BJ26" i="38" s="1"/>
  <c r="AA24" i="6"/>
  <c r="BJ28" i="38" s="1"/>
  <c r="AA26" i="6"/>
  <c r="BJ30" i="38" s="1"/>
  <c r="AA28" i="6"/>
  <c r="BJ32" i="38" s="1"/>
  <c r="AA17" i="6"/>
  <c r="BJ21" i="38" s="1"/>
  <c r="AA19" i="6"/>
  <c r="BJ23" i="38" s="1"/>
  <c r="AA21" i="6"/>
  <c r="BJ25" i="38" s="1"/>
  <c r="AA23" i="6"/>
  <c r="BJ27" i="38" s="1"/>
  <c r="AA25" i="6"/>
  <c r="BJ29" i="38" s="1"/>
  <c r="AA27" i="6"/>
  <c r="BJ31" i="38" s="1"/>
  <c r="AA29" i="6"/>
  <c r="BJ33" i="38" s="1"/>
  <c r="AA31" i="6"/>
  <c r="BJ35" i="38" s="1"/>
  <c r="AA33" i="6"/>
  <c r="BJ37" i="38" s="1"/>
  <c r="AA35" i="6"/>
  <c r="BJ39" i="38" s="1"/>
  <c r="AA37" i="6"/>
  <c r="BJ41" i="38" s="1"/>
  <c r="AA39" i="6"/>
  <c r="BJ43" i="38" s="1"/>
  <c r="BJ45" i="38"/>
  <c r="BJ47" i="38"/>
  <c r="BJ49" i="38"/>
  <c r="AA30" i="6"/>
  <c r="BJ34" i="38" s="1"/>
  <c r="AA32" i="6"/>
  <c r="BJ36" i="38" s="1"/>
  <c r="AA34" i="6"/>
  <c r="BJ38" i="38" s="1"/>
  <c r="AA36" i="6"/>
  <c r="BJ40" i="38" s="1"/>
  <c r="AA38" i="6"/>
  <c r="BJ42" i="38" s="1"/>
  <c r="AA40" i="6"/>
  <c r="BJ44" i="38" s="1"/>
  <c r="BJ46" i="38"/>
  <c r="BJ48" i="38"/>
  <c r="BD13" i="38"/>
  <c r="U11" i="6"/>
  <c r="BD15" i="38" s="1"/>
  <c r="U13" i="6"/>
  <c r="BD17" i="38" s="1"/>
  <c r="U15" i="6"/>
  <c r="BD19" i="38" s="1"/>
  <c r="U6" i="6"/>
  <c r="BD10" i="38" s="1"/>
  <c r="I32" i="37" s="1"/>
  <c r="U7" i="6"/>
  <c r="BD11" i="38" s="1"/>
  <c r="BD12" i="38"/>
  <c r="BD14" i="38"/>
  <c r="U12" i="6"/>
  <c r="BD16" i="38" s="1"/>
  <c r="U14" i="6"/>
  <c r="BD18" i="38" s="1"/>
  <c r="U16" i="6"/>
  <c r="BD20" i="38" s="1"/>
  <c r="U18" i="6"/>
  <c r="BD22" i="38" s="1"/>
  <c r="U20" i="6"/>
  <c r="BD24" i="38" s="1"/>
  <c r="U22" i="6"/>
  <c r="BD26" i="38" s="1"/>
  <c r="U24" i="6"/>
  <c r="BD28" i="38" s="1"/>
  <c r="U26" i="6"/>
  <c r="BD30" i="38" s="1"/>
  <c r="U28" i="6"/>
  <c r="BD32" i="38" s="1"/>
  <c r="U17" i="6"/>
  <c r="BD21" i="38" s="1"/>
  <c r="U19" i="6"/>
  <c r="BD23" i="38" s="1"/>
  <c r="U21" i="6"/>
  <c r="BD25" i="38" s="1"/>
  <c r="U23" i="6"/>
  <c r="BD27" i="38" s="1"/>
  <c r="U25" i="6"/>
  <c r="BD29" i="38" s="1"/>
  <c r="U27" i="6"/>
  <c r="BD31" i="38" s="1"/>
  <c r="U29" i="6"/>
  <c r="BD33" i="38" s="1"/>
  <c r="U31" i="6"/>
  <c r="BD35" i="38" s="1"/>
  <c r="U33" i="6"/>
  <c r="BD37" i="38" s="1"/>
  <c r="U35" i="6"/>
  <c r="BD39" i="38" s="1"/>
  <c r="U37" i="6"/>
  <c r="BD41" i="38" s="1"/>
  <c r="U39" i="6"/>
  <c r="BD43" i="38" s="1"/>
  <c r="BD45" i="38"/>
  <c r="BD47" i="38"/>
  <c r="BD49" i="38"/>
  <c r="U30" i="6"/>
  <c r="BD34" i="38" s="1"/>
  <c r="U32" i="6"/>
  <c r="BD36" i="38" s="1"/>
  <c r="U34" i="6"/>
  <c r="BD38" i="38" s="1"/>
  <c r="U36" i="6"/>
  <c r="BD40" i="38" s="1"/>
  <c r="U38" i="6"/>
  <c r="BD42" i="38" s="1"/>
  <c r="U40" i="6"/>
  <c r="BD44" i="38" s="1"/>
  <c r="BD46" i="38"/>
  <c r="BD48" i="38"/>
  <c r="S6" i="6"/>
  <c r="BB10" i="38" s="1"/>
  <c r="I31" i="37" s="1"/>
  <c r="S7" i="6"/>
  <c r="BB11" i="38" s="1"/>
  <c r="BB12" i="38"/>
  <c r="BB14" i="38"/>
  <c r="S12" i="6"/>
  <c r="BB16" i="38" s="1"/>
  <c r="S14" i="6"/>
  <c r="BB18" i="38" s="1"/>
  <c r="BB13" i="38"/>
  <c r="S11" i="6"/>
  <c r="BB15" i="38" s="1"/>
  <c r="S13" i="6"/>
  <c r="BB17" i="38" s="1"/>
  <c r="S15" i="6"/>
  <c r="BB19" i="38" s="1"/>
  <c r="S16" i="6"/>
  <c r="BB20" i="38" s="1"/>
  <c r="S18" i="6"/>
  <c r="BB22" i="38" s="1"/>
  <c r="S20" i="6"/>
  <c r="BB24" i="38" s="1"/>
  <c r="S22" i="6"/>
  <c r="BB26" i="38" s="1"/>
  <c r="S24" i="6"/>
  <c r="BB28" i="38" s="1"/>
  <c r="S26" i="6"/>
  <c r="BB30" i="38" s="1"/>
  <c r="S28" i="6"/>
  <c r="BB32" i="38" s="1"/>
  <c r="S17" i="6"/>
  <c r="BB21" i="38" s="1"/>
  <c r="S19" i="6"/>
  <c r="BB23" i="38" s="1"/>
  <c r="S21" i="6"/>
  <c r="BB25" i="38" s="1"/>
  <c r="S23" i="6"/>
  <c r="BB27" i="38" s="1"/>
  <c r="S25" i="6"/>
  <c r="BB29" i="38" s="1"/>
  <c r="S27" i="6"/>
  <c r="BB31" i="38" s="1"/>
  <c r="S29" i="6"/>
  <c r="BB33" i="38" s="1"/>
  <c r="S31" i="6"/>
  <c r="BB35" i="38" s="1"/>
  <c r="S33" i="6"/>
  <c r="BB37" i="38" s="1"/>
  <c r="S35" i="6"/>
  <c r="BB39" i="38" s="1"/>
  <c r="S37" i="6"/>
  <c r="BB41" i="38" s="1"/>
  <c r="S39" i="6"/>
  <c r="BB43" i="38" s="1"/>
  <c r="BB45" i="38"/>
  <c r="BB47" i="38"/>
  <c r="BB49" i="38"/>
  <c r="S30" i="6"/>
  <c r="S32" i="6"/>
  <c r="BB36" i="38" s="1"/>
  <c r="S34" i="6"/>
  <c r="BB38" i="38" s="1"/>
  <c r="S36" i="6"/>
  <c r="BB40" i="38" s="1"/>
  <c r="S38" i="6"/>
  <c r="BB42" i="38" s="1"/>
  <c r="S40" i="6"/>
  <c r="BB44" i="38" s="1"/>
  <c r="BB46" i="38"/>
  <c r="BB48" i="38"/>
  <c r="AZ46" i="38"/>
  <c r="Q28" i="6"/>
  <c r="Q6" i="6"/>
  <c r="F44" i="10"/>
  <c r="F36" i="10"/>
  <c r="F28" i="10"/>
  <c r="F43" i="10"/>
  <c r="F42" i="10"/>
  <c r="F39" i="10"/>
  <c r="F38" i="10"/>
  <c r="F35" i="10"/>
  <c r="F34" i="10"/>
  <c r="F31" i="10"/>
  <c r="F30" i="10"/>
  <c r="F27" i="10"/>
  <c r="F26" i="10"/>
  <c r="F41" i="10"/>
  <c r="F37" i="10"/>
  <c r="F33" i="10"/>
  <c r="F29" i="10"/>
  <c r="F25" i="10"/>
  <c r="F21" i="10"/>
  <c r="F17" i="10"/>
  <c r="F13" i="10"/>
  <c r="F10" i="10"/>
  <c r="BY22" i="22" l="1"/>
  <c r="IL19" i="20"/>
  <c r="FR19" i="20" s="1"/>
  <c r="BW8" i="22"/>
  <c r="BY18" i="22"/>
  <c r="CR18" i="22" s="1"/>
  <c r="BW11" i="22"/>
  <c r="AV11" i="22" s="1"/>
  <c r="BW12" i="22"/>
  <c r="BY26" i="22"/>
  <c r="CS26" i="22" s="1"/>
  <c r="BY19" i="22"/>
  <c r="CW19" i="22" s="1"/>
  <c r="BW19" i="22"/>
  <c r="BW10" i="22"/>
  <c r="AV10" i="22" s="1"/>
  <c r="BY29" i="22"/>
  <c r="CT29" i="22" s="1"/>
  <c r="BW21" i="22"/>
  <c r="AV21" i="22" s="1"/>
  <c r="BX9" i="22"/>
  <c r="CI9" i="22" s="1"/>
  <c r="BX34" i="22"/>
  <c r="BW34" i="22"/>
  <c r="BY34" i="22"/>
  <c r="CV34" i="22" s="1"/>
  <c r="BY31" i="22"/>
  <c r="CT31" i="22" s="1"/>
  <c r="BX28" i="22"/>
  <c r="CI28" i="22" s="1"/>
  <c r="BY28" i="22"/>
  <c r="CX28" i="22" s="1"/>
  <c r="BY24" i="22"/>
  <c r="CW24" i="22" s="1"/>
  <c r="BW24" i="22"/>
  <c r="BY20" i="22"/>
  <c r="CX20" i="22" s="1"/>
  <c r="BW20" i="22"/>
  <c r="BX20" i="22"/>
  <c r="BX16" i="22"/>
  <c r="CD16" i="22" s="1"/>
  <c r="BY16" i="22"/>
  <c r="CX16" i="22" s="1"/>
  <c r="BW16" i="22"/>
  <c r="BX12" i="22"/>
  <c r="CH12" i="22" s="1"/>
  <c r="BY23" i="22"/>
  <c r="CS23" i="22" s="1"/>
  <c r="BX23" i="22"/>
  <c r="CD23" i="22" s="1"/>
  <c r="BW23" i="22"/>
  <c r="BX15" i="22"/>
  <c r="CH15" i="22" s="1"/>
  <c r="BY15" i="22"/>
  <c r="CX15" i="22" s="1"/>
  <c r="BW40" i="22"/>
  <c r="BY40" i="22"/>
  <c r="CQ40" i="22" s="1"/>
  <c r="BX40" i="22"/>
  <c r="CG40" i="22" s="1"/>
  <c r="BW25" i="22"/>
  <c r="BY17" i="22"/>
  <c r="CW17" i="22" s="1"/>
  <c r="BY35" i="22"/>
  <c r="CY35" i="22" s="1"/>
  <c r="BX35" i="22"/>
  <c r="BW35" i="22"/>
  <c r="CX24" i="22"/>
  <c r="BY37" i="22"/>
  <c r="CV37" i="22" s="1"/>
  <c r="BX37" i="22"/>
  <c r="CG37" i="22" s="1"/>
  <c r="BW37" i="22"/>
  <c r="AV37" i="22" s="1"/>
  <c r="BX19" i="22"/>
  <c r="BX38" i="22"/>
  <c r="CC38" i="22" s="1"/>
  <c r="BY38" i="22"/>
  <c r="CR38" i="22" s="1"/>
  <c r="BW38" i="22"/>
  <c r="CX31" i="22"/>
  <c r="BW30" i="22"/>
  <c r="AV30" i="22" s="1"/>
  <c r="BY30" i="22"/>
  <c r="CQ30" i="22" s="1"/>
  <c r="BX30" i="22"/>
  <c r="CT22" i="22"/>
  <c r="CU40" i="22"/>
  <c r="BY32" i="22"/>
  <c r="CR32" i="22" s="1"/>
  <c r="CQ32" i="22"/>
  <c r="BX32" i="22"/>
  <c r="CJ32" i="22" s="1"/>
  <c r="BW32" i="22"/>
  <c r="AV32" i="22" s="1"/>
  <c r="CV38" i="22"/>
  <c r="CF35" i="22"/>
  <c r="CY31" i="22"/>
  <c r="BX42" i="22"/>
  <c r="CJ42" i="22" s="1"/>
  <c r="BW42" i="22"/>
  <c r="CB42" i="22"/>
  <c r="BY42" i="22"/>
  <c r="CJ34" i="22"/>
  <c r="CF30" i="22"/>
  <c r="CT23" i="22"/>
  <c r="CX42" i="22"/>
  <c r="CI42" i="22"/>
  <c r="BY41" i="22"/>
  <c r="CR41" i="22" s="1"/>
  <c r="BX41" i="22"/>
  <c r="CB41" i="22" s="1"/>
  <c r="CQ41" i="22"/>
  <c r="BW41" i="22"/>
  <c r="CF37" i="22"/>
  <c r="CU37" i="22"/>
  <c r="BY33" i="22"/>
  <c r="CQ33" i="22" s="1"/>
  <c r="BW33" i="22"/>
  <c r="AV33" i="22" s="1"/>
  <c r="BX33" i="22"/>
  <c r="CF33" i="22" s="1"/>
  <c r="CT26" i="22"/>
  <c r="CD15" i="22"/>
  <c r="CY40" i="22"/>
  <c r="BY36" i="22"/>
  <c r="CR36" i="22" s="1"/>
  <c r="BX36" i="22"/>
  <c r="CJ36" i="22" s="1"/>
  <c r="BW36" i="22"/>
  <c r="CF32" i="22"/>
  <c r="CU32" i="22"/>
  <c r="CS22" i="22"/>
  <c r="BY39" i="22"/>
  <c r="CY39" i="22" s="1"/>
  <c r="BX39" i="22"/>
  <c r="CC39" i="22" s="1"/>
  <c r="BW39" i="22"/>
  <c r="CC34" i="22"/>
  <c r="CS29" i="22"/>
  <c r="BW13" i="22"/>
  <c r="AV13" i="22" s="1"/>
  <c r="BX29" i="22"/>
  <c r="CE29" i="22" s="1"/>
  <c r="CY22" i="22"/>
  <c r="CQ22" i="22"/>
  <c r="BY14" i="22"/>
  <c r="CX14" i="22" s="1"/>
  <c r="BX10" i="22"/>
  <c r="CI10" i="22" s="1"/>
  <c r="BY27" i="22"/>
  <c r="BX31" i="22"/>
  <c r="CD31" i="22" s="1"/>
  <c r="BX21" i="22"/>
  <c r="CE21" i="22" s="1"/>
  <c r="BX17" i="22"/>
  <c r="CE17" i="22" s="1"/>
  <c r="BY13" i="22"/>
  <c r="CW13" i="22" s="1"/>
  <c r="BW9" i="22"/>
  <c r="AV9" i="22" s="1"/>
  <c r="BY25" i="22"/>
  <c r="CT25" i="22" s="1"/>
  <c r="BW22" i="22"/>
  <c r="AV22" i="22" s="1"/>
  <c r="BW18" i="22"/>
  <c r="AV18" i="22" s="1"/>
  <c r="BX14" i="22"/>
  <c r="CD14" i="22" s="1"/>
  <c r="BW14" i="22"/>
  <c r="AV14" i="22" s="1"/>
  <c r="BY10" i="22"/>
  <c r="CS10" i="22" s="1"/>
  <c r="BX26" i="22"/>
  <c r="CI26" i="22" s="1"/>
  <c r="BW26" i="22"/>
  <c r="CR22" i="22"/>
  <c r="BW15" i="22"/>
  <c r="AV15" i="22" s="1"/>
  <c r="BX11" i="22"/>
  <c r="CI11" i="22" s="1"/>
  <c r="BX27" i="22"/>
  <c r="CD27" i="22" s="1"/>
  <c r="CV41" i="22"/>
  <c r="CU34" i="22"/>
  <c r="CF34" i="22"/>
  <c r="CH16" i="22"/>
  <c r="CV40" i="22"/>
  <c r="CV32" i="22"/>
  <c r="CH23" i="22"/>
  <c r="CW23" i="22"/>
  <c r="CG35" i="22"/>
  <c r="CC42" i="22"/>
  <c r="CR42" i="22"/>
  <c r="CJ38" i="22"/>
  <c r="CY38" i="22"/>
  <c r="CC37" i="22"/>
  <c r="CV33" i="22"/>
  <c r="CG33" i="22"/>
  <c r="CS28" i="22"/>
  <c r="CD28" i="22"/>
  <c r="CS24" i="22"/>
  <c r="CI19" i="22"/>
  <c r="CJ37" i="22"/>
  <c r="CV36" i="22"/>
  <c r="CG36" i="22"/>
  <c r="CT30" i="22"/>
  <c r="CE30" i="22"/>
  <c r="CX22" i="22"/>
  <c r="CD19" i="22"/>
  <c r="CI41" i="22"/>
  <c r="CX41" i="22"/>
  <c r="CF36" i="22"/>
  <c r="CU36" i="22"/>
  <c r="CY32" i="22"/>
  <c r="CS30" i="22"/>
  <c r="CD30" i="22"/>
  <c r="CW22" i="22"/>
  <c r="CJ35" i="22"/>
  <c r="BW31" i="22"/>
  <c r="BW28" i="22"/>
  <c r="BX24" i="22"/>
  <c r="CI24" i="22" s="1"/>
  <c r="CV22" i="22"/>
  <c r="BY21" i="22"/>
  <c r="CX21" i="22" s="1"/>
  <c r="BW17" i="22"/>
  <c r="AV17" i="22" s="1"/>
  <c r="BX13" i="22"/>
  <c r="CI13" i="22" s="1"/>
  <c r="BY9" i="22"/>
  <c r="CX9" i="22" s="1"/>
  <c r="BW29" i="22"/>
  <c r="AV29" i="22" s="1"/>
  <c r="BX25" i="22"/>
  <c r="CE25" i="22" s="1"/>
  <c r="BX22" i="22"/>
  <c r="CD22" i="22" s="1"/>
  <c r="BX18" i="22"/>
  <c r="CD18" i="22" s="1"/>
  <c r="BY11" i="22"/>
  <c r="CX11" i="22" s="1"/>
  <c r="BW27" i="22"/>
  <c r="CU22" i="22"/>
  <c r="BY12" i="22"/>
  <c r="CX12" i="22" s="1"/>
  <c r="JG8" i="27"/>
  <c r="DM8" i="27" s="1"/>
  <c r="AH10" i="10" s="1"/>
  <c r="K35" i="37" s="1"/>
  <c r="JY8" i="25"/>
  <c r="ES8" i="25" s="1"/>
  <c r="AD10" i="10" s="1"/>
  <c r="K31" i="37" s="1"/>
  <c r="EH7" i="25"/>
  <c r="EM7" i="25"/>
  <c r="EL7" i="25"/>
  <c r="EJ7" i="25"/>
  <c r="EI7" i="25"/>
  <c r="EN7" i="25"/>
  <c r="EK7" i="25"/>
  <c r="AH30" i="6"/>
  <c r="AH26" i="6"/>
  <c r="AH12" i="6"/>
  <c r="AH8" i="6"/>
  <c r="AH14" i="6"/>
  <c r="AH16" i="6"/>
  <c r="AH28" i="6"/>
  <c r="AH24" i="6"/>
  <c r="AH18" i="6"/>
  <c r="AH10" i="6"/>
  <c r="AH20" i="6"/>
  <c r="AH22" i="6"/>
  <c r="AZ32" i="38"/>
  <c r="AZ28" i="38"/>
  <c r="AZ22" i="38"/>
  <c r="AZ24" i="38"/>
  <c r="BB34" i="38"/>
  <c r="AZ18" i="38"/>
  <c r="AZ26" i="38"/>
  <c r="AZ10" i="38"/>
  <c r="I30" i="37" s="1"/>
  <c r="AZ12" i="38"/>
  <c r="AZ14" i="38"/>
  <c r="AZ20" i="38"/>
  <c r="Q11" i="10"/>
  <c r="F125" i="9"/>
  <c r="K30" i="37"/>
  <c r="R11" i="10"/>
  <c r="AV26" i="22"/>
  <c r="GE8" i="33"/>
  <c r="GH8" i="33" s="1"/>
  <c r="Q10" i="10" s="1"/>
  <c r="GE8" i="35"/>
  <c r="GH8" i="35" s="1"/>
  <c r="R10" i="10"/>
  <c r="AE6" i="6"/>
  <c r="BN10" i="38" s="1"/>
  <c r="I38" i="37" s="1"/>
  <c r="AE38" i="6"/>
  <c r="BN42" i="38" s="1"/>
  <c r="AE21" i="6"/>
  <c r="BN25" i="38" s="1"/>
  <c r="CI7" i="21"/>
  <c r="DJ7" i="21"/>
  <c r="CJ7" i="21"/>
  <c r="DK7" i="21"/>
  <c r="CF7" i="21"/>
  <c r="DG7" i="21"/>
  <c r="CN7" i="21"/>
  <c r="DO7" i="21"/>
  <c r="CK7" i="21"/>
  <c r="DL7" i="21"/>
  <c r="CG7" i="21"/>
  <c r="DH7" i="21"/>
  <c r="CH7" i="21"/>
  <c r="DI7" i="21"/>
  <c r="CL7" i="21"/>
  <c r="DM7" i="21"/>
  <c r="CM7" i="21"/>
  <c r="DN7" i="21"/>
  <c r="AD35" i="38"/>
  <c r="AD15" i="38"/>
  <c r="AD14" i="38"/>
  <c r="AV28" i="22"/>
  <c r="AV24" i="22"/>
  <c r="AV42" i="22"/>
  <c r="AV20" i="22"/>
  <c r="AV8" i="22"/>
  <c r="AW8" i="22" s="1"/>
  <c r="AF5" i="5" s="1"/>
  <c r="BY8" i="22"/>
  <c r="CS8" i="22" s="1"/>
  <c r="BX8" i="22"/>
  <c r="CH8" i="22" s="1"/>
  <c r="AV36" i="22"/>
  <c r="AV34" i="22"/>
  <c r="AV16" i="22"/>
  <c r="AV12" i="22"/>
  <c r="AV38" i="22"/>
  <c r="AV23" i="22"/>
  <c r="AV27" i="22"/>
  <c r="AV19" i="22"/>
  <c r="AV31" i="22"/>
  <c r="AV41" i="22"/>
  <c r="AV25" i="22"/>
  <c r="AV40" i="22"/>
  <c r="AV39" i="22"/>
  <c r="AV35" i="22"/>
  <c r="DU7" i="20"/>
  <c r="FH7" i="20" s="1"/>
  <c r="EU7" i="20"/>
  <c r="DQ7" i="20"/>
  <c r="FD7" i="20" s="1"/>
  <c r="EQ7" i="20"/>
  <c r="DX7" i="20"/>
  <c r="FK7" i="20" s="1"/>
  <c r="EX7" i="20"/>
  <c r="DT7" i="20"/>
  <c r="FG7" i="20" s="1"/>
  <c r="ET7" i="20"/>
  <c r="DP7" i="20"/>
  <c r="FC7" i="20" s="1"/>
  <c r="EP7" i="20"/>
  <c r="DY7" i="20"/>
  <c r="FL7" i="20" s="1"/>
  <c r="EY7" i="20"/>
  <c r="DZ7" i="20"/>
  <c r="FM7" i="20" s="1"/>
  <c r="EZ7" i="20"/>
  <c r="DW7" i="20"/>
  <c r="FJ7" i="20" s="1"/>
  <c r="EW7" i="20"/>
  <c r="DS7" i="20"/>
  <c r="FF7" i="20" s="1"/>
  <c r="ES7" i="20"/>
  <c r="DV7" i="20"/>
  <c r="FI7" i="20" s="1"/>
  <c r="EV7" i="20"/>
  <c r="DR7" i="20"/>
  <c r="FE7" i="20" s="1"/>
  <c r="ER7" i="20"/>
  <c r="CJ7" i="19"/>
  <c r="DK7" i="19"/>
  <c r="CF7" i="19"/>
  <c r="DG7" i="19"/>
  <c r="CI7" i="19"/>
  <c r="DJ7" i="19"/>
  <c r="CL7" i="19"/>
  <c r="DM7" i="19"/>
  <c r="CH7" i="19"/>
  <c r="DI7" i="19"/>
  <c r="CK7" i="19"/>
  <c r="DL7" i="19"/>
  <c r="CG7" i="19"/>
  <c r="DH7" i="19"/>
  <c r="CN7" i="19"/>
  <c r="DO7" i="19"/>
  <c r="CM7" i="19"/>
  <c r="DN7" i="19"/>
  <c r="V46" i="38"/>
  <c r="DD7" i="27"/>
  <c r="CI7" i="27"/>
  <c r="CP7" i="27" s="1"/>
  <c r="CW7" i="27" s="1"/>
  <c r="AE13" i="6"/>
  <c r="BN17" i="38" s="1"/>
  <c r="F104" i="9"/>
  <c r="F13" i="37"/>
  <c r="E13" i="9"/>
  <c r="AB12" i="38"/>
  <c r="AA12" i="38"/>
  <c r="Z16" i="38"/>
  <c r="Y16" i="38"/>
  <c r="Z20" i="38"/>
  <c r="Y20" i="38"/>
  <c r="AB24" i="38"/>
  <c r="AA24" i="38"/>
  <c r="AB28" i="38"/>
  <c r="AA28" i="38"/>
  <c r="AB32" i="38"/>
  <c r="AA32" i="38"/>
  <c r="AB36" i="38"/>
  <c r="AA36" i="38"/>
  <c r="AB40" i="38"/>
  <c r="AA40" i="38"/>
  <c r="Z44" i="38"/>
  <c r="Y44" i="38"/>
  <c r="Z48" i="38"/>
  <c r="Y48" i="38"/>
  <c r="Z14" i="38"/>
  <c r="Y14" i="38"/>
  <c r="Z18" i="38"/>
  <c r="Y18" i="38"/>
  <c r="Z22" i="38"/>
  <c r="Y22" i="38"/>
  <c r="AB30" i="38"/>
  <c r="AA30" i="38"/>
  <c r="AB34" i="38"/>
  <c r="AA34" i="38"/>
  <c r="Z42" i="38"/>
  <c r="Y42" i="38"/>
  <c r="Z17" i="38"/>
  <c r="Y17" i="38"/>
  <c r="AB29" i="38"/>
  <c r="AA29" i="38"/>
  <c r="Z37" i="38"/>
  <c r="Y37" i="38"/>
  <c r="Z45" i="38"/>
  <c r="Y45" i="38"/>
  <c r="Z11" i="38"/>
  <c r="Y11" i="38"/>
  <c r="AB15" i="38"/>
  <c r="AA15" i="38"/>
  <c r="Z19" i="38"/>
  <c r="Y19" i="38"/>
  <c r="AB23" i="38"/>
  <c r="AA23" i="38"/>
  <c r="AB27" i="38"/>
  <c r="AA27" i="38"/>
  <c r="Z31" i="38"/>
  <c r="Y31" i="38"/>
  <c r="AB35" i="38"/>
  <c r="AA35" i="38"/>
  <c r="Z39" i="38"/>
  <c r="Y39" i="38"/>
  <c r="AB43" i="38"/>
  <c r="AA43" i="38"/>
  <c r="Z47" i="38"/>
  <c r="Y47" i="38"/>
  <c r="AB10" i="38"/>
  <c r="F34" i="37" s="1"/>
  <c r="Y5" i="5"/>
  <c r="AA10" i="38" s="1"/>
  <c r="E34" i="37" s="1"/>
  <c r="AB26" i="38"/>
  <c r="AA26" i="38"/>
  <c r="AB38" i="38"/>
  <c r="AA38" i="38"/>
  <c r="AB46" i="38"/>
  <c r="AA46" i="38"/>
  <c r="AB13" i="38"/>
  <c r="AA13" i="38"/>
  <c r="Z21" i="38"/>
  <c r="Y21" i="38"/>
  <c r="Z25" i="38"/>
  <c r="Y25" i="38"/>
  <c r="AB33" i="38"/>
  <c r="AA33" i="38"/>
  <c r="AB41" i="38"/>
  <c r="AA41" i="38"/>
  <c r="Z49" i="38"/>
  <c r="Y49" i="38"/>
  <c r="Z12" i="38"/>
  <c r="Y12" i="38"/>
  <c r="AB16" i="38"/>
  <c r="AA16" i="38"/>
  <c r="AB20" i="38"/>
  <c r="AA20" i="38"/>
  <c r="Z24" i="38"/>
  <c r="Y24" i="38"/>
  <c r="Z28" i="38"/>
  <c r="Y28" i="38"/>
  <c r="Z32" i="38"/>
  <c r="Y32" i="38"/>
  <c r="Z36" i="38"/>
  <c r="Y36" i="38"/>
  <c r="Z40" i="38"/>
  <c r="Y40" i="38"/>
  <c r="AB44" i="38"/>
  <c r="AA44" i="38"/>
  <c r="AB48" i="38"/>
  <c r="AA48" i="38"/>
  <c r="AB14" i="38"/>
  <c r="AA14" i="38"/>
  <c r="AB18" i="38"/>
  <c r="AA18" i="38"/>
  <c r="AB22" i="38"/>
  <c r="AA22" i="38"/>
  <c r="Z30" i="38"/>
  <c r="Y30" i="38"/>
  <c r="Z34" i="38"/>
  <c r="Y34" i="38"/>
  <c r="AB42" i="38"/>
  <c r="AA42" i="38"/>
  <c r="AB17" i="38"/>
  <c r="AA17" i="38"/>
  <c r="Z29" i="38"/>
  <c r="Y29" i="38"/>
  <c r="AB37" i="38"/>
  <c r="AA37" i="38"/>
  <c r="AB45" i="38"/>
  <c r="AA45" i="38"/>
  <c r="AB11" i="38"/>
  <c r="AA11" i="38"/>
  <c r="Z15" i="38"/>
  <c r="Y15" i="38"/>
  <c r="AB19" i="38"/>
  <c r="AA19" i="38"/>
  <c r="Z23" i="38"/>
  <c r="Y23" i="38"/>
  <c r="Z27" i="38"/>
  <c r="Y27" i="38"/>
  <c r="AB31" i="38"/>
  <c r="AA31" i="38"/>
  <c r="Z35" i="38"/>
  <c r="Y35" i="38"/>
  <c r="AB39" i="38"/>
  <c r="AA39" i="38"/>
  <c r="Z43" i="38"/>
  <c r="Y43" i="38"/>
  <c r="AB47" i="38"/>
  <c r="AA47" i="38"/>
  <c r="Z26" i="38"/>
  <c r="Y26" i="38"/>
  <c r="Z38" i="38"/>
  <c r="Y38" i="38"/>
  <c r="Z46" i="38"/>
  <c r="Y46" i="38"/>
  <c r="Z13" i="38"/>
  <c r="Y13" i="38"/>
  <c r="AB21" i="38"/>
  <c r="AA21" i="38"/>
  <c r="AB25" i="38"/>
  <c r="AA25" i="38"/>
  <c r="Z33" i="38"/>
  <c r="Y33" i="38"/>
  <c r="Z41" i="38"/>
  <c r="Y41" i="38"/>
  <c r="AB49" i="38"/>
  <c r="AA49" i="38"/>
  <c r="Z10" i="38"/>
  <c r="F33" i="37" s="1"/>
  <c r="V32" i="38"/>
  <c r="AC19" i="38"/>
  <c r="S11" i="38"/>
  <c r="U39" i="38"/>
  <c r="U16" i="38"/>
  <c r="X19" i="38"/>
  <c r="W46" i="38"/>
  <c r="V42" i="38"/>
  <c r="S16" i="38"/>
  <c r="AC49" i="38"/>
  <c r="S29" i="38"/>
  <c r="W32" i="38"/>
  <c r="V12" i="38"/>
  <c r="EN40" i="8"/>
  <c r="AH46" i="38"/>
  <c r="S41" i="38"/>
  <c r="U36" i="38"/>
  <c r="AD28" i="38"/>
  <c r="AD25" i="38"/>
  <c r="S39" i="38"/>
  <c r="S19" i="38"/>
  <c r="AC40" i="38"/>
  <c r="Q38" i="6"/>
  <c r="Q32" i="6"/>
  <c r="U11" i="38"/>
  <c r="S5" i="5"/>
  <c r="AD37" i="38"/>
  <c r="AD12" i="38"/>
  <c r="AD44" i="38"/>
  <c r="AC18" i="38"/>
  <c r="U27" i="38"/>
  <c r="V13" i="38"/>
  <c r="V33" i="38"/>
  <c r="V22" i="38"/>
  <c r="V24" i="38"/>
  <c r="U44" i="38"/>
  <c r="U47" i="38"/>
  <c r="S32" i="38"/>
  <c r="S42" i="38"/>
  <c r="S28" i="38"/>
  <c r="S45" i="38"/>
  <c r="S15" i="38"/>
  <c r="S26" i="38"/>
  <c r="W26" i="38"/>
  <c r="W45" i="38"/>
  <c r="X44" i="38"/>
  <c r="W33" i="38"/>
  <c r="W17" i="38"/>
  <c r="W42" i="38"/>
  <c r="X40" i="38"/>
  <c r="W28" i="38"/>
  <c r="X37" i="38"/>
  <c r="X35" i="38"/>
  <c r="X25" i="38"/>
  <c r="X12" i="38"/>
  <c r="W24" i="38"/>
  <c r="X38" i="38"/>
  <c r="X27" i="38"/>
  <c r="W43" i="38"/>
  <c r="W47" i="38"/>
  <c r="W31" i="38"/>
  <c r="U5" i="5"/>
  <c r="W10" i="38" s="1"/>
  <c r="E32" i="37" s="1"/>
  <c r="W22" i="38"/>
  <c r="X21" i="38"/>
  <c r="X30" i="38"/>
  <c r="W41" i="38"/>
  <c r="W29" i="38"/>
  <c r="W39" i="38"/>
  <c r="X13" i="38"/>
  <c r="X36" i="38"/>
  <c r="W15" i="38"/>
  <c r="W23" i="38"/>
  <c r="X18" i="38"/>
  <c r="W16" i="38"/>
  <c r="W11" i="38"/>
  <c r="X49" i="38"/>
  <c r="S18" i="38"/>
  <c r="S43" i="38"/>
  <c r="U38" i="38"/>
  <c r="W48" i="38"/>
  <c r="V29" i="38"/>
  <c r="W34" i="38"/>
  <c r="S40" i="38"/>
  <c r="S13" i="38"/>
  <c r="AC16" i="38"/>
  <c r="V26" i="38"/>
  <c r="AC13" i="38"/>
  <c r="S38" i="38"/>
  <c r="X14" i="38"/>
  <c r="GA19" i="19"/>
  <c r="EM13" i="8"/>
  <c r="S24" i="38"/>
  <c r="S37" i="38"/>
  <c r="S17" i="38"/>
  <c r="S25" i="38"/>
  <c r="U49" i="38"/>
  <c r="U20" i="38"/>
  <c r="AC31" i="38"/>
  <c r="W20" i="38"/>
  <c r="EN14" i="8"/>
  <c r="S23" i="38"/>
  <c r="S36" i="38"/>
  <c r="S48" i="38"/>
  <c r="AC47" i="38"/>
  <c r="S30" i="38"/>
  <c r="AC23" i="38"/>
  <c r="S22" i="38"/>
  <c r="GI21" i="21"/>
  <c r="V18" i="38"/>
  <c r="S20" i="38"/>
  <c r="EN22" i="8"/>
  <c r="GI26" i="21"/>
  <c r="S12" i="38"/>
  <c r="S31" i="38"/>
  <c r="S35" i="38"/>
  <c r="S49" i="38"/>
  <c r="S14" i="38"/>
  <c r="EM23" i="8"/>
  <c r="S33" i="38"/>
  <c r="S21" i="38"/>
  <c r="S46" i="38"/>
  <c r="S34" i="38"/>
  <c r="S44" i="38"/>
  <c r="GI25" i="21"/>
  <c r="GA38" i="19"/>
  <c r="GI17" i="19"/>
  <c r="FY26" i="21"/>
  <c r="IM14" i="20"/>
  <c r="GA17" i="19"/>
  <c r="IM27" i="20"/>
  <c r="FZ14" i="19"/>
  <c r="EN26" i="8"/>
  <c r="GA34" i="21"/>
  <c r="GI22" i="19"/>
  <c r="GI24" i="19"/>
  <c r="IM19" i="20"/>
  <c r="AC43" i="38"/>
  <c r="AD43" i="38"/>
  <c r="IM23" i="20"/>
  <c r="GI27" i="21"/>
  <c r="FY21" i="21"/>
  <c r="GI24" i="21"/>
  <c r="FZ35" i="19"/>
  <c r="GI14" i="19"/>
  <c r="IM25" i="20"/>
  <c r="IM17" i="20"/>
  <c r="FZ25" i="21"/>
  <c r="FY27" i="19"/>
  <c r="GI20" i="19"/>
  <c r="IM15" i="20"/>
  <c r="FZ23" i="21"/>
  <c r="EM27" i="8"/>
  <c r="GA29" i="19"/>
  <c r="GI16" i="21"/>
  <c r="GI19" i="21"/>
  <c r="FY17" i="21"/>
  <c r="FY34" i="19"/>
  <c r="FY24" i="19"/>
  <c r="GA13" i="21"/>
  <c r="FY26" i="19"/>
  <c r="GA10" i="21"/>
  <c r="GI16" i="19"/>
  <c r="EL35" i="8"/>
  <c r="AD20" i="38"/>
  <c r="AC20" i="38"/>
  <c r="FZ37" i="19"/>
  <c r="FZ32" i="19"/>
  <c r="GI26" i="19"/>
  <c r="GI23" i="19"/>
  <c r="GA11" i="19"/>
  <c r="GI23" i="21"/>
  <c r="GI13" i="21"/>
  <c r="GI22" i="21"/>
  <c r="FZ42" i="19"/>
  <c r="FY33" i="19"/>
  <c r="FY16" i="19"/>
  <c r="V34" i="38"/>
  <c r="U34" i="38"/>
  <c r="AD41" i="38"/>
  <c r="AC41" i="38"/>
  <c r="V19" i="38"/>
  <c r="U19" i="38"/>
  <c r="V48" i="38"/>
  <c r="U48" i="38"/>
  <c r="AD45" i="38"/>
  <c r="AC45" i="38"/>
  <c r="FZ38" i="21"/>
  <c r="V37" i="38"/>
  <c r="U37" i="38"/>
  <c r="V14" i="38"/>
  <c r="U14" i="38"/>
  <c r="IM18" i="20"/>
  <c r="IM12" i="20"/>
  <c r="V31" i="38"/>
  <c r="U31" i="38"/>
  <c r="V25" i="38"/>
  <c r="U25" i="38"/>
  <c r="GI15" i="19"/>
  <c r="V35" i="38"/>
  <c r="U35" i="38"/>
  <c r="AC14" i="38"/>
  <c r="AD46" i="38"/>
  <c r="AC46" i="38"/>
  <c r="AD38" i="38"/>
  <c r="AC38" i="38"/>
  <c r="V21" i="38"/>
  <c r="U21" i="38"/>
  <c r="IM24" i="20"/>
  <c r="IM16" i="20"/>
  <c r="V23" i="38"/>
  <c r="U23" i="38"/>
  <c r="GI19" i="19"/>
  <c r="V30" i="38"/>
  <c r="U30" i="38"/>
  <c r="GA24" i="21"/>
  <c r="GI20" i="21"/>
  <c r="IM21" i="20"/>
  <c r="V45" i="38"/>
  <c r="U45" i="38"/>
  <c r="AD39" i="38"/>
  <c r="AC39" i="38"/>
  <c r="GA18" i="19"/>
  <c r="FY40" i="19"/>
  <c r="GI27" i="19"/>
  <c r="GI18" i="19"/>
  <c r="GA22" i="21"/>
  <c r="V40" i="38"/>
  <c r="U40" i="38"/>
  <c r="AD34" i="38"/>
  <c r="AC34" i="38"/>
  <c r="FZ30" i="21"/>
  <c r="GI18" i="21"/>
  <c r="V41" i="38"/>
  <c r="U41" i="38"/>
  <c r="GI13" i="19"/>
  <c r="V15" i="38"/>
  <c r="U15" i="38"/>
  <c r="IM26" i="20"/>
  <c r="GI15" i="21"/>
  <c r="U46" i="38"/>
  <c r="V28" i="38"/>
  <c r="U28" i="38"/>
  <c r="AD48" i="38"/>
  <c r="AC48" i="38"/>
  <c r="AD32" i="38"/>
  <c r="AC32" i="38"/>
  <c r="AD26" i="38"/>
  <c r="AC26" i="38"/>
  <c r="AH49" i="38"/>
  <c r="AG49" i="38"/>
  <c r="AD33" i="38"/>
  <c r="AC33" i="38"/>
  <c r="IM22" i="20"/>
  <c r="GI25" i="19"/>
  <c r="AD11" i="38"/>
  <c r="AC11" i="38"/>
  <c r="V43" i="38"/>
  <c r="U43" i="38"/>
  <c r="GI12" i="21"/>
  <c r="GI12" i="19"/>
  <c r="GI14" i="21"/>
  <c r="GI21" i="19"/>
  <c r="IM20" i="20"/>
  <c r="IM13" i="20"/>
  <c r="GI17" i="21"/>
  <c r="GA21" i="19"/>
  <c r="X46" i="38"/>
  <c r="AD42" i="38"/>
  <c r="AC42" i="38"/>
  <c r="AD29" i="38"/>
  <c r="AC29" i="38"/>
  <c r="AD22" i="38"/>
  <c r="AC22" i="38"/>
  <c r="AD21" i="38"/>
  <c r="AC21" i="38"/>
  <c r="AH45" i="38"/>
  <c r="AG45" i="38"/>
  <c r="AD17" i="38"/>
  <c r="AC17" i="38"/>
  <c r="AD27" i="38"/>
  <c r="AC27" i="38"/>
  <c r="V17" i="38"/>
  <c r="U17" i="38"/>
  <c r="AD36" i="38"/>
  <c r="AC36" i="38"/>
  <c r="AD30" i="38"/>
  <c r="AC30" i="38"/>
  <c r="AD24" i="38"/>
  <c r="AC24" i="38"/>
  <c r="AH48" i="38"/>
  <c r="AG48" i="38"/>
  <c r="AH47" i="38"/>
  <c r="AG47" i="38"/>
  <c r="AD10" i="38"/>
  <c r="F35" i="37" s="1"/>
  <c r="AA5" i="5"/>
  <c r="AC10" i="38" s="1"/>
  <c r="E35" i="37" s="1"/>
  <c r="AF6" i="6"/>
  <c r="BO10" i="38" s="1"/>
  <c r="J38" i="37" s="1"/>
  <c r="R24" i="6"/>
  <c r="BA28" i="38" s="1"/>
  <c r="Q34" i="6"/>
  <c r="Q36" i="6"/>
  <c r="R28" i="6"/>
  <c r="BA32" i="38" s="1"/>
  <c r="Q13" i="6"/>
  <c r="Q17" i="6"/>
  <c r="Q21" i="6"/>
  <c r="R30" i="6"/>
  <c r="R32" i="6"/>
  <c r="BA36" i="38" s="1"/>
  <c r="R38" i="6"/>
  <c r="BA42" i="38" s="1"/>
  <c r="BA46" i="38"/>
  <c r="BA48" i="38"/>
  <c r="BA12" i="38"/>
  <c r="BA14" i="38"/>
  <c r="R12" i="6"/>
  <c r="R14" i="6"/>
  <c r="BA18" i="38" s="1"/>
  <c r="R16" i="6"/>
  <c r="BA20" i="38" s="1"/>
  <c r="R18" i="6"/>
  <c r="BA22" i="38" s="1"/>
  <c r="R20" i="6"/>
  <c r="BA24" i="38" s="1"/>
  <c r="R22" i="6"/>
  <c r="BA26" i="38" s="1"/>
  <c r="Q7" i="6"/>
  <c r="Q11" i="6"/>
  <c r="Q40" i="6"/>
  <c r="Q25" i="6"/>
  <c r="Q27" i="6"/>
  <c r="Q29" i="6"/>
  <c r="Q31" i="6"/>
  <c r="Q33" i="6"/>
  <c r="Q35" i="6"/>
  <c r="Q37" i="6"/>
  <c r="Q39" i="6"/>
  <c r="AZ45" i="38"/>
  <c r="AZ47" i="38"/>
  <c r="AZ49" i="38"/>
  <c r="Q15" i="6"/>
  <c r="Q19" i="6"/>
  <c r="Q23" i="6"/>
  <c r="R26" i="6"/>
  <c r="T27" i="38"/>
  <c r="S47" i="38"/>
  <c r="CQ36" i="22" l="1"/>
  <c r="CB37" i="22"/>
  <c r="CR40" i="22"/>
  <c r="CW18" i="22"/>
  <c r="CT18" i="22"/>
  <c r="CS18" i="22"/>
  <c r="CX18" i="22"/>
  <c r="CQ18" i="22"/>
  <c r="CV18" i="22"/>
  <c r="CY18" i="22"/>
  <c r="CU18" i="22"/>
  <c r="CD12" i="22"/>
  <c r="CH14" i="22"/>
  <c r="CE23" i="22"/>
  <c r="CI15" i="22"/>
  <c r="CE15" i="22"/>
  <c r="CW14" i="22"/>
  <c r="CW16" i="22"/>
  <c r="CS19" i="22"/>
  <c r="CX19" i="22"/>
  <c r="CW20" i="22"/>
  <c r="CX10" i="22"/>
  <c r="CE18" i="22"/>
  <c r="CS12" i="22"/>
  <c r="CH10" i="22"/>
  <c r="CE9" i="22"/>
  <c r="CI8" i="22"/>
  <c r="CT9" i="22"/>
  <c r="CX25" i="22"/>
  <c r="CS9" i="22"/>
  <c r="CH17" i="22"/>
  <c r="CH21" i="22"/>
  <c r="CW10" i="22"/>
  <c r="CB33" i="22"/>
  <c r="CC33" i="22"/>
  <c r="CF38" i="22"/>
  <c r="CG38" i="22"/>
  <c r="CI21" i="22"/>
  <c r="CY41" i="22"/>
  <c r="CB38" i="22"/>
  <c r="CS20" i="22"/>
  <c r="CH28" i="22"/>
  <c r="CE10" i="22"/>
  <c r="CX26" i="22"/>
  <c r="CH22" i="22"/>
  <c r="CS25" i="22"/>
  <c r="CW9" i="22"/>
  <c r="CW25" i="22"/>
  <c r="CI18" i="22"/>
  <c r="CD10" i="22"/>
  <c r="CI17" i="22"/>
  <c r="CT10" i="22"/>
  <c r="AE26" i="5"/>
  <c r="AW29" i="22"/>
  <c r="AF26" i="5" s="1"/>
  <c r="AW18" i="22"/>
  <c r="AE15" i="5"/>
  <c r="AG15" i="5" s="1"/>
  <c r="CQ27" i="22"/>
  <c r="CY27" i="22"/>
  <c r="CR27" i="22"/>
  <c r="CV27" i="22"/>
  <c r="CU27" i="22"/>
  <c r="CD25" i="22"/>
  <c r="CB25" i="22"/>
  <c r="CG25" i="22"/>
  <c r="CF25" i="22"/>
  <c r="CC25" i="22"/>
  <c r="CJ25" i="22"/>
  <c r="CB27" i="22"/>
  <c r="CJ27" i="22"/>
  <c r="CC27" i="22"/>
  <c r="CG27" i="22"/>
  <c r="CF27" i="22"/>
  <c r="CB14" i="22"/>
  <c r="CJ14" i="22"/>
  <c r="CF14" i="22"/>
  <c r="CC14" i="22"/>
  <c r="CG14" i="22"/>
  <c r="CB31" i="22"/>
  <c r="CG31" i="22"/>
  <c r="CC31" i="22"/>
  <c r="CH39" i="22"/>
  <c r="CE39" i="22"/>
  <c r="CD39" i="22"/>
  <c r="CI39" i="22"/>
  <c r="CE36" i="22"/>
  <c r="CI36" i="22"/>
  <c r="CH36" i="22"/>
  <c r="CD36" i="22"/>
  <c r="CT42" i="22"/>
  <c r="CS42" i="22"/>
  <c r="CW42" i="22"/>
  <c r="CH42" i="22"/>
  <c r="CE42" i="22"/>
  <c r="CD42" i="22"/>
  <c r="CC30" i="22"/>
  <c r="CG30" i="22"/>
  <c r="CB19" i="22"/>
  <c r="CG19" i="22"/>
  <c r="CC19" i="22"/>
  <c r="DG19" i="22" s="1"/>
  <c r="CJ19" i="22"/>
  <c r="CF19" i="22"/>
  <c r="CH35" i="22"/>
  <c r="CD35" i="22"/>
  <c r="CI35" i="22"/>
  <c r="CE35" i="22"/>
  <c r="CV17" i="22"/>
  <c r="CQ17" i="22"/>
  <c r="CU17" i="22"/>
  <c r="CR17" i="22"/>
  <c r="CY17" i="22"/>
  <c r="CE12" i="22"/>
  <c r="CB12" i="22"/>
  <c r="CG12" i="22"/>
  <c r="CJ12" i="22"/>
  <c r="CF12" i="22"/>
  <c r="CC12" i="22"/>
  <c r="CE20" i="22"/>
  <c r="CJ20" i="22"/>
  <c r="CG20" i="22"/>
  <c r="CC20" i="22"/>
  <c r="CB20" i="22"/>
  <c r="CF20" i="22"/>
  <c r="CD34" i="22"/>
  <c r="CH34" i="22"/>
  <c r="CI34" i="22"/>
  <c r="CE34" i="22"/>
  <c r="CC22" i="22"/>
  <c r="CF22" i="22"/>
  <c r="CJ22" i="22"/>
  <c r="CB22" i="22"/>
  <c r="CG22" i="22"/>
  <c r="CD13" i="22"/>
  <c r="CG13" i="22"/>
  <c r="CB13" i="22"/>
  <c r="DF13" i="22" s="1"/>
  <c r="CC13" i="22"/>
  <c r="DG13" i="22" s="1"/>
  <c r="CF13" i="22"/>
  <c r="CJ13" i="22"/>
  <c r="CE24" i="22"/>
  <c r="CF24" i="22"/>
  <c r="CC24" i="22"/>
  <c r="DG24" i="22" s="1"/>
  <c r="CB24" i="22"/>
  <c r="CG24" i="22"/>
  <c r="CJ24" i="22"/>
  <c r="CU25" i="22"/>
  <c r="CV25" i="22"/>
  <c r="CQ25" i="22"/>
  <c r="CR25" i="22"/>
  <c r="CY25" i="22"/>
  <c r="CD21" i="22"/>
  <c r="CC21" i="22"/>
  <c r="DG21" i="22" s="1"/>
  <c r="CB21" i="22"/>
  <c r="CJ21" i="22"/>
  <c r="CG21" i="22"/>
  <c r="CF21" i="22"/>
  <c r="CR14" i="22"/>
  <c r="CV14" i="22"/>
  <c r="CU14" i="22"/>
  <c r="CQ14" i="22"/>
  <c r="CY14" i="22"/>
  <c r="CD33" i="22"/>
  <c r="CE33" i="22"/>
  <c r="CI33" i="22"/>
  <c r="CH33" i="22"/>
  <c r="CW41" i="22"/>
  <c r="CT41" i="22"/>
  <c r="CS41" i="22"/>
  <c r="CT32" i="22"/>
  <c r="CS32" i="22"/>
  <c r="CW32" i="22"/>
  <c r="CX32" i="22"/>
  <c r="CD38" i="22"/>
  <c r="CH38" i="22"/>
  <c r="CE38" i="22"/>
  <c r="CI38" i="22"/>
  <c r="CD37" i="22"/>
  <c r="CE37" i="22"/>
  <c r="CI37" i="22"/>
  <c r="DG37" i="22" s="1"/>
  <c r="CH37" i="22"/>
  <c r="CQ23" i="22"/>
  <c r="CY23" i="22"/>
  <c r="CV23" i="22"/>
  <c r="CU23" i="22"/>
  <c r="CR23" i="22"/>
  <c r="CX23" i="22"/>
  <c r="CS13" i="22"/>
  <c r="DA22" i="22"/>
  <c r="DB22" i="22" s="1"/>
  <c r="CV35" i="22"/>
  <c r="CG32" i="22"/>
  <c r="CH9" i="22"/>
  <c r="CH25" i="22"/>
  <c r="CR34" i="22"/>
  <c r="CE26" i="22"/>
  <c r="CS31" i="22"/>
  <c r="CT15" i="22"/>
  <c r="CU30" i="22"/>
  <c r="CY34" i="22"/>
  <c r="CI14" i="22"/>
  <c r="CS27" i="22"/>
  <c r="CC40" i="22"/>
  <c r="CQ34" i="22"/>
  <c r="CI16" i="22"/>
  <c r="CR35" i="22"/>
  <c r="CX30" i="22"/>
  <c r="CG34" i="22"/>
  <c r="CF39" i="22"/>
  <c r="CE13" i="22"/>
  <c r="CW26" i="22"/>
  <c r="CV39" i="22"/>
  <c r="CH11" i="22"/>
  <c r="CI22" i="22"/>
  <c r="CH31" i="22"/>
  <c r="CD24" i="22"/>
  <c r="CJ30" i="22"/>
  <c r="CR37" i="22"/>
  <c r="CU42" i="22"/>
  <c r="CI25" i="22"/>
  <c r="CE27" i="22"/>
  <c r="CS21" i="22"/>
  <c r="CW21" i="22"/>
  <c r="CW29" i="22"/>
  <c r="CG42" i="22"/>
  <c r="CJ40" i="22"/>
  <c r="CS15" i="22"/>
  <c r="CH27" i="22"/>
  <c r="CC36" i="22"/>
  <c r="CE19" i="22"/>
  <c r="CI27" i="22"/>
  <c r="CR33" i="22"/>
  <c r="CU38" i="22"/>
  <c r="CQ42" i="22"/>
  <c r="CU35" i="22"/>
  <c r="CX17" i="22"/>
  <c r="CB32" i="22"/>
  <c r="CF40" i="22"/>
  <c r="CE22" i="22"/>
  <c r="CY33" i="22"/>
  <c r="CB30" i="22"/>
  <c r="CQ38" i="22"/>
  <c r="CU33" i="22"/>
  <c r="CJ39" i="22"/>
  <c r="CW30" i="22"/>
  <c r="CW15" i="22"/>
  <c r="CX29" i="22"/>
  <c r="CF41" i="22"/>
  <c r="CS16" i="22"/>
  <c r="CD20" i="22"/>
  <c r="CH24" i="22"/>
  <c r="CW28" i="22"/>
  <c r="CE31" i="22"/>
  <c r="CC41" i="22"/>
  <c r="CT21" i="22"/>
  <c r="CC35" i="22"/>
  <c r="CT14" i="22"/>
  <c r="CH19" i="22"/>
  <c r="CI30" i="22"/>
  <c r="CE11" i="22"/>
  <c r="CC11" i="22"/>
  <c r="CF11" i="22"/>
  <c r="CB11" i="22"/>
  <c r="CJ11" i="22"/>
  <c r="CG11" i="22"/>
  <c r="CY13" i="22"/>
  <c r="CV13" i="22"/>
  <c r="CU13" i="22"/>
  <c r="CR13" i="22"/>
  <c r="CQ13" i="22"/>
  <c r="CT16" i="22"/>
  <c r="CQ16" i="22"/>
  <c r="CV16" i="22"/>
  <c r="CY16" i="22"/>
  <c r="CR16" i="22"/>
  <c r="CU16" i="22"/>
  <c r="CV26" i="22"/>
  <c r="CQ26" i="22"/>
  <c r="CU26" i="22"/>
  <c r="CR26" i="22"/>
  <c r="CY26" i="22"/>
  <c r="CT12" i="22"/>
  <c r="CU12" i="22"/>
  <c r="CV12" i="22"/>
  <c r="CY12" i="22"/>
  <c r="CQ12" i="22"/>
  <c r="CR12" i="22"/>
  <c r="CB18" i="22"/>
  <c r="DF18" i="22" s="1"/>
  <c r="CF18" i="22"/>
  <c r="CC18" i="22"/>
  <c r="DG18" i="22" s="1"/>
  <c r="CG18" i="22"/>
  <c r="CJ18" i="22"/>
  <c r="CR9" i="22"/>
  <c r="CY9" i="22"/>
  <c r="CV9" i="22"/>
  <c r="CQ9" i="22"/>
  <c r="CU9" i="22"/>
  <c r="CU10" i="22"/>
  <c r="CQ10" i="22"/>
  <c r="CY10" i="22"/>
  <c r="CR10" i="22"/>
  <c r="CV10" i="22"/>
  <c r="CD17" i="22"/>
  <c r="CG17" i="22"/>
  <c r="CC17" i="22"/>
  <c r="CB17" i="22"/>
  <c r="DF17" i="22" s="1"/>
  <c r="CJ17" i="22"/>
  <c r="CF17" i="22"/>
  <c r="CC10" i="22"/>
  <c r="CF10" i="22"/>
  <c r="CJ10" i="22"/>
  <c r="CB10" i="22"/>
  <c r="CG10" i="22"/>
  <c r="CD29" i="22"/>
  <c r="CF29" i="22"/>
  <c r="CC29" i="22"/>
  <c r="CJ29" i="22"/>
  <c r="CB29" i="22"/>
  <c r="CG29" i="22"/>
  <c r="CT36" i="22"/>
  <c r="CS36" i="22"/>
  <c r="CW36" i="22"/>
  <c r="CX36" i="22"/>
  <c r="CX38" i="22"/>
  <c r="CS38" i="22"/>
  <c r="CW38" i="22"/>
  <c r="DA38" i="22" s="1"/>
  <c r="DB38" i="22" s="1"/>
  <c r="CT38" i="22"/>
  <c r="CT40" i="22"/>
  <c r="CS40" i="22"/>
  <c r="CW40" i="22"/>
  <c r="DA40" i="22" s="1"/>
  <c r="DB40" i="22" s="1"/>
  <c r="CX40" i="22"/>
  <c r="CB15" i="22"/>
  <c r="DF15" i="22" s="1"/>
  <c r="CF15" i="22"/>
  <c r="CC15" i="22"/>
  <c r="DG15" i="22" s="1"/>
  <c r="CG15" i="22"/>
  <c r="CJ15" i="22"/>
  <c r="CJ23" i="22"/>
  <c r="CB23" i="22"/>
  <c r="CF23" i="22"/>
  <c r="CC23" i="22"/>
  <c r="DG23" i="22" s="1"/>
  <c r="CI23" i="22"/>
  <c r="CG23" i="22"/>
  <c r="CT20" i="22"/>
  <c r="CQ20" i="22"/>
  <c r="CY20" i="22"/>
  <c r="CV20" i="22"/>
  <c r="CR20" i="22"/>
  <c r="CU20" i="22"/>
  <c r="CT24" i="22"/>
  <c r="CU24" i="22"/>
  <c r="CQ24" i="22"/>
  <c r="CV24" i="22"/>
  <c r="CR24" i="22"/>
  <c r="CY24" i="22"/>
  <c r="CE28" i="22"/>
  <c r="CF28" i="22"/>
  <c r="CC28" i="22"/>
  <c r="CB28" i="22"/>
  <c r="CG28" i="22"/>
  <c r="CJ28" i="22"/>
  <c r="CS11" i="22"/>
  <c r="CR39" i="22"/>
  <c r="CB40" i="22"/>
  <c r="CU39" i="22"/>
  <c r="CT13" i="22"/>
  <c r="CH18" i="22"/>
  <c r="CH26" i="22"/>
  <c r="CG39" i="22"/>
  <c r="CW11" i="22"/>
  <c r="CW31" i="22"/>
  <c r="CY37" i="22"/>
  <c r="CY30" i="22"/>
  <c r="CF42" i="22"/>
  <c r="CT27" i="22"/>
  <c r="CG41" i="22"/>
  <c r="CS17" i="22"/>
  <c r="CT11" i="22"/>
  <c r="CH13" i="22"/>
  <c r="CH29" i="22"/>
  <c r="CB39" i="22"/>
  <c r="CV42" i="22"/>
  <c r="CD26" i="22"/>
  <c r="CB36" i="22"/>
  <c r="CD11" i="22"/>
  <c r="CW27" i="22"/>
  <c r="CT19" i="22"/>
  <c r="CX27" i="22"/>
  <c r="CJ31" i="22"/>
  <c r="CS14" i="22"/>
  <c r="CJ33" i="22"/>
  <c r="CH20" i="22"/>
  <c r="CI31" i="22"/>
  <c r="CQ37" i="22"/>
  <c r="CI12" i="22"/>
  <c r="CB35" i="22"/>
  <c r="CT17" i="22"/>
  <c r="CH30" i="22"/>
  <c r="CM30" i="22" s="1"/>
  <c r="CO30" i="22" s="1"/>
  <c r="CI29" i="22"/>
  <c r="CU41" i="22"/>
  <c r="CW12" i="22"/>
  <c r="CB34" i="22"/>
  <c r="DF34" i="22" s="1"/>
  <c r="CY42" i="22"/>
  <c r="CI20" i="22"/>
  <c r="CF31" i="22"/>
  <c r="CY36" i="22"/>
  <c r="CE14" i="22"/>
  <c r="CQ11" i="22"/>
  <c r="CU11" i="22"/>
  <c r="CR11" i="22"/>
  <c r="CY11" i="22"/>
  <c r="CV11" i="22"/>
  <c r="CV21" i="22"/>
  <c r="CR21" i="22"/>
  <c r="CQ21" i="22"/>
  <c r="CY21" i="22"/>
  <c r="CU21" i="22"/>
  <c r="CB26" i="22"/>
  <c r="DF26" i="22" s="1"/>
  <c r="CJ26" i="22"/>
  <c r="CF26" i="22"/>
  <c r="CG26" i="22"/>
  <c r="CC26" i="22"/>
  <c r="DG26" i="22" s="1"/>
  <c r="CQ39" i="22"/>
  <c r="CX39" i="22"/>
  <c r="CS39" i="22"/>
  <c r="CW39" i="22"/>
  <c r="CT39" i="22"/>
  <c r="CW33" i="22"/>
  <c r="CX33" i="22"/>
  <c r="CT33" i="22"/>
  <c r="CS33" i="22"/>
  <c r="CD41" i="22"/>
  <c r="CE41" i="22"/>
  <c r="CH41" i="22"/>
  <c r="CE32" i="22"/>
  <c r="CD32" i="22"/>
  <c r="CI32" i="22"/>
  <c r="CH32" i="22"/>
  <c r="CV30" i="22"/>
  <c r="CR30" i="22"/>
  <c r="CW37" i="22"/>
  <c r="DA37" i="22" s="1"/>
  <c r="DB37" i="22" s="1"/>
  <c r="CT37" i="22"/>
  <c r="CX37" i="22"/>
  <c r="CS37" i="22"/>
  <c r="CQ35" i="22"/>
  <c r="CS35" i="22"/>
  <c r="CX35" i="22"/>
  <c r="CT35" i="22"/>
  <c r="CW35" i="22"/>
  <c r="CE40" i="22"/>
  <c r="CI40" i="22"/>
  <c r="CD40" i="22"/>
  <c r="CH40" i="22"/>
  <c r="CQ15" i="22"/>
  <c r="CR15" i="22"/>
  <c r="CY15" i="22"/>
  <c r="CV15" i="22"/>
  <c r="CU15" i="22"/>
  <c r="CE16" i="22"/>
  <c r="CG16" i="22"/>
  <c r="CF16" i="22"/>
  <c r="CJ16" i="22"/>
  <c r="CC16" i="22"/>
  <c r="CB16" i="22"/>
  <c r="CT28" i="22"/>
  <c r="CR28" i="22"/>
  <c r="CQ28" i="22"/>
  <c r="CY28" i="22"/>
  <c r="CV28" i="22"/>
  <c r="CU28" i="22"/>
  <c r="CQ31" i="22"/>
  <c r="CR31" i="22"/>
  <c r="CV31" i="22"/>
  <c r="CX34" i="22"/>
  <c r="CT34" i="22"/>
  <c r="CW34" i="22"/>
  <c r="CS34" i="22"/>
  <c r="CD9" i="22"/>
  <c r="CJ9" i="22"/>
  <c r="CG9" i="22"/>
  <c r="CF9" i="22"/>
  <c r="CB9" i="22"/>
  <c r="CC9" i="22"/>
  <c r="DG9" i="22" s="1"/>
  <c r="CU29" i="22"/>
  <c r="CV29" i="22"/>
  <c r="CQ29" i="22"/>
  <c r="CR29" i="22"/>
  <c r="CY29" i="22"/>
  <c r="CQ19" i="22"/>
  <c r="CR19" i="22"/>
  <c r="CV19" i="22"/>
  <c r="CY19" i="22"/>
  <c r="CU19" i="22"/>
  <c r="CJ41" i="22"/>
  <c r="CC32" i="22"/>
  <c r="CU31" i="22"/>
  <c r="CX13" i="22"/>
  <c r="AG10" i="6"/>
  <c r="AG8" i="6"/>
  <c r="AH15" i="6"/>
  <c r="AH39" i="6"/>
  <c r="AH31" i="6"/>
  <c r="AH40" i="6"/>
  <c r="BA34" i="38"/>
  <c r="AH19" i="6"/>
  <c r="AH25" i="6"/>
  <c r="AH38" i="6"/>
  <c r="AH23" i="6"/>
  <c r="AH27" i="6"/>
  <c r="BA30" i="38"/>
  <c r="AH37" i="6"/>
  <c r="AH29" i="6"/>
  <c r="AH11" i="6"/>
  <c r="BA16" i="38"/>
  <c r="AH21" i="6"/>
  <c r="AH36" i="6"/>
  <c r="AH33" i="6"/>
  <c r="AH7" i="6"/>
  <c r="AH13" i="6"/>
  <c r="AH35" i="6"/>
  <c r="AH9" i="6"/>
  <c r="AH17" i="6"/>
  <c r="AH34" i="6"/>
  <c r="AH32" i="6"/>
  <c r="AZ23" i="38"/>
  <c r="AZ11" i="38"/>
  <c r="AZ42" i="38"/>
  <c r="AZ27" i="38"/>
  <c r="AZ39" i="38"/>
  <c r="AZ31" i="38"/>
  <c r="AZ13" i="38"/>
  <c r="AZ21" i="38"/>
  <c r="AZ38" i="38"/>
  <c r="AZ36" i="38"/>
  <c r="AH6" i="6"/>
  <c r="AZ37" i="38"/>
  <c r="AZ17" i="38"/>
  <c r="AZ41" i="38"/>
  <c r="AZ33" i="38"/>
  <c r="AZ15" i="38"/>
  <c r="AZ25" i="38"/>
  <c r="AZ40" i="38"/>
  <c r="AZ29" i="38"/>
  <c r="AZ19" i="38"/>
  <c r="AZ43" i="38"/>
  <c r="AZ35" i="38"/>
  <c r="AZ44" i="38"/>
  <c r="CE8" i="22"/>
  <c r="AE5" i="5"/>
  <c r="AG10" i="38" s="1"/>
  <c r="E38" i="37" s="1"/>
  <c r="AW31" i="22"/>
  <c r="AH33" i="38" s="1"/>
  <c r="AE28" i="5"/>
  <c r="AW21" i="22"/>
  <c r="AF18" i="5" s="1"/>
  <c r="AE18" i="5"/>
  <c r="AG18" i="5" s="1"/>
  <c r="AW13" i="22"/>
  <c r="AF10" i="5" s="1"/>
  <c r="AE10" i="5"/>
  <c r="AW37" i="22"/>
  <c r="AF34" i="5" s="1"/>
  <c r="AE34" i="5"/>
  <c r="AW20" i="22"/>
  <c r="AF17" i="5" s="1"/>
  <c r="AE17" i="5"/>
  <c r="AW28" i="22"/>
  <c r="AH30" i="38" s="1"/>
  <c r="AE25" i="5"/>
  <c r="AW14" i="22"/>
  <c r="AF11" i="5" s="1"/>
  <c r="AE11" i="5"/>
  <c r="AW35" i="22"/>
  <c r="AF32" i="5" s="1"/>
  <c r="AE32" i="5"/>
  <c r="AW39" i="22"/>
  <c r="AF36" i="5" s="1"/>
  <c r="AE36" i="5"/>
  <c r="AG36" i="5" s="1"/>
  <c r="AW15" i="22"/>
  <c r="AF12" i="5" s="1"/>
  <c r="AE12" i="5"/>
  <c r="AW23" i="22"/>
  <c r="AF20" i="5" s="1"/>
  <c r="AE20" i="5"/>
  <c r="AW12" i="22"/>
  <c r="AF9" i="5" s="1"/>
  <c r="AE9" i="5"/>
  <c r="AW26" i="22"/>
  <c r="AF23" i="5" s="1"/>
  <c r="AE23" i="5"/>
  <c r="AG23" i="5" s="1"/>
  <c r="AW22" i="22"/>
  <c r="AF19" i="5" s="1"/>
  <c r="AE19" i="5"/>
  <c r="AW17" i="22"/>
  <c r="AF14" i="5" s="1"/>
  <c r="AE14" i="5"/>
  <c r="AW25" i="22"/>
  <c r="AF22" i="5" s="1"/>
  <c r="AE22" i="5"/>
  <c r="AW11" i="22"/>
  <c r="AH13" i="38" s="1"/>
  <c r="AE8" i="5"/>
  <c r="AW19" i="22"/>
  <c r="AF16" i="5" s="1"/>
  <c r="AE16" i="5"/>
  <c r="AW27" i="22"/>
  <c r="AF24" i="5" s="1"/>
  <c r="AE24" i="5"/>
  <c r="AW16" i="22"/>
  <c r="AF13" i="5" s="1"/>
  <c r="AE13" i="5"/>
  <c r="AW36" i="22"/>
  <c r="AF33" i="5" s="1"/>
  <c r="AE33" i="5"/>
  <c r="CT8" i="22"/>
  <c r="CX8" i="22"/>
  <c r="AW40" i="22"/>
  <c r="AF37" i="5" s="1"/>
  <c r="AE37" i="5"/>
  <c r="AW41" i="22"/>
  <c r="AF38" i="5" s="1"/>
  <c r="AE38" i="5"/>
  <c r="AW32" i="22"/>
  <c r="AF29" i="5" s="1"/>
  <c r="AE29" i="5"/>
  <c r="AG29" i="5" s="1"/>
  <c r="AW30" i="22"/>
  <c r="AF27" i="5" s="1"/>
  <c r="AE27" i="5"/>
  <c r="AW38" i="22"/>
  <c r="AF35" i="5" s="1"/>
  <c r="AE35" i="5"/>
  <c r="AW34" i="22"/>
  <c r="AH36" i="38" s="1"/>
  <c r="AE31" i="5"/>
  <c r="AG31" i="5" s="1"/>
  <c r="AW10" i="22"/>
  <c r="AF7" i="5" s="1"/>
  <c r="AE7" i="5"/>
  <c r="AW42" i="22"/>
  <c r="AF39" i="5" s="1"/>
  <c r="AE39" i="5"/>
  <c r="AW33" i="22"/>
  <c r="AF30" i="5" s="1"/>
  <c r="AE30" i="5"/>
  <c r="AW24" i="22"/>
  <c r="AH26" i="38" s="1"/>
  <c r="AE21" i="5"/>
  <c r="AW9" i="22"/>
  <c r="AE6" i="5"/>
  <c r="AG6" i="5" s="1"/>
  <c r="AH37" i="38"/>
  <c r="U10" i="38"/>
  <c r="E31" i="37" s="1"/>
  <c r="AH43" i="38"/>
  <c r="F53" i="9"/>
  <c r="H34" i="37"/>
  <c r="F48" i="9"/>
  <c r="H33" i="37"/>
  <c r="H165" i="9"/>
  <c r="DF41" i="22"/>
  <c r="CD8" i="22"/>
  <c r="AF23" i="6"/>
  <c r="BO27" i="38" s="1"/>
  <c r="AC35" i="38"/>
  <c r="AC15" i="38"/>
  <c r="DG39" i="22"/>
  <c r="DG33" i="22"/>
  <c r="CW8" i="22"/>
  <c r="DG31" i="22"/>
  <c r="CB8" i="22"/>
  <c r="CC8" i="22"/>
  <c r="CF8" i="22"/>
  <c r="CJ8" i="22"/>
  <c r="CG8" i="22"/>
  <c r="DG40" i="22"/>
  <c r="DF30" i="22"/>
  <c r="DF38" i="22"/>
  <c r="DG36" i="22"/>
  <c r="DG10" i="22"/>
  <c r="CY8" i="22"/>
  <c r="CQ8" i="22"/>
  <c r="CR8" i="22"/>
  <c r="CU8" i="22"/>
  <c r="CV8" i="22"/>
  <c r="T23" i="38"/>
  <c r="T16" i="38"/>
  <c r="W19" i="38"/>
  <c r="AD19" i="38"/>
  <c r="T11" i="38"/>
  <c r="AD49" i="38"/>
  <c r="U12" i="38"/>
  <c r="V39" i="38"/>
  <c r="FZ31" i="21"/>
  <c r="T29" i="38"/>
  <c r="X32" i="38"/>
  <c r="V16" i="38"/>
  <c r="EL28" i="8"/>
  <c r="T44" i="38"/>
  <c r="T32" i="38"/>
  <c r="EL40" i="8"/>
  <c r="EN12" i="8"/>
  <c r="EM12" i="8"/>
  <c r="EN19" i="8"/>
  <c r="AD18" i="38"/>
  <c r="GA19" i="21"/>
  <c r="EM18" i="8"/>
  <c r="W44" i="38"/>
  <c r="V36" i="38"/>
  <c r="AC28" i="38"/>
  <c r="EN25" i="8"/>
  <c r="EN20" i="8"/>
  <c r="EM21" i="8"/>
  <c r="T39" i="38"/>
  <c r="EL25" i="8"/>
  <c r="EM25" i="8"/>
  <c r="EL19" i="8"/>
  <c r="AD31" i="38"/>
  <c r="FY19" i="19"/>
  <c r="EN33" i="8"/>
  <c r="EM11" i="8"/>
  <c r="FZ19" i="19"/>
  <c r="T45" i="38"/>
  <c r="EM19" i="8"/>
  <c r="V11" i="38"/>
  <c r="EL18" i="8"/>
  <c r="EL9" i="8"/>
  <c r="EL31" i="8"/>
  <c r="EL12" i="8"/>
  <c r="EL39" i="8"/>
  <c r="T38" i="38"/>
  <c r="T40" i="38"/>
  <c r="T25" i="38"/>
  <c r="GA30" i="19"/>
  <c r="X42" i="38"/>
  <c r="EN9" i="8"/>
  <c r="GA32" i="21"/>
  <c r="FY32" i="21"/>
  <c r="EL20" i="8"/>
  <c r="FZ18" i="19"/>
  <c r="DG25" i="22"/>
  <c r="EM32" i="8"/>
  <c r="EM40" i="8"/>
  <c r="T41" i="38"/>
  <c r="EM20" i="8"/>
  <c r="EN35" i="8"/>
  <c r="FZ14" i="21"/>
  <c r="AC12" i="38"/>
  <c r="AD40" i="38"/>
  <c r="EL32" i="8"/>
  <c r="EN18" i="8"/>
  <c r="GA26" i="21"/>
  <c r="GA36" i="19"/>
  <c r="EN16" i="8"/>
  <c r="FZ20" i="21"/>
  <c r="AC37" i="38"/>
  <c r="FY39" i="19"/>
  <c r="V27" i="38"/>
  <c r="EM15" i="8"/>
  <c r="EM42" i="8"/>
  <c r="GA37" i="21"/>
  <c r="AC25" i="38"/>
  <c r="X26" i="38"/>
  <c r="EM30" i="8"/>
  <c r="FY13" i="19"/>
  <c r="EN32" i="8"/>
  <c r="GA31" i="21"/>
  <c r="EL13" i="8"/>
  <c r="EM31" i="8"/>
  <c r="EL21" i="8"/>
  <c r="EN30" i="8"/>
  <c r="EM17" i="8"/>
  <c r="EN31" i="8"/>
  <c r="T42" i="38"/>
  <c r="T28" i="38"/>
  <c r="EL24" i="8"/>
  <c r="T26" i="38"/>
  <c r="T19" i="38"/>
  <c r="GA42" i="19"/>
  <c r="GA33" i="21"/>
  <c r="FY37" i="21"/>
  <c r="GA11" i="21"/>
  <c r="EN29" i="8"/>
  <c r="EM14" i="8"/>
  <c r="U13" i="38"/>
  <c r="EM24" i="8"/>
  <c r="FY23" i="19"/>
  <c r="GA35" i="19"/>
  <c r="EN21" i="8"/>
  <c r="EL17" i="8"/>
  <c r="EN17" i="8"/>
  <c r="V10" i="38"/>
  <c r="F31" i="37" s="1"/>
  <c r="V47" i="38"/>
  <c r="X33" i="38"/>
  <c r="AH10" i="38"/>
  <c r="F38" i="37" s="1"/>
  <c r="AH31" i="38"/>
  <c r="AG36" i="38"/>
  <c r="AD16" i="38"/>
  <c r="V44" i="38"/>
  <c r="V38" i="38"/>
  <c r="V20" i="38"/>
  <c r="T30" i="38"/>
  <c r="T15" i="38"/>
  <c r="T49" i="38"/>
  <c r="T36" i="38"/>
  <c r="T37" i="38"/>
  <c r="T14" i="38"/>
  <c r="T43" i="38"/>
  <c r="T13" i="38"/>
  <c r="X17" i="38"/>
  <c r="X28" i="38"/>
  <c r="X45" i="38"/>
  <c r="W37" i="38"/>
  <c r="X47" i="38"/>
  <c r="X24" i="38"/>
  <c r="X43" i="38"/>
  <c r="W25" i="38"/>
  <c r="W12" i="38"/>
  <c r="W30" i="38"/>
  <c r="X31" i="38"/>
  <c r="X10" i="38"/>
  <c r="F32" i="37" s="1"/>
  <c r="X41" i="38"/>
  <c r="W36" i="38"/>
  <c r="X16" i="38"/>
  <c r="X22" i="38"/>
  <c r="X15" i="38"/>
  <c r="X29" i="38"/>
  <c r="X11" i="38"/>
  <c r="X34" i="38"/>
  <c r="X20" i="38"/>
  <c r="X23" i="38"/>
  <c r="W14" i="38"/>
  <c r="X39" i="38"/>
  <c r="EN27" i="8"/>
  <c r="EL42" i="8"/>
  <c r="T18" i="38"/>
  <c r="FY42" i="19"/>
  <c r="DF31" i="22"/>
  <c r="X48" i="38"/>
  <c r="AD23" i="38"/>
  <c r="EM33" i="8"/>
  <c r="AD13" i="38"/>
  <c r="FZ11" i="21"/>
  <c r="EN13" i="8"/>
  <c r="FY41" i="19"/>
  <c r="EL30" i="8"/>
  <c r="EN15" i="8"/>
  <c r="EN42" i="8"/>
  <c r="EN24" i="8"/>
  <c r="FY33" i="21"/>
  <c r="EM9" i="8"/>
  <c r="EL11" i="8"/>
  <c r="FY11" i="21"/>
  <c r="EM29" i="8"/>
  <c r="FZ31" i="19"/>
  <c r="EN11" i="8"/>
  <c r="EL33" i="8"/>
  <c r="EL14" i="8"/>
  <c r="EM28" i="8"/>
  <c r="EL15" i="8"/>
  <c r="EL10" i="8"/>
  <c r="EN39" i="8"/>
  <c r="T24" i="38"/>
  <c r="GA33" i="19"/>
  <c r="GA24" i="19"/>
  <c r="EL23" i="8"/>
  <c r="EL16" i="8"/>
  <c r="T12" i="38"/>
  <c r="T33" i="38"/>
  <c r="T48" i="38"/>
  <c r="DF36" i="22"/>
  <c r="GA32" i="19"/>
  <c r="V49" i="38"/>
  <c r="AD47" i="38"/>
  <c r="DF25" i="22"/>
  <c r="FY31" i="21"/>
  <c r="EM16" i="8"/>
  <c r="FZ29" i="21"/>
  <c r="EN10" i="8"/>
  <c r="EN28" i="8"/>
  <c r="FZ26" i="19"/>
  <c r="FZ26" i="21"/>
  <c r="FY27" i="21"/>
  <c r="GA21" i="21"/>
  <c r="T17" i="38"/>
  <c r="FZ24" i="19"/>
  <c r="GA27" i="19"/>
  <c r="FZ21" i="21"/>
  <c r="GA25" i="21"/>
  <c r="GA26" i="19"/>
  <c r="EM10" i="8"/>
  <c r="T31" i="38"/>
  <c r="T34" i="38"/>
  <c r="GA29" i="21"/>
  <c r="DF28" i="22"/>
  <c r="EM22" i="8"/>
  <c r="FZ13" i="21"/>
  <c r="FZ39" i="19"/>
  <c r="FY29" i="21"/>
  <c r="GA42" i="21"/>
  <c r="T22" i="38"/>
  <c r="T46" i="38"/>
  <c r="T21" i="38"/>
  <c r="FZ34" i="19"/>
  <c r="FZ38" i="19"/>
  <c r="FY38" i="19"/>
  <c r="FZ42" i="21"/>
  <c r="GA27" i="21"/>
  <c r="FZ27" i="21"/>
  <c r="GA41" i="19"/>
  <c r="FY42" i="21"/>
  <c r="GA39" i="19"/>
  <c r="FZ41" i="19"/>
  <c r="T20" i="38"/>
  <c r="T35" i="38"/>
  <c r="FZ13" i="19"/>
  <c r="FZ36" i="21"/>
  <c r="GA13" i="19"/>
  <c r="DG41" i="22"/>
  <c r="FY13" i="21"/>
  <c r="EN23" i="8"/>
  <c r="EL22" i="8"/>
  <c r="FY14" i="19"/>
  <c r="GA14" i="19"/>
  <c r="EL26" i="8"/>
  <c r="DG38" i="22"/>
  <c r="EM35" i="8"/>
  <c r="EM26" i="8"/>
  <c r="FZ17" i="19"/>
  <c r="FZ23" i="19"/>
  <c r="FZ36" i="19"/>
  <c r="GA34" i="19"/>
  <c r="FY36" i="19"/>
  <c r="GA35" i="21"/>
  <c r="GA14" i="21"/>
  <c r="GA16" i="21"/>
  <c r="FZ19" i="21"/>
  <c r="FY10" i="21"/>
  <c r="FY31" i="19"/>
  <c r="GA31" i="19"/>
  <c r="FZ39" i="21"/>
  <c r="GA23" i="19"/>
  <c r="FY17" i="19"/>
  <c r="FZ37" i="21"/>
  <c r="FZ34" i="21"/>
  <c r="FZ16" i="21"/>
  <c r="FY23" i="21"/>
  <c r="EM37" i="8"/>
  <c r="FY34" i="21"/>
  <c r="EL27" i="8"/>
  <c r="FZ27" i="19"/>
  <c r="FZ10" i="21"/>
  <c r="FY35" i="21"/>
  <c r="FY39" i="21"/>
  <c r="GA41" i="21"/>
  <c r="DF24" i="22"/>
  <c r="DF32" i="22"/>
  <c r="FY19" i="21"/>
  <c r="FY16" i="21"/>
  <c r="EL38" i="8"/>
  <c r="EN38" i="8"/>
  <c r="EM38" i="8"/>
  <c r="FY29" i="19"/>
  <c r="FZ29" i="19"/>
  <c r="FY25" i="21"/>
  <c r="FZ33" i="19"/>
  <c r="FZ10" i="19"/>
  <c r="FZ16" i="19"/>
  <c r="FZ32" i="21"/>
  <c r="FY41" i="21"/>
  <c r="DF42" i="22"/>
  <c r="GA10" i="19"/>
  <c r="GA9" i="19"/>
  <c r="DG27" i="22"/>
  <c r="FY14" i="21"/>
  <c r="GA16" i="19"/>
  <c r="DF27" i="22"/>
  <c r="DG30" i="22"/>
  <c r="FY35" i="19"/>
  <c r="GA37" i="19"/>
  <c r="GA28" i="19"/>
  <c r="GA39" i="21"/>
  <c r="DG42" i="22"/>
  <c r="FZ28" i="19"/>
  <c r="FY9" i="19"/>
  <c r="FY15" i="21"/>
  <c r="GA23" i="21"/>
  <c r="FZ9" i="19"/>
  <c r="FZ17" i="21"/>
  <c r="FZ41" i="21"/>
  <c r="GA17" i="21"/>
  <c r="FY11" i="19"/>
  <c r="FZ11" i="19"/>
  <c r="EL37" i="8"/>
  <c r="FY22" i="19"/>
  <c r="EM39" i="8"/>
  <c r="FZ40" i="21"/>
  <c r="FZ22" i="19"/>
  <c r="FZ28" i="21"/>
  <c r="DF10" i="22"/>
  <c r="FZ30" i="19"/>
  <c r="FY10" i="19"/>
  <c r="GA12" i="19"/>
  <c r="GA28" i="21"/>
  <c r="DG28" i="22"/>
  <c r="FY20" i="21"/>
  <c r="FY28" i="19"/>
  <c r="FZ15" i="21"/>
  <c r="GA8" i="19"/>
  <c r="EL36" i="8"/>
  <c r="EN36" i="8"/>
  <c r="EM36" i="8"/>
  <c r="GA9" i="21"/>
  <c r="FZ9" i="21"/>
  <c r="FY9" i="21"/>
  <c r="FY30" i="19"/>
  <c r="EL29" i="8"/>
  <c r="FY32" i="19"/>
  <c r="FY37" i="19"/>
  <c r="FZ12" i="19"/>
  <c r="FZ12" i="21"/>
  <c r="FZ8" i="19"/>
  <c r="FZ22" i="21"/>
  <c r="FZ24" i="21"/>
  <c r="FY12" i="19"/>
  <c r="GA15" i="21"/>
  <c r="FY28" i="21"/>
  <c r="EN37" i="8"/>
  <c r="GA22" i="19"/>
  <c r="FY20" i="19"/>
  <c r="DF35" i="22"/>
  <c r="EM34" i="8"/>
  <c r="EN34" i="8"/>
  <c r="EL34" i="8"/>
  <c r="DG22" i="22"/>
  <c r="GA38" i="21"/>
  <c r="FZ21" i="19"/>
  <c r="DG11" i="22"/>
  <c r="DF11" i="22"/>
  <c r="FY22" i="21"/>
  <c r="GA36" i="21"/>
  <c r="DF39" i="22"/>
  <c r="GA15" i="19"/>
  <c r="FY15" i="19"/>
  <c r="FZ15" i="19"/>
  <c r="GA18" i="21"/>
  <c r="DG12" i="22"/>
  <c r="FZ20" i="19"/>
  <c r="DG34" i="22"/>
  <c r="GA20" i="19"/>
  <c r="FY36" i="21"/>
  <c r="FY18" i="21"/>
  <c r="FY25" i="19"/>
  <c r="FZ25" i="19"/>
  <c r="GA25" i="19"/>
  <c r="GA30" i="21"/>
  <c r="FY12" i="21"/>
  <c r="GA12" i="21"/>
  <c r="GA40" i="21"/>
  <c r="FY40" i="21"/>
  <c r="FY18" i="19"/>
  <c r="GA20" i="21"/>
  <c r="FY24" i="21"/>
  <c r="FZ35" i="21"/>
  <c r="FZ33" i="21"/>
  <c r="FY38" i="21"/>
  <c r="GA40" i="19"/>
  <c r="DF9" i="22"/>
  <c r="FZ40" i="19"/>
  <c r="FZ18" i="21"/>
  <c r="FY21" i="19"/>
  <c r="DG35" i="22"/>
  <c r="FY30" i="21"/>
  <c r="AF11" i="6"/>
  <c r="BO15" i="38" s="1"/>
  <c r="AF8" i="6"/>
  <c r="BO12" i="38" s="1"/>
  <c r="AF18" i="6"/>
  <c r="BO22" i="38" s="1"/>
  <c r="AF24" i="6"/>
  <c r="BO28" i="38" s="1"/>
  <c r="AF28" i="6"/>
  <c r="BO32" i="38" s="1"/>
  <c r="AF25" i="6"/>
  <c r="BO29" i="38" s="1"/>
  <c r="AF33" i="6"/>
  <c r="BO37" i="38" s="1"/>
  <c r="BO45" i="38"/>
  <c r="AF30" i="6"/>
  <c r="BO34" i="38" s="1"/>
  <c r="AF38" i="6"/>
  <c r="BO42" i="38" s="1"/>
  <c r="AF9" i="6"/>
  <c r="BO13" i="38" s="1"/>
  <c r="AF15" i="6"/>
  <c r="BO19" i="38" s="1"/>
  <c r="AF7" i="6"/>
  <c r="BO11" i="38" s="1"/>
  <c r="AF14" i="6"/>
  <c r="BO18" i="38" s="1"/>
  <c r="AF20" i="6"/>
  <c r="BO24" i="38" s="1"/>
  <c r="AF26" i="6"/>
  <c r="BO30" i="38" s="1"/>
  <c r="AF17" i="6"/>
  <c r="BO21" i="38" s="1"/>
  <c r="AF27" i="6"/>
  <c r="BO31" i="38" s="1"/>
  <c r="AF35" i="6"/>
  <c r="BO39" i="38" s="1"/>
  <c r="BO47" i="38"/>
  <c r="AF36" i="6"/>
  <c r="BO40" i="38" s="1"/>
  <c r="BO48" i="38"/>
  <c r="AF12" i="6"/>
  <c r="BO16" i="38" s="1"/>
  <c r="AF22" i="6"/>
  <c r="BO26" i="38" s="1"/>
  <c r="AF19" i="6"/>
  <c r="BO23" i="38" s="1"/>
  <c r="AF29" i="6"/>
  <c r="BO33" i="38" s="1"/>
  <c r="AF37" i="6"/>
  <c r="BO41" i="38" s="1"/>
  <c r="BO49" i="38"/>
  <c r="AF34" i="6"/>
  <c r="BO38" i="38" s="1"/>
  <c r="BO46" i="38"/>
  <c r="AF13" i="6"/>
  <c r="BO17" i="38" s="1"/>
  <c r="AF10" i="6"/>
  <c r="BO14" i="38" s="1"/>
  <c r="AF16" i="6"/>
  <c r="BO20" i="38" s="1"/>
  <c r="AF21" i="6"/>
  <c r="BO25" i="38" s="1"/>
  <c r="AF31" i="6"/>
  <c r="BO35" i="38" s="1"/>
  <c r="AF39" i="6"/>
  <c r="BO43" i="38" s="1"/>
  <c r="AF32" i="6"/>
  <c r="BO36" i="38" s="1"/>
  <c r="AF40" i="6"/>
  <c r="BO44" i="38" s="1"/>
  <c r="AB6" i="6"/>
  <c r="BK10" i="38" s="1"/>
  <c r="J35" i="37" s="1"/>
  <c r="AB12" i="6"/>
  <c r="BK16" i="38" s="1"/>
  <c r="AB15" i="6"/>
  <c r="BK19" i="38" s="1"/>
  <c r="AB18" i="6"/>
  <c r="BK22" i="38" s="1"/>
  <c r="AB21" i="6"/>
  <c r="BK25" i="38" s="1"/>
  <c r="AB29" i="6"/>
  <c r="BK33" i="38" s="1"/>
  <c r="AB37" i="6"/>
  <c r="BK41" i="38" s="1"/>
  <c r="BK49" i="38"/>
  <c r="AB34" i="6"/>
  <c r="BK38" i="38" s="1"/>
  <c r="BK46" i="38"/>
  <c r="AB7" i="6"/>
  <c r="BK11" i="38" s="1"/>
  <c r="AB14" i="6"/>
  <c r="BK18" i="38" s="1"/>
  <c r="AB13" i="6"/>
  <c r="BK17" i="38" s="1"/>
  <c r="AB22" i="6"/>
  <c r="BK26" i="38" s="1"/>
  <c r="AB26" i="6"/>
  <c r="BK30" i="38" s="1"/>
  <c r="AB17" i="6"/>
  <c r="BK21" i="38" s="1"/>
  <c r="AB23" i="6"/>
  <c r="BK27" i="38" s="1"/>
  <c r="AB31" i="6"/>
  <c r="BK35" i="38" s="1"/>
  <c r="AB39" i="6"/>
  <c r="BK43" i="38" s="1"/>
  <c r="AB32" i="6"/>
  <c r="BK36" i="38" s="1"/>
  <c r="AB40" i="6"/>
  <c r="BK44" i="38" s="1"/>
  <c r="BK12" i="38"/>
  <c r="AB11" i="6"/>
  <c r="BK15" i="38" s="1"/>
  <c r="AB16" i="6"/>
  <c r="BK20" i="38" s="1"/>
  <c r="AB20" i="6"/>
  <c r="BK24" i="38" s="1"/>
  <c r="AB24" i="6"/>
  <c r="BK28" i="38" s="1"/>
  <c r="AB28" i="6"/>
  <c r="BK32" i="38" s="1"/>
  <c r="AB25" i="6"/>
  <c r="BK29" i="38" s="1"/>
  <c r="AB33" i="6"/>
  <c r="BK37" i="38" s="1"/>
  <c r="BK45" i="38"/>
  <c r="AB30" i="6"/>
  <c r="BK34" i="38" s="1"/>
  <c r="AB38" i="6"/>
  <c r="BK42" i="38" s="1"/>
  <c r="BK14" i="38"/>
  <c r="BK13" i="38"/>
  <c r="AB19" i="6"/>
  <c r="BK23" i="38" s="1"/>
  <c r="AB27" i="6"/>
  <c r="BK31" i="38" s="1"/>
  <c r="AB35" i="6"/>
  <c r="BK39" i="38" s="1"/>
  <c r="BK47" i="38"/>
  <c r="AB36" i="6"/>
  <c r="BK40" i="38" s="1"/>
  <c r="BK48" i="38"/>
  <c r="V11" i="6"/>
  <c r="BE15" i="38" s="1"/>
  <c r="V15" i="6"/>
  <c r="BE19" i="38" s="1"/>
  <c r="V7" i="6"/>
  <c r="BE11" i="38" s="1"/>
  <c r="V12" i="6"/>
  <c r="BE16" i="38" s="1"/>
  <c r="V22" i="6"/>
  <c r="BE26" i="38" s="1"/>
  <c r="V19" i="6"/>
  <c r="BE23" i="38" s="1"/>
  <c r="V29" i="6"/>
  <c r="BE33" i="38" s="1"/>
  <c r="V37" i="6"/>
  <c r="BE41" i="38" s="1"/>
  <c r="BE49" i="38"/>
  <c r="V34" i="6"/>
  <c r="BE38" i="38" s="1"/>
  <c r="BE46" i="38"/>
  <c r="V21" i="6"/>
  <c r="BE25" i="38" s="1"/>
  <c r="V27" i="6"/>
  <c r="BE31" i="38" s="1"/>
  <c r="V35" i="6"/>
  <c r="BE39" i="38" s="1"/>
  <c r="BE47" i="38"/>
  <c r="V36" i="6"/>
  <c r="BE40" i="38" s="1"/>
  <c r="BE48" i="38"/>
  <c r="BE13" i="38"/>
  <c r="V14" i="6"/>
  <c r="BE18" i="38" s="1"/>
  <c r="V20" i="6"/>
  <c r="BE24" i="38" s="1"/>
  <c r="V26" i="6"/>
  <c r="BE30" i="38" s="1"/>
  <c r="V6" i="6"/>
  <c r="BE10" i="38" s="1"/>
  <c r="J32" i="37" s="1"/>
  <c r="BE12" i="38"/>
  <c r="V18" i="6"/>
  <c r="BE22" i="38" s="1"/>
  <c r="V24" i="6"/>
  <c r="BE28" i="38" s="1"/>
  <c r="V28" i="6"/>
  <c r="BE32" i="38" s="1"/>
  <c r="V25" i="6"/>
  <c r="BE29" i="38" s="1"/>
  <c r="V33" i="6"/>
  <c r="BE37" i="38" s="1"/>
  <c r="BE45" i="38"/>
  <c r="V30" i="6"/>
  <c r="BE34" i="38" s="1"/>
  <c r="V38" i="6"/>
  <c r="BE42" i="38" s="1"/>
  <c r="V17" i="6"/>
  <c r="BE21" i="38" s="1"/>
  <c r="V23" i="6"/>
  <c r="BE27" i="38" s="1"/>
  <c r="V31" i="6"/>
  <c r="BE35" i="38" s="1"/>
  <c r="V39" i="6"/>
  <c r="BE43" i="38" s="1"/>
  <c r="V32" i="6"/>
  <c r="BE36" i="38" s="1"/>
  <c r="V40" i="6"/>
  <c r="BE44" i="38" s="1"/>
  <c r="V13" i="6"/>
  <c r="BE17" i="38" s="1"/>
  <c r="BE14" i="38"/>
  <c r="V16" i="6"/>
  <c r="BE20" i="38" s="1"/>
  <c r="T7" i="6"/>
  <c r="BC11" i="38" s="1"/>
  <c r="T14" i="6"/>
  <c r="BC18" i="38" s="1"/>
  <c r="T18" i="6"/>
  <c r="BC22" i="38" s="1"/>
  <c r="T19" i="6"/>
  <c r="BC23" i="38" s="1"/>
  <c r="T27" i="6"/>
  <c r="BC31" i="38" s="1"/>
  <c r="T35" i="6"/>
  <c r="BC39" i="38" s="1"/>
  <c r="BC47" i="38"/>
  <c r="T36" i="6"/>
  <c r="BC40" i="38" s="1"/>
  <c r="BC48" i="38"/>
  <c r="BC12" i="38"/>
  <c r="BC13" i="38"/>
  <c r="T15" i="6"/>
  <c r="BC19" i="38" s="1"/>
  <c r="T20" i="6"/>
  <c r="BC24" i="38" s="1"/>
  <c r="T26" i="6"/>
  <c r="BC30" i="38" s="1"/>
  <c r="T17" i="6"/>
  <c r="BC21" i="38" s="1"/>
  <c r="T25" i="6"/>
  <c r="BC29" i="38" s="1"/>
  <c r="T33" i="6"/>
  <c r="BC37" i="38" s="1"/>
  <c r="BC45" i="38"/>
  <c r="T30" i="6"/>
  <c r="BC34" i="38" s="1"/>
  <c r="T38" i="6"/>
  <c r="BC42" i="38" s="1"/>
  <c r="BC14" i="38"/>
  <c r="T11" i="6"/>
  <c r="BC15" i="38" s="1"/>
  <c r="T22" i="6"/>
  <c r="BC26" i="38" s="1"/>
  <c r="T28" i="6"/>
  <c r="BC32" i="38" s="1"/>
  <c r="T23" i="6"/>
  <c r="BC27" i="38" s="1"/>
  <c r="T31" i="6"/>
  <c r="BC35" i="38" s="1"/>
  <c r="T39" i="6"/>
  <c r="BC43" i="38" s="1"/>
  <c r="T32" i="6"/>
  <c r="BC36" i="38" s="1"/>
  <c r="T40" i="6"/>
  <c r="BC44" i="38" s="1"/>
  <c r="T6" i="6"/>
  <c r="BC10" i="38" s="1"/>
  <c r="J31" i="37" s="1"/>
  <c r="T12" i="6"/>
  <c r="BC16" i="38" s="1"/>
  <c r="T13" i="6"/>
  <c r="BC17" i="38" s="1"/>
  <c r="T16" i="6"/>
  <c r="BC20" i="38" s="1"/>
  <c r="T24" i="6"/>
  <c r="BC28" i="38" s="1"/>
  <c r="T21" i="6"/>
  <c r="BC25" i="38" s="1"/>
  <c r="T29" i="6"/>
  <c r="BC33" i="38" s="1"/>
  <c r="T37" i="6"/>
  <c r="BC41" i="38" s="1"/>
  <c r="BC49" i="38"/>
  <c r="T34" i="6"/>
  <c r="BC38" i="38" s="1"/>
  <c r="BC46" i="38"/>
  <c r="R19" i="6"/>
  <c r="BA23" i="38" s="1"/>
  <c r="R37" i="6"/>
  <c r="BA41" i="38" s="1"/>
  <c r="R40" i="6"/>
  <c r="BA44" i="38" s="1"/>
  <c r="R11" i="6"/>
  <c r="BA15" i="38" s="1"/>
  <c r="BA13" i="38"/>
  <c r="R7" i="6"/>
  <c r="BA11" i="38" s="1"/>
  <c r="R17" i="6"/>
  <c r="BA21" i="38" s="1"/>
  <c r="R23" i="6"/>
  <c r="BA27" i="38" s="1"/>
  <c r="R15" i="6"/>
  <c r="BA19" i="38" s="1"/>
  <c r="BA49" i="38"/>
  <c r="BA47" i="38"/>
  <c r="BA45" i="38"/>
  <c r="R39" i="6"/>
  <c r="BA43" i="38" s="1"/>
  <c r="R35" i="6"/>
  <c r="BA39" i="38" s="1"/>
  <c r="R33" i="6"/>
  <c r="BA37" i="38" s="1"/>
  <c r="R31" i="6"/>
  <c r="BA35" i="38" s="1"/>
  <c r="R29" i="6"/>
  <c r="BA33" i="38" s="1"/>
  <c r="R27" i="6"/>
  <c r="BA31" i="38" s="1"/>
  <c r="R25" i="6"/>
  <c r="BA29" i="38" s="1"/>
  <c r="R21" i="6"/>
  <c r="BA25" i="38" s="1"/>
  <c r="R13" i="6"/>
  <c r="BA17" i="38" s="1"/>
  <c r="R36" i="6"/>
  <c r="BA40" i="38" s="1"/>
  <c r="R34" i="6"/>
  <c r="BA38" i="38" s="1"/>
  <c r="T47" i="38"/>
  <c r="EM41" i="8"/>
  <c r="EN41" i="8"/>
  <c r="EL41" i="8"/>
  <c r="R6" i="6"/>
  <c r="DA18" i="22" l="1"/>
  <c r="DB18" i="22" s="1"/>
  <c r="DG32" i="22"/>
  <c r="CM36" i="22"/>
  <c r="CO36" i="22" s="1"/>
  <c r="DF20" i="22"/>
  <c r="CM23" i="22"/>
  <c r="CO23" i="22" s="1"/>
  <c r="DG20" i="22"/>
  <c r="DF14" i="22"/>
  <c r="DF21" i="22"/>
  <c r="CM18" i="22"/>
  <c r="CO18" i="22" s="1"/>
  <c r="AH19" i="38"/>
  <c r="DG17" i="22"/>
  <c r="DA16" i="22"/>
  <c r="DB16" i="22" s="1"/>
  <c r="CM21" i="22"/>
  <c r="CO21" i="22" s="1"/>
  <c r="DA20" i="22"/>
  <c r="DB20" i="22" s="1"/>
  <c r="DA19" i="22"/>
  <c r="DB19" i="22" s="1"/>
  <c r="CM16" i="22"/>
  <c r="CO16" i="22" s="1"/>
  <c r="AF8" i="5"/>
  <c r="CL10" i="22"/>
  <c r="CA10" i="22" s="1"/>
  <c r="DE10" i="22" s="1"/>
  <c r="DK10" i="22" s="1"/>
  <c r="DN10" i="22" s="1"/>
  <c r="AF25" i="5"/>
  <c r="AH27" i="38"/>
  <c r="CL8" i="22"/>
  <c r="CA8" i="22" s="1"/>
  <c r="DA31" i="22"/>
  <c r="DB31" i="22" s="1"/>
  <c r="DA15" i="22"/>
  <c r="DB15" i="22" s="1"/>
  <c r="DA35" i="22"/>
  <c r="DB35" i="22" s="1"/>
  <c r="CM32" i="22"/>
  <c r="CO32" i="22" s="1"/>
  <c r="CL41" i="22"/>
  <c r="CA41" i="22" s="1"/>
  <c r="DA39" i="22"/>
  <c r="DB39" i="22" s="1"/>
  <c r="CM26" i="22"/>
  <c r="CO26" i="22" s="1"/>
  <c r="DF40" i="22"/>
  <c r="CM28" i="22"/>
  <c r="CO28" i="22" s="1"/>
  <c r="CM15" i="22"/>
  <c r="CO15" i="22" s="1"/>
  <c r="CM10" i="22"/>
  <c r="CO10" i="22" s="1"/>
  <c r="CM17" i="22"/>
  <c r="CO17" i="22" s="1"/>
  <c r="DA9" i="22"/>
  <c r="DB9" i="22" s="1"/>
  <c r="CL30" i="22"/>
  <c r="CA30" i="22" s="1"/>
  <c r="DE30" i="22" s="1"/>
  <c r="CL37" i="22"/>
  <c r="CA37" i="22" s="1"/>
  <c r="CL38" i="22"/>
  <c r="CA38" i="22" s="1"/>
  <c r="DE38" i="22" s="1"/>
  <c r="CM33" i="22"/>
  <c r="CO33" i="22" s="1"/>
  <c r="CM24" i="22"/>
  <c r="CO24" i="22" s="1"/>
  <c r="CM22" i="22"/>
  <c r="CO22" i="22" s="1"/>
  <c r="CM34" i="22"/>
  <c r="CO34" i="22" s="1"/>
  <c r="CM20" i="22"/>
  <c r="CO20" i="22" s="1"/>
  <c r="CL27" i="22"/>
  <c r="CA27" i="22" s="1"/>
  <c r="AG31" i="38"/>
  <c r="AG26" i="5"/>
  <c r="AH26" i="5" s="1"/>
  <c r="AG26" i="38"/>
  <c r="AG21" i="5"/>
  <c r="AH21" i="5" s="1"/>
  <c r="AG35" i="38"/>
  <c r="AG30" i="5"/>
  <c r="AG44" i="38"/>
  <c r="AG39" i="5"/>
  <c r="AG12" i="38"/>
  <c r="AG7" i="5"/>
  <c r="AG40" i="38"/>
  <c r="AG35" i="5"/>
  <c r="AG32" i="38"/>
  <c r="AG27" i="5"/>
  <c r="AG43" i="38"/>
  <c r="AG38" i="5"/>
  <c r="AH38" i="5" s="1"/>
  <c r="AG42" i="38"/>
  <c r="AG37" i="5"/>
  <c r="AH37" i="5" s="1"/>
  <c r="AG38" i="38"/>
  <c r="AG33" i="5"/>
  <c r="AH33" i="5" s="1"/>
  <c r="AG18" i="38"/>
  <c r="AG13" i="5"/>
  <c r="AG29" i="38"/>
  <c r="AG24" i="5"/>
  <c r="AH24" i="5" s="1"/>
  <c r="AG21" i="38"/>
  <c r="AG16" i="5"/>
  <c r="AG13" i="38"/>
  <c r="AG8" i="5"/>
  <c r="AG27" i="38"/>
  <c r="AG22" i="5"/>
  <c r="AG19" i="38"/>
  <c r="AG14" i="5"/>
  <c r="AG24" i="38"/>
  <c r="AG19" i="5"/>
  <c r="AG14" i="38"/>
  <c r="AG9" i="5"/>
  <c r="AG25" i="38"/>
  <c r="AG20" i="5"/>
  <c r="AG17" i="38"/>
  <c r="AG12" i="5"/>
  <c r="AG37" i="38"/>
  <c r="AG32" i="5"/>
  <c r="AG16" i="38"/>
  <c r="AG11" i="5"/>
  <c r="AG30" i="38"/>
  <c r="AG25" i="5"/>
  <c r="AG22" i="38"/>
  <c r="AG17" i="5"/>
  <c r="AG39" i="38"/>
  <c r="AG34" i="5"/>
  <c r="AH34" i="5" s="1"/>
  <c r="AG15" i="38"/>
  <c r="AG10" i="5"/>
  <c r="AG33" i="38"/>
  <c r="AG28" i="5"/>
  <c r="DA29" i="22"/>
  <c r="DB29" i="22" s="1"/>
  <c r="DA11" i="22"/>
  <c r="DB11" i="22" s="1"/>
  <c r="DA24" i="22"/>
  <c r="DB24" i="22" s="1"/>
  <c r="DF29" i="22"/>
  <c r="CL29" i="22"/>
  <c r="CA29" i="22" s="1"/>
  <c r="DE29" i="22" s="1"/>
  <c r="DA10" i="22"/>
  <c r="DB10" i="22" s="1"/>
  <c r="CL18" i="22"/>
  <c r="CA18" i="22" s="1"/>
  <c r="DE18" i="22" s="1"/>
  <c r="DK18" i="22" s="1"/>
  <c r="DN18" i="22" s="1"/>
  <c r="CM40" i="22"/>
  <c r="CO40" i="22" s="1"/>
  <c r="CL22" i="22"/>
  <c r="CA22" i="22" s="1"/>
  <c r="DD22" i="22" s="1"/>
  <c r="AX22" i="22" s="1"/>
  <c r="CM14" i="22"/>
  <c r="CO14" i="22" s="1"/>
  <c r="DA23" i="22"/>
  <c r="DB23" i="22" s="1"/>
  <c r="CM37" i="22"/>
  <c r="CO37" i="22" s="1"/>
  <c r="CL33" i="22"/>
  <c r="CA33" i="22" s="1"/>
  <c r="DA14" i="22"/>
  <c r="DB14" i="22" s="1"/>
  <c r="CL12" i="22"/>
  <c r="CA12" i="22" s="1"/>
  <c r="DE12" i="22" s="1"/>
  <c r="DF12" i="22"/>
  <c r="CM35" i="22"/>
  <c r="CO35" i="22" s="1"/>
  <c r="CL14" i="22"/>
  <c r="CA14" i="22" s="1"/>
  <c r="DO14" i="22" s="1"/>
  <c r="CM27" i="22"/>
  <c r="CO27" i="22" s="1"/>
  <c r="DD37" i="22"/>
  <c r="DE37" i="22"/>
  <c r="DE41" i="22"/>
  <c r="CL26" i="22"/>
  <c r="CA26" i="22" s="1"/>
  <c r="DA30" i="22"/>
  <c r="DB30" i="22" s="1"/>
  <c r="DD30" i="22" s="1"/>
  <c r="AX30" i="22" s="1"/>
  <c r="AH39" i="38"/>
  <c r="AH38" i="38"/>
  <c r="AH24" i="38"/>
  <c r="AH14" i="38"/>
  <c r="AH23" i="38"/>
  <c r="AH29" i="38"/>
  <c r="AH28" i="38"/>
  <c r="CL9" i="22"/>
  <c r="CA9" i="22" s="1"/>
  <c r="DE9" i="22" s="1"/>
  <c r="CL16" i="22"/>
  <c r="CA16" i="22" s="1"/>
  <c r="DO16" i="22" s="1"/>
  <c r="DA21" i="22"/>
  <c r="DB21" i="22" s="1"/>
  <c r="CL36" i="22"/>
  <c r="CA36" i="22" s="1"/>
  <c r="CL15" i="22"/>
  <c r="CA15" i="22" s="1"/>
  <c r="DO15" i="22" s="1"/>
  <c r="DA13" i="22"/>
  <c r="DB13" i="22" s="1"/>
  <c r="CM11" i="22"/>
  <c r="CO11" i="22" s="1"/>
  <c r="CM41" i="22"/>
  <c r="CO41" i="22" s="1"/>
  <c r="DA26" i="22"/>
  <c r="DB26" i="22" s="1"/>
  <c r="DA32" i="22"/>
  <c r="DB32" i="22" s="1"/>
  <c r="DA25" i="22"/>
  <c r="DB25" i="22" s="1"/>
  <c r="CL13" i="22"/>
  <c r="CA13" i="22" s="1"/>
  <c r="CM12" i="22"/>
  <c r="CO12" i="22" s="1"/>
  <c r="CL42" i="22"/>
  <c r="CA42" i="22" s="1"/>
  <c r="DE42" i="22" s="1"/>
  <c r="DA42" i="22"/>
  <c r="DB42" i="22" s="1"/>
  <c r="CL31" i="22"/>
  <c r="CA31" i="22" s="1"/>
  <c r="CM25" i="22"/>
  <c r="CO25" i="22" s="1"/>
  <c r="DG29" i="22"/>
  <c r="DK29" i="22" s="1"/>
  <c r="DN29" i="22" s="1"/>
  <c r="CM9" i="22"/>
  <c r="CO9" i="22" s="1"/>
  <c r="DA34" i="22"/>
  <c r="DB34" i="22" s="1"/>
  <c r="DA41" i="22"/>
  <c r="DB41" i="22" s="1"/>
  <c r="CL35" i="22"/>
  <c r="CA35" i="22" s="1"/>
  <c r="DE35" i="22" s="1"/>
  <c r="DK35" i="22" s="1"/>
  <c r="DN35" i="22" s="1"/>
  <c r="CL39" i="22"/>
  <c r="CA39" i="22" s="1"/>
  <c r="CM39" i="22"/>
  <c r="CO39" i="22" s="1"/>
  <c r="CL28" i="22"/>
  <c r="CA28" i="22" s="1"/>
  <c r="CL17" i="22"/>
  <c r="CA17" i="22" s="1"/>
  <c r="CL24" i="22"/>
  <c r="CA24" i="22" s="1"/>
  <c r="DA33" i="22"/>
  <c r="DB33" i="22" s="1"/>
  <c r="DD33" i="22" s="1"/>
  <c r="AX33" i="22" s="1"/>
  <c r="CL40" i="22"/>
  <c r="CA40" i="22" s="1"/>
  <c r="CM38" i="22"/>
  <c r="CO38" i="22" s="1"/>
  <c r="DD38" i="22" s="1"/>
  <c r="AX38" i="22" s="1"/>
  <c r="CL21" i="22"/>
  <c r="CA21" i="22" s="1"/>
  <c r="CL34" i="22"/>
  <c r="CA34" i="22" s="1"/>
  <c r="CL20" i="22"/>
  <c r="CA20" i="22" s="1"/>
  <c r="CL19" i="22"/>
  <c r="CA19" i="22" s="1"/>
  <c r="DE19" i="22" s="1"/>
  <c r="CM31" i="22"/>
  <c r="CO31" i="22" s="1"/>
  <c r="DG14" i="22"/>
  <c r="CL25" i="22"/>
  <c r="CA25" i="22" s="1"/>
  <c r="AF15" i="5"/>
  <c r="AH20" i="38"/>
  <c r="CL23" i="22"/>
  <c r="CA23" i="22" s="1"/>
  <c r="DE23" i="22" s="1"/>
  <c r="AH17" i="38"/>
  <c r="DE27" i="22"/>
  <c r="DA12" i="22"/>
  <c r="DB12" i="22" s="1"/>
  <c r="DA36" i="22"/>
  <c r="DB36" i="22" s="1"/>
  <c r="CM29" i="22"/>
  <c r="CO29" i="22" s="1"/>
  <c r="DD29" i="22" s="1"/>
  <c r="CL11" i="22"/>
  <c r="CA11" i="22" s="1"/>
  <c r="DA28" i="22"/>
  <c r="DB28" i="22" s="1"/>
  <c r="CL32" i="22"/>
  <c r="CA32" i="22" s="1"/>
  <c r="CM13" i="22"/>
  <c r="CO13" i="22" s="1"/>
  <c r="DA17" i="22"/>
  <c r="DB17" i="22" s="1"/>
  <c r="CM19" i="22"/>
  <c r="CO19" i="22" s="1"/>
  <c r="CM42" i="22"/>
  <c r="CO42" i="22" s="1"/>
  <c r="DA27" i="22"/>
  <c r="DB27" i="22" s="1"/>
  <c r="DD27" i="22" s="1"/>
  <c r="AG32" i="6"/>
  <c r="AG22" i="6"/>
  <c r="AG30" i="6"/>
  <c r="AG18" i="6"/>
  <c r="AG34" i="6"/>
  <c r="AI34" i="6" s="1"/>
  <c r="AG33" i="6"/>
  <c r="AI33" i="6" s="1"/>
  <c r="AG38" i="6"/>
  <c r="AI38" i="6" s="1"/>
  <c r="AG20" i="6"/>
  <c r="AG26" i="6"/>
  <c r="AG14" i="6"/>
  <c r="AG12" i="6"/>
  <c r="AG28" i="6"/>
  <c r="AG16" i="6"/>
  <c r="AG24" i="6"/>
  <c r="AG40" i="6"/>
  <c r="AI40" i="6" s="1"/>
  <c r="AG29" i="6"/>
  <c r="AI29" i="6" s="1"/>
  <c r="AG9" i="6"/>
  <c r="AG15" i="6"/>
  <c r="AG23" i="6"/>
  <c r="AG17" i="6"/>
  <c r="AG35" i="6"/>
  <c r="AI35" i="6" s="1"/>
  <c r="AG7" i="6"/>
  <c r="AG36" i="6"/>
  <c r="AI36" i="6" s="1"/>
  <c r="AG25" i="6"/>
  <c r="AI25" i="6" s="1"/>
  <c r="AG31" i="6"/>
  <c r="AG13" i="6"/>
  <c r="AG19" i="6"/>
  <c r="AG21" i="6"/>
  <c r="AI21" i="6" s="1"/>
  <c r="AG11" i="6"/>
  <c r="AG37" i="6"/>
  <c r="AI37" i="6" s="1"/>
  <c r="AG27" i="6"/>
  <c r="AG39" i="6"/>
  <c r="AI39" i="6" s="1"/>
  <c r="BA10" i="38"/>
  <c r="J30" i="37" s="1"/>
  <c r="AG6" i="6"/>
  <c r="AF31" i="5"/>
  <c r="AH32" i="38"/>
  <c r="AH18" i="38"/>
  <c r="AH44" i="38"/>
  <c r="AH16" i="38"/>
  <c r="AH25" i="38"/>
  <c r="AF21" i="5"/>
  <c r="AH21" i="38"/>
  <c r="AH22" i="38"/>
  <c r="AG11" i="38"/>
  <c r="AF28" i="5"/>
  <c r="AG5" i="5"/>
  <c r="AF6" i="5"/>
  <c r="AH11" i="38"/>
  <c r="DF22" i="22"/>
  <c r="DF33" i="22"/>
  <c r="DK33" i="22" s="1"/>
  <c r="DN33" i="22" s="1"/>
  <c r="DE33" i="22"/>
  <c r="AH42" i="38"/>
  <c r="AH12" i="38"/>
  <c r="AH41" i="38"/>
  <c r="AH35" i="38"/>
  <c r="AH40" i="38"/>
  <c r="AH34" i="38"/>
  <c r="DF37" i="22"/>
  <c r="AH15" i="38"/>
  <c r="DG16" i="22"/>
  <c r="DF16" i="22"/>
  <c r="DA8" i="22"/>
  <c r="DB8" i="22" s="1"/>
  <c r="CM8" i="22"/>
  <c r="CO8" i="22" s="1"/>
  <c r="DF19" i="22"/>
  <c r="AX29" i="22"/>
  <c r="DF23" i="22"/>
  <c r="DK23" i="22" s="1"/>
  <c r="DN23" i="22" s="1"/>
  <c r="DO24" i="22"/>
  <c r="DO27" i="22"/>
  <c r="AG20" i="38"/>
  <c r="AH36" i="5"/>
  <c r="AG41" i="38"/>
  <c r="AG23" i="38"/>
  <c r="AH23" i="5"/>
  <c r="AG28" i="38"/>
  <c r="AG46" i="38"/>
  <c r="AH29" i="5"/>
  <c r="AG34" i="38"/>
  <c r="AH39" i="5"/>
  <c r="AC44" i="38"/>
  <c r="AH35" i="5"/>
  <c r="W40" i="38"/>
  <c r="W49" i="38"/>
  <c r="W38" i="38"/>
  <c r="W21" i="38"/>
  <c r="AH22" i="5"/>
  <c r="W27" i="38"/>
  <c r="W13" i="38"/>
  <c r="W18" i="38"/>
  <c r="AH30" i="5"/>
  <c r="W35" i="38"/>
  <c r="AH28" i="5"/>
  <c r="U33" i="38"/>
  <c r="AH27" i="5"/>
  <c r="U32" i="38"/>
  <c r="U24" i="38"/>
  <c r="U42" i="38"/>
  <c r="U29" i="38"/>
  <c r="U26" i="38"/>
  <c r="U22" i="38"/>
  <c r="AH32" i="5"/>
  <c r="ER25" i="8"/>
  <c r="EU25" i="8" s="1"/>
  <c r="N27" i="10" s="1"/>
  <c r="ER12" i="8"/>
  <c r="EU12" i="8" s="1"/>
  <c r="N14" i="10" s="1"/>
  <c r="ER14" i="8"/>
  <c r="EU14" i="8" s="1"/>
  <c r="N16" i="10" s="1"/>
  <c r="GE19" i="19"/>
  <c r="GH19" i="19" s="1"/>
  <c r="O21" i="10" s="1"/>
  <c r="ER30" i="8"/>
  <c r="EU30" i="8" s="1"/>
  <c r="N32" i="10" s="1"/>
  <c r="ER40" i="8"/>
  <c r="EU40" i="8" s="1"/>
  <c r="N42" i="10" s="1"/>
  <c r="ER19" i="8"/>
  <c r="EU19" i="8" s="1"/>
  <c r="N21" i="10" s="1"/>
  <c r="ER9" i="8"/>
  <c r="EU9" i="8" s="1"/>
  <c r="N11" i="10" s="1"/>
  <c r="GE31" i="21"/>
  <c r="GH31" i="21" s="1"/>
  <c r="S33" i="10" s="1"/>
  <c r="DK41" i="22"/>
  <c r="DN41" i="22" s="1"/>
  <c r="ER33" i="8"/>
  <c r="EU33" i="8" s="1"/>
  <c r="N35" i="10" s="1"/>
  <c r="ER11" i="8"/>
  <c r="EU11" i="8" s="1"/>
  <c r="N13" i="10" s="1"/>
  <c r="ER31" i="8"/>
  <c r="EU31" i="8" s="1"/>
  <c r="N33" i="10" s="1"/>
  <c r="ER15" i="8"/>
  <c r="EU15" i="8" s="1"/>
  <c r="N17" i="10" s="1"/>
  <c r="ER13" i="8"/>
  <c r="EU13" i="8" s="1"/>
  <c r="N15" i="10" s="1"/>
  <c r="ER32" i="8"/>
  <c r="EU32" i="8" s="1"/>
  <c r="N34" i="10" s="1"/>
  <c r="ER18" i="8"/>
  <c r="EU18" i="8" s="1"/>
  <c r="N20" i="10" s="1"/>
  <c r="AH25" i="5"/>
  <c r="ER20" i="8"/>
  <c r="EU20" i="8" s="1"/>
  <c r="N22" i="10" s="1"/>
  <c r="GE11" i="21"/>
  <c r="GH11" i="21" s="1"/>
  <c r="S13" i="10" s="1"/>
  <c r="ER17" i="8"/>
  <c r="EU17" i="8" s="1"/>
  <c r="N19" i="10" s="1"/>
  <c r="ER21" i="8"/>
  <c r="EU21" i="8" s="1"/>
  <c r="N23" i="10" s="1"/>
  <c r="GE13" i="19"/>
  <c r="GH13" i="19" s="1"/>
  <c r="O15" i="10" s="1"/>
  <c r="ER28" i="8"/>
  <c r="EU28" i="8" s="1"/>
  <c r="N30" i="10" s="1"/>
  <c r="ER24" i="8"/>
  <c r="EU24" i="8" s="1"/>
  <c r="N26" i="10" s="1"/>
  <c r="GE36" i="19"/>
  <c r="GH36" i="19" s="1"/>
  <c r="O38" i="10" s="1"/>
  <c r="ER42" i="8"/>
  <c r="EU42" i="8" s="1"/>
  <c r="N44" i="10" s="1"/>
  <c r="GE24" i="19"/>
  <c r="GH24" i="19" s="1"/>
  <c r="O26" i="10" s="1"/>
  <c r="GE27" i="21"/>
  <c r="GH27" i="21" s="1"/>
  <c r="S29" i="10" s="1"/>
  <c r="AH31" i="5"/>
  <c r="P17" i="10"/>
  <c r="P40" i="10"/>
  <c r="P37" i="10"/>
  <c r="P18" i="10"/>
  <c r="P20" i="10"/>
  <c r="ER27" i="8"/>
  <c r="EU27" i="8" s="1"/>
  <c r="N29" i="10" s="1"/>
  <c r="GE14" i="19"/>
  <c r="GH14" i="19" s="1"/>
  <c r="O16" i="10" s="1"/>
  <c r="ER22" i="8"/>
  <c r="EU22" i="8" s="1"/>
  <c r="N24" i="10" s="1"/>
  <c r="ER23" i="8"/>
  <c r="EU23" i="8" s="1"/>
  <c r="N25" i="10" s="1"/>
  <c r="P36" i="10"/>
  <c r="ER16" i="8"/>
  <c r="EU16" i="8" s="1"/>
  <c r="N18" i="10" s="1"/>
  <c r="GE34" i="21"/>
  <c r="GH34" i="21" s="1"/>
  <c r="S36" i="10" s="1"/>
  <c r="GE16" i="21"/>
  <c r="GH16" i="21" s="1"/>
  <c r="S18" i="10" s="1"/>
  <c r="P42" i="10"/>
  <c r="P39" i="10"/>
  <c r="GE42" i="21"/>
  <c r="GH42" i="21" s="1"/>
  <c r="S44" i="10" s="1"/>
  <c r="P35" i="10"/>
  <c r="ER10" i="8"/>
  <c r="EU10" i="8" s="1"/>
  <c r="N12" i="10" s="1"/>
  <c r="GE21" i="21"/>
  <c r="GH21" i="21" s="1"/>
  <c r="S23" i="10" s="1"/>
  <c r="GE8" i="21"/>
  <c r="GE26" i="21"/>
  <c r="GH26" i="21" s="1"/>
  <c r="S28" i="10" s="1"/>
  <c r="P24" i="10"/>
  <c r="GE41" i="19"/>
  <c r="GH41" i="19" s="1"/>
  <c r="O43" i="10" s="1"/>
  <c r="GE34" i="19"/>
  <c r="GH34" i="19" s="1"/>
  <c r="O36" i="10" s="1"/>
  <c r="GE23" i="21"/>
  <c r="GH23" i="21" s="1"/>
  <c r="S25" i="10" s="1"/>
  <c r="GE39" i="21"/>
  <c r="GH39" i="21" s="1"/>
  <c r="S41" i="10" s="1"/>
  <c r="GE19" i="21"/>
  <c r="GH19" i="21" s="1"/>
  <c r="S21" i="10" s="1"/>
  <c r="P26" i="10"/>
  <c r="GE27" i="19"/>
  <c r="GH27" i="19" s="1"/>
  <c r="O29" i="10" s="1"/>
  <c r="GE17" i="19"/>
  <c r="GH17" i="19" s="1"/>
  <c r="O19" i="10" s="1"/>
  <c r="ER35" i="8"/>
  <c r="EU35" i="8" s="1"/>
  <c r="N37" i="10" s="1"/>
  <c r="GE37" i="21"/>
  <c r="GH37" i="21" s="1"/>
  <c r="S39" i="10" s="1"/>
  <c r="P19" i="10"/>
  <c r="P27" i="10"/>
  <c r="GE38" i="19"/>
  <c r="GH38" i="19" s="1"/>
  <c r="O40" i="10" s="1"/>
  <c r="GE39" i="19"/>
  <c r="GH39" i="19" s="1"/>
  <c r="O41" i="10" s="1"/>
  <c r="P21" i="10"/>
  <c r="DK42" i="22"/>
  <c r="DN42" i="22" s="1"/>
  <c r="GE29" i="21"/>
  <c r="GH29" i="21" s="1"/>
  <c r="S31" i="10" s="1"/>
  <c r="GE13" i="21"/>
  <c r="GH13" i="21" s="1"/>
  <c r="S15" i="10" s="1"/>
  <c r="DK38" i="22"/>
  <c r="DN38" i="22" s="1"/>
  <c r="GE23" i="19"/>
  <c r="GH23" i="19" s="1"/>
  <c r="O25" i="10" s="1"/>
  <c r="P22" i="10"/>
  <c r="GE26" i="19"/>
  <c r="GH26" i="19" s="1"/>
  <c r="O28" i="10" s="1"/>
  <c r="ER26" i="8"/>
  <c r="EU26" i="8" s="1"/>
  <c r="N28" i="10" s="1"/>
  <c r="GE12" i="19"/>
  <c r="GH12" i="19" s="1"/>
  <c r="O14" i="10" s="1"/>
  <c r="GE14" i="21"/>
  <c r="GH14" i="21" s="1"/>
  <c r="S16" i="10" s="1"/>
  <c r="GE42" i="19"/>
  <c r="GH42" i="19" s="1"/>
  <c r="O44" i="10" s="1"/>
  <c r="GE31" i="19"/>
  <c r="GH31" i="19" s="1"/>
  <c r="O33" i="10" s="1"/>
  <c r="GE32" i="21"/>
  <c r="GH32" i="21" s="1"/>
  <c r="S34" i="10" s="1"/>
  <c r="DK27" i="22"/>
  <c r="DN27" i="22" s="1"/>
  <c r="GE16" i="19"/>
  <c r="GH16" i="19" s="1"/>
  <c r="O18" i="10" s="1"/>
  <c r="GE41" i="21"/>
  <c r="GH41" i="21" s="1"/>
  <c r="S43" i="10" s="1"/>
  <c r="P12" i="10"/>
  <c r="GE17" i="21"/>
  <c r="GH17" i="21" s="1"/>
  <c r="S19" i="10" s="1"/>
  <c r="P31" i="10"/>
  <c r="GE10" i="21"/>
  <c r="GH10" i="21" s="1"/>
  <c r="S12" i="10" s="1"/>
  <c r="ER38" i="8"/>
  <c r="EU38" i="8" s="1"/>
  <c r="N40" i="10" s="1"/>
  <c r="GE36" i="21"/>
  <c r="GH36" i="21" s="1"/>
  <c r="S38" i="10" s="1"/>
  <c r="GE29" i="19"/>
  <c r="GH29" i="19" s="1"/>
  <c r="O31" i="10" s="1"/>
  <c r="P34" i="10"/>
  <c r="GE20" i="19"/>
  <c r="GH20" i="19" s="1"/>
  <c r="O22" i="10" s="1"/>
  <c r="GE30" i="19"/>
  <c r="GH30" i="19" s="1"/>
  <c r="O32" i="10" s="1"/>
  <c r="GE9" i="21"/>
  <c r="GH9" i="21" s="1"/>
  <c r="S11" i="10" s="1"/>
  <c r="GE28" i="19"/>
  <c r="GH28" i="19" s="1"/>
  <c r="O30" i="10" s="1"/>
  <c r="ER39" i="8"/>
  <c r="EU39" i="8" s="1"/>
  <c r="N41" i="10" s="1"/>
  <c r="GE22" i="19"/>
  <c r="GH22" i="19" s="1"/>
  <c r="O24" i="10" s="1"/>
  <c r="GE11" i="19"/>
  <c r="GH11" i="19" s="1"/>
  <c r="O13" i="10" s="1"/>
  <c r="GE9" i="19"/>
  <c r="P28" i="10"/>
  <c r="GE15" i="21"/>
  <c r="GH15" i="21" s="1"/>
  <c r="S17" i="10" s="1"/>
  <c r="P14" i="10"/>
  <c r="GE8" i="19"/>
  <c r="GE18" i="21"/>
  <c r="GH18" i="21" s="1"/>
  <c r="S20" i="10" s="1"/>
  <c r="GE38" i="21"/>
  <c r="GH38" i="21" s="1"/>
  <c r="S40" i="10" s="1"/>
  <c r="GE20" i="21"/>
  <c r="GH20" i="21" s="1"/>
  <c r="S22" i="10" s="1"/>
  <c r="ER29" i="8"/>
  <c r="EU29" i="8" s="1"/>
  <c r="N31" i="10" s="1"/>
  <c r="GE25" i="21"/>
  <c r="GH25" i="21" s="1"/>
  <c r="S27" i="10" s="1"/>
  <c r="P38" i="10"/>
  <c r="P25" i="10"/>
  <c r="GE22" i="21"/>
  <c r="GH22" i="21" s="1"/>
  <c r="S24" i="10" s="1"/>
  <c r="GE32" i="19"/>
  <c r="GH32" i="19" s="1"/>
  <c r="O34" i="10" s="1"/>
  <c r="ER37" i="8"/>
  <c r="EU37" i="8" s="1"/>
  <c r="N39" i="10" s="1"/>
  <c r="P43" i="10"/>
  <c r="ER36" i="8"/>
  <c r="EU36" i="8" s="1"/>
  <c r="N38" i="10" s="1"/>
  <c r="GE10" i="19"/>
  <c r="GH10" i="19" s="1"/>
  <c r="O12" i="10" s="1"/>
  <c r="GE33" i="19"/>
  <c r="GH33" i="19" s="1"/>
  <c r="O35" i="10" s="1"/>
  <c r="GE35" i="19"/>
  <c r="GH35" i="19" s="1"/>
  <c r="O37" i="10" s="1"/>
  <c r="DK30" i="22"/>
  <c r="DN30" i="22" s="1"/>
  <c r="GE30" i="21"/>
  <c r="GH30" i="21" s="1"/>
  <c r="S32" i="10" s="1"/>
  <c r="P11" i="10"/>
  <c r="DK9" i="22"/>
  <c r="DN9" i="22" s="1"/>
  <c r="GE37" i="19"/>
  <c r="GH37" i="19" s="1"/>
  <c r="O39" i="10" s="1"/>
  <c r="P16" i="10"/>
  <c r="GE35" i="21"/>
  <c r="GH35" i="21" s="1"/>
  <c r="S37" i="10" s="1"/>
  <c r="GE24" i="21"/>
  <c r="GH24" i="21" s="1"/>
  <c r="S26" i="10" s="1"/>
  <c r="GE40" i="21"/>
  <c r="GH40" i="21" s="1"/>
  <c r="S42" i="10" s="1"/>
  <c r="P32" i="10"/>
  <c r="GE12" i="21"/>
  <c r="GH12" i="21" s="1"/>
  <c r="S14" i="10" s="1"/>
  <c r="GE40" i="19"/>
  <c r="GH40" i="19" s="1"/>
  <c r="O42" i="10" s="1"/>
  <c r="P15" i="10"/>
  <c r="P33" i="10"/>
  <c r="GE18" i="19"/>
  <c r="GH18" i="19" s="1"/>
  <c r="O20" i="10" s="1"/>
  <c r="GE25" i="19"/>
  <c r="GH25" i="19" s="1"/>
  <c r="O27" i="10" s="1"/>
  <c r="P29" i="10"/>
  <c r="P30" i="10"/>
  <c r="P41" i="10"/>
  <c r="GE28" i="21"/>
  <c r="GH28" i="21" s="1"/>
  <c r="S30" i="10" s="1"/>
  <c r="P23" i="10"/>
  <c r="GE21" i="19"/>
  <c r="GH21" i="19" s="1"/>
  <c r="O23" i="10" s="1"/>
  <c r="P44" i="10"/>
  <c r="DK37" i="22"/>
  <c r="DN37" i="22" s="1"/>
  <c r="GE15" i="19"/>
  <c r="GH15" i="19" s="1"/>
  <c r="O17" i="10" s="1"/>
  <c r="GE33" i="21"/>
  <c r="GH33" i="21" s="1"/>
  <c r="S35" i="10" s="1"/>
  <c r="P13" i="10"/>
  <c r="ER34" i="8"/>
  <c r="EU34" i="8" s="1"/>
  <c r="N36" i="10" s="1"/>
  <c r="ER41" i="8"/>
  <c r="EU41" i="8" s="1"/>
  <c r="N43" i="10" s="1"/>
  <c r="DO12" i="22" l="1"/>
  <c r="DK12" i="22"/>
  <c r="DN12" i="22" s="1"/>
  <c r="AH20" i="5"/>
  <c r="DO23" i="22"/>
  <c r="DO22" i="22"/>
  <c r="DE14" i="22"/>
  <c r="DK14" i="22" s="1"/>
  <c r="DN14" i="22" s="1"/>
  <c r="DD10" i="22"/>
  <c r="DD9" i="22"/>
  <c r="DO19" i="22"/>
  <c r="DD14" i="22"/>
  <c r="AX14" i="22" s="1"/>
  <c r="U16" i="10" s="1"/>
  <c r="AH10" i="5"/>
  <c r="AH12" i="5"/>
  <c r="AH13" i="5"/>
  <c r="AH15" i="5"/>
  <c r="AH9" i="5"/>
  <c r="AH17" i="5"/>
  <c r="AH19" i="5"/>
  <c r="AH16" i="5"/>
  <c r="AH18" i="5"/>
  <c r="AH14" i="5"/>
  <c r="AH11" i="5"/>
  <c r="AH8" i="5"/>
  <c r="AH7" i="5"/>
  <c r="DE22" i="22"/>
  <c r="DK22" i="22" s="1"/>
  <c r="DN22" i="22" s="1"/>
  <c r="DD18" i="22"/>
  <c r="AX18" i="22" s="1"/>
  <c r="U20" i="10" s="1"/>
  <c r="DO18" i="22"/>
  <c r="DD12" i="22"/>
  <c r="AX12" i="22" s="1"/>
  <c r="U14" i="10" s="1"/>
  <c r="DD41" i="22"/>
  <c r="DK19" i="22"/>
  <c r="DN19" i="22" s="1"/>
  <c r="DD17" i="22"/>
  <c r="AX17" i="22" s="1"/>
  <c r="U19" i="10" s="1"/>
  <c r="DO17" i="22"/>
  <c r="DE17" i="22"/>
  <c r="DK17" i="22" s="1"/>
  <c r="DN17" i="22" s="1"/>
  <c r="DD21" i="22"/>
  <c r="AX21" i="22" s="1"/>
  <c r="U23" i="10" s="1"/>
  <c r="DE21" i="22"/>
  <c r="DK21" i="22" s="1"/>
  <c r="DN21" i="22" s="1"/>
  <c r="DO21" i="22"/>
  <c r="DD24" i="22"/>
  <c r="AX24" i="22" s="1"/>
  <c r="U26" i="10" s="1"/>
  <c r="DE24" i="22"/>
  <c r="DK24" i="22" s="1"/>
  <c r="DN24" i="22" s="1"/>
  <c r="DD39" i="22"/>
  <c r="AX39" i="22" s="1"/>
  <c r="U41" i="10" s="1"/>
  <c r="DE39" i="22"/>
  <c r="DK39" i="22" s="1"/>
  <c r="DN39" i="22" s="1"/>
  <c r="DO26" i="22"/>
  <c r="DE26" i="22"/>
  <c r="DK26" i="22" s="1"/>
  <c r="DN26" i="22" s="1"/>
  <c r="DD35" i="22"/>
  <c r="AX35" i="22" s="1"/>
  <c r="U37" i="10" s="1"/>
  <c r="DD23" i="22"/>
  <c r="AX23" i="22" s="1"/>
  <c r="U25" i="10" s="1"/>
  <c r="DD32" i="22"/>
  <c r="DE32" i="22"/>
  <c r="DK32" i="22" s="1"/>
  <c r="DN32" i="22" s="1"/>
  <c r="DD34" i="22"/>
  <c r="AX34" i="22" s="1"/>
  <c r="U36" i="10" s="1"/>
  <c r="DE34" i="22"/>
  <c r="DK34" i="22" s="1"/>
  <c r="DN34" i="22" s="1"/>
  <c r="DD31" i="22"/>
  <c r="AX31" i="22" s="1"/>
  <c r="DE31" i="22"/>
  <c r="DK31" i="22" s="1"/>
  <c r="DN31" i="22" s="1"/>
  <c r="DD13" i="22"/>
  <c r="AX13" i="22" s="1"/>
  <c r="U15" i="10" s="1"/>
  <c r="DO13" i="22"/>
  <c r="DE13" i="22"/>
  <c r="DK13" i="22" s="1"/>
  <c r="DN13" i="22" s="1"/>
  <c r="DD36" i="22"/>
  <c r="DE36" i="22"/>
  <c r="DK36" i="22" s="1"/>
  <c r="DN36" i="22" s="1"/>
  <c r="DD42" i="22"/>
  <c r="AH6" i="5"/>
  <c r="DD11" i="22"/>
  <c r="AX11" i="22" s="1"/>
  <c r="U13" i="10" s="1"/>
  <c r="DE11" i="22"/>
  <c r="DK11" i="22" s="1"/>
  <c r="DN11" i="22" s="1"/>
  <c r="DD16" i="22"/>
  <c r="DE16" i="22"/>
  <c r="DK16" i="22" s="1"/>
  <c r="DN16" i="22" s="1"/>
  <c r="DD25" i="22"/>
  <c r="AX25" i="22" s="1"/>
  <c r="DE25" i="22"/>
  <c r="DK25" i="22" s="1"/>
  <c r="DN25" i="22" s="1"/>
  <c r="DO25" i="22"/>
  <c r="DD20" i="22"/>
  <c r="AX20" i="22" s="1"/>
  <c r="U22" i="10" s="1"/>
  <c r="DO20" i="22"/>
  <c r="DE20" i="22"/>
  <c r="DK20" i="22" s="1"/>
  <c r="DN20" i="22" s="1"/>
  <c r="DD40" i="22"/>
  <c r="AX40" i="22" s="1"/>
  <c r="U42" i="10" s="1"/>
  <c r="DE40" i="22"/>
  <c r="DK40" i="22" s="1"/>
  <c r="DN40" i="22" s="1"/>
  <c r="DD28" i="22"/>
  <c r="DE28" i="22"/>
  <c r="DK28" i="22" s="1"/>
  <c r="DN28" i="22" s="1"/>
  <c r="DD15" i="22"/>
  <c r="AX15" i="22" s="1"/>
  <c r="U17" i="10" s="1"/>
  <c r="DE15" i="22"/>
  <c r="DK15" i="22" s="1"/>
  <c r="DN15" i="22" s="1"/>
  <c r="DD19" i="22"/>
  <c r="AX19" i="22" s="1"/>
  <c r="U21" i="10" s="1"/>
  <c r="DD26" i="22"/>
  <c r="AX26" i="22" s="1"/>
  <c r="U28" i="10" s="1"/>
  <c r="DD8" i="22"/>
  <c r="AH5" i="5"/>
  <c r="AI17" i="6"/>
  <c r="AI28" i="6"/>
  <c r="AI10" i="6"/>
  <c r="AI11" i="6"/>
  <c r="AI31" i="6"/>
  <c r="AI9" i="6"/>
  <c r="AI16" i="6"/>
  <c r="AI26" i="6"/>
  <c r="AI32" i="6"/>
  <c r="AI18" i="6"/>
  <c r="AI13" i="6"/>
  <c r="AI15" i="6"/>
  <c r="AI24" i="6"/>
  <c r="AI14" i="6"/>
  <c r="AI22" i="6"/>
  <c r="AI20" i="6"/>
  <c r="AI27" i="6"/>
  <c r="AI19" i="6"/>
  <c r="AI23" i="6"/>
  <c r="AI12" i="6"/>
  <c r="AI30" i="6"/>
  <c r="AI7" i="6"/>
  <c r="AI8" i="6"/>
  <c r="AI6" i="6"/>
  <c r="AX28" i="22"/>
  <c r="U30" i="10" s="1"/>
  <c r="U24" i="10"/>
  <c r="AX10" i="22"/>
  <c r="U12" i="10" s="1"/>
  <c r="AX16" i="22"/>
  <c r="U18" i="10" s="1"/>
  <c r="U40" i="10"/>
  <c r="AX9" i="22"/>
  <c r="U11" i="10" s="1"/>
  <c r="AX27" i="22"/>
  <c r="U29" i="10" s="1"/>
  <c r="U32" i="10"/>
  <c r="U31" i="10"/>
  <c r="AX42" i="22"/>
  <c r="U44" i="10" s="1"/>
  <c r="U35" i="10"/>
  <c r="U27" i="10"/>
  <c r="AX37" i="22"/>
  <c r="U39" i="10" s="1"/>
  <c r="U33" i="10"/>
  <c r="AX41" i="22"/>
  <c r="U43" i="10" s="1"/>
  <c r="AX32" i="22"/>
  <c r="U34" i="10" s="1"/>
  <c r="AX36" i="22"/>
  <c r="U38" i="10" s="1"/>
  <c r="F131" i="9"/>
  <c r="GH8" i="21"/>
  <c r="S10" i="10" s="1"/>
  <c r="H35" i="37" s="1"/>
  <c r="GH8" i="19"/>
  <c r="O10" i="10" s="1"/>
  <c r="H31" i="37" s="1"/>
  <c r="FR8" i="20"/>
  <c r="P10" i="10" s="1"/>
  <c r="H32" i="37" s="1"/>
  <c r="GH9" i="19"/>
  <c r="O11" i="10" s="1"/>
  <c r="F80" i="9" l="1"/>
  <c r="F119" i="9"/>
  <c r="F98" i="9"/>
  <c r="F61" i="9"/>
  <c r="F42" i="9"/>
  <c r="F32" i="9"/>
  <c r="B11" i="10"/>
  <c r="C11" i="10"/>
  <c r="D11" i="10"/>
  <c r="B12" i="10"/>
  <c r="C12" i="10"/>
  <c r="D12" i="10"/>
  <c r="B13" i="10"/>
  <c r="C13" i="10"/>
  <c r="D13" i="10"/>
  <c r="B14" i="10"/>
  <c r="C14" i="10"/>
  <c r="D14" i="10"/>
  <c r="B15" i="10"/>
  <c r="C15" i="10"/>
  <c r="D15" i="10"/>
  <c r="B16" i="10"/>
  <c r="C16" i="10"/>
  <c r="D16" i="10"/>
  <c r="B17" i="10"/>
  <c r="C17" i="10"/>
  <c r="D17" i="10"/>
  <c r="B18" i="10"/>
  <c r="C18" i="10"/>
  <c r="D18" i="10"/>
  <c r="B19" i="10"/>
  <c r="C19" i="10"/>
  <c r="D19" i="10"/>
  <c r="B20" i="10"/>
  <c r="C20" i="10"/>
  <c r="D20" i="10"/>
  <c r="B21" i="10"/>
  <c r="C21" i="10"/>
  <c r="D21" i="10"/>
  <c r="B22" i="10"/>
  <c r="C22" i="10"/>
  <c r="D22" i="10"/>
  <c r="B23" i="10"/>
  <c r="C23" i="10"/>
  <c r="D23" i="10"/>
  <c r="B24" i="10"/>
  <c r="C24" i="10"/>
  <c r="D24" i="10"/>
  <c r="B25" i="10"/>
  <c r="C25" i="10"/>
  <c r="D25" i="10"/>
  <c r="B26" i="10"/>
  <c r="C26" i="10"/>
  <c r="D26" i="10"/>
  <c r="B27" i="10"/>
  <c r="C27" i="10"/>
  <c r="D27" i="10"/>
  <c r="B28" i="10"/>
  <c r="C28" i="10"/>
  <c r="D28" i="10"/>
  <c r="B29" i="10"/>
  <c r="C29" i="10"/>
  <c r="D29" i="10"/>
  <c r="B30" i="10"/>
  <c r="C30" i="10"/>
  <c r="D30" i="10"/>
  <c r="B31" i="10"/>
  <c r="C31" i="10"/>
  <c r="D31" i="10"/>
  <c r="B32" i="10"/>
  <c r="C32" i="10"/>
  <c r="D32" i="10"/>
  <c r="B33" i="10"/>
  <c r="C33" i="10"/>
  <c r="D33" i="10"/>
  <c r="B34" i="10"/>
  <c r="C34" i="10"/>
  <c r="D34" i="10"/>
  <c r="B35" i="10"/>
  <c r="C35" i="10"/>
  <c r="D35" i="10"/>
  <c r="B36" i="10"/>
  <c r="C36" i="10"/>
  <c r="D36" i="10"/>
  <c r="B37" i="10"/>
  <c r="C37" i="10"/>
  <c r="D37" i="10"/>
  <c r="B38" i="10"/>
  <c r="C38" i="10"/>
  <c r="D38" i="10"/>
  <c r="B39" i="10"/>
  <c r="C39" i="10"/>
  <c r="D39" i="10"/>
  <c r="B40" i="10"/>
  <c r="C40" i="10"/>
  <c r="D40" i="10"/>
  <c r="B41" i="10"/>
  <c r="C41" i="10"/>
  <c r="D41" i="10"/>
  <c r="B42" i="10"/>
  <c r="C42" i="10"/>
  <c r="D42" i="10"/>
  <c r="B43" i="10"/>
  <c r="C43" i="10"/>
  <c r="D43" i="10"/>
  <c r="B44" i="10"/>
  <c r="C44" i="10"/>
  <c r="D44" i="10"/>
  <c r="C10" i="10"/>
  <c r="D10" i="10"/>
  <c r="B10" i="10"/>
  <c r="H178" i="9"/>
  <c r="H251" i="9" s="1"/>
  <c r="H177" i="9"/>
  <c r="H250" i="9" s="1"/>
  <c r="F178" i="9"/>
  <c r="F251" i="9" s="1"/>
  <c r="F177" i="9"/>
  <c r="F250" i="9" s="1"/>
  <c r="H172" i="9"/>
  <c r="H244" i="9" s="1"/>
  <c r="J3" i="9"/>
  <c r="J4" i="9"/>
  <c r="J2" i="9"/>
  <c r="D5" i="9"/>
  <c r="D4" i="9"/>
  <c r="D3" i="9"/>
  <c r="F3" i="9"/>
  <c r="D2" i="9"/>
  <c r="E12" i="10" l="1"/>
  <c r="B44" i="8"/>
  <c r="H7" i="8"/>
  <c r="N7" i="8" s="1"/>
  <c r="T7" i="8" s="1"/>
  <c r="Z7" i="8" s="1"/>
  <c r="AF7" i="8" s="1"/>
  <c r="AL7" i="8" s="1"/>
  <c r="AR7" i="8" s="1"/>
  <c r="AX7" i="8" s="1"/>
  <c r="G7" i="8"/>
  <c r="M7" i="8" s="1"/>
  <c r="S7" i="8" s="1"/>
  <c r="Y7" i="8" s="1"/>
  <c r="AE7" i="8" s="1"/>
  <c r="AK7" i="8" s="1"/>
  <c r="AQ7" i="8" s="1"/>
  <c r="AW7" i="8" s="1"/>
  <c r="F7" i="8"/>
  <c r="L7" i="8" s="1"/>
  <c r="R7" i="8" s="1"/>
  <c r="X7" i="8" s="1"/>
  <c r="AD7" i="8" s="1"/>
  <c r="AJ7" i="8" s="1"/>
  <c r="AP7" i="8" s="1"/>
  <c r="AV7" i="8" s="1"/>
  <c r="E7" i="8"/>
  <c r="K7" i="8" s="1"/>
  <c r="Q7" i="8" s="1"/>
  <c r="W7" i="8" s="1"/>
  <c r="AC7" i="8" s="1"/>
  <c r="AI7" i="8" s="1"/>
  <c r="AO7" i="8" s="1"/>
  <c r="AU7" i="8" s="1"/>
  <c r="D7" i="8"/>
  <c r="J7" i="8" s="1"/>
  <c r="P7" i="8" s="1"/>
  <c r="V7" i="8" s="1"/>
  <c r="AB7" i="8" s="1"/>
  <c r="AH7" i="8" s="1"/>
  <c r="AN7" i="8" s="1"/>
  <c r="AT7" i="8" s="1"/>
  <c r="C7" i="8"/>
  <c r="I7" i="8" s="1"/>
  <c r="O7" i="8" s="1"/>
  <c r="U7" i="8" s="1"/>
  <c r="AA7" i="8" s="1"/>
  <c r="AG7" i="8" s="1"/>
  <c r="AM7" i="8" s="1"/>
  <c r="AS7" i="8" s="1"/>
  <c r="BK7" i="8" l="1"/>
  <c r="BQ7" i="8" s="1"/>
  <c r="BW7" i="8" s="1"/>
  <c r="AY7" i="8"/>
  <c r="BE7" i="8" s="1"/>
  <c r="BM7" i="8"/>
  <c r="BS7" i="8" s="1"/>
  <c r="BY7" i="8" s="1"/>
  <c r="BA7" i="8"/>
  <c r="BG7" i="8" s="1"/>
  <c r="BO7" i="8"/>
  <c r="BU7" i="8" s="1"/>
  <c r="CA7" i="8" s="1"/>
  <c r="BC7" i="8"/>
  <c r="BI7" i="8" s="1"/>
  <c r="BL7" i="8"/>
  <c r="BR7" i="8" s="1"/>
  <c r="BX7" i="8" s="1"/>
  <c r="AZ7" i="8"/>
  <c r="BF7" i="8" s="1"/>
  <c r="BN7" i="8"/>
  <c r="BT7" i="8" s="1"/>
  <c r="BZ7" i="8" s="1"/>
  <c r="BB7" i="8"/>
  <c r="BH7" i="8" s="1"/>
  <c r="BP7" i="8"/>
  <c r="BV7" i="8" s="1"/>
  <c r="CB7" i="8" s="1"/>
  <c r="BD7" i="8"/>
  <c r="BJ7" i="8" s="1"/>
  <c r="EV13" i="8"/>
  <c r="EV12" i="8"/>
  <c r="EV15" i="8"/>
  <c r="EV17" i="8"/>
  <c r="EV19" i="8"/>
  <c r="EV21" i="8"/>
  <c r="EV23" i="8"/>
  <c r="EV25" i="8"/>
  <c r="EV27" i="8"/>
  <c r="EV14" i="8"/>
  <c r="EV16" i="8"/>
  <c r="EV18" i="8"/>
  <c r="EV20" i="8"/>
  <c r="EV22" i="8"/>
  <c r="EV24" i="8"/>
  <c r="EV26" i="8"/>
  <c r="S10" i="38" l="1"/>
  <c r="E30" i="37" s="1"/>
  <c r="T10" i="38"/>
  <c r="F30" i="37" s="1"/>
  <c r="B158" i="9" l="1"/>
  <c r="EU8" i="8" l="1"/>
  <c r="N10" i="10" s="1"/>
  <c r="H30" i="37" s="1"/>
  <c r="F66" i="9" l="1"/>
  <c r="F27" i="9"/>
  <c r="AX8" i="22" l="1"/>
  <c r="U10" i="10" s="1"/>
  <c r="H38" i="37" s="1"/>
  <c r="DK8" i="22" l="1"/>
  <c r="DN8" i="22" s="1"/>
  <c r="F111" i="9"/>
  <c r="F72" i="9"/>
  <c r="F86" i="9" l="1"/>
  <c r="F92" i="9" l="1"/>
</calcChain>
</file>

<file path=xl/sharedStrings.xml><?xml version="1.0" encoding="utf-8"?>
<sst xmlns="http://schemas.openxmlformats.org/spreadsheetml/2006/main" count="2911" uniqueCount="916">
  <si>
    <t>DAFTAR NILAI ASPEK PENGETAHUAN ( KI-3)</t>
  </si>
  <si>
    <t>A</t>
  </si>
  <si>
    <t>B</t>
  </si>
  <si>
    <t>Mata Pelajaran :</t>
  </si>
  <si>
    <t>PPKn</t>
  </si>
  <si>
    <t>A-</t>
  </si>
  <si>
    <t>B-</t>
  </si>
  <si>
    <t>Kelas / sem:</t>
  </si>
  <si>
    <t>B+</t>
  </si>
  <si>
    <t>no</t>
  </si>
  <si>
    <t>Nama Siswa</t>
  </si>
  <si>
    <t>TEMA 7</t>
  </si>
  <si>
    <t>TEMA 8</t>
  </si>
  <si>
    <t>REKAP NILAI KD</t>
  </si>
  <si>
    <t>NA</t>
  </si>
  <si>
    <t>PREDIKAT</t>
  </si>
  <si>
    <t>PREDIKAT KI-3</t>
  </si>
  <si>
    <t>NA nilai kd</t>
  </si>
  <si>
    <t>NILAI TUGAS/PR</t>
  </si>
  <si>
    <t>KD</t>
  </si>
  <si>
    <t>PERHIT</t>
  </si>
  <si>
    <t>DESK NT</t>
  </si>
  <si>
    <t>DESK NR</t>
  </si>
  <si>
    <t>Deskripsi akhir (Rapot)</t>
  </si>
  <si>
    <t>NT</t>
  </si>
  <si>
    <t>NR</t>
  </si>
  <si>
    <t>DAFTAR NAMA SISWA</t>
  </si>
  <si>
    <t>KELAS</t>
  </si>
  <si>
    <t>TAHUN</t>
  </si>
  <si>
    <t>NO</t>
  </si>
  <si>
    <t>NIS</t>
  </si>
  <si>
    <t>NISN</t>
  </si>
  <si>
    <t>HOME</t>
  </si>
  <si>
    <t>MENU</t>
  </si>
  <si>
    <t>Nama Sekolah</t>
  </si>
  <si>
    <t>:</t>
  </si>
  <si>
    <t>Kelas</t>
  </si>
  <si>
    <t>Semester</t>
  </si>
  <si>
    <t>Tahun Pelajaran</t>
  </si>
  <si>
    <t>Nama Wali Kelas</t>
  </si>
  <si>
    <t>Nama Kepala Sekolah</t>
  </si>
  <si>
    <t>Created : Singgih Tribowo</t>
  </si>
  <si>
    <t>Penilaian dan Rapot V-rev</t>
  </si>
  <si>
    <t>SDN PERCOBAAN 4</t>
  </si>
  <si>
    <t>Desa</t>
  </si>
  <si>
    <t>Kecamatan</t>
  </si>
  <si>
    <t>Kabupaten</t>
  </si>
  <si>
    <t>Kulon Progo</t>
  </si>
  <si>
    <t>Propinsi</t>
  </si>
  <si>
    <t>Daerah Istimewa Yogyakarta</t>
  </si>
  <si>
    <t>menu</t>
  </si>
  <si>
    <t>SEKOLAH</t>
  </si>
  <si>
    <t>SEMESTER</t>
  </si>
  <si>
    <t>TAHUN PELAJARAN</t>
  </si>
  <si>
    <t>KI-1</t>
  </si>
  <si>
    <t>No</t>
  </si>
  <si>
    <t>REKAP ASPEK PENILAIAN</t>
  </si>
  <si>
    <t>Deskripsi</t>
  </si>
  <si>
    <t>ketaatan beribadah</t>
  </si>
  <si>
    <t>perilaku bersyukur</t>
  </si>
  <si>
    <t>berdoa sebelum dan sesudah melakukan kegiatan</t>
  </si>
  <si>
    <t>TEMA 5</t>
  </si>
  <si>
    <t>Predikat</t>
  </si>
  <si>
    <t>Guru Kelas</t>
  </si>
  <si>
    <t>C</t>
  </si>
  <si>
    <t>cukup</t>
  </si>
  <si>
    <t>NIS / NISN</t>
  </si>
  <si>
    <t>/</t>
  </si>
  <si>
    <t>Alamat Sekolah</t>
  </si>
  <si>
    <t>A. Sikap</t>
  </si>
  <si>
    <t>Aspek</t>
  </si>
  <si>
    <t>Dekripsi</t>
  </si>
  <si>
    <t>Menerima, menjalankan, dan menghargai ajaran agama yang dianutnya.</t>
  </si>
  <si>
    <t>Menunjukkan perilaku jujur, disiplin, tanggung jawab, santun, peduli, percaya diri, dan cinta tanah air</t>
  </si>
  <si>
    <t>B. Pengetahuan</t>
  </si>
  <si>
    <t>Mengingatdan memahami pengetahuan faktual dan konseptual berdasarkan rasa ingin tahu tentang:
• dirinya,
• makhluk ciptaan Tuhan dan kegiatannya
• benda-benda lain di sekitarnya</t>
  </si>
  <si>
    <t>.</t>
  </si>
  <si>
    <t>C. Ketrampilan</t>
  </si>
  <si>
    <t xml:space="preserve">Menyajikan kemampuan mengamati,menanya, dan mencoba dalam: 
• bahasa yang jelas, logis dan sistematis
• karya yang estetis
• gerakan anak sehat
• tindakan anak beriman dan berakhlak mulia
</t>
  </si>
  <si>
    <t>D. Kokurikuler dan Extra Kurikuler</t>
  </si>
  <si>
    <t>Kegiatan</t>
  </si>
  <si>
    <t>Kegiatan yang diikuti</t>
  </si>
  <si>
    <t>Pramuka</t>
  </si>
  <si>
    <t>E. Saran - saran</t>
  </si>
  <si>
    <t>Ketidak hadiran</t>
  </si>
  <si>
    <t>Sakit</t>
  </si>
  <si>
    <t>hari</t>
  </si>
  <si>
    <t>Izin</t>
  </si>
  <si>
    <t>Tanpa Keterangan</t>
  </si>
  <si>
    <t>Mengetahui</t>
  </si>
  <si>
    <t>Orang Tua / Wali</t>
  </si>
  <si>
    <t>Kepala Sekolah</t>
  </si>
  <si>
    <t>……………………</t>
  </si>
  <si>
    <t>F. Perkembangan Fisik/Kesehatan</t>
  </si>
  <si>
    <t>Aspek Yang Dinilai</t>
  </si>
  <si>
    <t>Tinggi (Cm)</t>
  </si>
  <si>
    <t>Berat Badan (kg)</t>
  </si>
  <si>
    <t>G. Kondisi Kesehatan</t>
  </si>
  <si>
    <t>Aspek Fisik</t>
  </si>
  <si>
    <t>Keterangan</t>
  </si>
  <si>
    <t>Pendengaran</t>
  </si>
  <si>
    <t>baik</t>
  </si>
  <si>
    <t>Penglihatan</t>
  </si>
  <si>
    <t>Gigi</t>
  </si>
  <si>
    <t>Lainnya</t>
  </si>
  <si>
    <t>H. Catatan Prestasi</t>
  </si>
  <si>
    <t>Jenis Prestasi</t>
  </si>
  <si>
    <t>Orang Tua/Wali,</t>
  </si>
  <si>
    <t>Kepala sekolah</t>
  </si>
  <si>
    <t>……………….</t>
  </si>
  <si>
    <t>LEGER PEMBANTU</t>
  </si>
  <si>
    <t>Nama</t>
  </si>
  <si>
    <t>nis</t>
  </si>
  <si>
    <t>k1</t>
  </si>
  <si>
    <t>k2</t>
  </si>
  <si>
    <t>k3</t>
  </si>
  <si>
    <t>k4</t>
  </si>
  <si>
    <t>kehadiran</t>
  </si>
  <si>
    <t>nisn</t>
  </si>
  <si>
    <t>PKN</t>
  </si>
  <si>
    <t>B INDO</t>
  </si>
  <si>
    <t>MAT</t>
  </si>
  <si>
    <t>SBDP</t>
  </si>
  <si>
    <t>PJOK</t>
  </si>
  <si>
    <t>B JAWA</t>
  </si>
  <si>
    <t>deskripsi</t>
  </si>
  <si>
    <t>s</t>
  </si>
  <si>
    <t>i</t>
  </si>
  <si>
    <t>t K</t>
  </si>
  <si>
    <t>kesehatan</t>
  </si>
  <si>
    <t>prestasi</t>
  </si>
  <si>
    <t>Nama siswa</t>
  </si>
  <si>
    <t>prestasi 1</t>
  </si>
  <si>
    <t>prestasi 2</t>
  </si>
  <si>
    <t>prestasi 3</t>
  </si>
  <si>
    <t>prestasi 4</t>
  </si>
  <si>
    <t>jenis</t>
  </si>
  <si>
    <t>Ket</t>
  </si>
  <si>
    <t>kalimat saran</t>
  </si>
  <si>
    <t>Pertahankan prestasimu !</t>
  </si>
  <si>
    <t>Tingkatkan Prestasimu !</t>
  </si>
  <si>
    <t>Tingkatkan Belajarmu !</t>
  </si>
  <si>
    <t>Rajinlah Belajar !</t>
  </si>
  <si>
    <t>C+</t>
  </si>
  <si>
    <t>C-</t>
  </si>
  <si>
    <t>D+</t>
  </si>
  <si>
    <t>D</t>
  </si>
  <si>
    <t>REKAP NILAI KEGIATAN EKSTRA KURIKULER</t>
  </si>
  <si>
    <t>ekskul 1</t>
  </si>
  <si>
    <t>ekskul 2</t>
  </si>
  <si>
    <t>ekskul 3</t>
  </si>
  <si>
    <t>ekskul 4</t>
  </si>
  <si>
    <t>jenis ekskul 1</t>
  </si>
  <si>
    <t>jenis ekskul 2</t>
  </si>
  <si>
    <t>jenis ekskul 3</t>
  </si>
  <si>
    <t>NILAI  PENGETAHUAN</t>
  </si>
  <si>
    <t>NILAI  KETRAMPILAN</t>
  </si>
  <si>
    <t>SD</t>
  </si>
  <si>
    <t>SEM</t>
  </si>
  <si>
    <t>Th</t>
  </si>
  <si>
    <t>BI</t>
  </si>
  <si>
    <t>Mat</t>
  </si>
  <si>
    <t>Bhs JAWA</t>
  </si>
  <si>
    <t>RATA2</t>
  </si>
  <si>
    <t>KELAS/SEM</t>
  </si>
  <si>
    <t>MTK</t>
  </si>
  <si>
    <t>jujur</t>
  </si>
  <si>
    <t>disiplin</t>
  </si>
  <si>
    <t>percaya diri</t>
  </si>
  <si>
    <t>tanggung jawab</t>
  </si>
  <si>
    <t>REKAP PRESENSI</t>
  </si>
  <si>
    <t>sem</t>
  </si>
  <si>
    <t>S</t>
  </si>
  <si>
    <t>I</t>
  </si>
  <si>
    <t>JML</t>
  </si>
  <si>
    <t>KETIDAK HADIRAN</t>
  </si>
  <si>
    <t>DAFTAR NILAI ASPEK KETRAMPILAN ( KI-4)</t>
  </si>
  <si>
    <t>Kelas :</t>
  </si>
  <si>
    <t>TEMA 9</t>
  </si>
  <si>
    <t>NA  MAPEL</t>
  </si>
  <si>
    <t>DESKRIPSI KETRAMPILAN</t>
  </si>
  <si>
    <t>PRAKTIK</t>
  </si>
  <si>
    <t>PROYEK</t>
  </si>
  <si>
    <t>PORTO</t>
  </si>
  <si>
    <t>nt</t>
  </si>
  <si>
    <t>nr</t>
  </si>
  <si>
    <t>perhit</t>
  </si>
  <si>
    <t>desk nt</t>
  </si>
  <si>
    <t>Sem</t>
  </si>
  <si>
    <t>jenis ekskul 4</t>
  </si>
  <si>
    <t>BAHASA INDONESIA</t>
  </si>
  <si>
    <t>MATEMATIKA</t>
  </si>
  <si>
    <t>BAHASA JAWA</t>
  </si>
  <si>
    <t>NILAI PJOK (KI-4)</t>
  </si>
  <si>
    <t xml:space="preserve">Lebih Giatlah Belajar ! </t>
  </si>
  <si>
    <t xml:space="preserve"> sem 1</t>
  </si>
  <si>
    <t>sem 2</t>
  </si>
  <si>
    <t>sem 1</t>
  </si>
  <si>
    <t>APLIKASI RAPOT KURIKULUM 2013</t>
  </si>
  <si>
    <t>BAHASA INDO</t>
  </si>
  <si>
    <t>rt</t>
  </si>
  <si>
    <t>`</t>
  </si>
  <si>
    <t xml:space="preserve">Tahun </t>
  </si>
  <si>
    <t>I P A</t>
  </si>
  <si>
    <t>I P S</t>
  </si>
  <si>
    <t>IPA</t>
  </si>
  <si>
    <t>IPS</t>
  </si>
  <si>
    <t>b</t>
  </si>
  <si>
    <t>ipa</t>
  </si>
  <si>
    <t>ips</t>
  </si>
  <si>
    <t>,</t>
  </si>
  <si>
    <t>KI-3</t>
  </si>
  <si>
    <t>NILAI PJOK KI-3</t>
  </si>
  <si>
    <t>Kelas /SEM:</t>
  </si>
  <si>
    <t>Nama sekolah</t>
  </si>
  <si>
    <t>Alamat sekolah</t>
  </si>
  <si>
    <t>A.</t>
  </si>
  <si>
    <t>Kompetensi sikap</t>
  </si>
  <si>
    <t>B.</t>
  </si>
  <si>
    <t>Kompetensi Pengetahuan dan Ketrampilan</t>
  </si>
  <si>
    <t>Muatan Pelajaran</t>
  </si>
  <si>
    <t>Pengetahuan</t>
  </si>
  <si>
    <t>Ketrampilan</t>
  </si>
  <si>
    <t>Nilai</t>
  </si>
  <si>
    <t>Pendidikan Pancasila dan Kewarganegaraan</t>
  </si>
  <si>
    <t>Bahasa Indonesia</t>
  </si>
  <si>
    <t>Matematika</t>
  </si>
  <si>
    <t>Ilmu Pengetahuan Alam</t>
  </si>
  <si>
    <t>Seni Budaya dan Prakarya</t>
  </si>
  <si>
    <t>Pendidikan Jasmani olah Raga dan kesehatan</t>
  </si>
  <si>
    <t>Muatan Lokal</t>
  </si>
  <si>
    <t>a.</t>
  </si>
  <si>
    <t>Bahasa Jawa</t>
  </si>
  <si>
    <t>b.</t>
  </si>
  <si>
    <t>C.</t>
  </si>
  <si>
    <t>Ekstra Kurikuler</t>
  </si>
  <si>
    <t>Kegiatan ekstra Kurikuler</t>
  </si>
  <si>
    <t>D.</t>
  </si>
  <si>
    <t>Saran - Saran</t>
  </si>
  <si>
    <t>E.</t>
  </si>
  <si>
    <t>Tinggi dan Berat Badan</t>
  </si>
  <si>
    <t>aspek yang dinilai</t>
  </si>
  <si>
    <t>Tinggi badan</t>
  </si>
  <si>
    <t>cm</t>
  </si>
  <si>
    <t>kg</t>
  </si>
  <si>
    <t>F.</t>
  </si>
  <si>
    <t>Kondisi Kesehatan</t>
  </si>
  <si>
    <t>Aspek fisik</t>
  </si>
  <si>
    <t>G.</t>
  </si>
  <si>
    <t>Prestasi</t>
  </si>
  <si>
    <t>jenis Prestasi</t>
  </si>
  <si>
    <t>H.</t>
  </si>
  <si>
    <t>Orang tua/wali</t>
  </si>
  <si>
    <t>Guru kelas</t>
  </si>
  <si>
    <t>.................................</t>
  </si>
  <si>
    <t>a</t>
  </si>
  <si>
    <t>ketrampilan</t>
  </si>
  <si>
    <t>B indo</t>
  </si>
  <si>
    <t>Mulok</t>
  </si>
  <si>
    <t>N</t>
  </si>
  <si>
    <t>P</t>
  </si>
  <si>
    <t>Sikap Spiritual</t>
  </si>
  <si>
    <t>Sikap Sosial</t>
  </si>
  <si>
    <t>1 ( satu )</t>
  </si>
  <si>
    <t>4.1</t>
  </si>
  <si>
    <t>4.2</t>
  </si>
  <si>
    <t>4.3</t>
  </si>
  <si>
    <t>4.4</t>
  </si>
  <si>
    <t>4.5</t>
  </si>
  <si>
    <t>TEMA 1</t>
  </si>
  <si>
    <t>TEMA 2</t>
  </si>
  <si>
    <t>TEMA 3</t>
  </si>
  <si>
    <t>TEMA 4</t>
  </si>
  <si>
    <t>tema 5</t>
  </si>
  <si>
    <t>UH</t>
  </si>
  <si>
    <t>TUGAS/PR</t>
  </si>
  <si>
    <t>TUGAS</t>
  </si>
  <si>
    <t>Tugas pr</t>
  </si>
  <si>
    <t>T/PR</t>
  </si>
  <si>
    <t>praktik</t>
  </si>
  <si>
    <t>proyek</t>
  </si>
  <si>
    <t xml:space="preserve"> TEMA 5</t>
  </si>
  <si>
    <t>tema 1</t>
  </si>
  <si>
    <t>Ilmu Pengetahuian Sosial</t>
  </si>
  <si>
    <t>Pendidikan Agama dan Budi Pekerti</t>
  </si>
  <si>
    <t>Berat badan</t>
  </si>
  <si>
    <t>4.10</t>
  </si>
  <si>
    <t>Tempat tgl lahir</t>
  </si>
  <si>
    <t>Jenis Kelamin</t>
  </si>
  <si>
    <t>Agama</t>
  </si>
  <si>
    <t>Alamat tempat tinggal siswa</t>
  </si>
  <si>
    <t>Nama Orang tua</t>
  </si>
  <si>
    <t>Pekerjaan Ayah</t>
  </si>
  <si>
    <t>Pekerjaan Ibu</t>
  </si>
  <si>
    <t>Alamat orang tua</t>
  </si>
  <si>
    <t>asal sekolah</t>
  </si>
  <si>
    <t>nama wali</t>
  </si>
  <si>
    <t>pekerjaan wali</t>
  </si>
  <si>
    <t>alamat wali</t>
  </si>
  <si>
    <t>Nama Ayah</t>
  </si>
  <si>
    <t>Nama Ibu</t>
  </si>
  <si>
    <t>desa</t>
  </si>
  <si>
    <t>KRITERIA KETUNTASAN MINIMAL (KKM)</t>
  </si>
  <si>
    <t>Muatan mata Pelajaran</t>
  </si>
  <si>
    <t>KKM</t>
  </si>
  <si>
    <t>KI-4</t>
  </si>
  <si>
    <t>Pendidikan Pancasila dan Kewarganegaraan (PPKn)</t>
  </si>
  <si>
    <t>Ilmu Pengetahuan Alam (IPA)</t>
  </si>
  <si>
    <t>Ilmu Pengetahuan Sosial (IPS)</t>
  </si>
  <si>
    <t>Seni Budaya dan Prakarya (SBdP)</t>
  </si>
  <si>
    <t>Pendidikan Jasmani, Olah Raga dan Kesehatan (PJOK)</t>
  </si>
  <si>
    <t>Saran</t>
  </si>
  <si>
    <t>SEKOLAH DASAR</t>
  </si>
  <si>
    <t>(SD)</t>
  </si>
  <si>
    <t xml:space="preserve">NSS </t>
  </si>
  <si>
    <t>NPSN</t>
  </si>
  <si>
    <t xml:space="preserve">Alamat Sekolah </t>
  </si>
  <si>
    <t xml:space="preserve">Kode Pos </t>
  </si>
  <si>
    <t>Telp</t>
  </si>
  <si>
    <t xml:space="preserve">Kelurahan/Desa </t>
  </si>
  <si>
    <t xml:space="preserve">Kecamatan </t>
  </si>
  <si>
    <t xml:space="preserve">Kabupaten/Kota </t>
  </si>
  <si>
    <t xml:space="preserve">Provinsi </t>
  </si>
  <si>
    <t xml:space="preserve">Website </t>
  </si>
  <si>
    <t xml:space="preserve">E-mail </t>
  </si>
  <si>
    <t>ii</t>
  </si>
  <si>
    <t>IDENTITAS PESERTA DIDIK</t>
  </si>
  <si>
    <t>1.      Nama Peserta Didik</t>
  </si>
  <si>
    <t>3.      Tempat,Tanggal Lahir</t>
  </si>
  <si>
    <t>4.      Jenis Kelamin</t>
  </si>
  <si>
    <t>5.      Agama</t>
  </si>
  <si>
    <t>Islam</t>
  </si>
  <si>
    <t>6.      Pendidikan sebelumnya</t>
  </si>
  <si>
    <t>7.      Alamat Peserta Didik</t>
  </si>
  <si>
    <t>8.       Nama Orang Tua</t>
  </si>
  <si>
    <t>a.    Ayah</t>
  </si>
  <si>
    <t xml:space="preserve">b.   Ibu </t>
  </si>
  <si>
    <t>9.       Pekerjaan Orang Tua</t>
  </si>
  <si>
    <t>-</t>
  </si>
  <si>
    <t>10.   Alamat Orang Tua</t>
  </si>
  <si>
    <t>Jalan / Pedukuhan</t>
  </si>
  <si>
    <t>Kelurahan/Desa</t>
  </si>
  <si>
    <t>Kabupaten/Kota</t>
  </si>
  <si>
    <t>Provinsi</t>
  </si>
  <si>
    <t>D. I. Yogyakarta</t>
  </si>
  <si>
    <t>11.   Wali Peserta Didik</t>
  </si>
  <si>
    <t>a.    Nama</t>
  </si>
  <si>
    <t>b.   Pekerjaan</t>
  </si>
  <si>
    <t>c.    Alamat</t>
  </si>
  <si>
    <t>Kepala Sekolah,</t>
  </si>
  <si>
    <t>iii</t>
  </si>
  <si>
    <t>PETUNJUK PENGISIAN</t>
  </si>
  <si>
    <t>Identitas Peserta didik diisi oleh data yang sesuai dengan keberadaan peserta didik;</t>
  </si>
  <si>
    <t>Rapor Peserta Dididk harus dilengkapi dengan pas foto berwarna (3 x 4) dan pengisiannya dilakukan oleh Guru Kelas;</t>
  </si>
  <si>
    <t>Kompetensi inti 3 dan 4 (KI-3 dan KI-4) diambil dari KI-3 dan KI-4 pada semua muatan pelajaran;</t>
  </si>
  <si>
    <t>Predikat yang ditulis dalam Rapor Peserta Didik:</t>
  </si>
  <si>
    <t xml:space="preserve">A : Sangat Baik; </t>
  </si>
  <si>
    <t xml:space="preserve">B : Baik; </t>
  </si>
  <si>
    <t xml:space="preserve">C : Cukup; </t>
  </si>
  <si>
    <t>D : Kurang</t>
  </si>
  <si>
    <t>Deskripsi Pengetahuan dan ketrampilan ditulis dengan kalimat positif sesuai capain KD tertinggi atau terendah dari masing-masing muatan pelajaran yang diperoleh peserta didik. Deskripsi berisi pengetahuan dan ketrampilan yang sangat baik/dan atau baik yang dikuasai dan penguasaannya belum optimal. Apabila nilai capaian KD muatan pelajaran yang diperoleh dari suatu muatan pelajaran sama, kolom deskripsi ditulis sesuai capaian untuk semua KD;</t>
  </si>
  <si>
    <t>Laporan Ekstrakurikuler diisi oleh kegiatan ekstrakurikuler yang diikuti oleh peserta didik;</t>
  </si>
  <si>
    <t>Saran–saran diisi oleh hal-hal yang perlu mendapatkan perhatian peserta didik, guru, dan orang tua/wali terutama untu, hal-hal yang tidak didapatkan dari sekolah;</t>
  </si>
  <si>
    <t>Laporan kondisi kesehatan fisik diisi dengan deskripsi hasil pemeriksaan yang dilakukan guru, bekerjasama dengan tenaga kesehatan atau puskesmas terdekat;</t>
  </si>
  <si>
    <t>Prestasi diisi dengan prestasi peserta didik yang menonjol;</t>
  </si>
  <si>
    <t>Kolom ketidakhadiran ditulis dengan data akumulasi ketidakhadiran peserta didik karena sakit, izin, atau tanpa keterangan selama satu semester;</t>
  </si>
  <si>
    <t>Apabila peserta didik pindah, maka dicatat di dalam kolom keterangan pindah.</t>
  </si>
  <si>
    <t>iv</t>
  </si>
  <si>
    <t>d1</t>
  </si>
  <si>
    <t>d2</t>
  </si>
  <si>
    <t>d3</t>
  </si>
  <si>
    <t>desk akhir</t>
  </si>
  <si>
    <t>toleransi dalam beribadah</t>
  </si>
  <si>
    <t>sopan santun</t>
  </si>
  <si>
    <t>sangat baik</t>
  </si>
  <si>
    <t>BIMBINGAN</t>
  </si>
  <si>
    <t>KURANG</t>
  </si>
  <si>
    <t>LEGER NILAI PENGETAHUAN (KI-3)</t>
  </si>
  <si>
    <t>NPAS</t>
  </si>
  <si>
    <t>NPTS</t>
  </si>
  <si>
    <t>NPH</t>
  </si>
  <si>
    <t>desk nr</t>
  </si>
  <si>
    <t>Jalan/dukuh/RT</t>
  </si>
  <si>
    <t>kkm</t>
  </si>
  <si>
    <t>NAKD</t>
  </si>
  <si>
    <t>REKAP NILAI NPH</t>
  </si>
  <si>
    <t>3.1</t>
  </si>
  <si>
    <t>3.2</t>
  </si>
  <si>
    <t>3.3</t>
  </si>
  <si>
    <t>3.4</t>
  </si>
  <si>
    <t>3.5</t>
  </si>
  <si>
    <t>3.7</t>
  </si>
  <si>
    <t>3.8</t>
  </si>
  <si>
    <t>PH</t>
  </si>
  <si>
    <t>c</t>
  </si>
  <si>
    <t>d</t>
  </si>
  <si>
    <t>LEGER NILAI  KETRAMPILAN (KI-4)</t>
  </si>
  <si>
    <t>nilai</t>
  </si>
  <si>
    <t>rekap nilai</t>
  </si>
  <si>
    <t>na</t>
  </si>
  <si>
    <t>portofolio</t>
  </si>
  <si>
    <t>desk NR</t>
  </si>
  <si>
    <t>desk NA</t>
  </si>
  <si>
    <t>4.7</t>
  </si>
  <si>
    <t>4.8</t>
  </si>
  <si>
    <t>4.9</t>
  </si>
  <si>
    <t>4.6</t>
  </si>
  <si>
    <t>NSS</t>
  </si>
  <si>
    <t>Al Qur'an</t>
  </si>
  <si>
    <t>Ibadah</t>
  </si>
  <si>
    <t>Aqidah</t>
  </si>
  <si>
    <t>Tarikh</t>
  </si>
  <si>
    <t>Kemuh</t>
  </si>
  <si>
    <t>KEMUH</t>
  </si>
  <si>
    <t>aqidah</t>
  </si>
  <si>
    <t>akhlak</t>
  </si>
  <si>
    <t>tarikh</t>
  </si>
  <si>
    <t>kemuh</t>
  </si>
  <si>
    <t>AL QUR'QN</t>
  </si>
  <si>
    <t>IBADAH</t>
  </si>
  <si>
    <t>AQIDAH</t>
  </si>
  <si>
    <t>AKHAK</t>
  </si>
  <si>
    <t>TARIKH</t>
  </si>
  <si>
    <t>B ARAB</t>
  </si>
  <si>
    <t>c.</t>
  </si>
  <si>
    <t>d.</t>
  </si>
  <si>
    <t>Akhlak</t>
  </si>
  <si>
    <t>e.</t>
  </si>
  <si>
    <t>Kemuham madiyahan</t>
  </si>
  <si>
    <t>Bahasa Arab</t>
  </si>
  <si>
    <t>Barab</t>
  </si>
  <si>
    <t>B Arab</t>
  </si>
  <si>
    <t>B jawa</t>
  </si>
  <si>
    <t>NBM</t>
  </si>
  <si>
    <t>KKM SATUAN PENDIDIKAN</t>
  </si>
  <si>
    <t>RENTANG PREDIKAT</t>
  </si>
  <si>
    <t>D &lt;</t>
  </si>
  <si>
    <t>KODE POS</t>
  </si>
  <si>
    <t>NO. TLP.</t>
  </si>
  <si>
    <t>Tempat  Tanggal Rapot</t>
  </si>
  <si>
    <t>Tempat &amp;tgl awal thn Ajaran</t>
  </si>
  <si>
    <t>e-mail</t>
  </si>
  <si>
    <t>website</t>
  </si>
  <si>
    <t>RAPOR</t>
  </si>
  <si>
    <t>PESERTA DIDIK</t>
  </si>
  <si>
    <t>( S D )</t>
  </si>
  <si>
    <t>N I S N / N I S</t>
  </si>
  <si>
    <t xml:space="preserve"> PESERTA DIDIK</t>
  </si>
  <si>
    <t>Rapor Peserta Didik dipergunakan selama peserta didik yang bersangkutan mengikuti seluruh program pembelajaran di Sekolah Dasar tersebut;</t>
  </si>
  <si>
    <t>Identitas Sekolah diisi dengan data yang sesuai dengan keberadaan Sekolah Dasar;</t>
  </si>
  <si>
    <t>Daftar Peserta didik diisi oleh data siswa yang ada dalam rapor Peserta Didik ini;</t>
  </si>
  <si>
    <t>Kompetensi inti 1 (KI-1) untuk sikap spiritual diambil dari KI-1 pada muatan pelajaran pendidikan agama dan budi pekerti dan PPKn;</t>
  </si>
  <si>
    <t>Kompetensi inti 2 (KI-2) untuk sikap sosial diambil dari KI-2 pada muatan pelajaran agama dan Budi Pekerti dan PPKn;</t>
  </si>
  <si>
    <t xml:space="preserve">Hasil penilaian pengetahuan dan keterampilan dilaporkan dalam bentuk nilai, predikat dan deskripsi pencapaian kompetensi mata pelajaran; </t>
  </si>
  <si>
    <t xml:space="preserve">Hasil penilaian sikap dilaporkan dalam bentuk predikat dan/atau deskripsi; </t>
  </si>
  <si>
    <t>Laporan tinggi dan berat badan peserta didik ditulis berdasarkan hasil pengukuran yang dilakukan pendidik;</t>
  </si>
  <si>
    <t>Kolom pernyataan kenaikan kelas diisi keterangan naik atau tinggal kelas. 
5. Kolom pernyataan kenaikan kelas diisi keterangan naik atau tinggal kelas. 
5. Kolom pernyataan kenaikan kelas diisi keterangan naik atau tinggal kelas. 
Kolom pernyataan kenaikan kelas diisi keterangan naik atau tinggal kelas.</t>
  </si>
  <si>
    <t>REKAP ASPEK PENILAIAN KI-1  (SPIRITUAL)</t>
  </si>
  <si>
    <t>D1</t>
  </si>
  <si>
    <t>D2</t>
  </si>
  <si>
    <t>D3</t>
  </si>
  <si>
    <t>D4</t>
  </si>
  <si>
    <t>tahun</t>
  </si>
  <si>
    <t>DAFTAR NILAI ASPEK SOSIAL  (KI-2 )</t>
  </si>
  <si>
    <t>kerja sama</t>
  </si>
  <si>
    <t>CUKUP</t>
  </si>
  <si>
    <t>BIMB</t>
  </si>
  <si>
    <t xml:space="preserve">TAHUN </t>
  </si>
  <si>
    <t>NILAI HARIAN</t>
  </si>
  <si>
    <t>NILAI KETRAMPILAN (KI-4)</t>
  </si>
  <si>
    <t>KKM Satuan Pendidikan</t>
  </si>
  <si>
    <t>UNTUK MENGHAPUS JANGAN CUT ATAU DRAG CELL, TETAPI DELETE SAJA</t>
  </si>
  <si>
    <t>UNTUK COPY PASTE,  GUNAKAN PASTE VALUES</t>
  </si>
  <si>
    <t>Petunjuk singkat pengisian aplikasi rapot k13</t>
  </si>
  <si>
    <t>Isi data sekolah pada tampilan depan ( menu home) sesuai kondisi sekolah</t>
  </si>
  <si>
    <r>
      <t>Isi KKM mapel dan</t>
    </r>
    <r>
      <rPr>
        <b/>
        <sz val="14"/>
        <color rgb="FFFF0000"/>
        <rFont val="Calibri"/>
        <family val="2"/>
        <scheme val="minor"/>
      </rPr>
      <t xml:space="preserve"> KKM Satuan  Pendidikan </t>
    </r>
    <r>
      <rPr>
        <sz val="14"/>
        <color theme="1"/>
        <rFont val="Calibri"/>
        <family val="2"/>
        <scheme val="minor"/>
      </rPr>
      <t>masing-masing sekolah, otomatis rentang predikat akan muncul.</t>
    </r>
  </si>
  <si>
    <t xml:space="preserve">Isi data Siswa , bisa Copy Paste dari data DLPK atau data lain yang sudah dimiliki. </t>
  </si>
  <si>
    <t>PENULISAN NISN sebaiknya diawali tanda '. Contoh : '00987654321</t>
  </si>
  <si>
    <t>Bisa mulai Entry nilai / memasukkan nilai</t>
  </si>
  <si>
    <r>
      <t xml:space="preserve">Input nilai Sikap </t>
    </r>
    <r>
      <rPr>
        <sz val="14"/>
        <color theme="1"/>
        <rFont val="Wingdings"/>
        <charset val="2"/>
      </rPr>
      <t>à</t>
    </r>
    <r>
      <rPr>
        <sz val="14"/>
        <color theme="1"/>
        <rFont val="Calibri"/>
        <family val="2"/>
        <scheme val="minor"/>
      </rPr>
      <t xml:space="preserve"> rekap jurnal tinggal mengisi sesuai catatan jurnal harian, A untuk kategori sangat baik, B untuk kategori baik (dijurnal sikap tidak ada catatan diartikan baik), D untuk kategori perlu bimbingan.</t>
    </r>
  </si>
  <si>
    <r>
      <t xml:space="preserve">Input nilai pengetahuan (KI-3) dengan memasukan nilai KD tiap mapel untuk masing2 Tema. Input nilai bisa dengan copy paste. (paste value). Akan lebih baik copy paste per satu KD </t>
    </r>
    <r>
      <rPr>
        <b/>
        <u/>
        <sz val="14"/>
        <color theme="1"/>
        <rFont val="Calibri"/>
        <family val="2"/>
        <scheme val="minor"/>
      </rPr>
      <t>tidak</t>
    </r>
    <r>
      <rPr>
        <b/>
        <sz val="14"/>
        <color theme="1"/>
        <rFont val="Calibri"/>
        <family val="2"/>
        <scheme val="minor"/>
      </rPr>
      <t xml:space="preserve"> dengan beberapa KD di copy bersamaan.</t>
    </r>
  </si>
  <si>
    <t>Input Nilai NPTS dan NPAS pada masing2 muatan Mapel.</t>
  </si>
  <si>
    <t>Input nilai KI-4 tiap KD pada masing2 mapel pada KD yang muncul di masing2 tema sesuai hasil penilaian guru.</t>
  </si>
  <si>
    <t>Input nilai dan deskripsi extra kurikuler sesuai kolom yang ada</t>
  </si>
  <si>
    <t>Input fisik dan prestasi berupa tingi badan, berat badan, data kesehatan serta perolehan prestasi.</t>
  </si>
  <si>
    <r>
      <rPr>
        <sz val="14"/>
        <color theme="1"/>
        <rFont val="Times New Roman"/>
        <family val="1"/>
      </rPr>
      <t xml:space="preserve"> </t>
    </r>
    <r>
      <rPr>
        <sz val="14"/>
        <color theme="1"/>
        <rFont val="Calibri"/>
        <family val="2"/>
        <scheme val="minor"/>
      </rPr>
      <t>Input presensi kehadiran masing2 siswa</t>
    </r>
  </si>
  <si>
    <r>
      <rPr>
        <sz val="14"/>
        <color theme="1"/>
        <rFont val="Times New Roman"/>
        <family val="1"/>
      </rPr>
      <t xml:space="preserve"> </t>
    </r>
    <r>
      <rPr>
        <sz val="14"/>
        <color theme="1"/>
        <rFont val="Calibri"/>
        <family val="2"/>
        <scheme val="minor"/>
      </rPr>
      <t>Saran diisi sesuai kondisi siswa bersumber dari jurnal harian guru, jurnal sikap siswa dan hal lain yang perlu disampaikan.</t>
    </r>
  </si>
  <si>
    <r>
      <rPr>
        <b/>
        <sz val="14"/>
        <color theme="1"/>
        <rFont val="Times New Roman"/>
        <family val="1"/>
      </rPr>
      <t xml:space="preserve"> </t>
    </r>
    <r>
      <rPr>
        <b/>
        <sz val="14"/>
        <color theme="1"/>
        <rFont val="Calibri"/>
        <family val="2"/>
        <scheme val="minor"/>
      </rPr>
      <t>Untuk mengubah / mengganti KD maka dari menu home klik tombol KD di bagian pojok kanan bawah</t>
    </r>
  </si>
  <si>
    <r>
      <rPr>
        <b/>
        <u/>
        <sz val="14"/>
        <color theme="1"/>
        <rFont val="Calibri"/>
        <family val="2"/>
        <scheme val="minor"/>
      </rPr>
      <t>JIKA ADA YANG SALAH</t>
    </r>
    <r>
      <rPr>
        <b/>
        <sz val="14"/>
        <color theme="1"/>
        <rFont val="Calibri"/>
        <family val="2"/>
        <scheme val="minor"/>
      </rPr>
      <t xml:space="preserve"> dalam memasukkan nilai/data bisa dihapus /delete, </t>
    </r>
    <r>
      <rPr>
        <b/>
        <u/>
        <sz val="14"/>
        <color theme="1"/>
        <rFont val="Calibri"/>
        <family val="2"/>
        <scheme val="minor"/>
      </rPr>
      <t>JANGAN di CUT</t>
    </r>
    <r>
      <rPr>
        <b/>
        <sz val="14"/>
        <color theme="1"/>
        <rFont val="Calibri"/>
        <family val="2"/>
        <scheme val="minor"/>
      </rPr>
      <t xml:space="preserve"> atau DRAG/ geser cell.</t>
    </r>
  </si>
  <si>
    <r>
      <rPr>
        <sz val="14"/>
        <color theme="1"/>
        <rFont val="Times New Roman"/>
        <family val="1"/>
      </rPr>
      <t xml:space="preserve"> </t>
    </r>
    <r>
      <rPr>
        <sz val="14"/>
        <color theme="1"/>
        <rFont val="Calibri"/>
        <family val="2"/>
        <scheme val="minor"/>
      </rPr>
      <t>Setelah semua input nilai dsb selesai dan siap diprint, maka di cek dulu melalui print preview.                                                                                                                                                    Jika sudah tampak benar dan baik, bisa langsung print.</t>
    </r>
  </si>
  <si>
    <r>
      <rPr>
        <sz val="14"/>
        <color theme="1"/>
        <rFont val="Times New Roman"/>
        <family val="1"/>
      </rPr>
      <t xml:space="preserve"> </t>
    </r>
    <r>
      <rPr>
        <sz val="14"/>
        <color theme="1"/>
        <rFont val="Calibri"/>
        <family val="2"/>
        <scheme val="minor"/>
      </rPr>
      <t>Tombol berikut ini  untuk pindah siswa sesuai nomor urut.</t>
    </r>
  </si>
  <si>
    <t xml:space="preserve"> </t>
  </si>
  <si>
    <t>Untuk konsultasi bisa wa 085108170808</t>
  </si>
  <si>
    <t>TAMBAHKAN DIBAWAHNYA JIKA KD KURANG</t>
  </si>
  <si>
    <t>KLIK TOMBOL KD maka akan masuk ke daftar KD ,KEMUDIAN GANTI JIKA ADA KD YG SALAH</t>
  </si>
  <si>
    <t>NAMA LENGKAP</t>
  </si>
  <si>
    <t>NAMA PANGGIL</t>
  </si>
  <si>
    <t>Alamat Lengkap</t>
  </si>
  <si>
    <t>A=</t>
  </si>
  <si>
    <t>B=</t>
  </si>
  <si>
    <t>C=</t>
  </si>
  <si>
    <t>Selisih=</t>
  </si>
  <si>
    <t>UP</t>
  </si>
  <si>
    <t>DOWN</t>
  </si>
  <si>
    <t>A &gt;</t>
  </si>
  <si>
    <t>B &gt;</t>
  </si>
  <si>
    <r>
      <t xml:space="preserve">C </t>
    </r>
    <r>
      <rPr>
        <sz val="14"/>
        <color theme="1"/>
        <rFont val="Calibri"/>
        <family val="2"/>
      </rPr>
      <t>≥</t>
    </r>
  </si>
  <si>
    <t>a. Al Qur'an</t>
  </si>
  <si>
    <t>b. Ibadah</t>
  </si>
  <si>
    <t>c. Aqidah</t>
  </si>
  <si>
    <t>d. Akhlak</t>
  </si>
  <si>
    <t>e. Tarikh</t>
  </si>
  <si>
    <t>Kemuhammadiyahan</t>
  </si>
  <si>
    <t>Muatan Persyarikatan dan Nasional</t>
  </si>
  <si>
    <t>ekskul 5</t>
  </si>
  <si>
    <t>ekskul 6</t>
  </si>
  <si>
    <t>ekskul 7</t>
  </si>
  <si>
    <t>jenis ekskul 7</t>
  </si>
  <si>
    <t>jenis ekskul 6</t>
  </si>
  <si>
    <t>jenis ekskul 5</t>
  </si>
  <si>
    <t>(kalimat di isi sendiri sesuai kondisi siswa)</t>
  </si>
  <si>
    <t>N P H</t>
  </si>
  <si>
    <t>3.6</t>
  </si>
  <si>
    <t>3.9</t>
  </si>
  <si>
    <t>TUGAS / PR</t>
  </si>
  <si>
    <t>RANK</t>
  </si>
  <si>
    <t>PENILAIAN HARIAN</t>
  </si>
  <si>
    <t>NILAI NPH</t>
  </si>
  <si>
    <t>N A M A PESERTA DIDIK</t>
  </si>
  <si>
    <t>RT</t>
  </si>
  <si>
    <t>Rank</t>
  </si>
  <si>
    <t>jml</t>
  </si>
  <si>
    <t>PRODUK</t>
  </si>
  <si>
    <t xml:space="preserve">NA </t>
  </si>
  <si>
    <t>RAPOR PESERTA DIDIK DAN PROFIL PESERTA DIDIK</t>
  </si>
  <si>
    <t>NISN / NIS</t>
  </si>
  <si>
    <t>2.      NISN / NIS</t>
  </si>
  <si>
    <t>V ( Lima )</t>
  </si>
  <si>
    <t>menentukan pokok pikiran dalam teks lisan dan tulis</t>
  </si>
  <si>
    <t>mengklasifikasi informasi yang didapat dari buku ke dalam aspek: apa, di mana, kapan, siapa, mengapa, dan bagaimana</t>
  </si>
  <si>
    <t>meringkas teks penjelasan (eksplanasi) dari media cetak atau elektronik</t>
  </si>
  <si>
    <t>enganalisis informasi yang disampaikan paparan iklan dari media cetak atau elektronik</t>
  </si>
  <si>
    <t>menggali informasi penting dari teks narasi sejarah yang disajikan secara lisan dan tulis menggunakan aspek: apa, di mana, kapan, siapa, mengapa, dan bagaimana</t>
  </si>
  <si>
    <t>menggali isi dan amanat pantun yang disajikan secara lisan dan tulis dengan tujuan untuk kesenangan</t>
  </si>
  <si>
    <t>menguraikan konsep-konsep yang saling berkaitan pada teks nonfiksi</t>
  </si>
  <si>
    <t>menguraikan urutan peristiwa atau tindakan yang terdapat pada teks nonfiksi</t>
  </si>
  <si>
    <t>mencermati penggunaan kalimat efektif dan ejaan dalam surat undangan (ulang tahun, kegiatan sekolah, kenaikan kelas, dll.)</t>
  </si>
  <si>
    <t>mengidentifikasi nilai-nilai Pancasila dalam kehidupan sehari-hari</t>
  </si>
  <si>
    <t>memahami hak, kewajiban dan tanggung jawab sebagai warga dalam kehidupan sehari-hari</t>
  </si>
  <si>
    <t>menelaah keberagaman sosial budaya masyarakat</t>
  </si>
  <si>
    <t>menggali manfaat persatuan dan kesatuan untuk membangun kerukunan hidup</t>
  </si>
  <si>
    <t>menjelaskan dan melakukan penjumlahan dan pengurangan dua pecahan dengan penyebut berbeda</t>
  </si>
  <si>
    <t>menjelaskan dan melakukan perkalian dan pembagian pecahan dan desimal</t>
  </si>
  <si>
    <t>menjelaskan perbandingan dua besaran yang berbeda (kecepatan sebagai perbandingan jarak dengan waktu, debit sebagai perbandingan volume dan waktu)</t>
  </si>
  <si>
    <t>menjelaskan skala melalui denah</t>
  </si>
  <si>
    <t>menjelaskan, dan menentukan volume bangun ruang dengan menggunakan satuan volume (seperti kubus satuan) serta hubungan pangkat tiga dengan akar pangkat tiga</t>
  </si>
  <si>
    <t>menjelaskan dan menemukan jaring-jaring bangun ruang sederhana (kubus dan balok)</t>
  </si>
  <si>
    <t>menjelaskan data yang berkaitan dengan diri peserta didik atau lingkungan sekitar serta cara pengumpulannya</t>
  </si>
  <si>
    <t>menjelaskan penyajian data yang berkaitan dengan diri peserta didik dan membandingkan dengan data dari lingkungan sekitar dalam bentuk daftar, tabel, diagram gambar (piktogram), diagram batang, atau diagram garis</t>
  </si>
  <si>
    <t>menjelaskan alat gerak dan fungsinya pada hewan dan manusia serta cara memelihara kesehatan alat gerak manusia</t>
  </si>
  <si>
    <t>menjelaskan organ pernafasan dan fungsinya pada hewan dan manusia, serta cara memelihara kesehatan organ pernapasan manusia</t>
  </si>
  <si>
    <t>menjelaskan organ pencernaan dan fungsinya pada hewan dan manusia serta cara memelihara kesehatan organ pencernaan manusia</t>
  </si>
  <si>
    <t>menjelaskan organ peredaran darah dan fungsinya pada hewan dan manusia serta cara memelihara kesehatan organ peredaran darah manusia</t>
  </si>
  <si>
    <t>menganalisis hubungan antar komponen ekosistem dan jaring-jaring makanan di lingkungan sekitar</t>
  </si>
  <si>
    <t>menerapkan konsep perpindahan kalor dalam kehidupan sehari-hari</t>
  </si>
  <si>
    <t xml:space="preserve"> menganalisis pengaruh kalor terhadap perubahan suhu dan wujud benda dalam kehidupan sehari-hari</t>
  </si>
  <si>
    <t>menganalisis siklus air dan dampaknya pada peristiwa di bumi serta kelangsungan mahluk hidup</t>
  </si>
  <si>
    <t>mengelompokkan materi dalam kehidupan sehari-hari berdasarkan komponen penyusunnya (zat tunggal dan campuran)</t>
  </si>
  <si>
    <t xml:space="preserve">mengidentifikasi karakteristik geografis Indonesia sebagai negara kepulauan/maritim dan agraris serta pengaruhnya terhadap kehidupan ekonomi, sosial, budaya, komunikasi, serta transportasi. </t>
  </si>
  <si>
    <t>menganalisis bentuk bentuk interaksi manusia dengan lingkungan dan pengaruhnya terhadap pembangunan sosial, budaya, dan ekonomi masyarakat Indonesia.</t>
  </si>
  <si>
    <t>menganalisis peran ekonomi dalam upaya menyejahterakan kehidupan masyarakat di bidang sosial dan budaya untuk memperkuat kesatuan dan persatuan bangsa.</t>
  </si>
  <si>
    <t>mengidentifikasi faktor-faktor penting penyebab penjajahan bangsa Indonesia dan upaya bangsa Indonesia dalam mempertahankan kedaulatannya.</t>
  </si>
  <si>
    <t>memahami gambar cerita</t>
  </si>
  <si>
    <t>memahami tangga nada</t>
  </si>
  <si>
    <t>memahami pola lantai dalam tari kreasi daerah</t>
  </si>
  <si>
    <t>memahami karya seni rupa daerah</t>
  </si>
  <si>
    <t>menerapkan kombinasi gerak lokomotor, non-lokomotor, dan manipulatif</t>
  </si>
  <si>
    <t>menerapkan prosedur kombinasi gerak dasar lokomotor, nonlokomotor, dan manipulatif</t>
  </si>
  <si>
    <t>menerapkan prosedur kombinasi gerak dasar jalan, lari, lompat, dan lempar melalui permainan/olahraga</t>
  </si>
  <si>
    <t>menerapkan prosedur variasi gerak dasar lokomotor dan non lokomotor untuk  membentuk gerak dasar seni beladiri</t>
  </si>
  <si>
    <t>memahami prosedur aktivitas latihan daya tahan jantung (cardio respiratory) untuk pengembangan kebugaran jasmani</t>
  </si>
  <si>
    <t>menerapkan prosedur kombinasi pola gerak dominan untuk membentuk
keterampilan dasar senam menggunakan alat</t>
  </si>
  <si>
    <t>menerapkan prosedur penggunaan kombinasi gerak dasar langkah dan ayunan lengan mengikuti irama (ketukan) tanpa/dengan musik</t>
  </si>
  <si>
    <t>menerapkan prosedur salah satu gaya renang dengan koordinasi yang baik</t>
  </si>
  <si>
    <t>memahami teks deskriptif tentang peristiwa alam dan adat istiadat.</t>
  </si>
  <si>
    <t>memahami tembang macapat Kinanthi, dan geguritan.</t>
  </si>
  <si>
    <t>memahami  wayang (Ramayana), pakaian tradisional, dan gamelan.</t>
  </si>
  <si>
    <t>memahami unggah-ungguh basa untuk tanya jawab dan menyampaikan ajakan kepada orang lain.</t>
  </si>
  <si>
    <t>memahami kata dan kalimat beraksara Jawa yang mengandung  pasangan.</t>
  </si>
  <si>
    <t>menyajikan hasil identifikasi nilai-nilai Pancasila dalam kehidupan sehari-hari</t>
  </si>
  <si>
    <t>menjelaskan hak, kewajiban, dan tanggung jawab sebagai warga masyarakat dalam kehidupan sehari-hari</t>
  </si>
  <si>
    <t>menyelenggarakan kegiatan yang mendukung keberagaman sosial budaya masyarakat</t>
  </si>
  <si>
    <t>menyajikan hasil penggalian tentang manfaat persatuan dan kesatuan untuk membangun kerukunan.</t>
  </si>
  <si>
    <t>menyajikan hasil identifikasi pokok pikiran dalam teks tulis dan lisan secara lisan, tulis, dan visual</t>
  </si>
  <si>
    <t xml:space="preserve">menyajikan hasil klasifikasi informasi yang didapat dari buku yang dikelompokkan dalam aspek: apa, di mana, kapan, siapa, mengapa, dan bagaimana </t>
  </si>
  <si>
    <t>menyajikan ringkasan teks penjelasan (eksplanasi) dari media cetak atau elektronik dengan menggunakan kosakata baku dan kalimat efektif secara lisan, tulis, dan visual</t>
  </si>
  <si>
    <t>memeragakan kembali informasi yang disampaikan paparan iklan dari media cetak atau elektronik dengan bantuan lisan, tulis, dan visual</t>
  </si>
  <si>
    <t>memaparkan informasi penting dari teks narasi sejarah menggunakan aspek: apa, di mana, kapan, siapa, mengapa, dan bagaimana serta kosakata baku dan kalimat efektif</t>
  </si>
  <si>
    <t>melisankan pantun hasil karya pribadi dengan lafal, intonasi, dan ekspresi yang tepat sebagai bentuk ungkapan diri</t>
  </si>
  <si>
    <t>menyajikan konsep-konsep yang saling berkaitan pada teks nonfiksi ke dalam tulisan dengan bahasa sendiri</t>
  </si>
  <si>
    <t>menyajikan kembali peristiwa atau tindakan dengan memperhatikan latar cerita yang terdapat pada teks fiksi</t>
  </si>
  <si>
    <t>membuat surat undangan (ulang tahun, kegiatan sekolah, kenaikan kelas, dll.) dengan kalimat efektif dan memperhati-kan penggunaan ejaan</t>
  </si>
  <si>
    <t>menyelesaikan masalah yang berkaitan dengan penjumlahan dan pengurangan dua pecahan dengan penyebut berbeda</t>
  </si>
  <si>
    <t>menyelesaikan masalah yang berkaitan dengan perkalian dan pembagian pecahan dan desimal</t>
  </si>
  <si>
    <t>menyelesaikan masalah yang berkaitan dengan perbandingan dua besaran yang berbeda (kecepatan, debit)</t>
  </si>
  <si>
    <t>menyelesaikan masalah yang berkaitan dengan skala pada denah</t>
  </si>
  <si>
    <t>menyelesaikan masalah yang berkaitan dengan volume bangun ruang dengan menggunakan satuan volume (seperti kubus satuan) melibatkan pangkat tiga dan akar pangkat tiga</t>
  </si>
  <si>
    <t>membuat jaring-jaring bangun ruang sederhana (kubus dan balok)</t>
  </si>
  <si>
    <t>menganalisis data yang berkaitan dengan diri peserta didik atau lingkungan sekitar serta cara pengumpulannya</t>
  </si>
  <si>
    <t>mengorganisasikan dan menyajikan data yang berkaitan dengan diri peserta didik dan membandingkan dengan data dari lingkungan sekitar dalam bentuk daftar, tabel, diagram gambar (piktogram), diagram batang, atau diagram garis</t>
  </si>
  <si>
    <t>membuat model sederhana alat gerak manusia atau hewan</t>
  </si>
  <si>
    <t>membuat model sederhana organ pernapasan manusia</t>
  </si>
  <si>
    <t>menyajikan karya tentang konsep organ dan fungsi pencernaan pada hewan atau manusia.</t>
  </si>
  <si>
    <t>menyajikan karya tentang organ peredaran darah pada manusia</t>
  </si>
  <si>
    <t>membuat karya tentang konsep jaring-jaring makanan dalam suatu ekosistem</t>
  </si>
  <si>
    <t>melaporkan hasil pengamatan tentang perpindahan kalor</t>
  </si>
  <si>
    <t>melaporkan hasil percobaan pengaruh kalor pada benda</t>
  </si>
  <si>
    <t>membuat karya tentang skema siklus air berdasarkan informasi dari berbagai sumber</t>
  </si>
  <si>
    <t>melaporkan hasil pengamatan sifat-sifat campuran dan komponen penyusunnya dalam kehidupan sehari-hari</t>
  </si>
  <si>
    <t>menyajikan hasil identifikasi karakteristik geografis Indonesia sebagai negara kepulauan/maritim dan agraris serta pengaruhnya terhadap kehidupan ekonomi, sosial, budaya, komunikasi, serta transportasi.</t>
  </si>
  <si>
    <t>menyajikan hasil analisis tentang interaksi manusia dengan lingkungan dan pengaruhnya terhadap pembangunan sosial, budaya, dan ekonomi masyarakat Indonesia.</t>
  </si>
  <si>
    <t>menyajikan hasil analisis tentang peran ekonomi dalam upaya menyejahterakan kehidupan masyarakat di bidang sosial dan budaya untuk memperkuat kesatuan dan persatuan bangsa.</t>
  </si>
  <si>
    <t>menyajikan hasil identifikasi mengenai faktor-faktor penting penyebab penjajahan bangsa Indonesia dan upaya bangsa Indonesia dalam mempertahankan kedaulatannya.</t>
  </si>
  <si>
    <t>membuat gambar cerita</t>
  </si>
  <si>
    <t>menyanyikan lagu-lagu dalam berbagai tangga nada dengan iringan musik</t>
  </si>
  <si>
    <t>mempraktikkan pola lantai pada gerak tari kreasi dearah</t>
  </si>
  <si>
    <t>membuat karya seni rupa daerah</t>
  </si>
  <si>
    <t>mempraktikkan kombinasi gerak lokomotor, non-lokomotor, dan manipulatif</t>
  </si>
  <si>
    <t>mempraktikkan kombinasi gerak dasar lokomotor, non-lokomotor, dan manipulatif</t>
  </si>
  <si>
    <t>mempraktikkan kombinasi gerak dasar jalan, lari, lompat, dan lempar melalui permainan/ olahraga</t>
  </si>
  <si>
    <t>mempraktikkan variasi gerak dasar lokomotor dan non lokomotor untuk membentuk
gerak dasar seni beladiri</t>
  </si>
  <si>
    <t>mempraktikkan aktivitas latihan daya tahan jantung (cardio respiratory) untuk
pengembangan kebugaran jasmani</t>
  </si>
  <si>
    <t>mempraktikkan kombinasi pola gerak dominan  untuk membentuk keterampilan dasar senam menggunakan alat</t>
  </si>
  <si>
    <t>mempraktikkan pengunaan kombinasi gerak dasar langkah dan ayunan lengan mengikuti irama (ketukan) tanpa/dengan musik</t>
  </si>
  <si>
    <t>mempraktikkan salah satu gaya renang dengan koordinasi yang baik pada jarak tertentu</t>
  </si>
  <si>
    <t>memaparkan perlunya pemeliharaan kebersihan alat reproduksi</t>
  </si>
  <si>
    <t>memaparkan bahaya merokok, meminum minuman keras, dan mengonsumsi narkotika, zat-zat aditif (NAPZA) dan obat berbahaya lainnya</t>
  </si>
  <si>
    <t>menyampaikan teks deskriptif tentang peristiwa alam dan adat istiadat.</t>
  </si>
  <si>
    <t>melantunkan tembang macapat Kinanthi, dan menjelaskan  geguritan.</t>
  </si>
  <si>
    <t>menceritakan wayang (Ramayana), pakaian tradisional, dan gamelan.</t>
  </si>
  <si>
    <t>menggunakan unggah-ungguh basa untuk tanya jawab dan menyampaikan ajakan kepada orang lain.</t>
  </si>
  <si>
    <t>menulis kata dan kalimat beraksara Jawa yang mengandung  pasangan.</t>
  </si>
  <si>
    <t>MAJELIS PENDIDIKAN DASAR DAN MENENGAH</t>
  </si>
  <si>
    <t>PIMPINAN DAERAH MUHAMMADIYAH KULON PROGO</t>
  </si>
  <si>
    <t>YOGYAKARTA</t>
  </si>
  <si>
    <t>SD MUHAMMADIYAH BENDO</t>
  </si>
  <si>
    <t>102040412029</t>
  </si>
  <si>
    <t>20403587</t>
  </si>
  <si>
    <t>Banjaroyo</t>
  </si>
  <si>
    <t>Kalibawang</t>
  </si>
  <si>
    <t>2019/2020</t>
  </si>
  <si>
    <t>1295423</t>
  </si>
  <si>
    <t>SRILESTARI, S.PdI</t>
  </si>
  <si>
    <t>TUTIK RAHAYU, S.Pd</t>
  </si>
  <si>
    <t>Amira Zerlinda</t>
  </si>
  <si>
    <t>Andrian Putra Pangestu</t>
  </si>
  <si>
    <t>Afif Rafiudin</t>
  </si>
  <si>
    <t>Indah Fitria Ningrum</t>
  </si>
  <si>
    <t>Ahmad Faiq Athaya</t>
  </si>
  <si>
    <t>Gresiya Suma Safitri</t>
  </si>
  <si>
    <t>Hasna Fathitya Sabrina</t>
  </si>
  <si>
    <t>Muhammad Ilham Sarifuddin</t>
  </si>
  <si>
    <t>Muhammad Raditya Ainul Yaqin</t>
  </si>
  <si>
    <t>Muhammad Shulhan Al-farisi</t>
  </si>
  <si>
    <t>Novaris Dwi Firmansyah</t>
  </si>
  <si>
    <t>Oktafiya Duwi Safitri</t>
  </si>
  <si>
    <t>Prastika Guntur Firmansyah</t>
  </si>
  <si>
    <t>Siti Musyafiani</t>
  </si>
  <si>
    <t>Tegar Arya Pangestu</t>
  </si>
  <si>
    <t>0153278170</t>
  </si>
  <si>
    <t>088476284</t>
  </si>
  <si>
    <t>083034124</t>
  </si>
  <si>
    <t>0072961067</t>
  </si>
  <si>
    <t>0086534500</t>
  </si>
  <si>
    <t>0095912960</t>
  </si>
  <si>
    <t>0083313497</t>
  </si>
  <si>
    <t>0087301623</t>
  </si>
  <si>
    <t>0155408388</t>
  </si>
  <si>
    <t>0095231681</t>
  </si>
  <si>
    <t>0153200473</t>
  </si>
  <si>
    <t>0072706748</t>
  </si>
  <si>
    <t>0083690882</t>
  </si>
  <si>
    <t>0098488467</t>
  </si>
  <si>
    <t>0158891388</t>
  </si>
  <si>
    <t>Afif</t>
  </si>
  <si>
    <t>Hasna</t>
  </si>
  <si>
    <t>Indah</t>
  </si>
  <si>
    <t>Tegar</t>
  </si>
  <si>
    <t>Athaya</t>
  </si>
  <si>
    <t>Amira</t>
  </si>
  <si>
    <t>Andri</t>
  </si>
  <si>
    <t>Gresia</t>
  </si>
  <si>
    <t>Ilham</t>
  </si>
  <si>
    <t>Shulhan</t>
  </si>
  <si>
    <t>Radit</t>
  </si>
  <si>
    <t>Varis</t>
  </si>
  <si>
    <t>Fitri</t>
  </si>
  <si>
    <t>Pras</t>
  </si>
  <si>
    <t>Fifi</t>
  </si>
  <si>
    <t>KULON PROGO, 27 Juni 2009</t>
  </si>
  <si>
    <t>MAGELANG, 28 Februari 2008</t>
  </si>
  <si>
    <t>MEDAN, 22  November 2008</t>
  </si>
  <si>
    <t>KULON PROGO, 22 Juni 2007</t>
  </si>
  <si>
    <t>KULON PROGO,10 Oktober 2008</t>
  </si>
  <si>
    <t>KULON PROGO,29 September 2009</t>
  </si>
  <si>
    <t>KULON PROGO, 2 Oktober 2008</t>
  </si>
  <si>
    <t>KULON PROGO, 21 Maret 2008</t>
  </si>
  <si>
    <t>KULON PROGO, 16 Juli 2008</t>
  </si>
  <si>
    <t>KULON PROGO, 01 Juni 2009</t>
  </si>
  <si>
    <t>MAGELANG, 17 November 2008</t>
  </si>
  <si>
    <t>KULON PROGO,15 Oktober 2007</t>
  </si>
  <si>
    <t>KULON PROGO, 3 Juli 2008</t>
  </si>
  <si>
    <t>KULON PROGO,10 September 2009</t>
  </si>
  <si>
    <t>KULON PROGO,13 Agustus 2008</t>
  </si>
  <si>
    <t>L</t>
  </si>
  <si>
    <t>SLANDEN</t>
  </si>
  <si>
    <t>POTRONALAN</t>
  </si>
  <si>
    <t>PANTOG WETAN</t>
  </si>
  <si>
    <t>PRANAN</t>
  </si>
  <si>
    <t>SEMAWUNG</t>
  </si>
  <si>
    <t>JUDARDIN</t>
  </si>
  <si>
    <t>SURAHMAN</t>
  </si>
  <si>
    <t>DUL JALIL</t>
  </si>
  <si>
    <t>EKO NURAHMAN SUROJO</t>
  </si>
  <si>
    <t>SUTARI</t>
  </si>
  <si>
    <t>NURCHOLIS</t>
  </si>
  <si>
    <t>FARIKIN</t>
  </si>
  <si>
    <t>SLAMET SULBANI</t>
  </si>
  <si>
    <t>SARYANTO</t>
  </si>
  <si>
    <t>SUNARDI</t>
  </si>
  <si>
    <t>KALIM</t>
  </si>
  <si>
    <t>ZURISAM</t>
  </si>
  <si>
    <t>HARYADI</t>
  </si>
  <si>
    <t>BANJAROYA</t>
  </si>
  <si>
    <t>Kec. Kalibawang</t>
  </si>
  <si>
    <t>AHMAD BAEHAQI</t>
  </si>
  <si>
    <t>MUHAMMAD ZUAMAR</t>
  </si>
  <si>
    <t>SUHARTINI</t>
  </si>
  <si>
    <t>PNS</t>
  </si>
  <si>
    <t>SRIATIN ANDAYANI</t>
  </si>
  <si>
    <t>Wiraswasta</t>
  </si>
  <si>
    <t xml:space="preserve">HARTINI </t>
  </si>
  <si>
    <t>Perangkat Desa</t>
  </si>
  <si>
    <t>IRT</t>
  </si>
  <si>
    <t>SUDARMAN</t>
  </si>
  <si>
    <t>SURMI</t>
  </si>
  <si>
    <t>Petani</t>
  </si>
  <si>
    <t>WIDARYANTI</t>
  </si>
  <si>
    <t>Karyawan Swasta</t>
  </si>
  <si>
    <t>DUL MUJID</t>
  </si>
  <si>
    <t>SUMYATI</t>
  </si>
  <si>
    <t>KISWANTI</t>
  </si>
  <si>
    <t>SITI KOMARI</t>
  </si>
  <si>
    <t>RUKATI</t>
  </si>
  <si>
    <t>ANIK MURYANI</t>
  </si>
  <si>
    <t>IKA LESTARI</t>
  </si>
  <si>
    <t>FRIDA PURWANTI</t>
  </si>
  <si>
    <t>SUYAMTI</t>
  </si>
  <si>
    <t>NURUL KHIFDIYAH</t>
  </si>
  <si>
    <t>SITI NURHIDAYAH</t>
  </si>
  <si>
    <t>Buruh</t>
  </si>
  <si>
    <t>TK PUSPA BUANA</t>
  </si>
  <si>
    <t xml:space="preserve">TK ABA III </t>
  </si>
  <si>
    <t>TK ABA BENDO</t>
  </si>
  <si>
    <t>TK IBNU ABBASVI</t>
  </si>
  <si>
    <t>TK AL HIDAYAH</t>
  </si>
  <si>
    <t>SENI LUKIS</t>
  </si>
  <si>
    <t>QIROAH</t>
  </si>
  <si>
    <t>BAHASA INGGRIS</t>
  </si>
  <si>
    <t>HADROH</t>
  </si>
  <si>
    <t>KOMPUTER</t>
  </si>
  <si>
    <t>TPA</t>
  </si>
  <si>
    <t>Keagamaan</t>
  </si>
  <si>
    <t>Juara 3 PildaCil tingkat Kabupaten</t>
  </si>
  <si>
    <t>bersih</t>
  </si>
  <si>
    <t xml:space="preserve">Ananda Afif  baik dalam menguasai Microsof Word dalam mengetik sebuah karangan, bagian- bagian surat, menggambar bentuk dan lain-lain. </t>
  </si>
  <si>
    <t xml:space="preserve">Ananda Athaya  mampu dalam menguasai Microsof Word dalam mengetik sebuah karangan, bagian- bagian surat, menggambar bentuk dan lain-lain. </t>
  </si>
  <si>
    <t xml:space="preserve">Ananda Amira  baik dalam menguasai Microsof Word dalam mengetik sebuah karangan, bagian- bagian surat, menggambar bentuk dan lain-lain. </t>
  </si>
  <si>
    <t>Ananda Afif baik dalam gerak, tangkisan, hindaran, maupun serangan. Siswa menguasai tata gerak kaki maupun tangan dengan benar.</t>
  </si>
  <si>
    <t>Ananda Athaya mampu menguasai serangan, tangkisan, hindaran, dengan sempurna. Siswa baik lintasan, ketepatan, dan bertenaga.</t>
  </si>
  <si>
    <t>Ananda Amira baik dalam gerak, tangkisan, hindaran, maupun serangan. Siswa menguasai tata gerak kaki maupun tangan dengan benar.</t>
  </si>
  <si>
    <t>Ananda Andri baik dalam gerak, tangkisan, hindaran, maupun serangan. Siswa menguasai tata gerak kaki maupun tangan dengan benar.</t>
  </si>
  <si>
    <t>Ananda Gresia baik dalam gerak, tangkisan, hindaran, maupun serangan. Siswa menguasai tata gerak kaki maupun tangan dengan benar.</t>
  </si>
  <si>
    <t>Ananda Hasna baik dalam gerak, tangkisan, hindaran, maupun serangan. Siswa menguasai tata gerak kaki maupun tangan dengan benar.</t>
  </si>
  <si>
    <t>Ananda Indah baik dalam gerak, tangkisan, hindaran, maupun serangan. Siswa menguasai tata gerak kaki maupun tangan dengan benar.</t>
  </si>
  <si>
    <t>Ananda Ilham baik dalam gerak, tangkisan, hindaran, maupun serangan. Siswa menguasai tata gerak kaki maupun tangan dengan benar.</t>
  </si>
  <si>
    <t>Ananda Radit baik dalam gerak, tangkisan, hindaran, maupun serangan. Siswa menguasai tata gerak kaki maupun tangan dengan benar.</t>
  </si>
  <si>
    <t>Ananda Siswa baik dalam gerak, tangkisan, hindaran, maupun serangan. Siswa menguasai tata gerak kaki maupun tangan dengan benar.</t>
  </si>
  <si>
    <t>Ananda Varis baik dalam gerak, tangkisan, hindaran, maupun serangan. Siswa menguasai tata gerak kaki maupun tangan dengan benar.</t>
  </si>
  <si>
    <t>Ananda Fitri baik dalam gerak, tangkisan, hindaran, maupun serangan. Siswa menguasai tata gerak kaki maupun tangan dengan benar.</t>
  </si>
  <si>
    <t>Ananda Pras baik dalam gerak, tangkisan, hindaran, maupun serangan. Siswa menguasai tata gerak kaki maupun tangan dengan benar.</t>
  </si>
  <si>
    <t>Ananda Fifi baik dalam gerak, tangkisan, hindaran, maupun serangan. Siswa menguasai tata gerak kaki maupun tangan dengan benar.</t>
  </si>
  <si>
    <t>Ananda Tegar baik dalam gerak, tangkisan, hindaran, maupun serangan. Siswa menguasai tata gerak kaki maupun tangan dengan benar.</t>
  </si>
  <si>
    <t xml:space="preserve">Ananda Andrian baik dalam menguasai Microsof Word dalam mengetik sebuah karangan, bagian- bagian surat, menggambar bentuk dan lain-lain. </t>
  </si>
  <si>
    <t xml:space="preserve">Ananda Gresia baik dalam menguasai Microsof Word dalam mengetik sebuah karangan, bagian- bagian surat, menggambar bentuk dan lain-lain. </t>
  </si>
  <si>
    <t xml:space="preserve">Ananda Hasna baik dalam menguasai Microsof Word dalam mengetik sebuah karangan, bagian- bagian surat, menggambar bentuk dan lain-lain. </t>
  </si>
  <si>
    <t xml:space="preserve">Ananda Indah mampu dalam menguasai Microsof Word dalam mengetik sebuah karangan, bagian- bagian surat, menggambar bentuk dan lain-lain. </t>
  </si>
  <si>
    <t xml:space="preserve">Ananda Ilham baik dalam menguasai Microsof Word dalam mengetik sebuah karangan, bagian- bagian surat, menggambar bentuk dan lain-lain. </t>
  </si>
  <si>
    <t xml:space="preserve">Ananda Radit baik dalam menguasai Microsof Word dalam mengetik sebuah karangan, bagian- bagian surat, menggambar bentuk dan lain-lain. </t>
  </si>
  <si>
    <t xml:space="preserve">Ananda Shulhan mampu dalam menguasai Microsof Word dalam mengetik sebuah karangan, bagian- bagian surat, menggambar bentuk dan lain-lain. </t>
  </si>
  <si>
    <t xml:space="preserve">Ananda Varis baik dalam menguasai Microsof Word dalam mengetik sebuah karangan, bagian- bagian surat, menggambar bentuk dan lain-lain. </t>
  </si>
  <si>
    <t xml:space="preserve">Ananda Fitri baik dalam menguasai Microsof Word dalam mengetik sebuah karangan, bagian- bagian surat, menggambar bentuk dan lain-lain. </t>
  </si>
  <si>
    <t xml:space="preserve">Ananda Pras mampu dalam menguasai Microsof Word dalam mengetik sebuah karangan, bagian- bagian surat, menggambar bentuk dan lain-lain. </t>
  </si>
  <si>
    <t xml:space="preserve">Ananda Fifi baik dalam menguasai Microsof Word dalam mengetik sebuah karangan, bagian- bagian surat, menggambar bentuk dan lain-lain. </t>
  </si>
  <si>
    <t xml:space="preserve">Ananda Tegar baik dalam menguasai Microsof Word dalam mengetik sebuah karangan, bagian- bagian surat, menggambar bentuk dan lain-lain. </t>
  </si>
  <si>
    <t>Ananda Afif baik dalam membaca Al Qur'an serta menghafal Surat Al Ghasiyah dan Surat Al A'la serta melafalkan doa sehari-hari.</t>
  </si>
  <si>
    <t>Ananda Ataya sangat baik dalam membaca Al Qur'an serta menghafal Surat Al Ghasiyah dan Surat Al A'la serta melafalkan doa sehari-hari.</t>
  </si>
  <si>
    <t>Ananda Amira sangat baik dalam membaca Al Qur'an serta menghafal Surat Al Ghasiyah dan Surat Al A'la serta melafalkan doa sehari-hari.</t>
  </si>
  <si>
    <t>Ananda Andri baik dalam membaca IQRO 6 serta menghafal Surat Al Ghasiyah dan Surat Al A'la serta melafalkan doa sehari-hari.</t>
  </si>
  <si>
    <t>Ananda Gresia sangat baik dalam membaca Al Qur'an serta menghafal Surat Al Ghasiyah dan Surat Al A'la serta melafalkan doa sehari-hari.</t>
  </si>
  <si>
    <t>Ananda Hasna sangat baik dalam membaca Al Qur'an serta menghafal Surat Al Ghasiyah dan Surat Al A'la serta melafalkan doa sehari-hari.</t>
  </si>
  <si>
    <t>Ananda Indah sangat baik dalam membaca Al Qur'an serta menghafal Surat Al Ghasiyah dan Surat Al A'la serta melafalkan doa sehari-hari.</t>
  </si>
  <si>
    <t>Ananda Ilham baik dalam membaca IQRO 6 serta menghafal Surat Al Ghasiyah dan Surat Al A'la serta melafalkan doa sehari-hari.</t>
  </si>
  <si>
    <t>Ananda Radit cukup baik dalam membaca IQRO 6 serta menghafal Surat Al Ghasiyah dan Surat Al A'la serta melafalkan doa sehari-hari.</t>
  </si>
  <si>
    <t>Ananda Shulhan sangat baik dalam membaca Al Qur'an serta menghafal Surat Al Ghasiyah dan Surat Al A'la serta melafalkan doa sehari-hari.</t>
  </si>
  <si>
    <t>Ananda Varis baik dalam membaca Al Qur'an serta menghafal Surat Al Ghasiyah dan Surat Al A'la serta melafalkan doa sehari-hari.</t>
  </si>
  <si>
    <t>Ananda Fitri cukup baik dalam membaca IQRO 5 serta menghafal Surat Al Ghasiyah dan Surat Al A'la serta melafalkan doa sehari-hari.</t>
  </si>
  <si>
    <t>Ananda Pras sangat baik dalam membaca Al Qur'an serta menghafal Surat Al Ghasiyah dan Surat Al A'la serta melafalkan doa sehari-hari.</t>
  </si>
  <si>
    <t>Ananda Fifi sangat baik dalam membaca Al Qur'an serta menghafal Surat Al Ghasiyah dan Surat Al A'la serta melafalkan doa sehari-hari.</t>
  </si>
  <si>
    <t>Ananda Tegar baik dalam membaca Al Qur'an serta menghafal Surat Al Ghasiyah dan Surat Al A'la serta melafalkan doa sehari-hari.</t>
  </si>
  <si>
    <t>Ananda Afif baik dalam membuat tali temali, sandi, morse serta mengikuti kegiatan gotong royong membersihkan lingkungan sekolah.</t>
  </si>
  <si>
    <t>Ananda Ataya sangat baik dalam membuat tali temali, sandi, morse serta mengikuti kegiatan gotong royong membersihkan lingkungan sekolah.</t>
  </si>
  <si>
    <t>Ananda Amira baik dalam membuat tali temali, sandi, morse serta mengikuti kegiatan gotong royong membersihkan lingkungan sekolah.</t>
  </si>
  <si>
    <t>Ananda Andri baik dalam membuat tali temali, sandi, morse serta mengikuti kegiatan gotong royong membersihkan lingkungan sekolah.</t>
  </si>
  <si>
    <t>Ananda Gresia baik dalam membuat tali temali, sandi, morse serta mengikuti kegiatan gotong royong membersihkan lingkungan sekolah.</t>
  </si>
  <si>
    <t>Ananda Hasna baik dalam membuat tali temali, sandi, morse serta mengikuti kegiatan gotong royong membersihkan lingkungan sekolah.</t>
  </si>
  <si>
    <t>Ananda Indah sangat baik dalam membuat tali temali, sandi, morse serta mengikuti kegiatan gotong royong membersihkan lingkungan sekolah.</t>
  </si>
  <si>
    <t>Ananda Ilham baik dalam membuat tali temali, sandi, morse serta mengikuti kegiatan gotong royong membersihkan lingkungan sekolah.</t>
  </si>
  <si>
    <t>Ananda Radit baik dalam membuat tali temali, sandi, morse serta mengikuti kegiatan gotong royong membersihkan lingkungan sekolah.</t>
  </si>
  <si>
    <t>Ananda Shulhan sangat baik dalam membuat tali temali, sandi, morse serta mengikuti kegiatan gotong royong membersihkan lingkungan sekolah.</t>
  </si>
  <si>
    <t>Ananda Varis baik dalam membuat tali temali, sandi, morse serta mengikuti kegiatan gotong royong membersihkan lingkungan sekolah.</t>
  </si>
  <si>
    <t>Ananda Fitri baik dalam membuat tali temali, sandi, morse serta mengikuti kegiatan gotong royong membersihkan lingkungan sekolah.</t>
  </si>
  <si>
    <t>Ananda Pras sangat baik dalam membuat tali temali, sandi, morse serta mengikuti kegiatan gotong royong membersihkan lingkungan sekolah.</t>
  </si>
  <si>
    <t>Ananda Fifi baik dalam membuat tali temali, sandi, morse serta mengikuti kegiatan gotong royong membersihkan lingkungan sekolah.</t>
  </si>
  <si>
    <t>Ananda Tegar baik dalam membuat tali temali, sandi, morse serta mengikuti kegiatan gotong royong membersihkan lingkungan sekolah.</t>
  </si>
  <si>
    <t>Ananda Afif baik dalam menggambar objek benda dua dimensi serta dapat mewarnai dengan teknik gradasi dua sampai tiga warna.</t>
  </si>
  <si>
    <t>Ananda Ataya sangat baik dalam menggambar objek benda dua dimensi serta dapat mewarnai dengan teknik gradasi dua sampai tiga warna.</t>
  </si>
  <si>
    <t>Ananda Andri baik dalam menggambar objek benda dua dimensi serta dapat mewarnai dengan teknik gradasi dua sampai tiga warna.</t>
  </si>
  <si>
    <t>Ananda Ilham baik dalam menggambar objek benda dua dimensi serta dapat mewarnai dengan teknik gradasi dua sampai tiga warna.</t>
  </si>
  <si>
    <t>Ananda Radit baik dalam menggambar objek benda dua dimensi serta dapat mewarnai dengan teknik gradasi dua sampai tiga warna.</t>
  </si>
  <si>
    <t>Ananda Shulhan baik dalam menggambar objek benda dua dimensi serta dapat mewarnai dengan teknik gradasi dua sampai tiga warna.</t>
  </si>
  <si>
    <t>Ananda Varis baik dalam menggambar objek benda dua dimensi serta dapat mewarnai dengan teknik gradasi dua sampai tiga warna.</t>
  </si>
  <si>
    <t>Ananda Pras baik dalam menggambar objek benda dua dimensi serta dapat mewarnai dengan teknik gradasi dua sampai tiga warna.</t>
  </si>
  <si>
    <t>Ananda Tegar sangat baik dalam menggambar objek benda dua dimensi serta dapat mewarnai dengan teknik gradasi dua sampai tiga warna.</t>
  </si>
  <si>
    <t>Tingkatkan prestasimu, lebih giat belajar di rumah!</t>
  </si>
  <si>
    <t>Pertahankan prestasimu, lebih giat belajar di rumah!</t>
  </si>
  <si>
    <t xml:space="preserve">Ananda Afif baik dalam memahami prosedur aktifitas latihan daya tahan jantung untuk pengembangan kebugaran jasmani, baik dalam memahami kombinasi gerak dasar lokomotor,nonlokomotor dan manipulatif. </t>
  </si>
  <si>
    <t xml:space="preserve">Ananda Athaya baik dalam memahami prosedur aktifitas latihan daya tahan jantung untuk pengembangan kebugaran jasmani, baik dalam memahami kombinasi gerak dasar lokomotor,nonlokomotor dan manipulatif. </t>
  </si>
  <si>
    <t xml:space="preserve">Ananda Amira baik dalam memahami prosedur aktifitas latihan daya tahan jantung untuk pengembangan kebugaran jasmani, baik dalam memahami kombinasi gerak dasar lokomotor,nonlokomotor dan manipulatif. </t>
  </si>
  <si>
    <t xml:space="preserve">Ananda Andri baik dalam memahami prosedur aktifitas latihan daya tahan jantung untuk pengembangan kebugaran jasmani, baik dalam memahami kombinasi gerak dasar lokomotor,nonlokomotor dan manipulatif. </t>
  </si>
  <si>
    <t xml:space="preserve">Ananda Gresia baik dalam memahami prosedur aktifitas latihan daya tahan jantung untuk pengembangan kebugaran jasmani, baik dalam memahami kombinasi gerak dasar lokomotor,nonlokomotor dan manipulatif. </t>
  </si>
  <si>
    <t xml:space="preserve">Ananda Hasna baik dalam memahami prosedur aktifitas latihan daya tahan jantung untuk pengembangan kebugaran jasmani, baik dalam memahami kombinasi gerak dasar lokomotor,nonlokomotor dan manipulatif. </t>
  </si>
  <si>
    <t xml:space="preserve">Ananda Indah baik dalam memahami prosedur aktifitas latihan daya tahan jantung untuk pengembangan kebugaran jasmani, baik dalam memahami kombinasi gerak dasar lokomotor,nonlokomotor dan manipulatif. </t>
  </si>
  <si>
    <t xml:space="preserve">Ananda Ilham baik dalam memahami prosedur aktifitas latihan daya tahan jantung untuk pengembangan kebugaran jasmani, baik dalam memahami kombinasi gerak dasar lokomotor,nonlokomotor dan manipulatif. </t>
  </si>
  <si>
    <t xml:space="preserve">Ananda Radit baik dalam memahami prosedur aktifitas latihan daya tahan jantung untuk pengembangan kebugaran jasmani, baik dalam memahami kombinasi gerak dasar lokomotor,nonlokomotor dan manipulatif. </t>
  </si>
  <si>
    <t xml:space="preserve">Ananda Shulhan baik dalam memahami prosedur aktifitas latihan daya tahan jantung untuk pengembangan kebugaran jasmani, baik dalam memahami kombinasi gerak dasar lokomotor,nonlokomotor dan manipulatif. </t>
  </si>
  <si>
    <t xml:space="preserve">Ananda Varis baik dalam memahami prosedur aktifitas latihan daya tahan jantung untuk pengembangan kebugaran jasmani, baik dalam memahami kombinasi gerak dasar lokomotor,nonlokomotor dan manipulatif. </t>
  </si>
  <si>
    <t xml:space="preserve">Ananda Fitri baik dalam memahami prosedur aktifitas latihan daya tahan jantung untuk pengembangan kebugaran jasmani, baik dalam memahami kombinasi gerak dasar lokomotor,nonlokomotor dan manipulatif. </t>
  </si>
  <si>
    <t xml:space="preserve">Ananda Pras baik dalam memahami prosedur aktifitas latihan daya tahan jantung untuk pengembangan kebugaran jasmani, baik dalam memahami kombinasi gerak dasar lokomotor,nonlokomotor dan manipulatif. </t>
  </si>
  <si>
    <t xml:space="preserve">Ananda Fifi baik dalam memahami prosedur aktifitas latihan daya tahan jantung untuk pengembangan kebugaran jasmani, baik dalam memahami kombinasi gerak dasar lokomotor,nonlokomotor dan manipulatif. </t>
  </si>
  <si>
    <t xml:space="preserve">Ananda Tegar baik dalam memahami prosedur aktifitas latihan daya tahan jantung untuk pengembangan kebugaran jasmani, baik dalam memahami kombinasi gerak dasar lokomotor,nonlokomotor dan manipulatif. </t>
  </si>
  <si>
    <t>Ananda Afif baik dalam mempraktikkan kombinasi gerak dasar lokomotor , nonlokomotor dan manipulatif serta baik dalam mempraktikkan aktifitas latihan daya jantung untuk pengembangan kebugaran jasmani.</t>
  </si>
  <si>
    <t>Ananda Athaya baik dalam mempraktikkan kombinasi gerak dasar lokomotor , nonlokomotor dan manipulatif serta baik dalam mempraktikkan aktifitas latihan daya jantung untuk pengembangan kebugaran jasmani.</t>
  </si>
  <si>
    <t>Ananda Amira baik dalam mempraktikkan kombinasi gerak dasar lokomotor , nonlokomotor dan manipulatif serta baik dalam mempraktikkan aktifitas latihan daya jantung untuk pengembangan kebugaran jasmani.</t>
  </si>
  <si>
    <t>Ananda Andri baik dalam mempraktikkan kombinasi gerak dasar lokomotor , nonlokomotor dan manipulatif serta baik dalam mempraktikkan aktifitas latihan daya jantung untuk pengembangan kebugaran jasmani.</t>
  </si>
  <si>
    <t>Ananda Gresia baik dalam mempraktikkan kombinasi gerak dasar lokomotor , nonlokomotor dan manipulatif serta baik dalam mempraktikkan aktifitas latihan daya jantung untuk pengembangan kebugaran jasmani.</t>
  </si>
  <si>
    <t>Ananda Hasna baik dalam mempraktikkan kombinasi gerak dasar lokomotor , nonlokomotor dan manipulatif serta baik dalam mempraktikkan aktifitas latihan daya jantung untuk pengembangan kebugaran jasmani.</t>
  </si>
  <si>
    <t>Ananda Indah baik dalam mempraktikkan kombinasi gerak dasar lokomotor , nonlokomotor dan manipulatif serta baik dalam mempraktikkan aktifitas latihan daya jantung untuk pengembangan kebugaran jasmani.</t>
  </si>
  <si>
    <t>Ananda Ilham baik dalam mempraktikkan kombinasi gerak dasar lokomotor , nonlokomotor dan manipulatif serta baik dalam mempraktikkan aktifitas latihan daya jantung untuk pengembangan kebugaran jasmani.</t>
  </si>
  <si>
    <t>Ananda Radit baik dalam mempraktikkan kombinasi gerak dasar lokomotor , nonlokomotor dan manipulatif serta baik dalam mempraktikkan aktifitas latihan daya jantung untuk pengembangan kebugaran jasmani.</t>
  </si>
  <si>
    <t>Ananda Shulhan baik dalam mempraktikkan kombinasi gerak dasar lokomotor , nonlokomotor dan manipulatif serta baik dalam mempraktikkan aktifitas latihan daya jantung untuk pengembangan kebugaran jasmani.</t>
  </si>
  <si>
    <t>Ananda Varis baik dalam mempraktikkan kombinasi gerak dasar lokomotor , nonlokomotor dan manipulatif serta baik dalam mempraktikkan aktifitas latihan daya jantung untuk pengembangan kebugaran jasmani.</t>
  </si>
  <si>
    <t>Ananda Fitri baik dalam mempraktikkan kombinasi gerak dasar lokomotor , nonlokomotor dan manipulatif serta baik dalam mempraktikkan aktifitas latihan daya jantung untuk pengembangan kebugaran jasmani.</t>
  </si>
  <si>
    <t>Ananda Pras baik dalam mempraktikkan kombinasi gerak dasar lokomotor , nonlokomotor dan manipulatif serta baik dalam mempraktikkan aktifitas latihan daya jantung untuk pengembangan kebugaran jasmani.</t>
  </si>
  <si>
    <t>Ananda Fifi baik dalam mempraktikkan kombinasi gerak dasar lokomotor , nonlokomotor dan manipulatif serta baik dalam mempraktikkan aktifitas latihan daya jantung untuk pengembangan kebugaran jasmani.</t>
  </si>
  <si>
    <t>Ananda Tegar baik dalam mempraktikkan kombinasi gerak dasar lokomotor , nonlokomotor dan manipulatif serta baik dalam mempraktikkan aktifitas latihan daya jantung untuk pengembangan kebugaran jasmani.</t>
  </si>
  <si>
    <t xml:space="preserve">Ananda Afif sangat baik menguasai dan memahami Things at School, Part of Body, dan Vocabulary Of Family </t>
  </si>
  <si>
    <t xml:space="preserve">Ananda Athaya sangat baik menguasai dan memahami Things at School, Part of Body, dan Vocabulary Of Family </t>
  </si>
  <si>
    <t xml:space="preserve">Ananda Amira baik menguasai dan memahami Things at School, Part of Body, dan Vocabulary Of Family </t>
  </si>
  <si>
    <t xml:space="preserve">Ananda Andri  baik menguasai dan memahami Things at School, Part of Body, dan Vocabulary Of Family </t>
  </si>
  <si>
    <t xml:space="preserve">Ananda Gresia  baik menguasai dan memahami Things at School, Part of Body, dan Vocabulary Of Family </t>
  </si>
  <si>
    <t xml:space="preserve">Ananda Hasna baik menguasai dan memahami Things at School, Part of Body, dan Vocabulary Of Family </t>
  </si>
  <si>
    <t xml:space="preserve">Ananda Indah  baik menguasai dan memahami Things at School, Part of Body, dan Vocabulary Of Family </t>
  </si>
  <si>
    <t xml:space="preserve">Ananda Ilham baik menguasai dan memahami Things at School, Part of Body, dan Vocabulary Of Family </t>
  </si>
  <si>
    <t xml:space="preserve">Ananda Radit  baik menguasai dan memahami Things at School, Part of Body, dan Vocabulary Of Family </t>
  </si>
  <si>
    <t xml:space="preserve">Ananda Shulhan  sangat baik menguasai dan memahami Things at School, Part of Body, dan Vocabulary Of Family </t>
  </si>
  <si>
    <t xml:space="preserve">Ananda Varis  sangat baik menguasai dan memahami Things at School, Part of Body, dan Vocabulary Of Family </t>
  </si>
  <si>
    <t xml:space="preserve">Ananda Fitri  baik menguasai dan memahami Things at School, Part of Body, dan Vocabulary Of Family </t>
  </si>
  <si>
    <t xml:space="preserve">Ananda Pras  baik menguasai dan memahami Things at School, Part of Body, dan Vocabulary Of Family </t>
  </si>
  <si>
    <t xml:space="preserve">Ananda Fifi  baik menguasai dan memahami Things at School, Part of Body, dan Vocabulary Of Family </t>
  </si>
  <si>
    <t xml:space="preserve">Ananda Tegar  baik menguasai dan memahami Things at School, Part of Body, dan Vocabulary Of Family </t>
  </si>
  <si>
    <t>Ananda  Afif  baik dalam meningkatkan kreatifitas, rasa kecintaan pada budaya Islam dan menumbuhkan seni dan keagamaan melalui lagu-lagu Islam.</t>
  </si>
  <si>
    <t>Ananda Amira baik dalam meningkatkan kreatifitas, rasa kecintaan pada budaya Islam dan menumbuhkan seni dan keagamaan melalui lagu-lagu Islam.</t>
  </si>
  <si>
    <t>Ananda Andri  baik dalam meningkatkan kreatifitas, rasa kecintaan pada budaya Islam dan menumbuhkan seni dan keagamaan melalui lagu-lagu Islam.</t>
  </si>
  <si>
    <t>Ananda Gresia baik dalam meningkatkan kreatifitas, rasa kecintaan pada budaya Islam dan menumbuhkan seni dan keagamaan melalui lagu-lagu Islam.</t>
  </si>
  <si>
    <t>Ananda Hasna baik dalam meningkatkan kreatifitas, rasa kecintaan pada budaya Islam dan menumbuhkan seni dan keagamaan melalui lagu-lagu Islam.</t>
  </si>
  <si>
    <t>Ananda Indah baik dalam meningkatkan kreatifitas, rasa kecintaan pada budaya Islam dan menumbuhkan seni dan keagamaan melalui lagu-lagu Islam.</t>
  </si>
  <si>
    <t>Ananda Ilham baik dalam meningkatkan kreatifitas, rasa kecintaan pada budaya Islam dan menumbuhkan seni dan keagamaan melalui lagu-lagu Islam.</t>
  </si>
  <si>
    <t>Ananda Radit baik dalam meningkatkan kreatifitas, rasa kecintaan pada budaya Islam dan menumbuhkan seni dan keagamaan melalui lagu-lagu Islam.</t>
  </si>
  <si>
    <t>Ananda Shulhan baik dalam meningkatkan kreatifitas, rasa kecintaan pada budaya Islam dan menumbuhkan seni dan keagamaan melalui lagu-lagu Islam.</t>
  </si>
  <si>
    <t>Ananda Varis  baik dalam meningkatkan kreatifitas, rasa kecintaan pada budaya Islam dan menumbuhkan seni dan keagamaan melalui lagu-lagu Islam.</t>
  </si>
  <si>
    <t>Ananda Fitri  baik dalam meningkatkan kreatifitas, rasa kecintaan pada budaya Islam dan menumbuhkan seni dan keagamaan melalui lagu-lagu Islam.</t>
  </si>
  <si>
    <t>Ananda Pras  baik dalam meningkatkan kreatifitas, rasa kecintaan pada budaya Islam dan menumbuhkan seni dan keagamaan melalui lagu-lagu Islam.</t>
  </si>
  <si>
    <t>Ananda Fifi  baik dalam meningkatkan kreatifitas, rasa kecintaan pada budaya Islam dan menumbuhkan seni dan keagamaan melalui lagu-lagu Islam.</t>
  </si>
  <si>
    <t>Ananda Tegar baik dalam meningkatkan kreatifitas, rasa kecintaan pada budaya Islam dan menumbuhkan seni dan keagamaan melalui lagu-lagu Islam.</t>
  </si>
  <si>
    <t>Ananda Amira sangat baik dalam menirukan lagu, perlu ditingkatkan dalam makrajul huruf.</t>
  </si>
  <si>
    <t>Ananda Gresia baik dalam menirukan lagu, perlu ditingkatkan dalam makrajul huruf.</t>
  </si>
  <si>
    <t>Ananda Hasna baik dalam menirukan lagu, perlu ditingkatkan dalam makrajul huruf.</t>
  </si>
  <si>
    <t>Ananda Indah baik dalam menirukan lagu, perlu ditingkatkan dalam makrajul huruf.</t>
  </si>
  <si>
    <t>Ananda Fitri cukup dalam menirukan lagu, perlu ditingkatkan dalam makrajul huruf.</t>
  </si>
  <si>
    <t>Ananda Fifi baik dalam menirukan lagu, perlu ditingkatkan dalam makrajul huruf.</t>
  </si>
  <si>
    <t>Pranan, 20 Desember 2019</t>
  </si>
  <si>
    <t>HIZBUL WATHAN</t>
  </si>
  <si>
    <t>TAPAK SUCI</t>
  </si>
  <si>
    <t>Ananda Athaya baik dalam meningkatkan kreatifitas, rasa kecintaan pada budaya Islam dan menumbuhkan seni dan keagamaan melalui lagu-lagu Islam.</t>
  </si>
  <si>
    <t>Pranan, Banjaroyo, Kalibawang, Kulon Progo</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</si>
</sst>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421]dd\ mmmm\ yyyy;@"/>
  </numFmts>
  <fonts count="80">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2"/>
      <color theme="1"/>
      <name val="Calibri"/>
      <family val="2"/>
      <scheme val="minor"/>
    </font>
    <font>
      <b/>
      <sz val="10"/>
      <color theme="1"/>
      <name val="Times New Roman"/>
      <family val="1"/>
    </font>
    <font>
      <sz val="10"/>
      <color theme="1"/>
      <name val="Calibri"/>
      <family val="2"/>
      <scheme val="minor"/>
    </font>
    <font>
      <b/>
      <sz val="12"/>
      <color theme="1"/>
      <name val="Arial"/>
      <family val="2"/>
    </font>
    <font>
      <sz val="10"/>
      <color rgb="FFFF0000"/>
      <name val="Calibri"/>
      <family val="2"/>
      <charset val="1"/>
      <scheme val="minor"/>
    </font>
    <font>
      <sz val="10"/>
      <color theme="1"/>
      <name val="Arial"/>
      <family val="2"/>
    </font>
    <font>
      <sz val="11"/>
      <color theme="1"/>
      <name val="Arial"/>
      <family val="2"/>
    </font>
    <font>
      <b/>
      <sz val="11"/>
      <color theme="1"/>
      <name val="Arial"/>
      <family val="2"/>
    </font>
    <font>
      <sz val="11"/>
      <name val="Arial"/>
      <family val="2"/>
    </font>
    <font>
      <sz val="11"/>
      <color rgb="FF0000FF"/>
      <name val="Calibri"/>
      <family val="2"/>
      <scheme val="minor"/>
    </font>
    <font>
      <sz val="20"/>
      <color rgb="FFFFFF00"/>
      <name val="Aharoni"/>
      <charset val="177"/>
    </font>
    <font>
      <sz val="12"/>
      <color theme="1"/>
      <name val="Times New Roman"/>
      <family val="1"/>
    </font>
    <font>
      <b/>
      <sz val="24"/>
      <color theme="0"/>
      <name val="Calibri"/>
      <family val="2"/>
      <scheme val="minor"/>
    </font>
    <font>
      <b/>
      <sz val="20"/>
      <color rgb="FFFFFF00"/>
      <name val="Aharoni"/>
      <charset val="177"/>
    </font>
    <font>
      <b/>
      <sz val="20"/>
      <color theme="1"/>
      <name val="Times New Roman"/>
      <family val="1"/>
    </font>
    <font>
      <sz val="11"/>
      <color theme="1"/>
      <name val="Times New Roman"/>
      <family val="1"/>
    </font>
    <font>
      <sz val="12"/>
      <color theme="1"/>
      <name val="Calibri"/>
      <family val="2"/>
      <scheme val="minor"/>
    </font>
    <font>
      <b/>
      <sz val="24"/>
      <color theme="1"/>
      <name val="Calibri"/>
      <family val="2"/>
      <scheme val="minor"/>
    </font>
    <font>
      <u/>
      <sz val="8.8000000000000007"/>
      <color theme="10"/>
      <name val="Calibri"/>
      <family val="2"/>
    </font>
    <font>
      <b/>
      <sz val="18"/>
      <color theme="1"/>
      <name val="Calibri"/>
      <family val="2"/>
      <scheme val="minor"/>
    </font>
    <font>
      <b/>
      <sz val="9"/>
      <color theme="1"/>
      <name val="Times New Roman"/>
      <family val="1"/>
    </font>
    <font>
      <b/>
      <sz val="13"/>
      <color theme="0"/>
      <name val="Miriam"/>
      <family val="2"/>
      <charset val="177"/>
    </font>
    <font>
      <b/>
      <sz val="12"/>
      <name val="Arial Narrow"/>
      <family val="2"/>
    </font>
    <font>
      <sz val="20"/>
      <color rgb="FF0000FF"/>
      <name val="Calibri"/>
      <family val="2"/>
      <scheme val="minor"/>
    </font>
    <font>
      <sz val="28"/>
      <color theme="1"/>
      <name val="Calibri"/>
      <family val="2"/>
      <scheme val="minor"/>
    </font>
    <font>
      <b/>
      <sz val="12"/>
      <color theme="1"/>
      <name val="Times New Roman"/>
      <family val="1"/>
    </font>
    <font>
      <sz val="11"/>
      <color rgb="FFFFFFFF"/>
      <name val="Calibri"/>
      <family val="2"/>
      <scheme val="minor"/>
    </font>
    <font>
      <b/>
      <sz val="14"/>
      <color theme="1"/>
      <name val="Calibri"/>
      <family val="2"/>
      <scheme val="minor"/>
    </font>
    <font>
      <sz val="11"/>
      <color theme="1"/>
      <name val="Calibri"/>
      <family val="2"/>
      <charset val="1"/>
      <scheme val="minor"/>
    </font>
    <font>
      <b/>
      <sz val="11"/>
      <name val="Arial"/>
      <family val="2"/>
    </font>
    <font>
      <sz val="10"/>
      <name val="Arial"/>
      <family val="2"/>
    </font>
    <font>
      <sz val="8"/>
      <color theme="1"/>
      <name val="Calibri"/>
      <family val="2"/>
      <scheme val="minor"/>
    </font>
    <font>
      <sz val="24"/>
      <color theme="1"/>
      <name val="Arial Black"/>
      <family val="2"/>
    </font>
    <font>
      <sz val="12"/>
      <color rgb="FF000000"/>
      <name val="Times New Roman"/>
      <family val="1"/>
    </font>
    <font>
      <sz val="22"/>
      <color theme="1"/>
      <name val="Calibri"/>
      <family val="2"/>
      <scheme val="minor"/>
    </font>
    <font>
      <b/>
      <sz val="20"/>
      <color rgb="FF0000FF"/>
      <name val="Calibri"/>
      <family val="2"/>
    </font>
    <font>
      <b/>
      <sz val="11"/>
      <color rgb="FF000000"/>
      <name val="Calibri"/>
      <family val="2"/>
      <scheme val="minor"/>
    </font>
    <font>
      <sz val="16"/>
      <color theme="1"/>
      <name val="Calibri"/>
      <family val="2"/>
      <scheme val="minor"/>
    </font>
    <font>
      <sz val="10"/>
      <color theme="1"/>
      <name val="Times New Roman"/>
      <family val="1"/>
    </font>
    <font>
      <sz val="9"/>
      <name val="Arial"/>
      <family val="2"/>
    </font>
    <font>
      <sz val="11"/>
      <color rgb="FF000000"/>
      <name val="Arial"/>
      <family val="2"/>
    </font>
    <font>
      <sz val="11"/>
      <color rgb="FF00B050"/>
      <name val="Arial"/>
      <family val="2"/>
    </font>
    <font>
      <sz val="8"/>
      <color theme="1"/>
      <name val="Arial"/>
      <family val="2"/>
    </font>
    <font>
      <b/>
      <sz val="10"/>
      <color theme="1"/>
      <name val="Calibri"/>
      <family val="2"/>
      <scheme val="minor"/>
    </font>
    <font>
      <sz val="12"/>
      <color theme="1"/>
      <name val="Arial"/>
      <family val="2"/>
    </font>
    <font>
      <sz val="11"/>
      <color theme="1"/>
      <name val="Arial Narrow"/>
      <family val="2"/>
    </font>
    <font>
      <sz val="11"/>
      <color theme="1"/>
      <name val="Cambria"/>
      <family val="1"/>
    </font>
    <font>
      <sz val="9"/>
      <color theme="1"/>
      <name val="Calibri"/>
      <family val="2"/>
      <scheme val="minor"/>
    </font>
    <font>
      <sz val="16"/>
      <color theme="1"/>
      <name val="Arial"/>
      <family val="2"/>
    </font>
    <font>
      <sz val="20"/>
      <color theme="1"/>
      <name val="Arial"/>
      <family val="2"/>
    </font>
    <font>
      <sz val="14"/>
      <color theme="1"/>
      <name val="Arial"/>
      <family val="2"/>
    </font>
    <font>
      <sz val="36"/>
      <color theme="1"/>
      <name val="Arial Black"/>
      <family val="2"/>
    </font>
    <font>
      <sz val="48"/>
      <color theme="1"/>
      <name val="Arial Black"/>
      <family val="2"/>
    </font>
    <font>
      <b/>
      <sz val="14"/>
      <color rgb="FF000000"/>
      <name val="Times New Roman"/>
      <family val="1"/>
    </font>
    <font>
      <sz val="11"/>
      <color rgb="FFFF0000"/>
      <name val="Times New Roman"/>
      <family val="1"/>
    </font>
    <font>
      <sz val="14"/>
      <color theme="1"/>
      <name val="Calibri"/>
      <family val="2"/>
      <scheme val="minor"/>
    </font>
    <font>
      <b/>
      <sz val="11"/>
      <color theme="1"/>
      <name val="Times New Roman"/>
      <family val="1"/>
    </font>
    <font>
      <b/>
      <sz val="16"/>
      <color theme="1"/>
      <name val="Calibri"/>
      <family val="2"/>
      <scheme val="minor"/>
    </font>
    <font>
      <b/>
      <sz val="10"/>
      <color theme="1"/>
      <name val="Arial"/>
      <family val="2"/>
    </font>
    <font>
      <b/>
      <u/>
      <sz val="12"/>
      <color theme="1"/>
      <name val="Arial"/>
      <family val="2"/>
    </font>
    <font>
      <sz val="11"/>
      <color theme="0"/>
      <name val="Calibri"/>
      <family val="2"/>
      <scheme val="minor"/>
    </font>
    <font>
      <b/>
      <sz val="14"/>
      <color rgb="FF000000"/>
      <name val="Arial"/>
      <family val="2"/>
    </font>
    <font>
      <b/>
      <sz val="14"/>
      <color theme="1"/>
      <name val="Arial"/>
      <family val="2"/>
    </font>
    <font>
      <b/>
      <sz val="16"/>
      <color theme="1"/>
      <name val="Arial"/>
      <family val="2"/>
    </font>
    <font>
      <b/>
      <sz val="20"/>
      <color theme="1"/>
      <name val="Calibri"/>
      <family val="2"/>
      <scheme val="minor"/>
    </font>
    <font>
      <b/>
      <sz val="14"/>
      <color rgb="FFFF0000"/>
      <name val="Calibri"/>
      <family val="2"/>
      <scheme val="minor"/>
    </font>
    <font>
      <sz val="14"/>
      <color theme="1"/>
      <name val="Wingdings"/>
      <charset val="2"/>
    </font>
    <font>
      <b/>
      <u/>
      <sz val="14"/>
      <color theme="1"/>
      <name val="Calibri"/>
      <family val="2"/>
      <scheme val="minor"/>
    </font>
    <font>
      <sz val="14"/>
      <color theme="1"/>
      <name val="Times New Roman"/>
      <family val="1"/>
    </font>
    <font>
      <b/>
      <sz val="14"/>
      <color theme="1"/>
      <name val="Times New Roman"/>
      <family val="1"/>
    </font>
    <font>
      <sz val="10"/>
      <color theme="1"/>
      <name val="Calibri"/>
      <family val="2"/>
      <charset val="1"/>
      <scheme val="minor"/>
    </font>
    <font>
      <sz val="14"/>
      <color theme="1"/>
      <name val="Calibri"/>
      <family val="2"/>
    </font>
    <font>
      <sz val="11"/>
      <color rgb="FF000000"/>
      <name val="Calibri"/>
      <family val="2"/>
      <scheme val="minor"/>
    </font>
    <font>
      <sz val="12"/>
      <color rgb="FF000000"/>
      <name val="Calibri"/>
      <family val="2"/>
      <scheme val="minor"/>
    </font>
    <font>
      <sz val="11"/>
      <color indexed="8"/>
      <name val="Calibri"/>
      <family val="2"/>
    </font>
    <font>
      <sz val="10"/>
      <color indexed="8"/>
      <name val="Arial"/>
      <family val="2"/>
    </font>
  </fonts>
  <fills count="29">
    <fill>
      <patternFill patternType="none"/>
    </fill>
    <fill>
      <patternFill patternType="gray125"/>
    </fill>
    <fill>
      <patternFill patternType="solid">
        <fgColor rgb="FFA5A5A5"/>
      </patternFill>
    </fill>
    <fill>
      <patternFill patternType="solid">
        <fgColor rgb="FFFFFF00"/>
        <bgColor indexed="64"/>
      </patternFill>
    </fill>
    <fill>
      <patternFill patternType="solid">
        <fgColor rgb="FF92D050"/>
        <bgColor indexed="64"/>
      </patternFill>
    </fill>
    <fill>
      <patternFill patternType="solid">
        <fgColor theme="2" tint="-9.9978637043366805E-2"/>
        <bgColor indexed="64"/>
      </patternFill>
    </fill>
    <fill>
      <patternFill patternType="solid">
        <fgColor rgb="FFFFC000"/>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rgb="FF00B0F0"/>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rgb="FF002060"/>
        <bgColor indexed="64"/>
      </patternFill>
    </fill>
    <fill>
      <patternFill patternType="solid">
        <fgColor theme="3" tint="0.39997558519241921"/>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2" tint="-0.249977111117893"/>
        <bgColor indexed="64"/>
      </patternFill>
    </fill>
    <fill>
      <patternFill patternType="solid">
        <fgColor theme="2"/>
        <bgColor indexed="64"/>
      </patternFill>
    </fill>
    <fill>
      <patternFill patternType="solid">
        <fgColor rgb="FFFF0000"/>
        <bgColor indexed="64"/>
      </patternFill>
    </fill>
    <fill>
      <patternFill patternType="solid">
        <fgColor theme="0"/>
        <bgColor indexed="64"/>
      </patternFill>
    </fill>
    <fill>
      <patternFill patternType="solid">
        <fgColor rgb="FFFFFFCC"/>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8" tint="0.59999389629810485"/>
        <bgColor indexed="64"/>
      </patternFill>
    </fill>
  </fills>
  <borders count="35">
    <border>
      <left/>
      <right/>
      <top/>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right/>
      <top/>
      <bottom style="double">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s>
  <cellStyleXfs count="5">
    <xf numFmtId="0" fontId="0" fillId="0" borderId="0"/>
    <xf numFmtId="0" fontId="2" fillId="2" borderId="1" applyNumberFormat="0" applyAlignment="0" applyProtection="0"/>
    <xf numFmtId="0" fontId="22" fillId="0" borderId="0" applyNumberFormat="0" applyFill="0" applyBorder="0" applyAlignment="0" applyProtection="0">
      <alignment vertical="top"/>
      <protection locked="0"/>
    </xf>
    <xf numFmtId="0" fontId="32" fillId="0" borderId="0"/>
    <xf numFmtId="0" fontId="78" fillId="0" borderId="0"/>
  </cellStyleXfs>
  <cellXfs count="1375">
    <xf numFmtId="0" fontId="0" fillId="0" borderId="0" xfId="0"/>
    <xf numFmtId="0" fontId="0" fillId="0" borderId="0" xfId="0" applyAlignment="1">
      <alignment horizontal="center"/>
    </xf>
    <xf numFmtId="0" fontId="4" fillId="3" borderId="2" xfId="0" applyFont="1" applyFill="1" applyBorder="1" applyProtection="1">
      <protection hidden="1"/>
    </xf>
    <xf numFmtId="0" fontId="4" fillId="3" borderId="3" xfId="0" applyFont="1" applyFill="1" applyBorder="1" applyAlignment="1" applyProtection="1">
      <alignment horizontal="left"/>
      <protection hidden="1"/>
    </xf>
    <xf numFmtId="0" fontId="0" fillId="0" borderId="0" xfId="0" applyProtection="1">
      <protection hidden="1"/>
    </xf>
    <xf numFmtId="0" fontId="4" fillId="3" borderId="4" xfId="0" applyFont="1" applyFill="1" applyBorder="1" applyAlignment="1" applyProtection="1">
      <alignment horizontal="left"/>
      <protection hidden="1"/>
    </xf>
    <xf numFmtId="0" fontId="4" fillId="3" borderId="5" xfId="0" applyFont="1" applyFill="1" applyBorder="1" applyAlignment="1" applyProtection="1">
      <alignment horizontal="left"/>
      <protection hidden="1"/>
    </xf>
    <xf numFmtId="0" fontId="0" fillId="0" borderId="0" xfId="0" applyFont="1" applyAlignment="1">
      <alignment horizontal="right" vertical="center"/>
    </xf>
    <xf numFmtId="0" fontId="0" fillId="0" borderId="0" xfId="0" applyAlignment="1">
      <alignment vertical="center"/>
    </xf>
    <xf numFmtId="0" fontId="0" fillId="0" borderId="0" xfId="0" applyFont="1" applyAlignment="1">
      <alignment vertical="center"/>
    </xf>
    <xf numFmtId="0" fontId="3" fillId="0" borderId="0" xfId="0" applyFont="1" applyBorder="1" applyAlignment="1">
      <alignment vertical="center"/>
    </xf>
    <xf numFmtId="2" fontId="3" fillId="0" borderId="0" xfId="0" applyNumberFormat="1" applyFont="1" applyFill="1" applyAlignment="1">
      <alignment horizontal="center" vertical="center"/>
    </xf>
    <xf numFmtId="0" fontId="3" fillId="0" borderId="0" xfId="0" applyFont="1" applyAlignment="1">
      <alignment horizontal="left" vertical="center"/>
    </xf>
    <xf numFmtId="0" fontId="4" fillId="3" borderId="2" xfId="0" applyFont="1" applyFill="1" applyBorder="1" applyAlignment="1" applyProtection="1">
      <alignment horizontal="left"/>
      <protection hidden="1"/>
    </xf>
    <xf numFmtId="0" fontId="0" fillId="0" borderId="0" xfId="0" applyAlignment="1">
      <alignment horizontal="right" vertical="center"/>
    </xf>
    <xf numFmtId="16" fontId="0" fillId="0" borderId="0" xfId="0" applyNumberFormat="1" applyFont="1" applyBorder="1" applyAlignment="1">
      <alignment vertical="center"/>
    </xf>
    <xf numFmtId="0" fontId="0" fillId="0" borderId="0" xfId="0" applyFont="1" applyBorder="1" applyAlignment="1">
      <alignment vertical="center"/>
    </xf>
    <xf numFmtId="0" fontId="0" fillId="0" borderId="0" xfId="0" applyFont="1" applyBorder="1" applyAlignment="1">
      <alignment horizontal="left"/>
    </xf>
    <xf numFmtId="0" fontId="0" fillId="0" borderId="0" xfId="0" applyFont="1" applyBorder="1" applyAlignment="1">
      <alignment horizontal="center"/>
    </xf>
    <xf numFmtId="0" fontId="0" fillId="0" borderId="0" xfId="0" applyFont="1" applyBorder="1" applyAlignment="1"/>
    <xf numFmtId="0" fontId="0" fillId="0" borderId="0" xfId="0" applyBorder="1" applyAlignment="1"/>
    <xf numFmtId="0" fontId="3" fillId="0" borderId="0" xfId="0" applyFont="1" applyAlignment="1">
      <alignment vertical="center"/>
    </xf>
    <xf numFmtId="0" fontId="0" fillId="0" borderId="0" xfId="0" applyAlignment="1">
      <alignment horizontal="center"/>
    </xf>
    <xf numFmtId="2" fontId="0" fillId="0" borderId="0" xfId="0" applyNumberFormat="1" applyAlignment="1"/>
    <xf numFmtId="17" fontId="4" fillId="3" borderId="2" xfId="0" applyNumberFormat="1" applyFont="1" applyFill="1" applyBorder="1" applyProtection="1">
      <protection hidden="1"/>
    </xf>
    <xf numFmtId="0" fontId="4" fillId="3" borderId="3" xfId="0" applyFont="1" applyFill="1" applyBorder="1" applyAlignment="1" applyProtection="1">
      <alignment horizontal="left"/>
      <protection hidden="1"/>
    </xf>
    <xf numFmtId="0" fontId="4" fillId="3" borderId="5" xfId="0" applyFont="1" applyFill="1" applyBorder="1" applyAlignment="1" applyProtection="1">
      <alignment horizontal="left"/>
      <protection hidden="1"/>
    </xf>
    <xf numFmtId="0" fontId="0" fillId="0" borderId="0" xfId="0" applyProtection="1">
      <protection locked="0"/>
    </xf>
    <xf numFmtId="0" fontId="5" fillId="4" borderId="6" xfId="0" applyFont="1" applyFill="1" applyBorder="1" applyAlignment="1">
      <alignment horizontal="center" vertical="center" wrapText="1"/>
    </xf>
    <xf numFmtId="0" fontId="0" fillId="0" borderId="0" xfId="0" applyBorder="1" applyAlignment="1">
      <alignment horizontal="center" vertical="center"/>
    </xf>
    <xf numFmtId="0" fontId="0" fillId="0" borderId="2" xfId="0" applyBorder="1" applyAlignment="1">
      <alignment horizontal="center" vertical="center"/>
    </xf>
    <xf numFmtId="0" fontId="0" fillId="0" borderId="0" xfId="0" applyBorder="1" applyAlignment="1" applyProtection="1">
      <alignment horizontal="center"/>
      <protection hidden="1"/>
    </xf>
    <xf numFmtId="0" fontId="0" fillId="3" borderId="6" xfId="0" applyFill="1" applyBorder="1" applyAlignment="1" applyProtection="1">
      <alignment horizontal="center"/>
      <protection hidden="1"/>
    </xf>
    <xf numFmtId="0" fontId="5" fillId="4" borderId="9" xfId="0" applyFont="1" applyFill="1" applyBorder="1" applyAlignment="1">
      <alignment horizontal="center" vertical="center" wrapText="1"/>
    </xf>
    <xf numFmtId="0" fontId="0" fillId="7" borderId="6" xfId="0" applyFill="1" applyBorder="1" applyAlignment="1" applyProtection="1">
      <alignment horizontal="center"/>
      <protection hidden="1"/>
    </xf>
    <xf numFmtId="0" fontId="0" fillId="7" borderId="0" xfId="0" applyFill="1" applyBorder="1" applyAlignment="1" applyProtection="1">
      <alignment horizontal="center"/>
      <protection hidden="1"/>
    </xf>
    <xf numFmtId="0" fontId="0" fillId="3" borderId="2" xfId="0" applyFill="1" applyBorder="1" applyAlignment="1" applyProtection="1">
      <alignment horizontal="center"/>
      <protection hidden="1"/>
    </xf>
    <xf numFmtId="0" fontId="0" fillId="3" borderId="0" xfId="0" applyFill="1" applyBorder="1" applyAlignment="1" applyProtection="1">
      <alignment horizontal="center"/>
      <protection hidden="1"/>
    </xf>
    <xf numFmtId="0" fontId="0" fillId="0" borderId="0" xfId="0" applyAlignment="1">
      <alignment textRotation="90"/>
    </xf>
    <xf numFmtId="0" fontId="0" fillId="0" borderId="2" xfId="0" applyBorder="1"/>
    <xf numFmtId="0" fontId="3" fillId="4" borderId="0" xfId="0" applyFont="1" applyFill="1" applyAlignment="1" applyProtection="1">
      <alignment horizontal="center" vertical="center"/>
      <protection hidden="1"/>
    </xf>
    <xf numFmtId="0" fontId="6" fillId="6" borderId="2" xfId="0" applyFont="1" applyFill="1" applyBorder="1" applyAlignment="1" applyProtection="1">
      <alignment horizontal="center"/>
    </xf>
    <xf numFmtId="0" fontId="6" fillId="8" borderId="2" xfId="0" applyFont="1" applyFill="1" applyBorder="1" applyAlignment="1" applyProtection="1">
      <alignment horizontal="center"/>
    </xf>
    <xf numFmtId="0" fontId="6" fillId="3" borderId="2" xfId="0" applyFont="1" applyFill="1" applyBorder="1" applyAlignment="1" applyProtection="1">
      <alignment horizontal="center"/>
      <protection hidden="1"/>
    </xf>
    <xf numFmtId="0" fontId="0" fillId="4" borderId="10" xfId="0" applyFill="1" applyBorder="1" applyAlignment="1">
      <alignment horizontal="center"/>
    </xf>
    <xf numFmtId="0" fontId="6" fillId="7" borderId="2" xfId="0" applyFont="1" applyFill="1" applyBorder="1" applyAlignment="1" applyProtection="1">
      <alignment horizontal="center"/>
      <protection hidden="1"/>
    </xf>
    <xf numFmtId="0" fontId="0" fillId="3" borderId="2" xfId="0" applyFill="1" applyBorder="1" applyProtection="1">
      <protection hidden="1"/>
    </xf>
    <xf numFmtId="0" fontId="0" fillId="3" borderId="0" xfId="0" applyFill="1" applyBorder="1" applyProtection="1">
      <protection hidden="1"/>
    </xf>
    <xf numFmtId="0" fontId="7" fillId="9" borderId="9" xfId="0" applyFont="1" applyFill="1" applyBorder="1" applyAlignment="1" applyProtection="1">
      <alignment textRotation="90"/>
      <protection hidden="1"/>
    </xf>
    <xf numFmtId="0" fontId="7" fillId="9" borderId="0" xfId="0" applyFont="1" applyFill="1" applyBorder="1" applyAlignment="1" applyProtection="1">
      <alignment textRotation="90"/>
      <protection hidden="1"/>
    </xf>
    <xf numFmtId="0" fontId="0" fillId="6" borderId="2" xfId="0" applyFill="1" applyBorder="1" applyAlignment="1" applyProtection="1">
      <alignment horizontal="left" vertical="top" wrapText="1"/>
      <protection hidden="1"/>
    </xf>
    <xf numFmtId="0" fontId="0" fillId="6" borderId="0" xfId="0" applyFill="1" applyProtection="1">
      <protection hidden="1"/>
    </xf>
    <xf numFmtId="0" fontId="0" fillId="6" borderId="2" xfId="0" applyFill="1" applyBorder="1" applyProtection="1">
      <protection hidden="1"/>
    </xf>
    <xf numFmtId="1" fontId="0" fillId="11" borderId="2" xfId="0" applyNumberFormat="1" applyFill="1" applyBorder="1"/>
    <xf numFmtId="0" fontId="0" fillId="6" borderId="0" xfId="0" applyFill="1" applyBorder="1" applyProtection="1">
      <protection hidden="1"/>
    </xf>
    <xf numFmtId="1" fontId="0" fillId="11" borderId="2" xfId="0" applyNumberFormat="1" applyFill="1" applyBorder="1" applyProtection="1">
      <protection hidden="1"/>
    </xf>
    <xf numFmtId="1" fontId="8" fillId="11" borderId="2" xfId="0" applyNumberFormat="1" applyFont="1" applyFill="1" applyBorder="1" applyProtection="1">
      <protection hidden="1"/>
    </xf>
    <xf numFmtId="164" fontId="8" fillId="11" borderId="2" xfId="0" applyNumberFormat="1" applyFont="1" applyFill="1" applyBorder="1" applyProtection="1">
      <protection hidden="1"/>
    </xf>
    <xf numFmtId="164" fontId="8" fillId="6" borderId="0" xfId="0" applyNumberFormat="1" applyFont="1" applyFill="1" applyProtection="1">
      <protection hidden="1"/>
    </xf>
    <xf numFmtId="1" fontId="0" fillId="6" borderId="2" xfId="0" applyNumberFormat="1" applyFill="1" applyBorder="1" applyProtection="1">
      <protection hidden="1"/>
    </xf>
    <xf numFmtId="164" fontId="8" fillId="12" borderId="0" xfId="0" applyNumberFormat="1" applyFont="1" applyFill="1" applyProtection="1">
      <protection hidden="1"/>
    </xf>
    <xf numFmtId="164" fontId="8" fillId="12" borderId="3" xfId="0" applyNumberFormat="1" applyFont="1" applyFill="1" applyBorder="1" applyProtection="1">
      <protection hidden="1"/>
    </xf>
    <xf numFmtId="0" fontId="0" fillId="13" borderId="2" xfId="0" applyFill="1" applyBorder="1" applyProtection="1">
      <protection hidden="1"/>
    </xf>
    <xf numFmtId="0" fontId="0" fillId="6" borderId="0" xfId="0" applyFill="1"/>
    <xf numFmtId="0" fontId="0" fillId="0" borderId="2" xfId="0" applyBorder="1" applyProtection="1">
      <protection locked="0"/>
    </xf>
    <xf numFmtId="0" fontId="0" fillId="14" borderId="2" xfId="0" applyFill="1" applyBorder="1" applyAlignment="1" applyProtection="1">
      <alignment horizontal="center"/>
      <protection hidden="1"/>
    </xf>
    <xf numFmtId="0" fontId="0" fillId="0" borderId="2" xfId="0" applyBorder="1" applyProtection="1">
      <protection hidden="1"/>
    </xf>
    <xf numFmtId="0" fontId="0" fillId="0" borderId="0" xfId="0" applyBorder="1" applyProtection="1">
      <protection hidden="1"/>
    </xf>
    <xf numFmtId="0" fontId="0" fillId="3" borderId="2" xfId="0" applyFill="1" applyBorder="1"/>
    <xf numFmtId="0" fontId="0" fillId="16" borderId="6" xfId="0" applyFill="1" applyBorder="1" applyAlignment="1" applyProtection="1">
      <protection locked="0"/>
    </xf>
    <xf numFmtId="0" fontId="0" fillId="16" borderId="12" xfId="0" applyFill="1" applyBorder="1"/>
    <xf numFmtId="0" fontId="0" fillId="16" borderId="13" xfId="0" applyFill="1" applyBorder="1"/>
    <xf numFmtId="0" fontId="0" fillId="16" borderId="0" xfId="0" applyFill="1" applyBorder="1"/>
    <xf numFmtId="0" fontId="0" fillId="16" borderId="2" xfId="0" applyFill="1" applyBorder="1" applyAlignment="1" applyProtection="1">
      <protection locked="0"/>
    </xf>
    <xf numFmtId="0" fontId="0" fillId="16" borderId="4" xfId="0" applyFill="1" applyBorder="1"/>
    <xf numFmtId="0" fontId="0" fillId="16" borderId="5" xfId="0" applyFill="1" applyBorder="1"/>
    <xf numFmtId="0" fontId="0" fillId="16" borderId="15" xfId="0" applyFill="1" applyBorder="1"/>
    <xf numFmtId="0" fontId="0" fillId="16" borderId="2" xfId="0" applyFill="1" applyBorder="1" applyProtection="1">
      <protection locked="0"/>
    </xf>
    <xf numFmtId="0" fontId="0" fillId="16" borderId="14" xfId="0" applyFill="1" applyBorder="1" applyAlignment="1" applyProtection="1">
      <protection locked="0"/>
    </xf>
    <xf numFmtId="0" fontId="0" fillId="16" borderId="3" xfId="0" applyFill="1" applyBorder="1" applyProtection="1">
      <protection locked="0"/>
    </xf>
    <xf numFmtId="0" fontId="0" fillId="16" borderId="2" xfId="0" applyFill="1" applyBorder="1"/>
    <xf numFmtId="0" fontId="0" fillId="16" borderId="14" xfId="0" applyFill="1" applyBorder="1"/>
    <xf numFmtId="0" fontId="0" fillId="16" borderId="3" xfId="0" applyFill="1" applyBorder="1"/>
    <xf numFmtId="0" fontId="0" fillId="16" borderId="7" xfId="0" applyFill="1" applyBorder="1"/>
    <xf numFmtId="0" fontId="0" fillId="16" borderId="8" xfId="0" applyFill="1" applyBorder="1"/>
    <xf numFmtId="0" fontId="0" fillId="16" borderId="16" xfId="0" applyFill="1" applyBorder="1"/>
    <xf numFmtId="0" fontId="10" fillId="0" borderId="0" xfId="0" applyFont="1"/>
    <xf numFmtId="0" fontId="10" fillId="0" borderId="2" xfId="0" applyFont="1" applyFill="1" applyBorder="1" applyAlignment="1" applyProtection="1">
      <alignment horizontal="left" vertical="center"/>
      <protection locked="0"/>
    </xf>
    <xf numFmtId="0" fontId="12" fillId="0" borderId="2" xfId="0" applyFont="1" applyBorder="1" applyProtection="1">
      <protection locked="0"/>
    </xf>
    <xf numFmtId="0" fontId="12" fillId="0" borderId="2" xfId="0" applyFont="1" applyBorder="1" applyAlignment="1" applyProtection="1">
      <alignment horizontal="center"/>
      <protection locked="0"/>
    </xf>
    <xf numFmtId="0" fontId="10" fillId="0" borderId="2" xfId="0" quotePrefix="1" applyFont="1" applyFill="1" applyBorder="1" applyAlignment="1" applyProtection="1">
      <alignment horizontal="center" vertical="center"/>
      <protection locked="0"/>
    </xf>
    <xf numFmtId="0" fontId="10" fillId="0" borderId="10" xfId="0" applyFont="1" applyFill="1" applyBorder="1" applyAlignment="1" applyProtection="1">
      <alignment horizontal="left" vertical="center"/>
      <protection locked="0"/>
    </xf>
    <xf numFmtId="0" fontId="10" fillId="0" borderId="2" xfId="0" applyFont="1" applyBorder="1" applyProtection="1">
      <protection locked="0"/>
    </xf>
    <xf numFmtId="0" fontId="10" fillId="0" borderId="0" xfId="0" applyFont="1" applyProtection="1">
      <protection locked="0"/>
    </xf>
    <xf numFmtId="0" fontId="20" fillId="19" borderId="0" xfId="0" applyFont="1" applyFill="1" applyBorder="1" applyAlignment="1" applyProtection="1">
      <protection hidden="1"/>
    </xf>
    <xf numFmtId="0" fontId="20" fillId="19" borderId="15" xfId="0" applyFont="1" applyFill="1" applyBorder="1" applyAlignment="1" applyProtection="1">
      <protection hidden="1"/>
    </xf>
    <xf numFmtId="0" fontId="0" fillId="4" borderId="0" xfId="0" applyFill="1" applyBorder="1" applyProtection="1">
      <protection hidden="1"/>
    </xf>
    <xf numFmtId="0" fontId="20" fillId="19" borderId="14" xfId="0" applyFont="1" applyFill="1" applyBorder="1" applyAlignment="1" applyProtection="1">
      <protection hidden="1"/>
    </xf>
    <xf numFmtId="0" fontId="0" fillId="4" borderId="0" xfId="0" applyFill="1" applyBorder="1" applyAlignment="1" applyProtection="1">
      <alignment horizontal="center"/>
      <protection hidden="1"/>
    </xf>
    <xf numFmtId="0" fontId="23" fillId="2" borderId="0" xfId="2" applyFont="1" applyFill="1" applyBorder="1" applyAlignment="1" applyProtection="1">
      <alignment vertical="center" wrapText="1"/>
      <protection hidden="1"/>
    </xf>
    <xf numFmtId="0" fontId="23" fillId="2" borderId="15" xfId="2" applyFont="1" applyFill="1" applyBorder="1" applyAlignment="1" applyProtection="1">
      <alignment vertical="center" wrapText="1"/>
      <protection hidden="1"/>
    </xf>
    <xf numFmtId="0" fontId="4" fillId="19" borderId="0" xfId="0" applyFont="1" applyFill="1" applyBorder="1" applyAlignment="1" applyProtection="1">
      <protection hidden="1"/>
    </xf>
    <xf numFmtId="0" fontId="4" fillId="19" borderId="15" xfId="0" applyFont="1" applyFill="1" applyBorder="1" applyAlignment="1" applyProtection="1">
      <protection hidden="1"/>
    </xf>
    <xf numFmtId="0" fontId="24" fillId="4" borderId="0" xfId="0" applyFont="1" applyFill="1" applyBorder="1" applyAlignment="1" applyProtection="1">
      <alignment vertical="center" wrapText="1"/>
      <protection hidden="1"/>
    </xf>
    <xf numFmtId="0" fontId="26" fillId="19" borderId="0" xfId="0" applyFont="1" applyFill="1" applyBorder="1" applyAlignment="1" applyProtection="1">
      <protection hidden="1"/>
    </xf>
    <xf numFmtId="0" fontId="26" fillId="19" borderId="15" xfId="0" applyFont="1" applyFill="1" applyBorder="1" applyAlignment="1" applyProtection="1">
      <protection hidden="1"/>
    </xf>
    <xf numFmtId="0" fontId="7" fillId="4" borderId="0" xfId="0" applyFont="1" applyFill="1" applyBorder="1" applyProtection="1">
      <protection hidden="1"/>
    </xf>
    <xf numFmtId="0" fontId="4" fillId="4" borderId="0" xfId="0" applyFont="1" applyFill="1" applyBorder="1" applyProtection="1">
      <protection hidden="1"/>
    </xf>
    <xf numFmtId="0" fontId="20" fillId="4" borderId="0" xfId="0" applyFont="1" applyFill="1" applyBorder="1" applyProtection="1">
      <protection hidden="1"/>
    </xf>
    <xf numFmtId="0" fontId="4" fillId="4" borderId="0" xfId="0" applyFont="1" applyFill="1" applyBorder="1" applyAlignment="1" applyProtection="1">
      <alignment horizontal="center"/>
      <protection hidden="1"/>
    </xf>
    <xf numFmtId="0" fontId="7" fillId="0" borderId="5" xfId="0" applyFont="1" applyFill="1" applyBorder="1" applyAlignment="1" applyProtection="1">
      <protection locked="0"/>
    </xf>
    <xf numFmtId="0" fontId="4" fillId="4" borderId="0" xfId="0" applyFont="1" applyFill="1" applyBorder="1" applyAlignment="1" applyProtection="1">
      <alignment horizontal="center" vertical="center"/>
      <protection hidden="1"/>
    </xf>
    <xf numFmtId="0" fontId="4" fillId="4" borderId="0" xfId="0" applyFont="1" applyFill="1" applyBorder="1" applyProtection="1">
      <protection locked="0"/>
    </xf>
    <xf numFmtId="0" fontId="7" fillId="4" borderId="0" xfId="0" applyFont="1" applyFill="1" applyBorder="1" applyAlignment="1" applyProtection="1">
      <alignment horizontal="left" vertical="center"/>
      <protection locked="0"/>
    </xf>
    <xf numFmtId="0" fontId="29" fillId="4" borderId="0" xfId="0" applyFont="1" applyFill="1" applyBorder="1" applyAlignment="1" applyProtection="1">
      <alignment horizontal="center" vertical="center" wrapText="1"/>
      <protection hidden="1"/>
    </xf>
    <xf numFmtId="0" fontId="29" fillId="4" borderId="0" xfId="0" applyFont="1" applyFill="1" applyBorder="1" applyAlignment="1" applyProtection="1">
      <alignment vertical="center" wrapText="1"/>
      <protection locked="0"/>
    </xf>
    <xf numFmtId="0" fontId="7" fillId="4" borderId="0" xfId="0" applyFont="1" applyFill="1" applyBorder="1" applyAlignment="1" applyProtection="1">
      <alignment vertical="center" wrapText="1"/>
      <protection hidden="1"/>
    </xf>
    <xf numFmtId="0" fontId="7" fillId="4" borderId="0" xfId="0" applyFont="1" applyFill="1" applyBorder="1" applyAlignment="1" applyProtection="1">
      <alignment horizontal="center" vertical="center" wrapText="1"/>
      <protection hidden="1"/>
    </xf>
    <xf numFmtId="0" fontId="30" fillId="0" borderId="0" xfId="0" applyFont="1" applyAlignment="1">
      <alignment horizontal="center"/>
    </xf>
    <xf numFmtId="0" fontId="3" fillId="0" borderId="0" xfId="0" applyFont="1" applyAlignment="1"/>
    <xf numFmtId="0" fontId="31" fillId="0" borderId="0" xfId="0" applyFont="1" applyAlignment="1"/>
    <xf numFmtId="0" fontId="0" fillId="0" borderId="0" xfId="0" applyAlignment="1">
      <alignment horizontal="right"/>
    </xf>
    <xf numFmtId="0" fontId="0" fillId="0" borderId="2" xfId="0" applyBorder="1" applyAlignment="1">
      <alignment horizontal="left" vertical="center" wrapText="1"/>
    </xf>
    <xf numFmtId="0" fontId="0" fillId="0" borderId="2" xfId="0" applyBorder="1" applyAlignment="1" applyProtection="1">
      <alignment vertical="center"/>
      <protection locked="0"/>
    </xf>
    <xf numFmtId="0" fontId="0" fillId="0" borderId="0" xfId="0" applyProtection="1"/>
    <xf numFmtId="0" fontId="1" fillId="0" borderId="0" xfId="0" applyFont="1"/>
    <xf numFmtId="0" fontId="13" fillId="5" borderId="11" xfId="0" applyFont="1" applyFill="1" applyBorder="1" applyProtection="1">
      <protection hidden="1"/>
    </xf>
    <xf numFmtId="0" fontId="0" fillId="5" borderId="12" xfId="0" applyFill="1" applyBorder="1" applyProtection="1">
      <protection hidden="1"/>
    </xf>
    <xf numFmtId="0" fontId="0" fillId="5" borderId="13" xfId="0" applyFill="1" applyBorder="1" applyProtection="1">
      <protection hidden="1"/>
    </xf>
    <xf numFmtId="0" fontId="0" fillId="5" borderId="0" xfId="0" applyFill="1" applyProtection="1">
      <protection hidden="1"/>
    </xf>
    <xf numFmtId="0" fontId="0" fillId="5" borderId="11" xfId="0" applyFill="1" applyBorder="1" applyProtection="1">
      <protection hidden="1"/>
    </xf>
    <xf numFmtId="0" fontId="0" fillId="5" borderId="14" xfId="0" applyFill="1" applyBorder="1" applyProtection="1">
      <protection hidden="1"/>
    </xf>
    <xf numFmtId="0" fontId="15" fillId="4" borderId="12" xfId="0" applyFont="1" applyFill="1" applyBorder="1" applyAlignment="1" applyProtection="1">
      <alignment vertical="center"/>
      <protection hidden="1"/>
    </xf>
    <xf numFmtId="0" fontId="15" fillId="4" borderId="0" xfId="0" applyFont="1" applyFill="1" applyBorder="1" applyAlignment="1" applyProtection="1">
      <alignment vertical="center"/>
      <protection hidden="1"/>
    </xf>
    <xf numFmtId="0" fontId="18" fillId="4" borderId="0" xfId="0" applyFont="1" applyFill="1" applyBorder="1" applyAlignment="1" applyProtection="1">
      <alignment vertical="center"/>
      <protection hidden="1"/>
    </xf>
    <xf numFmtId="0" fontId="19" fillId="4" borderId="20" xfId="0" applyFont="1" applyFill="1" applyBorder="1" applyAlignment="1" applyProtection="1">
      <alignment vertical="center"/>
      <protection hidden="1"/>
    </xf>
    <xf numFmtId="0" fontId="21" fillId="2" borderId="0" xfId="1" applyFont="1" applyBorder="1" applyAlignment="1" applyProtection="1">
      <alignment vertical="center"/>
      <protection hidden="1"/>
    </xf>
    <xf numFmtId="0" fontId="21" fillId="2" borderId="15" xfId="1" applyFont="1" applyBorder="1" applyAlignment="1" applyProtection="1">
      <alignment vertical="center"/>
      <protection hidden="1"/>
    </xf>
    <xf numFmtId="0" fontId="27" fillId="8" borderId="14" xfId="0" applyFont="1" applyFill="1" applyBorder="1" applyAlignment="1" applyProtection="1">
      <alignment vertical="center"/>
      <protection hidden="1"/>
    </xf>
    <xf numFmtId="0" fontId="27" fillId="8" borderId="0" xfId="0" applyFont="1" applyFill="1" applyBorder="1" applyAlignment="1" applyProtection="1">
      <alignment vertical="center"/>
      <protection hidden="1"/>
    </xf>
    <xf numFmtId="0" fontId="27" fillId="8" borderId="15" xfId="0" applyFont="1" applyFill="1" applyBorder="1" applyAlignment="1" applyProtection="1">
      <alignment vertical="center"/>
      <protection hidden="1"/>
    </xf>
    <xf numFmtId="0" fontId="28" fillId="2" borderId="0" xfId="1" applyFont="1" applyBorder="1" applyAlignment="1" applyProtection="1">
      <alignment vertical="center"/>
      <protection hidden="1"/>
    </xf>
    <xf numFmtId="0" fontId="28" fillId="2" borderId="15" xfId="1" applyFont="1" applyBorder="1" applyAlignment="1" applyProtection="1">
      <alignment vertical="center"/>
      <protection hidden="1"/>
    </xf>
    <xf numFmtId="0" fontId="0" fillId="5" borderId="7" xfId="0" applyFill="1" applyBorder="1" applyProtection="1">
      <protection hidden="1"/>
    </xf>
    <xf numFmtId="0" fontId="7" fillId="4" borderId="0" xfId="0" applyFont="1" applyFill="1" applyBorder="1" applyAlignment="1" applyProtection="1">
      <alignment vertical="center"/>
      <protection locked="0"/>
    </xf>
    <xf numFmtId="0" fontId="29" fillId="4" borderId="0" xfId="0" applyFont="1" applyFill="1" applyBorder="1" applyAlignment="1" applyProtection="1">
      <alignment horizontal="center" vertical="center" wrapText="1"/>
      <protection locked="0"/>
    </xf>
    <xf numFmtId="0" fontId="3" fillId="0" borderId="0" xfId="0" applyFont="1" applyProtection="1">
      <protection hidden="1"/>
    </xf>
    <xf numFmtId="0" fontId="0" fillId="0" borderId="0" xfId="0" applyAlignment="1">
      <alignment horizontal="left"/>
    </xf>
    <xf numFmtId="0" fontId="0" fillId="0" borderId="14" xfId="0" applyFont="1" applyBorder="1" applyAlignment="1" applyProtection="1">
      <alignment horizontal="left" vertical="top" wrapText="1"/>
      <protection hidden="1"/>
    </xf>
    <xf numFmtId="0" fontId="0" fillId="0" borderId="7" xfId="0" applyFont="1" applyBorder="1" applyAlignment="1" applyProtection="1">
      <alignment horizontal="left" vertical="top" wrapText="1"/>
      <protection hidden="1"/>
    </xf>
    <xf numFmtId="0" fontId="0" fillId="0" borderId="0" xfId="0" applyFont="1" applyBorder="1" applyAlignment="1" applyProtection="1">
      <alignment horizontal="left" vertical="top" wrapText="1"/>
      <protection hidden="1"/>
    </xf>
    <xf numFmtId="0" fontId="0" fillId="0" borderId="0" xfId="0" applyFont="1" applyBorder="1" applyAlignment="1" applyProtection="1">
      <alignment vertical="center"/>
      <protection hidden="1"/>
    </xf>
    <xf numFmtId="0" fontId="3" fillId="0" borderId="0" xfId="0" applyFont="1"/>
    <xf numFmtId="0" fontId="0" fillId="0" borderId="0" xfId="0" applyFont="1" applyProtection="1">
      <protection hidden="1"/>
    </xf>
    <xf numFmtId="0" fontId="0" fillId="0" borderId="0" xfId="0" applyFont="1" applyFill="1" applyBorder="1" applyProtection="1">
      <protection hidden="1"/>
    </xf>
    <xf numFmtId="0" fontId="10" fillId="0" borderId="2" xfId="0" applyFont="1" applyBorder="1" applyAlignment="1" applyProtection="1">
      <alignment horizontal="distributed" vertical="center"/>
      <protection hidden="1"/>
    </xf>
    <xf numFmtId="0" fontId="10" fillId="0" borderId="2" xfId="0" applyFont="1" applyBorder="1" applyAlignment="1" applyProtection="1">
      <alignment horizontal="center"/>
      <protection hidden="1"/>
    </xf>
    <xf numFmtId="0" fontId="10" fillId="0" borderId="0" xfId="0" applyFont="1" applyFill="1" applyBorder="1" applyAlignment="1" applyProtection="1">
      <protection hidden="1"/>
    </xf>
    <xf numFmtId="0" fontId="10" fillId="0" borderId="0" xfId="0" applyFont="1" applyProtection="1">
      <protection hidden="1"/>
    </xf>
    <xf numFmtId="0" fontId="10" fillId="0" borderId="0" xfId="0" applyFont="1" applyAlignment="1" applyProtection="1">
      <alignment horizontal="center"/>
      <protection hidden="1"/>
    </xf>
    <xf numFmtId="0" fontId="31" fillId="0" borderId="0" xfId="0" applyFont="1"/>
    <xf numFmtId="0" fontId="31" fillId="5" borderId="6" xfId="0" applyFont="1" applyFill="1" applyBorder="1" applyAlignment="1">
      <alignment horizontal="center"/>
    </xf>
    <xf numFmtId="0" fontId="31" fillId="5" borderId="10" xfId="0" applyFont="1" applyFill="1" applyBorder="1" applyAlignment="1">
      <alignment horizontal="center"/>
    </xf>
    <xf numFmtId="0" fontId="31" fillId="3" borderId="10" xfId="0" applyFont="1" applyFill="1" applyBorder="1" applyAlignment="1"/>
    <xf numFmtId="0" fontId="31" fillId="3" borderId="10" xfId="0" applyFont="1" applyFill="1" applyBorder="1" applyAlignment="1">
      <alignment horizontal="center"/>
    </xf>
    <xf numFmtId="0" fontId="31" fillId="3" borderId="9" xfId="0" applyFont="1" applyFill="1" applyBorder="1" applyAlignment="1">
      <alignment horizontal="center"/>
    </xf>
    <xf numFmtId="0" fontId="31" fillId="11" borderId="10" xfId="0" applyFont="1" applyFill="1" applyBorder="1" applyAlignment="1">
      <alignment horizontal="center" vertical="center"/>
    </xf>
    <xf numFmtId="0" fontId="31" fillId="11" borderId="10" xfId="0" applyFont="1" applyFill="1" applyBorder="1" applyAlignment="1">
      <alignment horizontal="center"/>
    </xf>
    <xf numFmtId="0" fontId="31" fillId="11" borderId="9" xfId="0" applyFont="1" applyFill="1" applyBorder="1" applyAlignment="1">
      <alignment horizontal="center" vertical="center"/>
    </xf>
    <xf numFmtId="0" fontId="31" fillId="11" borderId="2" xfId="0" applyFont="1" applyFill="1" applyBorder="1" applyAlignment="1">
      <alignment horizontal="center"/>
    </xf>
    <xf numFmtId="0" fontId="0" fillId="0" borderId="0" xfId="0" applyAlignment="1">
      <alignment horizontal="center"/>
    </xf>
    <xf numFmtId="0" fontId="3" fillId="0" borderId="0" xfId="0" applyFont="1" applyAlignment="1">
      <alignment horizontal="right"/>
    </xf>
    <xf numFmtId="0" fontId="3" fillId="11" borderId="2" xfId="0" applyFont="1" applyFill="1" applyBorder="1" applyAlignment="1">
      <alignment horizontal="center"/>
    </xf>
    <xf numFmtId="0" fontId="3" fillId="20" borderId="2" xfId="0" applyFont="1" applyFill="1" applyBorder="1" applyProtection="1">
      <protection locked="0"/>
    </xf>
    <xf numFmtId="0" fontId="11" fillId="0" borderId="2" xfId="0" applyFont="1" applyFill="1" applyBorder="1" applyAlignment="1" applyProtection="1">
      <alignment horizontal="center"/>
      <protection hidden="1"/>
    </xf>
    <xf numFmtId="0" fontId="11" fillId="0" borderId="2" xfId="0" applyFont="1" applyBorder="1" applyProtection="1">
      <protection hidden="1"/>
    </xf>
    <xf numFmtId="0" fontId="0" fillId="0" borderId="0" xfId="0" applyFont="1" applyBorder="1" applyProtection="1">
      <protection hidden="1"/>
    </xf>
    <xf numFmtId="0" fontId="0" fillId="0" borderId="11" xfId="0" applyFont="1" applyBorder="1" applyAlignment="1" applyProtection="1">
      <alignment vertical="top" wrapText="1"/>
      <protection hidden="1"/>
    </xf>
    <xf numFmtId="0" fontId="0" fillId="0" borderId="12" xfId="0" applyFont="1" applyBorder="1" applyAlignment="1" applyProtection="1">
      <alignment vertical="top" wrapText="1"/>
      <protection hidden="1"/>
    </xf>
    <xf numFmtId="0" fontId="0" fillId="0" borderId="13" xfId="0" applyFont="1" applyBorder="1" applyAlignment="1" applyProtection="1">
      <alignment vertical="top" wrapText="1"/>
      <protection hidden="1"/>
    </xf>
    <xf numFmtId="0" fontId="0" fillId="0" borderId="14" xfId="0" applyFont="1" applyBorder="1" applyAlignment="1" applyProtection="1">
      <alignment vertical="top" wrapText="1"/>
      <protection hidden="1"/>
    </xf>
    <xf numFmtId="0" fontId="0" fillId="0" borderId="0" xfId="0" applyFont="1" applyBorder="1" applyAlignment="1" applyProtection="1">
      <alignment vertical="top" wrapText="1"/>
      <protection hidden="1"/>
    </xf>
    <xf numFmtId="0" fontId="0" fillId="0" borderId="15" xfId="0" applyFont="1" applyBorder="1" applyAlignment="1" applyProtection="1">
      <alignment vertical="top" wrapText="1"/>
      <protection hidden="1"/>
    </xf>
    <xf numFmtId="0" fontId="0" fillId="0" borderId="7" xfId="0" applyFont="1" applyBorder="1" applyAlignment="1" applyProtection="1">
      <alignment vertical="top" wrapText="1"/>
      <protection hidden="1"/>
    </xf>
    <xf numFmtId="0" fontId="0" fillId="0" borderId="8" xfId="0" applyFont="1" applyBorder="1" applyAlignment="1" applyProtection="1">
      <alignment vertical="top" wrapText="1"/>
      <protection hidden="1"/>
    </xf>
    <xf numFmtId="0" fontId="0" fillId="0" borderId="16" xfId="0" applyFont="1" applyBorder="1" applyAlignment="1" applyProtection="1">
      <alignment vertical="top" wrapText="1"/>
      <protection hidden="1"/>
    </xf>
    <xf numFmtId="0" fontId="0" fillId="0" borderId="0" xfId="0" applyFont="1" applyBorder="1" applyAlignment="1" applyProtection="1">
      <alignment horizontal="center" vertical="top" wrapText="1"/>
      <protection hidden="1"/>
    </xf>
    <xf numFmtId="0" fontId="0" fillId="0" borderId="14" xfId="0" applyBorder="1" applyAlignment="1" applyProtection="1">
      <protection hidden="1"/>
    </xf>
    <xf numFmtId="0" fontId="0" fillId="0" borderId="0" xfId="0" applyBorder="1" applyAlignment="1" applyProtection="1">
      <protection hidden="1"/>
    </xf>
    <xf numFmtId="0" fontId="0" fillId="0" borderId="15" xfId="0" applyBorder="1" applyAlignment="1" applyProtection="1">
      <protection hidden="1"/>
    </xf>
    <xf numFmtId="0" fontId="0" fillId="0" borderId="0" xfId="0" applyBorder="1" applyAlignment="1" applyProtection="1">
      <alignment vertical="center"/>
      <protection hidden="1"/>
    </xf>
    <xf numFmtId="0" fontId="0" fillId="0" borderId="14" xfId="0" applyBorder="1" applyProtection="1">
      <protection hidden="1"/>
    </xf>
    <xf numFmtId="0" fontId="0" fillId="0" borderId="15" xfId="0" applyBorder="1" applyProtection="1">
      <protection hidden="1"/>
    </xf>
    <xf numFmtId="0" fontId="0" fillId="0" borderId="7" xfId="0" applyBorder="1" applyProtection="1">
      <protection hidden="1"/>
    </xf>
    <xf numFmtId="0" fontId="0" fillId="0" borderId="8" xfId="0" applyBorder="1" applyProtection="1">
      <protection hidden="1"/>
    </xf>
    <xf numFmtId="0" fontId="0" fillId="0" borderId="16" xfId="0" applyBorder="1" applyProtection="1">
      <protection hidden="1"/>
    </xf>
    <xf numFmtId="0" fontId="0" fillId="0" borderId="0" xfId="0" applyFont="1" applyBorder="1" applyAlignment="1" applyProtection="1">
      <alignment horizontal="right" vertical="top"/>
      <protection hidden="1"/>
    </xf>
    <xf numFmtId="0" fontId="0" fillId="0" borderId="0" xfId="0" applyFont="1" applyBorder="1" applyAlignment="1" applyProtection="1">
      <alignment horizontal="center" vertical="center"/>
      <protection hidden="1"/>
    </xf>
    <xf numFmtId="0" fontId="0" fillId="0" borderId="0" xfId="0" applyFont="1" applyBorder="1" applyAlignment="1" applyProtection="1">
      <alignment horizontal="right" vertical="center"/>
      <protection hidden="1"/>
    </xf>
    <xf numFmtId="0" fontId="0" fillId="0" borderId="0" xfId="0" applyAlignment="1" applyProtection="1">
      <alignment horizontal="left" vertical="top" wrapText="1"/>
      <protection hidden="1"/>
    </xf>
    <xf numFmtId="0" fontId="31" fillId="0" borderId="0" xfId="0" applyFont="1" applyAlignment="1" applyProtection="1">
      <alignment horizontal="left" vertical="top" wrapText="1" shrinkToFit="1"/>
      <protection hidden="1"/>
    </xf>
    <xf numFmtId="0" fontId="0" fillId="0" borderId="0" xfId="0" applyAlignment="1" applyProtection="1">
      <alignment horizontal="left" vertical="top" wrapText="1" shrinkToFit="1"/>
      <protection hidden="1"/>
    </xf>
    <xf numFmtId="0" fontId="31" fillId="22" borderId="10" xfId="0" applyFont="1" applyFill="1" applyBorder="1" applyAlignment="1" applyProtection="1">
      <alignment horizontal="center" vertical="top" wrapText="1"/>
      <protection hidden="1"/>
    </xf>
    <xf numFmtId="0" fontId="31" fillId="22" borderId="10" xfId="0" applyFont="1" applyFill="1" applyBorder="1" applyAlignment="1" applyProtection="1">
      <alignment horizontal="center" vertical="top" wrapText="1" shrinkToFit="1"/>
      <protection hidden="1"/>
    </xf>
    <xf numFmtId="0" fontId="31" fillId="21" borderId="10" xfId="0" applyFont="1" applyFill="1" applyBorder="1" applyAlignment="1" applyProtection="1">
      <alignment horizontal="center" vertical="top" wrapText="1"/>
      <protection hidden="1"/>
    </xf>
    <xf numFmtId="0" fontId="31" fillId="21" borderId="10" xfId="0" applyFont="1" applyFill="1" applyBorder="1" applyAlignment="1" applyProtection="1">
      <alignment horizontal="center" vertical="top" wrapText="1" shrinkToFit="1"/>
      <protection hidden="1"/>
    </xf>
    <xf numFmtId="0" fontId="0" fillId="0" borderId="2" xfId="0" applyBorder="1" applyAlignment="1" applyProtection="1">
      <alignment horizontal="left" vertical="top" wrapText="1"/>
      <protection hidden="1"/>
    </xf>
    <xf numFmtId="0" fontId="0" fillId="4" borderId="2" xfId="0" applyFill="1" applyBorder="1"/>
    <xf numFmtId="0" fontId="20" fillId="10" borderId="0" xfId="0" applyFont="1" applyFill="1" applyBorder="1" applyAlignment="1" applyProtection="1">
      <protection hidden="1"/>
    </xf>
    <xf numFmtId="0" fontId="0" fillId="10" borderId="11" xfId="0" applyFill="1" applyBorder="1"/>
    <xf numFmtId="0" fontId="0" fillId="10" borderId="12" xfId="0" applyFill="1" applyBorder="1"/>
    <xf numFmtId="0" fontId="0" fillId="10" borderId="13" xfId="0" applyFill="1" applyBorder="1"/>
    <xf numFmtId="0" fontId="0" fillId="10" borderId="14" xfId="0" applyFill="1" applyBorder="1"/>
    <xf numFmtId="0" fontId="0" fillId="10" borderId="0" xfId="0" applyFill="1" applyBorder="1"/>
    <xf numFmtId="0" fontId="0" fillId="10" borderId="15" xfId="0" applyFill="1" applyBorder="1"/>
    <xf numFmtId="0" fontId="0" fillId="10" borderId="7" xfId="0" applyFill="1" applyBorder="1"/>
    <xf numFmtId="0" fontId="0" fillId="10" borderId="8" xfId="0" applyFill="1" applyBorder="1"/>
    <xf numFmtId="0" fontId="0" fillId="10" borderId="16" xfId="0" applyFill="1" applyBorder="1"/>
    <xf numFmtId="0" fontId="3" fillId="6" borderId="2" xfId="0" applyFont="1" applyFill="1" applyBorder="1" applyAlignment="1">
      <alignment horizontal="center" vertical="center" wrapText="1"/>
    </xf>
    <xf numFmtId="0" fontId="40" fillId="6" borderId="2" xfId="0" applyFont="1" applyFill="1" applyBorder="1" applyAlignment="1">
      <alignment horizontal="center" vertical="center" wrapText="1"/>
    </xf>
    <xf numFmtId="0" fontId="0" fillId="0" borderId="0" xfId="0" applyAlignment="1"/>
    <xf numFmtId="0" fontId="0" fillId="0" borderId="0" xfId="0" applyFill="1"/>
    <xf numFmtId="0" fontId="33" fillId="4" borderId="12" xfId="3" applyFont="1" applyFill="1" applyBorder="1" applyAlignment="1">
      <alignment horizontal="center" vertical="center"/>
    </xf>
    <xf numFmtId="0" fontId="0" fillId="0" borderId="2" xfId="0" applyBorder="1" applyAlignment="1">
      <alignment vertical="center"/>
    </xf>
    <xf numFmtId="0" fontId="0" fillId="0" borderId="2" xfId="0" applyBorder="1" applyAlignment="1">
      <alignment horizontal="left" vertical="top" wrapText="1"/>
    </xf>
    <xf numFmtId="1" fontId="0" fillId="0" borderId="2" xfId="0" applyNumberFormat="1" applyBorder="1" applyAlignment="1" applyProtection="1">
      <alignment horizontal="center" vertical="center"/>
      <protection locked="0"/>
    </xf>
    <xf numFmtId="0" fontId="0" fillId="5" borderId="8" xfId="0" applyFill="1" applyBorder="1" applyProtection="1">
      <protection hidden="1"/>
    </xf>
    <xf numFmtId="0" fontId="0" fillId="5" borderId="0" xfId="0" applyFill="1" applyBorder="1" applyProtection="1">
      <protection hidden="1"/>
    </xf>
    <xf numFmtId="0" fontId="3" fillId="4" borderId="0" xfId="0" applyFont="1" applyFill="1" applyBorder="1" applyProtection="1">
      <protection hidden="1"/>
    </xf>
    <xf numFmtId="0" fontId="3" fillId="4" borderId="0" xfId="0" applyFont="1" applyFill="1" applyBorder="1" applyAlignment="1" applyProtection="1">
      <alignment horizontal="center"/>
      <protection hidden="1"/>
    </xf>
    <xf numFmtId="0" fontId="0" fillId="5" borderId="16" xfId="0" applyFill="1" applyBorder="1" applyProtection="1">
      <protection hidden="1"/>
    </xf>
    <xf numFmtId="0" fontId="0" fillId="0" borderId="0" xfId="0" applyBorder="1" applyAlignment="1">
      <alignment horizontal="center"/>
    </xf>
    <xf numFmtId="0" fontId="0" fillId="11" borderId="2" xfId="0" applyFill="1" applyBorder="1" applyAlignment="1">
      <alignment vertical="center"/>
    </xf>
    <xf numFmtId="0" fontId="0" fillId="0" borderId="2" xfId="0" applyBorder="1" applyAlignment="1" applyProtection="1">
      <alignment horizontal="center"/>
      <protection locked="0"/>
    </xf>
    <xf numFmtId="0" fontId="0" fillId="10" borderId="2" xfId="0" applyFill="1" applyBorder="1" applyAlignment="1" applyProtection="1">
      <alignment horizontal="center"/>
      <protection hidden="1"/>
    </xf>
    <xf numFmtId="0" fontId="0" fillId="0" borderId="2" xfId="0" applyBorder="1" applyAlignment="1" applyProtection="1">
      <alignment horizontal="left"/>
      <protection hidden="1"/>
    </xf>
    <xf numFmtId="16" fontId="3" fillId="0" borderId="0" xfId="0" applyNumberFormat="1" applyFont="1" applyBorder="1" applyAlignment="1" applyProtection="1">
      <alignment vertical="center"/>
      <protection hidden="1"/>
    </xf>
    <xf numFmtId="0" fontId="0" fillId="0" borderId="0" xfId="0" applyBorder="1" applyAlignment="1">
      <alignment horizontal="left"/>
    </xf>
    <xf numFmtId="2" fontId="0" fillId="0" borderId="0" xfId="0" applyNumberFormat="1" applyAlignment="1">
      <alignment horizontal="center"/>
    </xf>
    <xf numFmtId="0" fontId="0" fillId="3" borderId="15" xfId="0" applyFill="1" applyBorder="1" applyAlignment="1" applyProtection="1">
      <alignment horizontal="center"/>
      <protection hidden="1"/>
    </xf>
    <xf numFmtId="0" fontId="6" fillId="6" borderId="6" xfId="0" applyFont="1" applyFill="1" applyBorder="1" applyAlignment="1">
      <alignment horizontal="center"/>
    </xf>
    <xf numFmtId="0" fontId="6" fillId="3" borderId="6" xfId="0" applyFont="1" applyFill="1" applyBorder="1" applyAlignment="1" applyProtection="1">
      <alignment horizontal="center"/>
      <protection hidden="1"/>
    </xf>
    <xf numFmtId="0" fontId="0" fillId="3" borderId="6" xfId="0" applyFill="1" applyBorder="1"/>
    <xf numFmtId="0" fontId="0" fillId="3" borderId="2" xfId="0" applyFill="1" applyBorder="1" applyAlignment="1" applyProtection="1">
      <alignment vertical="top" wrapText="1"/>
      <protection hidden="1"/>
    </xf>
    <xf numFmtId="0" fontId="3" fillId="15" borderId="6" xfId="0" applyFont="1" applyFill="1" applyBorder="1" applyAlignment="1">
      <alignment vertical="center"/>
    </xf>
    <xf numFmtId="0" fontId="3" fillId="15" borderId="3" xfId="0" applyFont="1" applyFill="1" applyBorder="1" applyAlignment="1" applyProtection="1">
      <alignment horizontal="center"/>
      <protection locked="0"/>
    </xf>
    <xf numFmtId="0" fontId="0" fillId="15" borderId="12" xfId="0" applyFill="1" applyBorder="1"/>
    <xf numFmtId="0" fontId="0" fillId="15" borderId="13" xfId="0" applyFill="1" applyBorder="1"/>
    <xf numFmtId="0" fontId="0" fillId="15" borderId="4" xfId="0" applyFill="1" applyBorder="1"/>
    <xf numFmtId="0" fontId="0" fillId="15" borderId="5" xfId="0" applyFill="1" applyBorder="1"/>
    <xf numFmtId="0" fontId="0" fillId="15" borderId="0" xfId="0" applyFill="1" applyBorder="1"/>
    <xf numFmtId="0" fontId="0" fillId="15" borderId="15" xfId="0" applyFill="1" applyBorder="1"/>
    <xf numFmtId="0" fontId="0" fillId="15" borderId="3" xfId="0" applyFill="1" applyBorder="1"/>
    <xf numFmtId="0" fontId="0" fillId="15" borderId="8" xfId="0" applyFill="1" applyBorder="1"/>
    <xf numFmtId="0" fontId="0" fillId="15" borderId="16" xfId="0" applyFill="1" applyBorder="1"/>
    <xf numFmtId="0" fontId="0" fillId="6" borderId="2" xfId="0" applyFill="1" applyBorder="1" applyAlignment="1" applyProtection="1">
      <alignment vertical="center"/>
      <protection locked="0"/>
    </xf>
    <xf numFmtId="0" fontId="0" fillId="10" borderId="2" xfId="0" applyFill="1" applyBorder="1" applyAlignment="1" applyProtection="1">
      <alignment horizontal="center" vertical="center"/>
      <protection locked="0"/>
    </xf>
    <xf numFmtId="0" fontId="0" fillId="3" borderId="2" xfId="0" applyFill="1" applyBorder="1" applyAlignment="1" applyProtection="1">
      <alignment vertical="center"/>
      <protection hidden="1"/>
    </xf>
    <xf numFmtId="0" fontId="0" fillId="6" borderId="2" xfId="0" applyFill="1" applyBorder="1" applyAlignment="1">
      <alignment vertical="center"/>
    </xf>
    <xf numFmtId="0" fontId="0" fillId="0" borderId="2" xfId="0" applyFill="1" applyBorder="1" applyAlignment="1" applyProtection="1">
      <alignment vertical="center"/>
      <protection locked="0"/>
    </xf>
    <xf numFmtId="0" fontId="0" fillId="3" borderId="10" xfId="0" applyFill="1" applyBorder="1" applyAlignment="1" applyProtection="1">
      <alignment vertical="center"/>
      <protection hidden="1"/>
    </xf>
    <xf numFmtId="0" fontId="0" fillId="0" borderId="0" xfId="0" applyAlignment="1" applyProtection="1">
      <alignment horizontal="center"/>
    </xf>
    <xf numFmtId="0" fontId="4" fillId="0" borderId="0" xfId="0" applyFont="1" applyProtection="1"/>
    <xf numFmtId="0" fontId="0" fillId="0" borderId="0" xfId="0" applyAlignment="1" applyProtection="1">
      <alignment horizontal="right"/>
    </xf>
    <xf numFmtId="0" fontId="3" fillId="10" borderId="2" xfId="0" applyFont="1" applyFill="1" applyBorder="1" applyAlignment="1" applyProtection="1">
      <alignment horizontal="center"/>
    </xf>
    <xf numFmtId="0" fontId="0" fillId="0" borderId="2" xfId="0" applyBorder="1" applyAlignment="1" applyProtection="1">
      <alignment horizontal="center"/>
    </xf>
    <xf numFmtId="0" fontId="3" fillId="4" borderId="2" xfId="0" applyFont="1" applyFill="1" applyBorder="1" applyAlignment="1" applyProtection="1">
      <alignment horizontal="center"/>
    </xf>
    <xf numFmtId="0" fontId="0" fillId="4" borderId="2" xfId="0" applyFill="1" applyBorder="1" applyAlignment="1">
      <alignment horizontal="center"/>
    </xf>
    <xf numFmtId="0" fontId="0" fillId="3" borderId="2" xfId="0" applyFill="1" applyBorder="1" applyProtection="1">
      <protection locked="0"/>
    </xf>
    <xf numFmtId="0" fontId="0" fillId="0" borderId="2" xfId="0" applyBorder="1" applyAlignment="1">
      <alignment horizontal="left"/>
    </xf>
    <xf numFmtId="0" fontId="0" fillId="3" borderId="2" xfId="0" applyFill="1" applyBorder="1" applyAlignment="1" applyProtection="1">
      <alignment horizontal="left" vertical="top" wrapText="1"/>
      <protection locked="0"/>
    </xf>
    <xf numFmtId="0" fontId="15" fillId="3" borderId="2" xfId="0" applyFont="1" applyFill="1" applyBorder="1" applyAlignment="1" applyProtection="1">
      <alignment horizontal="left" vertical="top" wrapText="1"/>
      <protection locked="0"/>
    </xf>
    <xf numFmtId="0" fontId="15" fillId="4" borderId="2" xfId="0" applyFont="1" applyFill="1" applyBorder="1" applyAlignment="1" applyProtection="1">
      <alignment horizontal="left" vertical="top" wrapText="1"/>
      <protection locked="0"/>
    </xf>
    <xf numFmtId="0" fontId="19" fillId="4" borderId="2" xfId="0" applyFont="1" applyFill="1" applyBorder="1" applyAlignment="1" applyProtection="1">
      <alignment horizontal="left" vertical="top" wrapText="1" shrinkToFit="1"/>
      <protection locked="0"/>
    </xf>
    <xf numFmtId="0" fontId="19" fillId="3" borderId="2" xfId="0" applyFont="1" applyFill="1" applyBorder="1" applyAlignment="1" applyProtection="1">
      <alignment horizontal="left" vertical="top" wrapText="1" shrinkToFit="1"/>
      <protection locked="0"/>
    </xf>
    <xf numFmtId="0" fontId="19" fillId="0" borderId="2" xfId="0" applyFont="1" applyBorder="1" applyAlignment="1" applyProtection="1">
      <alignment horizontal="left" vertical="top" wrapText="1" shrinkToFit="1"/>
      <protection locked="0"/>
    </xf>
    <xf numFmtId="0" fontId="37" fillId="0" borderId="2" xfId="0" applyFont="1" applyBorder="1" applyAlignment="1" applyProtection="1">
      <alignment horizontal="left" vertical="top" wrapText="1" shrinkToFit="1"/>
      <protection locked="0"/>
    </xf>
    <xf numFmtId="0" fontId="0" fillId="4" borderId="2" xfId="0" applyFill="1" applyBorder="1" applyAlignment="1" applyProtection="1">
      <alignment horizontal="left" vertical="top" wrapText="1" shrinkToFit="1"/>
      <protection locked="0"/>
    </xf>
    <xf numFmtId="0" fontId="0" fillId="3" borderId="2" xfId="0" applyFill="1" applyBorder="1" applyAlignment="1" applyProtection="1">
      <alignment horizontal="left" vertical="top" wrapText="1" shrinkToFit="1"/>
      <protection locked="0"/>
    </xf>
    <xf numFmtId="0" fontId="0" fillId="0" borderId="2" xfId="0" applyBorder="1" applyAlignment="1" applyProtection="1">
      <alignment horizontal="left" vertical="top" wrapText="1" shrinkToFit="1"/>
      <protection locked="0"/>
    </xf>
    <xf numFmtId="0" fontId="0" fillId="4" borderId="2" xfId="0" applyFill="1" applyBorder="1" applyProtection="1">
      <protection locked="0"/>
    </xf>
    <xf numFmtId="0" fontId="0" fillId="6" borderId="0" xfId="0" applyFill="1" applyBorder="1" applyAlignment="1">
      <alignment horizontal="center" vertical="center"/>
    </xf>
    <xf numFmtId="0" fontId="0" fillId="6" borderId="0" xfId="0" applyFill="1" applyBorder="1" applyAlignment="1" applyProtection="1">
      <alignment horizontal="left" vertical="top" wrapText="1"/>
      <protection hidden="1"/>
    </xf>
    <xf numFmtId="0" fontId="0" fillId="0" borderId="2" xfId="0" applyFill="1" applyBorder="1" applyAlignment="1">
      <alignment horizontal="left" vertical="center"/>
    </xf>
    <xf numFmtId="0" fontId="0" fillId="16" borderId="12" xfId="0" applyFill="1" applyBorder="1" applyProtection="1">
      <protection locked="0"/>
    </xf>
    <xf numFmtId="0" fontId="0" fillId="16" borderId="4" xfId="0" applyFill="1" applyBorder="1" applyProtection="1">
      <protection locked="0"/>
    </xf>
    <xf numFmtId="0" fontId="0" fillId="16" borderId="0" xfId="0" applyFill="1" applyBorder="1" applyProtection="1">
      <protection locked="0"/>
    </xf>
    <xf numFmtId="0" fontId="0" fillId="16" borderId="8" xfId="0" applyFill="1" applyBorder="1" applyProtection="1">
      <protection locked="0"/>
    </xf>
    <xf numFmtId="0" fontId="5" fillId="4" borderId="2" xfId="0" applyFont="1" applyFill="1" applyBorder="1" applyAlignment="1">
      <alignment horizontal="center" vertical="center" wrapText="1"/>
    </xf>
    <xf numFmtId="0" fontId="0" fillId="3" borderId="2" xfId="0" applyFill="1" applyBorder="1" applyAlignment="1">
      <alignment vertical="center"/>
    </xf>
    <xf numFmtId="0" fontId="0" fillId="0" borderId="2" xfId="0" applyBorder="1" applyAlignment="1">
      <alignment horizontal="left" vertical="center"/>
    </xf>
    <xf numFmtId="0" fontId="0" fillId="5" borderId="3" xfId="0" applyFill="1" applyBorder="1" applyAlignment="1" applyProtection="1">
      <alignment horizontal="center" vertical="center"/>
      <protection hidden="1"/>
    </xf>
    <xf numFmtId="0" fontId="3" fillId="0" borderId="0" xfId="0" applyFont="1" applyAlignment="1">
      <alignment horizontal="center"/>
    </xf>
    <xf numFmtId="0" fontId="0" fillId="0" borderId="11" xfId="0" applyBorder="1" applyAlignment="1" applyProtection="1">
      <alignment horizontal="left" vertical="top" wrapText="1"/>
      <protection hidden="1"/>
    </xf>
    <xf numFmtId="0" fontId="1" fillId="13" borderId="2" xfId="0" applyFont="1" applyFill="1" applyBorder="1" applyAlignment="1" applyProtection="1">
      <alignment horizontal="left" vertical="top" wrapText="1"/>
      <protection hidden="1"/>
    </xf>
    <xf numFmtId="0" fontId="0" fillId="0" borderId="2" xfId="0" applyBorder="1" applyAlignment="1" applyProtection="1">
      <alignment horizontal="center" vertical="center"/>
      <protection locked="0"/>
    </xf>
    <xf numFmtId="0" fontId="0" fillId="0" borderId="3" xfId="0" applyFill="1" applyBorder="1"/>
    <xf numFmtId="0" fontId="42" fillId="0" borderId="23" xfId="0" applyFont="1" applyFill="1" applyBorder="1" applyAlignment="1">
      <alignment horizontal="center" vertical="center" wrapText="1"/>
    </xf>
    <xf numFmtId="0" fontId="0" fillId="0" borderId="10" xfId="0" applyFill="1" applyBorder="1"/>
    <xf numFmtId="0" fontId="0" fillId="0" borderId="7" xfId="0" applyFill="1" applyBorder="1"/>
    <xf numFmtId="0" fontId="0" fillId="15" borderId="12" xfId="0" applyFill="1" applyBorder="1" applyProtection="1">
      <protection locked="0"/>
    </xf>
    <xf numFmtId="0" fontId="0" fillId="15" borderId="13" xfId="0" applyFill="1" applyBorder="1" applyProtection="1">
      <protection locked="0"/>
    </xf>
    <xf numFmtId="0" fontId="0" fillId="15" borderId="4" xfId="0" applyFill="1" applyBorder="1" applyProtection="1">
      <protection locked="0"/>
    </xf>
    <xf numFmtId="0" fontId="0" fillId="15" borderId="5" xfId="0" applyFill="1" applyBorder="1" applyProtection="1">
      <protection locked="0"/>
    </xf>
    <xf numFmtId="0" fontId="0" fillId="15" borderId="0" xfId="0" applyFill="1" applyBorder="1" applyProtection="1">
      <protection locked="0"/>
    </xf>
    <xf numFmtId="0" fontId="0" fillId="15" borderId="15" xfId="0" applyFill="1" applyBorder="1" applyProtection="1">
      <protection locked="0"/>
    </xf>
    <xf numFmtId="0" fontId="0" fillId="15" borderId="8" xfId="0" applyFill="1" applyBorder="1" applyProtection="1">
      <protection locked="0"/>
    </xf>
    <xf numFmtId="0" fontId="0" fillId="15" borderId="16" xfId="0" applyFill="1" applyBorder="1" applyProtection="1">
      <protection locked="0"/>
    </xf>
    <xf numFmtId="0" fontId="0" fillId="0" borderId="11" xfId="0" applyBorder="1" applyProtection="1">
      <protection hidden="1"/>
    </xf>
    <xf numFmtId="0" fontId="0" fillId="0" borderId="12" xfId="0" applyBorder="1" applyProtection="1">
      <protection hidden="1"/>
    </xf>
    <xf numFmtId="0" fontId="0" fillId="0" borderId="13" xfId="0" applyBorder="1" applyProtection="1">
      <protection hidden="1"/>
    </xf>
    <xf numFmtId="0" fontId="10" fillId="4" borderId="2" xfId="0" applyFont="1" applyFill="1" applyBorder="1" applyAlignment="1" applyProtection="1">
      <alignment horizontal="center" wrapText="1"/>
      <protection hidden="1"/>
    </xf>
    <xf numFmtId="0" fontId="10" fillId="4" borderId="2" xfId="0" applyFont="1" applyFill="1" applyBorder="1" applyAlignment="1" applyProtection="1">
      <alignment vertical="center" wrapText="1"/>
      <protection hidden="1"/>
    </xf>
    <xf numFmtId="0" fontId="0" fillId="4" borderId="2" xfId="0" applyFill="1" applyBorder="1" applyAlignment="1">
      <alignment vertical="center" wrapText="1"/>
    </xf>
    <xf numFmtId="0" fontId="0" fillId="4" borderId="2" xfId="0" applyFill="1" applyBorder="1" applyAlignment="1">
      <alignment horizontal="center" vertical="center" wrapText="1"/>
    </xf>
    <xf numFmtId="0" fontId="0" fillId="0" borderId="2" xfId="0" applyBorder="1" applyAlignment="1" applyProtection="1">
      <alignment wrapText="1"/>
      <protection locked="0"/>
    </xf>
    <xf numFmtId="0" fontId="0" fillId="8" borderId="2" xfId="0" applyFill="1" applyBorder="1" applyAlignment="1" applyProtection="1">
      <alignment wrapText="1"/>
      <protection locked="0"/>
    </xf>
    <xf numFmtId="0" fontId="0" fillId="3" borderId="2" xfId="0" applyFill="1" applyBorder="1" applyAlignment="1" applyProtection="1">
      <alignment wrapText="1"/>
      <protection locked="0"/>
    </xf>
    <xf numFmtId="0" fontId="0" fillId="10" borderId="2" xfId="0" applyFill="1" applyBorder="1" applyAlignment="1" applyProtection="1">
      <alignment wrapText="1"/>
      <protection locked="0"/>
    </xf>
    <xf numFmtId="0" fontId="7" fillId="0" borderId="2" xfId="0" applyFont="1" applyFill="1" applyBorder="1" applyAlignment="1" applyProtection="1">
      <alignment vertical="center" wrapText="1"/>
      <protection locked="0"/>
    </xf>
    <xf numFmtId="0" fontId="7" fillId="0" borderId="2" xfId="0" applyFont="1" applyFill="1" applyBorder="1" applyAlignment="1" applyProtection="1">
      <alignment horizontal="left" vertical="center"/>
      <protection locked="0"/>
    </xf>
    <xf numFmtId="0" fontId="7" fillId="0" borderId="2" xfId="0" applyFont="1" applyFill="1" applyBorder="1" applyAlignment="1" applyProtection="1">
      <protection locked="0"/>
    </xf>
    <xf numFmtId="0" fontId="7" fillId="0" borderId="2" xfId="0" applyFont="1" applyFill="1" applyBorder="1" applyAlignment="1" applyProtection="1">
      <alignment vertical="center"/>
      <protection locked="0"/>
    </xf>
    <xf numFmtId="0" fontId="0" fillId="3" borderId="0" xfId="0" applyFill="1"/>
    <xf numFmtId="0" fontId="0" fillId="0" borderId="6" xfId="0" applyBorder="1" applyAlignment="1">
      <alignment horizontal="center" vertical="center"/>
    </xf>
    <xf numFmtId="0" fontId="4" fillId="3" borderId="4" xfId="0" applyFont="1" applyFill="1" applyBorder="1" applyAlignment="1" applyProtection="1">
      <alignment horizontal="left"/>
      <protection hidden="1"/>
    </xf>
    <xf numFmtId="0" fontId="4" fillId="3" borderId="5" xfId="0" applyFont="1" applyFill="1" applyBorder="1" applyAlignment="1" applyProtection="1">
      <alignment horizontal="left"/>
      <protection hidden="1"/>
    </xf>
    <xf numFmtId="0" fontId="0" fillId="0" borderId="0" xfId="0" applyAlignment="1">
      <alignment horizontal="center"/>
    </xf>
    <xf numFmtId="0" fontId="10" fillId="0" borderId="0" xfId="0" applyFont="1" applyAlignment="1">
      <alignment horizontal="left" indent="3"/>
    </xf>
    <xf numFmtId="0" fontId="44" fillId="0" borderId="0" xfId="0" applyFont="1" applyAlignment="1">
      <alignment horizontal="left" indent="3"/>
    </xf>
    <xf numFmtId="0" fontId="0" fillId="16" borderId="0" xfId="0" applyFill="1"/>
    <xf numFmtId="0" fontId="10" fillId="0" borderId="0" xfId="0" applyFont="1" applyAlignment="1" applyProtection="1">
      <alignment horizontal="left" indent="3"/>
      <protection locked="0"/>
    </xf>
    <xf numFmtId="0" fontId="44" fillId="0" borderId="0" xfId="0" applyFont="1" applyAlignment="1" applyProtection="1">
      <alignment horizontal="left" indent="3"/>
      <protection locked="0"/>
    </xf>
    <xf numFmtId="0" fontId="0" fillId="0" borderId="0" xfId="0" applyAlignment="1" applyProtection="1">
      <protection locked="0"/>
    </xf>
    <xf numFmtId="0" fontId="3" fillId="15" borderId="3" xfId="0" applyFont="1" applyFill="1" applyBorder="1" applyAlignment="1" applyProtection="1">
      <protection locked="0"/>
    </xf>
    <xf numFmtId="0" fontId="0" fillId="15" borderId="3" xfId="0" applyFill="1" applyBorder="1" applyAlignment="1"/>
    <xf numFmtId="0" fontId="0" fillId="15" borderId="14" xfId="0" applyFill="1" applyBorder="1" applyAlignment="1"/>
    <xf numFmtId="0" fontId="0" fillId="15" borderId="7" xfId="0" applyFill="1" applyBorder="1" applyAlignment="1"/>
    <xf numFmtId="0" fontId="0" fillId="15" borderId="12" xfId="0" applyFill="1" applyBorder="1" applyAlignment="1"/>
    <xf numFmtId="0" fontId="0" fillId="15" borderId="4" xfId="0" applyFill="1" applyBorder="1" applyAlignment="1"/>
    <xf numFmtId="0" fontId="0" fillId="15" borderId="0" xfId="0" applyFill="1" applyBorder="1" applyAlignment="1"/>
    <xf numFmtId="0" fontId="0" fillId="15" borderId="3" xfId="0" applyFont="1" applyFill="1" applyBorder="1" applyAlignment="1" applyProtection="1">
      <protection locked="0"/>
    </xf>
    <xf numFmtId="0" fontId="0" fillId="0" borderId="0" xfId="0" applyFont="1" applyAlignment="1"/>
    <xf numFmtId="0" fontId="0" fillId="0" borderId="0" xfId="0" applyFont="1" applyFill="1" applyAlignment="1"/>
    <xf numFmtId="0" fontId="0" fillId="3" borderId="0" xfId="0" applyFont="1" applyFill="1" applyBorder="1" applyAlignment="1" applyProtection="1">
      <protection locked="0"/>
    </xf>
    <xf numFmtId="0" fontId="0" fillId="3" borderId="0" xfId="0" applyFont="1" applyFill="1" applyAlignment="1" applyProtection="1">
      <protection locked="0"/>
    </xf>
    <xf numFmtId="0" fontId="0" fillId="10" borderId="10" xfId="0" applyFill="1" applyBorder="1" applyAlignment="1" applyProtection="1">
      <alignment horizontal="center" vertical="center"/>
      <protection locked="0"/>
    </xf>
    <xf numFmtId="0" fontId="0" fillId="3" borderId="9" xfId="0" applyFill="1" applyBorder="1" applyAlignment="1" applyProtection="1">
      <alignment horizontal="center"/>
      <protection hidden="1"/>
    </xf>
    <xf numFmtId="0" fontId="6" fillId="3" borderId="10" xfId="0" applyFont="1" applyFill="1" applyBorder="1" applyAlignment="1" applyProtection="1">
      <alignment horizontal="center"/>
      <protection hidden="1"/>
    </xf>
    <xf numFmtId="0" fontId="0" fillId="3" borderId="0" xfId="0" applyFill="1" applyProtection="1">
      <protection hidden="1"/>
    </xf>
    <xf numFmtId="0" fontId="7" fillId="3" borderId="9" xfId="0" applyFont="1" applyFill="1" applyBorder="1" applyAlignment="1" applyProtection="1">
      <alignment textRotation="90"/>
      <protection hidden="1"/>
    </xf>
    <xf numFmtId="1" fontId="0" fillId="3" borderId="2" xfId="0" applyNumberFormat="1" applyFill="1" applyBorder="1" applyProtection="1">
      <protection hidden="1"/>
    </xf>
    <xf numFmtId="0" fontId="0" fillId="0" borderId="0" xfId="0" applyAlignment="1">
      <alignment horizontal="center"/>
    </xf>
    <xf numFmtId="0" fontId="4" fillId="3" borderId="3" xfId="0" applyFont="1" applyFill="1" applyBorder="1" applyAlignment="1" applyProtection="1">
      <alignment horizontal="left"/>
      <protection hidden="1"/>
    </xf>
    <xf numFmtId="0" fontId="4" fillId="3" borderId="4" xfId="0" applyFont="1" applyFill="1" applyBorder="1" applyAlignment="1" applyProtection="1">
      <alignment horizontal="left"/>
      <protection hidden="1"/>
    </xf>
    <xf numFmtId="0" fontId="4" fillId="3" borderId="5" xfId="0" applyFont="1" applyFill="1" applyBorder="1" applyAlignment="1" applyProtection="1">
      <alignment horizontal="left"/>
      <protection hidden="1"/>
    </xf>
    <xf numFmtId="0" fontId="10" fillId="24" borderId="2" xfId="0" applyFont="1" applyFill="1" applyBorder="1" applyAlignment="1" applyProtection="1">
      <alignment horizontal="left" vertical="center"/>
      <protection locked="0"/>
    </xf>
    <xf numFmtId="0" fontId="0" fillId="16" borderId="6" xfId="0" applyFill="1" applyBorder="1" applyAlignment="1" applyProtection="1"/>
    <xf numFmtId="0" fontId="0" fillId="16" borderId="2" xfId="0" applyFill="1" applyBorder="1" applyAlignment="1" applyProtection="1"/>
    <xf numFmtId="0" fontId="0" fillId="0" borderId="2" xfId="0" applyFill="1" applyBorder="1" applyAlignment="1">
      <alignment vertical="center"/>
    </xf>
    <xf numFmtId="0" fontId="0" fillId="16" borderId="2" xfId="0" applyFill="1" applyBorder="1" applyProtection="1"/>
    <xf numFmtId="0" fontId="0" fillId="16" borderId="7" xfId="0" applyFill="1" applyBorder="1" applyProtection="1"/>
    <xf numFmtId="0" fontId="0" fillId="0" borderId="0" xfId="0" applyFont="1" applyAlignment="1" applyProtection="1">
      <protection locked="0"/>
    </xf>
    <xf numFmtId="0" fontId="10" fillId="0" borderId="0" xfId="0" applyFont="1" applyAlignment="1"/>
    <xf numFmtId="0" fontId="0" fillId="0" borderId="0" xfId="0" applyFont="1" applyBorder="1" applyAlignment="1">
      <alignment horizontal="right" vertical="center"/>
    </xf>
    <xf numFmtId="0" fontId="0" fillId="0" borderId="0" xfId="0" applyBorder="1"/>
    <xf numFmtId="0" fontId="0" fillId="15" borderId="3" xfId="0" applyFont="1" applyFill="1" applyBorder="1" applyAlignment="1" applyProtection="1"/>
    <xf numFmtId="0" fontId="0" fillId="15" borderId="3" xfId="0" applyFill="1" applyBorder="1" applyProtection="1"/>
    <xf numFmtId="0" fontId="0" fillId="15" borderId="14" xfId="0" applyFill="1" applyBorder="1" applyProtection="1"/>
    <xf numFmtId="0" fontId="0" fillId="15" borderId="7" xfId="0" applyFill="1" applyBorder="1" applyProtection="1"/>
    <xf numFmtId="0" fontId="0" fillId="16" borderId="3" xfId="0" applyFill="1" applyBorder="1" applyProtection="1"/>
    <xf numFmtId="0" fontId="0" fillId="16" borderId="14" xfId="0" applyFill="1" applyBorder="1" applyProtection="1"/>
    <xf numFmtId="0" fontId="0" fillId="11" borderId="3" xfId="0" applyFont="1" applyFill="1" applyBorder="1" applyAlignment="1"/>
    <xf numFmtId="0" fontId="0" fillId="11" borderId="4" xfId="0" applyFill="1" applyBorder="1" applyAlignment="1"/>
    <xf numFmtId="0" fontId="0" fillId="11" borderId="5" xfId="0" applyFill="1" applyBorder="1" applyAlignment="1"/>
    <xf numFmtId="0" fontId="0" fillId="11" borderId="4" xfId="0" applyFont="1" applyFill="1" applyBorder="1" applyAlignment="1"/>
    <xf numFmtId="0" fontId="0" fillId="16" borderId="11" xfId="0" applyFill="1" applyBorder="1" applyAlignment="1" applyProtection="1"/>
    <xf numFmtId="0" fontId="0" fillId="16" borderId="0" xfId="0" applyFill="1" applyBorder="1" applyAlignment="1" applyProtection="1"/>
    <xf numFmtId="0" fontId="0" fillId="16" borderId="12" xfId="0" applyFill="1" applyBorder="1" applyAlignment="1" applyProtection="1"/>
    <xf numFmtId="0" fontId="0" fillId="16" borderId="3" xfId="0" applyFill="1" applyBorder="1" applyAlignment="1" applyProtection="1"/>
    <xf numFmtId="0" fontId="0" fillId="16" borderId="4" xfId="0" applyFill="1" applyBorder="1" applyAlignment="1" applyProtection="1"/>
    <xf numFmtId="0" fontId="0" fillId="16" borderId="8" xfId="0" applyFill="1" applyBorder="1" applyProtection="1"/>
    <xf numFmtId="0" fontId="6" fillId="0" borderId="2" xfId="0" applyFont="1" applyBorder="1" applyAlignment="1" applyProtection="1">
      <alignment vertical="center"/>
      <protection hidden="1"/>
    </xf>
    <xf numFmtId="164" fontId="0" fillId="13" borderId="2" xfId="0" applyNumberFormat="1" applyFill="1" applyBorder="1" applyAlignment="1" applyProtection="1">
      <alignment horizontal="center"/>
      <protection hidden="1"/>
    </xf>
    <xf numFmtId="0" fontId="10" fillId="0" borderId="2" xfId="0" applyFont="1" applyBorder="1" applyAlignment="1" applyProtection="1">
      <alignment horizontal="center" vertical="center"/>
      <protection hidden="1"/>
    </xf>
    <xf numFmtId="0" fontId="0" fillId="0" borderId="0" xfId="0" applyFont="1" applyBorder="1" applyAlignment="1" applyProtection="1">
      <alignment vertical="center"/>
      <protection hidden="1"/>
    </xf>
    <xf numFmtId="0" fontId="0" fillId="0" borderId="11" xfId="0" applyBorder="1" applyAlignment="1" applyProtection="1">
      <alignment horizontal="center" vertical="top" wrapText="1"/>
      <protection hidden="1"/>
    </xf>
    <xf numFmtId="0" fontId="0" fillId="0" borderId="14" xfId="0" applyFont="1" applyBorder="1" applyAlignment="1" applyProtection="1">
      <alignment horizontal="center" vertical="top" wrapText="1"/>
      <protection hidden="1"/>
    </xf>
    <xf numFmtId="0" fontId="0" fillId="0" borderId="7" xfId="0" applyFont="1" applyBorder="1" applyAlignment="1" applyProtection="1">
      <alignment horizontal="center" vertical="top" wrapText="1"/>
      <protection hidden="1"/>
    </xf>
    <xf numFmtId="0" fontId="0" fillId="0" borderId="0" xfId="0" applyFont="1" applyBorder="1" applyAlignment="1" applyProtection="1">
      <alignment horizontal="left" vertical="top" wrapText="1"/>
      <protection hidden="1"/>
    </xf>
    <xf numFmtId="0" fontId="0" fillId="0" borderId="14" xfId="0" applyFont="1" applyBorder="1" applyAlignment="1" applyProtection="1">
      <alignment horizontal="left" vertical="top" wrapText="1"/>
      <protection hidden="1"/>
    </xf>
    <xf numFmtId="0" fontId="0" fillId="0" borderId="7" xfId="0" applyFont="1" applyBorder="1" applyAlignment="1" applyProtection="1">
      <alignment horizontal="left" vertical="top" wrapText="1"/>
      <protection hidden="1"/>
    </xf>
    <xf numFmtId="0" fontId="0" fillId="0" borderId="8" xfId="0" applyFont="1" applyBorder="1" applyAlignment="1" applyProtection="1">
      <alignment horizontal="left" vertical="top" wrapText="1"/>
      <protection hidden="1"/>
    </xf>
    <xf numFmtId="0" fontId="0" fillId="3" borderId="2" xfId="0" applyFill="1" applyBorder="1" applyAlignment="1">
      <alignment horizontal="center" vertical="center"/>
    </xf>
    <xf numFmtId="2" fontId="35" fillId="6" borderId="6" xfId="0" applyNumberFormat="1" applyFont="1" applyFill="1" applyBorder="1" applyAlignment="1">
      <alignment horizontal="center"/>
    </xf>
    <xf numFmtId="164" fontId="35" fillId="6" borderId="6" xfId="0" applyNumberFormat="1" applyFont="1" applyFill="1" applyBorder="1" applyAlignment="1">
      <alignment horizontal="center"/>
    </xf>
    <xf numFmtId="0" fontId="7" fillId="0" borderId="0" xfId="0" applyFont="1" applyProtection="1">
      <protection hidden="1"/>
    </xf>
    <xf numFmtId="0" fontId="10" fillId="0" borderId="0" xfId="0" applyFont="1" applyBorder="1" applyAlignment="1" applyProtection="1">
      <alignment horizontal="center"/>
      <protection hidden="1"/>
    </xf>
    <xf numFmtId="0" fontId="10" fillId="0" borderId="0" xfId="0" applyFont="1" applyBorder="1" applyAlignment="1" applyProtection="1">
      <alignment horizontal="left"/>
      <protection hidden="1"/>
    </xf>
    <xf numFmtId="0" fontId="10" fillId="0" borderId="15" xfId="0" applyFont="1" applyBorder="1" applyProtection="1">
      <protection hidden="1"/>
    </xf>
    <xf numFmtId="0" fontId="10" fillId="0" borderId="7" xfId="0" applyFont="1" applyBorder="1" applyProtection="1">
      <protection hidden="1"/>
    </xf>
    <xf numFmtId="0" fontId="10" fillId="0" borderId="8" xfId="0" applyFont="1" applyBorder="1" applyProtection="1">
      <protection hidden="1"/>
    </xf>
    <xf numFmtId="0" fontId="10" fillId="0" borderId="16" xfId="0" applyFont="1" applyBorder="1" applyProtection="1">
      <protection hidden="1"/>
    </xf>
    <xf numFmtId="0" fontId="10" fillId="0" borderId="0" xfId="0" applyFont="1" applyFill="1" applyBorder="1" applyProtection="1">
      <protection hidden="1"/>
    </xf>
    <xf numFmtId="0" fontId="11" fillId="0" borderId="0" xfId="0" applyFont="1" applyProtection="1">
      <protection hidden="1"/>
    </xf>
    <xf numFmtId="0" fontId="46" fillId="0" borderId="0" xfId="0" applyFont="1" applyAlignment="1" applyProtection="1">
      <alignment horizontal="center"/>
      <protection hidden="1"/>
    </xf>
    <xf numFmtId="0" fontId="9" fillId="0" borderId="0" xfId="0" applyFont="1" applyAlignment="1" applyProtection="1">
      <alignment horizontal="left" vertical="center"/>
      <protection hidden="1"/>
    </xf>
    <xf numFmtId="0" fontId="10" fillId="0" borderId="0" xfId="0" applyFont="1" applyAlignment="1" applyProtection="1">
      <alignment horizontal="left"/>
      <protection hidden="1"/>
    </xf>
    <xf numFmtId="0" fontId="10" fillId="0" borderId="0" xfId="0" applyFont="1" applyAlignment="1" applyProtection="1">
      <alignment vertical="center"/>
      <protection hidden="1"/>
    </xf>
    <xf numFmtId="0" fontId="46" fillId="0" borderId="0" xfId="0" applyFont="1" applyProtection="1">
      <protection hidden="1"/>
    </xf>
    <xf numFmtId="0" fontId="46" fillId="0" borderId="0" xfId="0" applyFont="1" applyAlignment="1" applyProtection="1">
      <alignment vertical="center"/>
      <protection hidden="1"/>
    </xf>
    <xf numFmtId="0" fontId="11" fillId="0" borderId="2" xfId="0" applyFont="1" applyBorder="1" applyAlignment="1" applyProtection="1">
      <alignment vertical="center" wrapText="1"/>
      <protection hidden="1"/>
    </xf>
    <xf numFmtId="0" fontId="0" fillId="0" borderId="12" xfId="0" applyBorder="1" applyAlignment="1" applyProtection="1">
      <alignment horizontal="left" vertical="top" wrapText="1"/>
      <protection hidden="1"/>
    </xf>
    <xf numFmtId="0" fontId="3" fillId="0" borderId="12" xfId="0" applyFont="1" applyBorder="1" applyAlignment="1" applyProtection="1">
      <alignment horizontal="center" vertical="top" wrapText="1"/>
      <protection hidden="1"/>
    </xf>
    <xf numFmtId="0" fontId="0" fillId="0" borderId="0" xfId="0" applyBorder="1" applyAlignment="1" applyProtection="1">
      <alignment horizontal="left" vertical="top" wrapText="1"/>
      <protection hidden="1"/>
    </xf>
    <xf numFmtId="0" fontId="7" fillId="0" borderId="0" xfId="0" applyFont="1" applyFill="1" applyBorder="1" applyProtection="1">
      <protection hidden="1"/>
    </xf>
    <xf numFmtId="0" fontId="10" fillId="0" borderId="0" xfId="0" applyFont="1" applyBorder="1" applyAlignment="1" applyProtection="1">
      <protection hidden="1"/>
    </xf>
    <xf numFmtId="0" fontId="10" fillId="0" borderId="0" xfId="0" applyFont="1" applyBorder="1" applyProtection="1">
      <protection hidden="1"/>
    </xf>
    <xf numFmtId="0" fontId="0" fillId="4" borderId="2" xfId="0" applyFill="1" applyBorder="1" applyAlignment="1" applyProtection="1">
      <alignment horizontal="center" vertical="center"/>
      <protection hidden="1"/>
    </xf>
    <xf numFmtId="0" fontId="0" fillId="0" borderId="2" xfId="0" applyFill="1" applyBorder="1" applyAlignment="1">
      <alignment horizontal="right"/>
    </xf>
    <xf numFmtId="0" fontId="4" fillId="0" borderId="0" xfId="0" applyFont="1" applyAlignment="1"/>
    <xf numFmtId="0" fontId="4" fillId="0" borderId="0" xfId="0" applyFont="1"/>
    <xf numFmtId="0" fontId="0" fillId="11" borderId="4" xfId="0" applyFill="1" applyBorder="1"/>
    <xf numFmtId="0" fontId="0" fillId="11" borderId="5" xfId="0" applyFill="1" applyBorder="1"/>
    <xf numFmtId="0" fontId="3" fillId="11" borderId="3" xfId="0" applyFont="1" applyFill="1" applyBorder="1" applyAlignment="1"/>
    <xf numFmtId="0" fontId="3" fillId="11" borderId="4" xfId="0" applyFont="1" applyFill="1" applyBorder="1" applyAlignment="1">
      <alignment horizontal="center"/>
    </xf>
    <xf numFmtId="0" fontId="3" fillId="11" borderId="4" xfId="0" applyFont="1" applyFill="1" applyBorder="1" applyAlignment="1"/>
    <xf numFmtId="0" fontId="3" fillId="11" borderId="4" xfId="0" applyFont="1" applyFill="1" applyBorder="1"/>
    <xf numFmtId="0" fontId="3" fillId="11" borderId="5" xfId="0" applyFont="1" applyFill="1" applyBorder="1"/>
    <xf numFmtId="0" fontId="11" fillId="11" borderId="4" xfId="0" applyFont="1" applyFill="1" applyBorder="1" applyAlignment="1" applyProtection="1">
      <protection hidden="1"/>
    </xf>
    <xf numFmtId="0" fontId="11" fillId="11" borderId="4" xfId="0" applyFont="1" applyFill="1" applyBorder="1" applyAlignment="1"/>
    <xf numFmtId="0" fontId="0" fillId="3" borderId="0" xfId="0" applyFill="1" applyProtection="1">
      <protection locked="0"/>
    </xf>
    <xf numFmtId="0" fontId="10" fillId="3" borderId="0" xfId="0" applyFont="1" applyFill="1" applyProtection="1">
      <protection locked="0"/>
    </xf>
    <xf numFmtId="0" fontId="0" fillId="3" borderId="0" xfId="0" applyFill="1" applyAlignment="1" applyProtection="1">
      <protection locked="0"/>
    </xf>
    <xf numFmtId="0" fontId="9" fillId="3" borderId="0" xfId="0" applyFont="1" applyFill="1" applyAlignment="1" applyProtection="1">
      <protection locked="0"/>
    </xf>
    <xf numFmtId="0" fontId="0" fillId="3" borderId="0" xfId="0" applyFill="1" applyBorder="1" applyProtection="1">
      <protection locked="0"/>
    </xf>
    <xf numFmtId="0" fontId="0" fillId="3" borderId="0" xfId="0" applyFont="1" applyFill="1" applyBorder="1" applyProtection="1">
      <protection locked="0"/>
    </xf>
    <xf numFmtId="0" fontId="10" fillId="3" borderId="0" xfId="0" applyFont="1" applyFill="1" applyAlignment="1" applyProtection="1">
      <protection locked="0"/>
    </xf>
    <xf numFmtId="0" fontId="0" fillId="0" borderId="0" xfId="0" applyFont="1" applyAlignment="1" applyProtection="1"/>
    <xf numFmtId="0" fontId="31" fillId="3" borderId="0" xfId="0" applyFont="1" applyFill="1" applyAlignment="1" applyProtection="1"/>
    <xf numFmtId="0" fontId="0" fillId="0" borderId="0" xfId="0" applyAlignment="1" applyProtection="1"/>
    <xf numFmtId="0" fontId="3" fillId="3" borderId="0" xfId="0" applyFont="1" applyFill="1" applyAlignment="1" applyProtection="1">
      <alignment horizontal="center"/>
    </xf>
    <xf numFmtId="0" fontId="0" fillId="11" borderId="4" xfId="0" applyFont="1" applyFill="1" applyBorder="1" applyAlignment="1" applyProtection="1"/>
    <xf numFmtId="0" fontId="0" fillId="11" borderId="4" xfId="0" applyFill="1" applyBorder="1" applyAlignment="1" applyProtection="1"/>
    <xf numFmtId="0" fontId="0" fillId="11" borderId="5" xfId="0" applyFill="1" applyBorder="1" applyAlignment="1" applyProtection="1"/>
    <xf numFmtId="0" fontId="10" fillId="3" borderId="0" xfId="0" applyFont="1" applyFill="1" applyAlignment="1" applyProtection="1">
      <alignment horizontal="left" indent="3"/>
      <protection locked="0"/>
    </xf>
    <xf numFmtId="0" fontId="44" fillId="3" borderId="0" xfId="0" applyFont="1" applyFill="1" applyAlignment="1" applyProtection="1">
      <alignment horizontal="left" indent="3"/>
      <protection locked="0"/>
    </xf>
    <xf numFmtId="0" fontId="45" fillId="3" borderId="0" xfId="0" applyFont="1" applyFill="1" applyAlignment="1" applyProtection="1">
      <alignment horizontal="left" indent="3"/>
      <protection locked="0"/>
    </xf>
    <xf numFmtId="0" fontId="0" fillId="0" borderId="0" xfId="0" applyAlignment="1">
      <alignment horizontal="center"/>
    </xf>
    <xf numFmtId="0" fontId="0" fillId="0" borderId="2" xfId="0" applyBorder="1" applyAlignment="1">
      <alignment horizontal="center" vertical="center"/>
    </xf>
    <xf numFmtId="0" fontId="31" fillId="5" borderId="6" xfId="0" applyFont="1" applyFill="1" applyBorder="1" applyAlignment="1">
      <alignment horizontal="center"/>
    </xf>
    <xf numFmtId="0" fontId="31" fillId="5" borderId="10" xfId="0" applyFont="1" applyFill="1" applyBorder="1" applyAlignment="1">
      <alignment horizontal="center"/>
    </xf>
    <xf numFmtId="0" fontId="0" fillId="0" borderId="10" xfId="0" applyBorder="1"/>
    <xf numFmtId="0" fontId="0" fillId="0" borderId="2" xfId="0" applyBorder="1" applyAlignment="1">
      <alignment horizontal="center"/>
    </xf>
    <xf numFmtId="0" fontId="9" fillId="0" borderId="0" xfId="0" applyFont="1" applyAlignment="1" applyProtection="1">
      <protection locked="0" hidden="1"/>
    </xf>
    <xf numFmtId="0" fontId="9" fillId="0" borderId="0" xfId="0" applyFont="1" applyAlignment="1" applyProtection="1">
      <protection hidden="1"/>
    </xf>
    <xf numFmtId="0" fontId="0" fillId="5" borderId="4" xfId="0" applyFill="1" applyBorder="1" applyAlignment="1">
      <alignment horizontal="center"/>
    </xf>
    <xf numFmtId="0" fontId="0" fillId="6" borderId="2" xfId="0" applyFill="1" applyBorder="1" applyAlignment="1" applyProtection="1">
      <alignment horizontal="center" vertical="center"/>
      <protection locked="0"/>
    </xf>
    <xf numFmtId="0" fontId="0" fillId="0" borderId="2" xfId="0" applyFill="1" applyBorder="1" applyAlignment="1" applyProtection="1">
      <alignment horizontal="center" vertical="center"/>
      <protection locked="0"/>
    </xf>
    <xf numFmtId="0" fontId="0" fillId="3" borderId="2" xfId="0" applyFill="1" applyBorder="1" applyAlignment="1" applyProtection="1">
      <alignment horizontal="center" vertical="center"/>
      <protection locked="0"/>
    </xf>
    <xf numFmtId="0" fontId="0" fillId="0" borderId="10" xfId="0" applyFill="1" applyBorder="1" applyAlignment="1" applyProtection="1">
      <alignment horizontal="center" vertical="center"/>
      <protection locked="0"/>
    </xf>
    <xf numFmtId="0" fontId="0" fillId="3" borderId="4" xfId="0" applyFill="1" applyBorder="1" applyAlignment="1" applyProtection="1">
      <alignment horizontal="center"/>
    </xf>
    <xf numFmtId="0" fontId="0" fillId="8" borderId="4" xfId="0" applyFill="1" applyBorder="1" applyAlignment="1" applyProtection="1">
      <alignment horizontal="center"/>
    </xf>
    <xf numFmtId="0" fontId="0" fillId="5" borderId="4" xfId="0" applyFill="1" applyBorder="1" applyAlignment="1" applyProtection="1">
      <alignment horizontal="center"/>
      <protection locked="0"/>
    </xf>
    <xf numFmtId="0" fontId="0" fillId="6" borderId="4" xfId="0" applyFill="1" applyBorder="1" applyAlignment="1" applyProtection="1">
      <alignment horizontal="center"/>
      <protection locked="0"/>
    </xf>
    <xf numFmtId="0" fontId="48" fillId="0" borderId="0" xfId="0" applyFont="1"/>
    <xf numFmtId="164" fontId="0" fillId="3" borderId="15" xfId="0" applyNumberFormat="1" applyFill="1" applyBorder="1" applyAlignment="1" applyProtection="1">
      <alignment horizontal="center"/>
      <protection hidden="1"/>
    </xf>
    <xf numFmtId="164" fontId="6" fillId="6" borderId="6" xfId="0" applyNumberFormat="1" applyFont="1" applyFill="1" applyBorder="1" applyAlignment="1">
      <alignment horizontal="center"/>
    </xf>
    <xf numFmtId="164" fontId="35" fillId="3" borderId="6" xfId="0" applyNumberFormat="1" applyFont="1" applyFill="1" applyBorder="1" applyAlignment="1" applyProtection="1">
      <alignment horizontal="center"/>
      <protection hidden="1"/>
    </xf>
    <xf numFmtId="1" fontId="10" fillId="0" borderId="2" xfId="0" applyNumberFormat="1" applyFont="1" applyBorder="1" applyProtection="1">
      <protection locked="0"/>
    </xf>
    <xf numFmtId="0" fontId="0" fillId="0" borderId="0" xfId="0" applyAlignment="1">
      <alignment horizontal="center"/>
    </xf>
    <xf numFmtId="0" fontId="3" fillId="3" borderId="0" xfId="0" applyFont="1" applyFill="1" applyAlignment="1" applyProtection="1">
      <alignment horizontal="center"/>
    </xf>
    <xf numFmtId="0" fontId="49" fillId="25" borderId="0" xfId="0" applyFont="1" applyFill="1" applyBorder="1" applyAlignment="1" applyProtection="1">
      <alignment vertical="center"/>
      <protection locked="0"/>
    </xf>
    <xf numFmtId="0" fontId="0" fillId="12" borderId="0" xfId="0" applyFill="1" applyBorder="1"/>
    <xf numFmtId="0" fontId="9" fillId="12" borderId="0" xfId="0" applyFont="1" applyFill="1" applyAlignment="1" applyProtection="1">
      <protection hidden="1"/>
    </xf>
    <xf numFmtId="0" fontId="9" fillId="12" borderId="0" xfId="0" applyFont="1" applyFill="1" applyAlignment="1" applyProtection="1">
      <alignment horizontal="left" vertical="top"/>
      <protection hidden="1"/>
    </xf>
    <xf numFmtId="0" fontId="49" fillId="0" borderId="0" xfId="0" applyFont="1"/>
    <xf numFmtId="0" fontId="50" fillId="0" borderId="0" xfId="0" applyFont="1"/>
    <xf numFmtId="0" fontId="9" fillId="3" borderId="0" xfId="0" applyFont="1" applyFill="1" applyAlignment="1" applyProtection="1">
      <protection hidden="1"/>
    </xf>
    <xf numFmtId="0" fontId="0" fillId="8" borderId="13" xfId="0" applyFill="1" applyBorder="1" applyAlignment="1" applyProtection="1">
      <alignment horizontal="center"/>
    </xf>
    <xf numFmtId="0" fontId="0" fillId="0" borderId="0" xfId="0" quotePrefix="1"/>
    <xf numFmtId="2" fontId="51" fillId="6" borderId="6" xfId="0" applyNumberFormat="1" applyFont="1" applyFill="1" applyBorder="1" applyAlignment="1">
      <alignment horizontal="center"/>
    </xf>
    <xf numFmtId="0" fontId="0" fillId="0" borderId="0" xfId="0" applyFont="1" applyAlignment="1" applyProtection="1">
      <alignment horizontal="center"/>
    </xf>
    <xf numFmtId="0" fontId="0" fillId="11" borderId="3" xfId="0" applyFont="1" applyFill="1" applyBorder="1" applyAlignment="1" applyProtection="1">
      <alignment horizontal="center"/>
    </xf>
    <xf numFmtId="0" fontId="0" fillId="3" borderId="2" xfId="0" applyFont="1" applyFill="1" applyBorder="1" applyAlignment="1" applyProtection="1">
      <alignment horizontal="center"/>
      <protection locked="0"/>
    </xf>
    <xf numFmtId="0" fontId="0" fillId="11" borderId="3" xfId="0" applyFont="1" applyFill="1" applyBorder="1" applyAlignment="1">
      <alignment horizontal="center"/>
    </xf>
    <xf numFmtId="0" fontId="0" fillId="3" borderId="0" xfId="0" applyFont="1" applyFill="1" applyAlignment="1" applyProtection="1">
      <alignment horizontal="center"/>
      <protection locked="0"/>
    </xf>
    <xf numFmtId="0" fontId="0" fillId="0" borderId="0" xfId="0" applyFont="1" applyAlignment="1">
      <alignment horizontal="center"/>
    </xf>
    <xf numFmtId="0" fontId="0" fillId="0" borderId="0" xfId="0" quotePrefix="1" applyAlignment="1">
      <alignment horizontal="center"/>
    </xf>
    <xf numFmtId="0" fontId="20" fillId="0" borderId="0" xfId="0" applyFont="1" applyAlignment="1">
      <alignment horizontal="center"/>
    </xf>
    <xf numFmtId="0" fontId="0" fillId="0" borderId="0" xfId="0" applyAlignment="1">
      <alignment horizontal="center"/>
    </xf>
    <xf numFmtId="0" fontId="4" fillId="3" borderId="5" xfId="0" applyFont="1" applyFill="1" applyBorder="1" applyAlignment="1" applyProtection="1">
      <alignment horizontal="left"/>
      <protection hidden="1"/>
    </xf>
    <xf numFmtId="0" fontId="0" fillId="6" borderId="2" xfId="0" applyFill="1" applyBorder="1" applyAlignment="1">
      <alignment horizontal="center"/>
    </xf>
    <xf numFmtId="0" fontId="0" fillId="0" borderId="0" xfId="0" applyBorder="1" applyAlignment="1">
      <alignment horizontal="center" vertical="center"/>
    </xf>
    <xf numFmtId="0" fontId="0" fillId="0" borderId="0" xfId="0" applyAlignment="1">
      <alignment horizontal="left"/>
    </xf>
    <xf numFmtId="0" fontId="0" fillId="0" borderId="2" xfId="0" applyBorder="1" applyAlignment="1">
      <alignment horizontal="center"/>
    </xf>
    <xf numFmtId="0" fontId="11" fillId="4" borderId="2" xfId="0" applyFont="1" applyFill="1" applyBorder="1" applyAlignment="1">
      <alignment horizontal="center" vertical="center"/>
    </xf>
    <xf numFmtId="0" fontId="0" fillId="3" borderId="2" xfId="0" applyFill="1" applyBorder="1" applyAlignment="1">
      <alignment horizontal="center" textRotation="90"/>
    </xf>
    <xf numFmtId="0" fontId="0" fillId="0" borderId="6" xfId="0" applyBorder="1" applyAlignment="1">
      <alignment horizontal="center" vertical="center"/>
    </xf>
    <xf numFmtId="0" fontId="4" fillId="3" borderId="5" xfId="0" applyFont="1" applyFill="1" applyBorder="1" applyAlignment="1" applyProtection="1">
      <alignment horizontal="left"/>
      <protection hidden="1"/>
    </xf>
    <xf numFmtId="0" fontId="0" fillId="0" borderId="0" xfId="0" applyBorder="1" applyAlignment="1">
      <alignment horizontal="center" vertical="center"/>
    </xf>
    <xf numFmtId="0" fontId="52" fillId="3" borderId="2" xfId="0" applyFont="1" applyFill="1" applyBorder="1" applyAlignment="1">
      <alignment horizontal="center" vertical="center"/>
    </xf>
    <xf numFmtId="0" fontId="52" fillId="0" borderId="3" xfId="0" applyFont="1" applyBorder="1" applyAlignment="1" applyProtection="1">
      <alignment horizontal="center"/>
      <protection locked="0"/>
    </xf>
    <xf numFmtId="0" fontId="53" fillId="0" borderId="0" xfId="0" applyFont="1"/>
    <xf numFmtId="0" fontId="54" fillId="0" borderId="2" xfId="0" applyFont="1" applyBorder="1" applyAlignment="1">
      <alignment horizontal="center"/>
    </xf>
    <xf numFmtId="0" fontId="54" fillId="0" borderId="2" xfId="0" applyFont="1" applyBorder="1"/>
    <xf numFmtId="0" fontId="0" fillId="6" borderId="2" xfId="0" applyFill="1" applyBorder="1"/>
    <xf numFmtId="0" fontId="3" fillId="6" borderId="2" xfId="0" applyFont="1" applyFill="1" applyBorder="1" applyAlignment="1">
      <alignment horizontal="center"/>
    </xf>
    <xf numFmtId="1" fontId="0" fillId="0" borderId="2" xfId="0" applyNumberFormat="1" applyBorder="1"/>
    <xf numFmtId="0" fontId="0" fillId="0" borderId="0" xfId="0" applyAlignment="1" applyProtection="1">
      <alignment horizontal="left"/>
    </xf>
    <xf numFmtId="0" fontId="56" fillId="0" borderId="0" xfId="0" applyFont="1" applyFill="1" applyBorder="1" applyAlignment="1" applyProtection="1">
      <alignment vertical="center"/>
      <protection locked="0"/>
    </xf>
    <xf numFmtId="0" fontId="58" fillId="0" borderId="0" xfId="0" applyFont="1" applyAlignment="1">
      <alignment horizontal="left"/>
    </xf>
    <xf numFmtId="0" fontId="41" fillId="0" borderId="0" xfId="0" applyFont="1" applyBorder="1" applyAlignment="1">
      <alignment vertical="center"/>
    </xf>
    <xf numFmtId="0" fontId="60" fillId="0" borderId="0" xfId="0" applyFont="1" applyAlignment="1">
      <alignment horizontal="left"/>
    </xf>
    <xf numFmtId="0" fontId="0" fillId="0" borderId="0" xfId="0" applyBorder="1" applyAlignment="1" applyProtection="1">
      <alignment horizontal="left"/>
      <protection hidden="1"/>
    </xf>
    <xf numFmtId="0" fontId="10" fillId="0" borderId="0" xfId="0" applyFont="1" applyFill="1" applyBorder="1" applyAlignment="1" applyProtection="1">
      <alignment horizontal="left"/>
      <protection hidden="1"/>
    </xf>
    <xf numFmtId="0" fontId="10" fillId="0" borderId="0" xfId="0" applyFont="1" applyFill="1" applyBorder="1" applyProtection="1">
      <protection locked="0"/>
    </xf>
    <xf numFmtId="0" fontId="10" fillId="0" borderId="0" xfId="0" applyFont="1" applyFill="1" applyBorder="1" applyAlignment="1" applyProtection="1">
      <alignment horizontal="left"/>
      <protection locked="0"/>
    </xf>
    <xf numFmtId="0" fontId="10" fillId="0" borderId="0" xfId="0" applyFont="1" applyFill="1" applyBorder="1" applyProtection="1"/>
    <xf numFmtId="0" fontId="10" fillId="0" borderId="0" xfId="0" applyFont="1" applyFill="1" applyProtection="1">
      <protection hidden="1"/>
    </xf>
    <xf numFmtId="0" fontId="10" fillId="0" borderId="0" xfId="0" applyFont="1" applyFill="1" applyProtection="1">
      <protection locked="0"/>
    </xf>
    <xf numFmtId="0" fontId="7" fillId="0" borderId="0" xfId="0" applyFont="1" applyAlignment="1">
      <alignment horizontal="center"/>
    </xf>
    <xf numFmtId="0" fontId="48" fillId="0" borderId="0" xfId="0" applyFont="1" applyAlignment="1">
      <alignment horizontal="left" vertical="top" wrapText="1"/>
    </xf>
    <xf numFmtId="0" fontId="48" fillId="0" borderId="0" xfId="0" applyFont="1" applyAlignment="1" applyProtection="1">
      <alignment vertical="top"/>
      <protection hidden="1"/>
    </xf>
    <xf numFmtId="0" fontId="48" fillId="0" borderId="0" xfId="0" applyFont="1" applyProtection="1">
      <protection hidden="1"/>
    </xf>
    <xf numFmtId="0" fontId="48" fillId="0" borderId="0" xfId="0" applyFont="1" applyAlignment="1" applyProtection="1">
      <alignment horizontal="left"/>
      <protection hidden="1"/>
    </xf>
    <xf numFmtId="165" fontId="48" fillId="0" borderId="0" xfId="0" applyNumberFormat="1" applyFont="1" applyAlignment="1" applyProtection="1">
      <alignment vertical="top"/>
      <protection hidden="1"/>
    </xf>
    <xf numFmtId="0" fontId="48" fillId="0" borderId="0" xfId="0" applyFont="1" applyAlignment="1">
      <alignment horizontal="left"/>
    </xf>
    <xf numFmtId="0" fontId="10" fillId="0" borderId="0" xfId="0" applyFont="1" applyAlignment="1">
      <alignment horizontal="left"/>
    </xf>
    <xf numFmtId="0" fontId="62" fillId="0" borderId="0" xfId="0" applyFont="1" applyAlignment="1">
      <alignment horizontal="center"/>
    </xf>
    <xf numFmtId="0" fontId="10" fillId="0" borderId="0" xfId="0" applyFont="1" applyAlignment="1">
      <alignment horizontal="center"/>
    </xf>
    <xf numFmtId="0" fontId="63" fillId="0" borderId="0" xfId="0" applyFont="1" applyAlignment="1">
      <alignment horizontal="left"/>
    </xf>
    <xf numFmtId="0" fontId="0" fillId="0" borderId="0" xfId="0" applyAlignment="1">
      <alignment horizontal="center" vertical="top"/>
    </xf>
    <xf numFmtId="0" fontId="44" fillId="0" borderId="0" xfId="0" applyFont="1" applyAlignment="1">
      <alignment vertical="center"/>
    </xf>
    <xf numFmtId="0" fontId="12" fillId="0" borderId="2" xfId="0" applyFont="1" applyBorder="1" applyAlignment="1" applyProtection="1">
      <alignment horizontal="left"/>
      <protection locked="0"/>
    </xf>
    <xf numFmtId="0" fontId="0" fillId="0" borderId="2" xfId="0" applyFont="1" applyFill="1" applyBorder="1" applyProtection="1">
      <protection locked="0"/>
    </xf>
    <xf numFmtId="0" fontId="0" fillId="0" borderId="2" xfId="0" applyBorder="1" applyAlignment="1" applyProtection="1">
      <alignment textRotation="90"/>
      <protection hidden="1"/>
    </xf>
    <xf numFmtId="0" fontId="0" fillId="0" borderId="0" xfId="0" applyBorder="1" applyAlignment="1" applyProtection="1">
      <alignment textRotation="90"/>
      <protection hidden="1"/>
    </xf>
    <xf numFmtId="0" fontId="0" fillId="0" borderId="6" xfId="0" applyBorder="1" applyAlignment="1" applyProtection="1">
      <alignment textRotation="90"/>
      <protection hidden="1"/>
    </xf>
    <xf numFmtId="0" fontId="0" fillId="0" borderId="2" xfId="0" applyFill="1" applyBorder="1" applyAlignment="1" applyProtection="1">
      <alignment textRotation="90"/>
      <protection hidden="1"/>
    </xf>
    <xf numFmtId="0" fontId="1" fillId="0" borderId="2" xfId="0" applyFont="1" applyBorder="1" applyProtection="1">
      <protection hidden="1"/>
    </xf>
    <xf numFmtId="0" fontId="1" fillId="0" borderId="9" xfId="0" applyFont="1" applyFill="1" applyBorder="1" applyProtection="1">
      <protection hidden="1"/>
    </xf>
    <xf numFmtId="0" fontId="1" fillId="0" borderId="0" xfId="0" applyFont="1" applyProtection="1">
      <protection hidden="1"/>
    </xf>
    <xf numFmtId="0" fontId="43" fillId="7" borderId="2" xfId="3" applyFont="1" applyFill="1" applyBorder="1" applyAlignment="1" applyProtection="1">
      <alignment horizontal="center" vertical="center"/>
      <protection locked="0"/>
    </xf>
    <xf numFmtId="1" fontId="0" fillId="0" borderId="2" xfId="0" applyNumberFormat="1" applyBorder="1" applyAlignment="1" applyProtection="1">
      <alignment horizontal="center"/>
      <protection hidden="1"/>
    </xf>
    <xf numFmtId="0" fontId="6" fillId="3" borderId="9" xfId="0" applyFont="1" applyFill="1" applyBorder="1" applyAlignment="1" applyProtection="1">
      <alignment horizontal="center"/>
      <protection hidden="1"/>
    </xf>
    <xf numFmtId="0" fontId="0" fillId="0" borderId="2" xfId="0" applyFill="1" applyBorder="1" applyAlignment="1" applyProtection="1">
      <alignment horizontal="center"/>
      <protection hidden="1"/>
    </xf>
    <xf numFmtId="0" fontId="0" fillId="0" borderId="10" xfId="0" applyFill="1" applyBorder="1" applyAlignment="1" applyProtection="1">
      <alignment vertical="center"/>
      <protection locked="0"/>
    </xf>
    <xf numFmtId="0" fontId="0" fillId="6" borderId="10" xfId="0" applyFill="1" applyBorder="1" applyAlignment="1" applyProtection="1">
      <alignment vertical="center"/>
      <protection locked="0"/>
    </xf>
    <xf numFmtId="1" fontId="0" fillId="6" borderId="2" xfId="0" applyNumberFormat="1" applyFill="1" applyBorder="1" applyAlignment="1" applyProtection="1">
      <alignment horizontal="center" vertical="center" wrapText="1"/>
      <protection hidden="1"/>
    </xf>
    <xf numFmtId="1" fontId="0" fillId="4" borderId="2" xfId="0" applyNumberFormat="1" applyFill="1" applyBorder="1" applyAlignment="1" applyProtection="1">
      <alignment horizontal="center" vertical="center" wrapText="1"/>
      <protection hidden="1"/>
    </xf>
    <xf numFmtId="0" fontId="0" fillId="10" borderId="6" xfId="0" applyFill="1" applyBorder="1" applyAlignment="1" applyProtection="1">
      <alignment horizontal="center"/>
      <protection hidden="1"/>
    </xf>
    <xf numFmtId="0" fontId="6" fillId="10" borderId="2" xfId="0" applyFont="1" applyFill="1" applyBorder="1" applyAlignment="1" applyProtection="1">
      <alignment horizontal="center"/>
      <protection hidden="1"/>
    </xf>
    <xf numFmtId="0" fontId="0" fillId="13" borderId="2" xfId="0" applyFill="1" applyBorder="1" applyAlignment="1" applyProtection="1">
      <alignment horizontal="left" vertical="top" wrapText="1"/>
      <protection hidden="1"/>
    </xf>
    <xf numFmtId="0" fontId="0" fillId="0" borderId="0" xfId="0" applyAlignment="1">
      <alignment horizontal="center"/>
    </xf>
    <xf numFmtId="0" fontId="4" fillId="3" borderId="5" xfId="0" applyFont="1" applyFill="1" applyBorder="1" applyAlignment="1" applyProtection="1">
      <alignment horizontal="left"/>
      <protection hidden="1"/>
    </xf>
    <xf numFmtId="0" fontId="0" fillId="0" borderId="0" xfId="0" applyBorder="1" applyAlignment="1">
      <alignment horizontal="center" vertical="center"/>
    </xf>
    <xf numFmtId="0" fontId="0" fillId="26" borderId="6" xfId="0" applyFill="1" applyBorder="1" applyAlignment="1" applyProtection="1">
      <alignment horizontal="center"/>
      <protection hidden="1"/>
    </xf>
    <xf numFmtId="0" fontId="0" fillId="4" borderId="6" xfId="0" applyFill="1" applyBorder="1" applyAlignment="1" applyProtection="1">
      <alignment horizontal="center"/>
      <protection hidden="1"/>
    </xf>
    <xf numFmtId="0" fontId="6" fillId="4" borderId="2" xfId="0" applyFont="1" applyFill="1" applyBorder="1" applyAlignment="1" applyProtection="1">
      <alignment horizontal="center"/>
      <protection hidden="1"/>
    </xf>
    <xf numFmtId="0" fontId="0" fillId="4" borderId="10" xfId="0" applyFill="1" applyBorder="1" applyAlignment="1" applyProtection="1">
      <alignment vertical="center"/>
      <protection locked="0"/>
    </xf>
    <xf numFmtId="2" fontId="6" fillId="6" borderId="2" xfId="0" applyNumberFormat="1" applyFont="1" applyFill="1" applyBorder="1" applyAlignment="1" applyProtection="1">
      <alignment horizontal="center"/>
    </xf>
    <xf numFmtId="0" fontId="0" fillId="13" borderId="6" xfId="0" applyFill="1" applyBorder="1" applyAlignment="1" applyProtection="1">
      <alignment horizontal="center"/>
      <protection hidden="1"/>
    </xf>
    <xf numFmtId="0" fontId="6" fillId="13" borderId="2" xfId="0" applyFont="1" applyFill="1" applyBorder="1" applyAlignment="1" applyProtection="1">
      <alignment horizontal="center"/>
      <protection hidden="1"/>
    </xf>
    <xf numFmtId="0" fontId="0" fillId="10" borderId="10" xfId="0" applyFill="1" applyBorder="1" applyAlignment="1" applyProtection="1">
      <alignment vertical="center"/>
      <protection locked="0"/>
    </xf>
    <xf numFmtId="0" fontId="0" fillId="3" borderId="10" xfId="0" applyFill="1" applyBorder="1" applyAlignment="1" applyProtection="1">
      <alignment vertical="center"/>
      <protection locked="0"/>
    </xf>
    <xf numFmtId="0" fontId="0" fillId="0" borderId="6" xfId="0" applyFill="1" applyBorder="1" applyAlignment="1" applyProtection="1">
      <alignment horizontal="center"/>
      <protection hidden="1"/>
    </xf>
    <xf numFmtId="0" fontId="6" fillId="6" borderId="2" xfId="0" applyFont="1" applyFill="1" applyBorder="1" applyAlignment="1" applyProtection="1">
      <alignment horizontal="center"/>
      <protection hidden="1"/>
    </xf>
    <xf numFmtId="0" fontId="0" fillId="0" borderId="0" xfId="0" applyFill="1" applyBorder="1" applyAlignment="1">
      <alignment horizontal="right"/>
    </xf>
    <xf numFmtId="1" fontId="0" fillId="14" borderId="2" xfId="0" applyNumberFormat="1" applyFill="1" applyBorder="1" applyAlignment="1" applyProtection="1">
      <alignment horizontal="center" vertical="center"/>
      <protection hidden="1"/>
    </xf>
    <xf numFmtId="0" fontId="0" fillId="3" borderId="13" xfId="0" applyFill="1" applyBorder="1" applyAlignment="1">
      <alignment horizontal="center"/>
    </xf>
    <xf numFmtId="0" fontId="0" fillId="6" borderId="13" xfId="0" applyFill="1" applyBorder="1" applyAlignment="1">
      <alignment horizontal="center"/>
    </xf>
    <xf numFmtId="0" fontId="0" fillId="11" borderId="5" xfId="0" applyFill="1" applyBorder="1" applyAlignment="1">
      <alignment horizontal="center"/>
    </xf>
    <xf numFmtId="0" fontId="0" fillId="0" borderId="0" xfId="0" applyFill="1" applyBorder="1" applyAlignment="1">
      <alignment horizontal="center"/>
    </xf>
    <xf numFmtId="0" fontId="0" fillId="0" borderId="8" xfId="0" applyFill="1" applyBorder="1" applyAlignment="1"/>
    <xf numFmtId="0" fontId="0" fillId="6" borderId="2" xfId="0" applyFill="1" applyBorder="1" applyAlignment="1" applyProtection="1">
      <alignment vertical="center"/>
      <protection hidden="1"/>
    </xf>
    <xf numFmtId="1" fontId="0" fillId="6" borderId="2" xfId="0" applyNumberFormat="1" applyFill="1" applyBorder="1" applyAlignment="1" applyProtection="1">
      <alignment vertical="center"/>
      <protection hidden="1"/>
    </xf>
    <xf numFmtId="0" fontId="0" fillId="3" borderId="0" xfId="0" applyFill="1" applyAlignment="1">
      <alignment vertical="center"/>
    </xf>
    <xf numFmtId="0" fontId="0" fillId="3" borderId="0" xfId="0" applyFill="1" applyBorder="1" applyAlignment="1">
      <alignment horizontal="center"/>
    </xf>
    <xf numFmtId="0" fontId="0" fillId="0" borderId="2" xfId="0" applyFill="1" applyBorder="1" applyAlignment="1" applyProtection="1">
      <alignment vertical="center"/>
      <protection hidden="1"/>
    </xf>
    <xf numFmtId="0" fontId="0" fillId="4" borderId="2" xfId="0" applyFill="1" applyBorder="1" applyAlignment="1">
      <alignment vertical="center"/>
    </xf>
    <xf numFmtId="0" fontId="0" fillId="7" borderId="0" xfId="0" applyFill="1" applyBorder="1" applyAlignment="1">
      <alignment horizontal="center"/>
    </xf>
    <xf numFmtId="0" fontId="19" fillId="0" borderId="0" xfId="0" applyFont="1" applyAlignment="1">
      <alignment horizontal="left"/>
    </xf>
    <xf numFmtId="0" fontId="19" fillId="0" borderId="0" xfId="0" applyFont="1"/>
    <xf numFmtId="0" fontId="0" fillId="0" borderId="2" xfId="0" applyFill="1" applyBorder="1" applyAlignment="1" applyProtection="1">
      <alignment horizontal="left" vertical="center"/>
      <protection locked="0"/>
    </xf>
    <xf numFmtId="0" fontId="0" fillId="0" borderId="2" xfId="0" applyBorder="1" applyAlignment="1">
      <alignment horizontal="center" vertical="center"/>
    </xf>
    <xf numFmtId="0" fontId="0" fillId="0" borderId="0" xfId="0" applyAlignment="1">
      <alignment horizontal="left"/>
    </xf>
    <xf numFmtId="0" fontId="0" fillId="0" borderId="2" xfId="0" applyBorder="1" applyAlignment="1">
      <alignment horizontal="center"/>
    </xf>
    <xf numFmtId="0" fontId="0" fillId="6" borderId="2" xfId="0" applyFill="1" applyBorder="1" applyProtection="1">
      <protection locked="0"/>
    </xf>
    <xf numFmtId="0" fontId="0" fillId="0" borderId="12" xfId="0" applyBorder="1" applyAlignment="1" applyProtection="1">
      <alignment vertical="center" wrapText="1"/>
      <protection hidden="1"/>
    </xf>
    <xf numFmtId="0" fontId="0" fillId="0" borderId="12" xfId="0" applyBorder="1" applyAlignment="1" applyProtection="1">
      <alignment horizontal="left" vertical="center" wrapText="1"/>
      <protection hidden="1"/>
    </xf>
    <xf numFmtId="0" fontId="0" fillId="0" borderId="3" xfId="0" applyBorder="1" applyAlignment="1" applyProtection="1">
      <alignment horizontal="left" vertical="center" wrapText="1"/>
      <protection hidden="1"/>
    </xf>
    <xf numFmtId="0" fontId="0" fillId="0" borderId="0" xfId="0" applyAlignment="1" applyProtection="1">
      <alignment horizontal="center"/>
      <protection hidden="1"/>
    </xf>
    <xf numFmtId="0" fontId="0" fillId="0" borderId="0" xfId="0" applyAlignment="1" applyProtection="1">
      <alignment horizontal="left"/>
      <protection hidden="1"/>
    </xf>
    <xf numFmtId="0" fontId="4" fillId="0" borderId="0" xfId="0" applyFont="1" applyProtection="1">
      <protection hidden="1"/>
    </xf>
    <xf numFmtId="0" fontId="47" fillId="0" borderId="2" xfId="0" applyFont="1" applyBorder="1" applyProtection="1">
      <protection hidden="1"/>
    </xf>
    <xf numFmtId="0" fontId="47" fillId="0" borderId="2" xfId="0" applyFont="1" applyBorder="1" applyAlignment="1" applyProtection="1">
      <alignment horizontal="center" vertical="center" wrapText="1"/>
      <protection hidden="1"/>
    </xf>
    <xf numFmtId="0" fontId="0" fillId="0" borderId="6" xfId="0" applyBorder="1" applyAlignment="1" applyProtection="1">
      <alignment horizontal="center" vertical="center"/>
      <protection hidden="1"/>
    </xf>
    <xf numFmtId="0" fontId="6" fillId="0" borderId="6" xfId="0" applyFont="1" applyBorder="1" applyAlignment="1" applyProtection="1">
      <alignment horizontal="justify" vertical="center" wrapText="1"/>
      <protection hidden="1"/>
    </xf>
    <xf numFmtId="1" fontId="0" fillId="0" borderId="6" xfId="0" applyNumberFormat="1" applyBorder="1" applyAlignment="1" applyProtection="1">
      <alignment horizontal="center" vertical="center"/>
      <protection hidden="1"/>
    </xf>
    <xf numFmtId="0" fontId="0" fillId="0" borderId="9" xfId="0" applyBorder="1" applyAlignment="1" applyProtection="1">
      <alignment horizontal="center" vertical="center"/>
      <protection hidden="1"/>
    </xf>
    <xf numFmtId="0" fontId="0" fillId="0" borderId="2" xfId="0" applyBorder="1" applyAlignment="1" applyProtection="1">
      <alignment horizontal="center" vertical="center"/>
      <protection hidden="1"/>
    </xf>
    <xf numFmtId="0" fontId="6" fillId="0" borderId="2" xfId="0" applyFont="1" applyBorder="1" applyAlignment="1" applyProtection="1">
      <alignment horizontal="justify" vertical="center" wrapText="1"/>
      <protection hidden="1"/>
    </xf>
    <xf numFmtId="1" fontId="0" fillId="0" borderId="2" xfId="0" applyNumberFormat="1" applyBorder="1" applyAlignment="1" applyProtection="1">
      <alignment horizontal="center" vertical="center"/>
      <protection hidden="1"/>
    </xf>
    <xf numFmtId="0" fontId="0" fillId="0" borderId="10" xfId="0" applyBorder="1" applyAlignment="1" applyProtection="1">
      <alignment horizontal="center" vertical="center"/>
      <protection hidden="1"/>
    </xf>
    <xf numFmtId="0" fontId="0" fillId="0" borderId="0" xfId="0" applyBorder="1" applyAlignment="1" applyProtection="1">
      <alignment horizontal="center" vertical="center"/>
      <protection hidden="1"/>
    </xf>
    <xf numFmtId="0" fontId="6" fillId="0" borderId="0" xfId="0" applyFont="1" applyBorder="1" applyAlignment="1" applyProtection="1">
      <alignment horizontal="justify" vertical="center" wrapText="1"/>
      <protection hidden="1"/>
    </xf>
    <xf numFmtId="0" fontId="6" fillId="0" borderId="15" xfId="0" applyFont="1" applyBorder="1" applyAlignment="1" applyProtection="1">
      <alignment horizontal="justify" vertical="center" wrapText="1"/>
      <protection hidden="1"/>
    </xf>
    <xf numFmtId="0" fontId="0" fillId="0" borderId="3" xfId="0" applyBorder="1" applyAlignment="1" applyProtection="1">
      <alignment horizontal="center" vertical="center"/>
      <protection hidden="1"/>
    </xf>
    <xf numFmtId="0" fontId="0" fillId="0" borderId="9" xfId="0" applyBorder="1" applyAlignment="1" applyProtection="1">
      <alignment vertical="center"/>
      <protection hidden="1"/>
    </xf>
    <xf numFmtId="0" fontId="0" fillId="0" borderId="11" xfId="0" applyBorder="1" applyAlignment="1" applyProtection="1">
      <alignment horizontal="center"/>
      <protection hidden="1"/>
    </xf>
    <xf numFmtId="0" fontId="0" fillId="0" borderId="12" xfId="0" applyBorder="1" applyAlignment="1" applyProtection="1">
      <alignment horizontal="center" vertical="center"/>
      <protection hidden="1"/>
    </xf>
    <xf numFmtId="0" fontId="6" fillId="0" borderId="6" xfId="0" applyFont="1" applyBorder="1" applyAlignment="1" applyProtection="1">
      <alignment horizontal="justify" vertical="center"/>
      <protection hidden="1"/>
    </xf>
    <xf numFmtId="0" fontId="0" fillId="0" borderId="6" xfId="0" applyBorder="1" applyAlignment="1" applyProtection="1">
      <alignment horizontal="center"/>
      <protection hidden="1"/>
    </xf>
    <xf numFmtId="0" fontId="6" fillId="0" borderId="12" xfId="0" applyFont="1" applyBorder="1" applyAlignment="1" applyProtection="1">
      <alignment horizontal="justify" vertical="center" wrapText="1"/>
      <protection hidden="1"/>
    </xf>
    <xf numFmtId="0" fontId="6" fillId="0" borderId="13" xfId="0" applyFont="1" applyBorder="1" applyAlignment="1" applyProtection="1">
      <alignment horizontal="justify" vertical="center" wrapText="1"/>
      <protection hidden="1"/>
    </xf>
    <xf numFmtId="0" fontId="0" fillId="0" borderId="14" xfId="0" applyBorder="1" applyAlignment="1" applyProtection="1">
      <alignment horizontal="center"/>
      <protection hidden="1"/>
    </xf>
    <xf numFmtId="0" fontId="6" fillId="0" borderId="9" xfId="0" applyFont="1" applyBorder="1" applyAlignment="1" applyProtection="1">
      <alignment horizontal="justify" vertical="center"/>
      <protection hidden="1"/>
    </xf>
    <xf numFmtId="0" fontId="0" fillId="0" borderId="9" xfId="0" applyBorder="1" applyAlignment="1" applyProtection="1">
      <alignment horizontal="center"/>
      <protection hidden="1"/>
    </xf>
    <xf numFmtId="0" fontId="0" fillId="0" borderId="10" xfId="0" applyBorder="1" applyAlignment="1" applyProtection="1">
      <alignment vertical="center"/>
      <protection hidden="1"/>
    </xf>
    <xf numFmtId="0" fontId="0" fillId="0" borderId="7" xfId="0" applyBorder="1" applyAlignment="1" applyProtection="1">
      <alignment horizontal="center"/>
      <protection hidden="1"/>
    </xf>
    <xf numFmtId="0" fontId="0" fillId="0" borderId="8" xfId="0" applyBorder="1" applyAlignment="1" applyProtection="1">
      <alignment horizontal="center" vertical="center"/>
      <protection hidden="1"/>
    </xf>
    <xf numFmtId="0" fontId="6" fillId="0" borderId="10" xfId="0" applyFont="1" applyBorder="1" applyAlignment="1" applyProtection="1">
      <alignment horizontal="justify" vertical="center"/>
      <protection hidden="1"/>
    </xf>
    <xf numFmtId="0" fontId="0" fillId="0" borderId="10" xfId="0" applyBorder="1" applyProtection="1">
      <protection hidden="1"/>
    </xf>
    <xf numFmtId="0" fontId="6" fillId="0" borderId="8" xfId="0" applyFont="1" applyBorder="1" applyAlignment="1" applyProtection="1">
      <alignment horizontal="justify" vertical="center" wrapText="1"/>
      <protection hidden="1"/>
    </xf>
    <xf numFmtId="0" fontId="6" fillId="0" borderId="16" xfId="0" applyFont="1" applyBorder="1" applyAlignment="1" applyProtection="1">
      <alignment horizontal="justify" vertical="center" wrapText="1"/>
      <protection hidden="1"/>
    </xf>
    <xf numFmtId="0" fontId="0" fillId="0" borderId="0" xfId="0" applyAlignment="1" applyProtection="1">
      <protection hidden="1"/>
    </xf>
    <xf numFmtId="0" fontId="0" fillId="0" borderId="0" xfId="0" applyAlignment="1" applyProtection="1">
      <alignment wrapText="1"/>
      <protection hidden="1"/>
    </xf>
    <xf numFmtId="0" fontId="4" fillId="0" borderId="0" xfId="0" applyFont="1" applyAlignment="1" applyProtection="1">
      <protection hidden="1"/>
    </xf>
    <xf numFmtId="0" fontId="4" fillId="0" borderId="0" xfId="0" applyFont="1" applyAlignment="1" applyProtection="1">
      <alignment horizontal="left"/>
      <protection hidden="1"/>
    </xf>
    <xf numFmtId="0" fontId="0" fillId="0" borderId="3" xfId="0" applyBorder="1" applyAlignment="1" applyProtection="1">
      <alignment horizontal="center"/>
      <protection hidden="1"/>
    </xf>
    <xf numFmtId="0" fontId="0" fillId="0" borderId="5" xfId="0" applyBorder="1" applyAlignment="1" applyProtection="1">
      <alignment horizontal="center"/>
      <protection hidden="1"/>
    </xf>
    <xf numFmtId="0" fontId="0" fillId="0" borderId="5" xfId="0" applyBorder="1" applyProtection="1">
      <protection hidden="1"/>
    </xf>
    <xf numFmtId="0" fontId="0" fillId="0" borderId="3" xfId="0" applyBorder="1" applyProtection="1">
      <protection hidden="1"/>
    </xf>
    <xf numFmtId="0" fontId="0" fillId="0" borderId="4" xfId="0" applyBorder="1" applyProtection="1">
      <protection hidden="1"/>
    </xf>
    <xf numFmtId="0" fontId="0" fillId="0" borderId="3" xfId="0" applyFill="1" applyBorder="1" applyAlignment="1" applyProtection="1">
      <protection hidden="1"/>
    </xf>
    <xf numFmtId="0" fontId="0" fillId="0" borderId="4" xfId="0" applyFill="1" applyBorder="1" applyAlignment="1" applyProtection="1">
      <protection hidden="1"/>
    </xf>
    <xf numFmtId="0" fontId="0" fillId="0" borderId="0" xfId="0" applyFill="1" applyBorder="1" applyProtection="1">
      <protection hidden="1"/>
    </xf>
    <xf numFmtId="0" fontId="0" fillId="0" borderId="3" xfId="0" applyFill="1" applyBorder="1" applyProtection="1">
      <protection hidden="1"/>
    </xf>
    <xf numFmtId="0" fontId="0" fillId="0" borderId="4" xfId="0" applyFill="1" applyBorder="1" applyProtection="1">
      <protection hidden="1"/>
    </xf>
    <xf numFmtId="0" fontId="0" fillId="0" borderId="3" xfId="0" applyBorder="1" applyAlignment="1" applyProtection="1">
      <alignment vertical="top"/>
      <protection hidden="1"/>
    </xf>
    <xf numFmtId="0" fontId="0" fillId="0" borderId="4" xfId="0" applyBorder="1" applyAlignment="1" applyProtection="1">
      <protection hidden="1"/>
    </xf>
    <xf numFmtId="0" fontId="0" fillId="0" borderId="5" xfId="0" applyBorder="1" applyAlignment="1" applyProtection="1">
      <protection hidden="1"/>
    </xf>
    <xf numFmtId="0" fontId="0" fillId="0" borderId="4" xfId="0" applyBorder="1" applyAlignment="1" applyProtection="1">
      <alignment horizontal="center"/>
      <protection hidden="1"/>
    </xf>
    <xf numFmtId="0" fontId="41" fillId="6" borderId="2" xfId="0" applyFont="1" applyFill="1" applyBorder="1" applyAlignment="1">
      <alignment horizontal="center" vertical="center"/>
    </xf>
    <xf numFmtId="0" fontId="54" fillId="3" borderId="2" xfId="0" applyFont="1" applyFill="1" applyBorder="1"/>
    <xf numFmtId="0" fontId="59" fillId="0" borderId="2" xfId="0" applyFont="1" applyBorder="1"/>
    <xf numFmtId="0" fontId="64" fillId="0" borderId="0" xfId="0" applyFont="1"/>
    <xf numFmtId="0" fontId="4" fillId="4" borderId="8" xfId="0" applyFont="1" applyFill="1" applyBorder="1" applyAlignment="1" applyProtection="1">
      <protection locked="0"/>
    </xf>
    <xf numFmtId="0" fontId="4" fillId="4" borderId="8" xfId="0" applyFont="1" applyFill="1" applyBorder="1" applyAlignment="1" applyProtection="1">
      <alignment horizontal="center"/>
      <protection locked="0"/>
    </xf>
    <xf numFmtId="0" fontId="59" fillId="0" borderId="0" xfId="0" applyFont="1" applyBorder="1" applyAlignment="1">
      <alignment vertical="center"/>
    </xf>
    <xf numFmtId="0" fontId="3" fillId="0" borderId="0" xfId="0" applyFont="1" applyAlignment="1">
      <alignment horizontal="center"/>
    </xf>
    <xf numFmtId="0" fontId="0" fillId="0" borderId="0" xfId="0" applyAlignment="1">
      <alignment horizontal="center"/>
    </xf>
    <xf numFmtId="0" fontId="1" fillId="0" borderId="0" xfId="0" applyFont="1" applyBorder="1" applyProtection="1">
      <protection hidden="1"/>
    </xf>
    <xf numFmtId="0" fontId="34" fillId="0" borderId="3" xfId="3" applyFont="1" applyFill="1" applyBorder="1" applyAlignment="1" applyProtection="1">
      <alignment horizontal="center" vertical="center" wrapText="1"/>
      <protection locked="0"/>
    </xf>
    <xf numFmtId="0" fontId="34" fillId="0" borderId="2" xfId="3" applyFont="1" applyFill="1" applyBorder="1" applyAlignment="1" applyProtection="1">
      <alignment horizontal="center" vertical="center" wrapText="1"/>
      <protection locked="0"/>
    </xf>
    <xf numFmtId="0" fontId="0" fillId="0" borderId="0" xfId="0" applyFill="1" applyBorder="1"/>
    <xf numFmtId="0" fontId="41" fillId="6" borderId="3" xfId="0" applyFont="1" applyFill="1" applyBorder="1" applyAlignment="1">
      <alignment horizontal="center" vertical="center"/>
    </xf>
    <xf numFmtId="0" fontId="42" fillId="0" borderId="26" xfId="0" applyFont="1" applyFill="1" applyBorder="1" applyAlignment="1">
      <alignment horizontal="center" vertical="center" wrapText="1"/>
    </xf>
    <xf numFmtId="0" fontId="42" fillId="0" borderId="27" xfId="0" applyFont="1" applyFill="1" applyBorder="1" applyAlignment="1">
      <alignment horizontal="center" vertical="center" wrapText="1"/>
    </xf>
    <xf numFmtId="0" fontId="42" fillId="0" borderId="28" xfId="0" applyFont="1" applyFill="1" applyBorder="1" applyAlignment="1">
      <alignment horizontal="center" vertical="center" wrapText="1"/>
    </xf>
    <xf numFmtId="0" fontId="42" fillId="0" borderId="29" xfId="0" applyFont="1" applyFill="1" applyBorder="1" applyAlignment="1">
      <alignment horizontal="center" vertical="center" wrapText="1"/>
    </xf>
    <xf numFmtId="0" fontId="42" fillId="0" borderId="7" xfId="0" applyFont="1" applyFill="1" applyBorder="1" applyAlignment="1">
      <alignment horizontal="center" vertical="center" wrapText="1"/>
    </xf>
    <xf numFmtId="0" fontId="42" fillId="0" borderId="3" xfId="0" applyFont="1" applyFill="1" applyBorder="1" applyAlignment="1">
      <alignment horizontal="center" vertical="center" wrapText="1"/>
    </xf>
    <xf numFmtId="0" fontId="42" fillId="0" borderId="32" xfId="0" applyFont="1" applyFill="1" applyBorder="1" applyAlignment="1">
      <alignment horizontal="center" vertical="center" wrapText="1"/>
    </xf>
    <xf numFmtId="0" fontId="42" fillId="0" borderId="16" xfId="0" applyFont="1" applyFill="1" applyBorder="1" applyAlignment="1">
      <alignment horizontal="center" vertical="center" wrapText="1"/>
    </xf>
    <xf numFmtId="0" fontId="42" fillId="0" borderId="5" xfId="0" applyFont="1" applyFill="1" applyBorder="1" applyAlignment="1">
      <alignment horizontal="center" vertical="center" wrapText="1"/>
    </xf>
    <xf numFmtId="0" fontId="42" fillId="0" borderId="33" xfId="0" applyFont="1" applyFill="1" applyBorder="1" applyAlignment="1">
      <alignment horizontal="center" vertical="center" wrapText="1"/>
    </xf>
    <xf numFmtId="0" fontId="42" fillId="0" borderId="24" xfId="0" applyFont="1" applyFill="1" applyBorder="1" applyAlignment="1">
      <alignment horizontal="center" vertical="center" wrapText="1"/>
    </xf>
    <xf numFmtId="0" fontId="42" fillId="0" borderId="25" xfId="0" applyFont="1" applyFill="1" applyBorder="1" applyAlignment="1">
      <alignment horizontal="center" vertical="center" wrapText="1"/>
    </xf>
    <xf numFmtId="0" fontId="42" fillId="0" borderId="16" xfId="0" applyFont="1" applyFill="1" applyBorder="1" applyAlignment="1">
      <alignment vertical="center" wrapText="1"/>
    </xf>
    <xf numFmtId="0" fontId="42" fillId="0" borderId="5" xfId="0" applyFont="1" applyFill="1" applyBorder="1" applyAlignment="1">
      <alignment vertical="center" wrapText="1"/>
    </xf>
    <xf numFmtId="0" fontId="42" fillId="0" borderId="33" xfId="0" applyFont="1" applyFill="1" applyBorder="1" applyAlignment="1">
      <alignment vertical="center" wrapText="1"/>
    </xf>
    <xf numFmtId="0" fontId="42" fillId="0" borderId="24" xfId="0" applyFont="1" applyFill="1" applyBorder="1" applyAlignment="1">
      <alignment vertical="center" wrapText="1"/>
    </xf>
    <xf numFmtId="0" fontId="42" fillId="0" borderId="25" xfId="0" applyFont="1" applyFill="1" applyBorder="1" applyAlignment="1">
      <alignment vertical="center" wrapText="1"/>
    </xf>
    <xf numFmtId="0" fontId="42" fillId="0" borderId="27" xfId="0" applyFont="1" applyFill="1" applyBorder="1" applyAlignment="1">
      <alignment vertical="center" wrapText="1"/>
    </xf>
    <xf numFmtId="0" fontId="42" fillId="0" borderId="23" xfId="0" applyFont="1" applyFill="1" applyBorder="1" applyAlignment="1">
      <alignment vertical="center" wrapText="1"/>
    </xf>
    <xf numFmtId="0" fontId="42" fillId="0" borderId="28" xfId="0" applyFont="1" applyFill="1" applyBorder="1" applyAlignment="1">
      <alignment vertical="center" wrapText="1"/>
    </xf>
    <xf numFmtId="0" fontId="42" fillId="0" borderId="29" xfId="0" applyFont="1" applyFill="1" applyBorder="1" applyAlignment="1">
      <alignment vertical="center" wrapText="1"/>
    </xf>
    <xf numFmtId="0" fontId="0" fillId="0" borderId="2" xfId="0" applyFill="1" applyBorder="1" applyAlignment="1" applyProtection="1">
      <alignment vertical="center"/>
    </xf>
    <xf numFmtId="0" fontId="0" fillId="10" borderId="2" xfId="0" applyFill="1" applyBorder="1" applyAlignment="1" applyProtection="1">
      <alignment horizontal="center" vertical="center"/>
    </xf>
    <xf numFmtId="0" fontId="0" fillId="10" borderId="10" xfId="0" applyFill="1" applyBorder="1" applyAlignment="1" applyProtection="1">
      <alignment horizontal="center" vertical="center"/>
    </xf>
    <xf numFmtId="0" fontId="0" fillId="0" borderId="10" xfId="0" applyFill="1" applyBorder="1" applyAlignment="1" applyProtection="1">
      <alignment horizontal="center" vertical="center"/>
    </xf>
    <xf numFmtId="0" fontId="0" fillId="0" borderId="2" xfId="0" applyBorder="1" applyAlignment="1" applyProtection="1">
      <alignment vertical="center"/>
    </xf>
    <xf numFmtId="0" fontId="0" fillId="0" borderId="0" xfId="0" applyAlignment="1">
      <alignment horizontal="center"/>
    </xf>
    <xf numFmtId="0" fontId="48" fillId="0" borderId="0" xfId="0" applyFont="1" applyAlignment="1" applyProtection="1">
      <alignment horizontal="left" vertical="top"/>
      <protection hidden="1"/>
    </xf>
    <xf numFmtId="0" fontId="47" fillId="0" borderId="11" xfId="0" applyFont="1" applyBorder="1" applyAlignment="1" applyProtection="1">
      <alignment horizontal="center" vertical="center" wrapText="1"/>
      <protection hidden="1"/>
    </xf>
    <xf numFmtId="0" fontId="47" fillId="0" borderId="12" xfId="0" applyFont="1" applyBorder="1" applyAlignment="1" applyProtection="1">
      <alignment horizontal="center" vertical="center" wrapText="1"/>
      <protection hidden="1"/>
    </xf>
    <xf numFmtId="0" fontId="47" fillId="0" borderId="13" xfId="0" applyFont="1" applyBorder="1" applyAlignment="1" applyProtection="1">
      <alignment horizontal="center" vertical="center" wrapText="1"/>
      <protection hidden="1"/>
    </xf>
    <xf numFmtId="0" fontId="47" fillId="0" borderId="8" xfId="0" applyFont="1" applyBorder="1" applyAlignment="1" applyProtection="1">
      <alignment horizontal="center" vertical="center" wrapText="1"/>
      <protection hidden="1"/>
    </xf>
    <xf numFmtId="0" fontId="47" fillId="0" borderId="16" xfId="0" applyFont="1" applyBorder="1" applyAlignment="1" applyProtection="1">
      <alignment horizontal="center" vertical="center" wrapText="1"/>
      <protection hidden="1"/>
    </xf>
    <xf numFmtId="0" fontId="0" fillId="0" borderId="2" xfId="0" applyBorder="1" applyAlignment="1" applyProtection="1">
      <alignment horizontal="center"/>
      <protection hidden="1"/>
    </xf>
    <xf numFmtId="0" fontId="68" fillId="0" borderId="0" xfId="0" applyFont="1" applyAlignment="1">
      <alignment horizontal="left"/>
    </xf>
    <xf numFmtId="0" fontId="59" fillId="0" borderId="0" xfId="0" applyFont="1" applyAlignment="1">
      <alignment horizontal="center" vertical="top"/>
    </xf>
    <xf numFmtId="0" fontId="59" fillId="0" borderId="0" xfId="0" applyFont="1" applyAlignment="1">
      <alignment vertical="top"/>
    </xf>
    <xf numFmtId="0" fontId="59" fillId="0" borderId="0" xfId="0" applyFont="1" applyAlignment="1">
      <alignment vertical="top" wrapText="1"/>
    </xf>
    <xf numFmtId="0" fontId="59" fillId="0" borderId="0" xfId="0" applyFont="1" applyAlignment="1">
      <alignment horizontal="left" vertical="top"/>
    </xf>
    <xf numFmtId="0" fontId="31" fillId="3" borderId="0" xfId="0" applyFont="1" applyFill="1" applyAlignment="1">
      <alignment horizontal="left" vertical="top"/>
    </xf>
    <xf numFmtId="0" fontId="59" fillId="3" borderId="0" xfId="0" applyFont="1" applyFill="1" applyAlignment="1">
      <alignment horizontal="left" vertical="top"/>
    </xf>
    <xf numFmtId="0" fontId="31" fillId="3" borderId="3" xfId="0" applyFont="1" applyFill="1" applyBorder="1" applyAlignment="1">
      <alignment horizontal="left" vertical="top"/>
    </xf>
    <xf numFmtId="0" fontId="59" fillId="3" borderId="4" xfId="0" applyFont="1" applyFill="1" applyBorder="1" applyAlignment="1">
      <alignment horizontal="left" vertical="top"/>
    </xf>
    <xf numFmtId="0" fontId="59" fillId="3" borderId="4" xfId="0" applyFont="1" applyFill="1" applyBorder="1" applyAlignment="1">
      <alignment vertical="top"/>
    </xf>
    <xf numFmtId="0" fontId="59" fillId="0" borderId="4" xfId="0" applyFont="1" applyBorder="1" applyAlignment="1">
      <alignment vertical="top"/>
    </xf>
    <xf numFmtId="0" fontId="59" fillId="0" borderId="5" xfId="0" applyFont="1" applyBorder="1" applyAlignment="1">
      <alignment vertical="top"/>
    </xf>
    <xf numFmtId="0" fontId="0" fillId="0" borderId="0" xfId="0" applyFont="1" applyAlignment="1">
      <alignment horizontal="center" vertical="top"/>
    </xf>
    <xf numFmtId="0" fontId="0" fillId="0" borderId="0" xfId="0" applyFont="1" applyAlignment="1">
      <alignment vertical="top"/>
    </xf>
    <xf numFmtId="0" fontId="0" fillId="0" borderId="0" xfId="0" applyFont="1"/>
    <xf numFmtId="0" fontId="10" fillId="0" borderId="2" xfId="0" applyFont="1" applyFill="1" applyBorder="1" applyAlignment="1" applyProtection="1">
      <alignment horizontal="center" vertical="center"/>
      <protection locked="0"/>
    </xf>
    <xf numFmtId="0" fontId="31" fillId="21" borderId="10" xfId="0" applyFont="1" applyFill="1" applyBorder="1" applyAlignment="1" applyProtection="1">
      <alignment horizontal="center" vertical="top" wrapText="1"/>
      <protection hidden="1"/>
    </xf>
    <xf numFmtId="0" fontId="48" fillId="4" borderId="0" xfId="0" applyFont="1" applyFill="1" applyBorder="1" applyProtection="1">
      <protection hidden="1"/>
    </xf>
    <xf numFmtId="0" fontId="0" fillId="28" borderId="0" xfId="0" applyFill="1" applyProtection="1">
      <protection hidden="1"/>
    </xf>
    <xf numFmtId="0" fontId="0" fillId="28" borderId="0" xfId="0" applyFill="1" applyAlignment="1" applyProtection="1">
      <alignment horizontal="right"/>
      <protection hidden="1"/>
    </xf>
    <xf numFmtId="1" fontId="0" fillId="28" borderId="0" xfId="0" applyNumberFormat="1" applyFill="1" applyProtection="1">
      <protection hidden="1"/>
    </xf>
    <xf numFmtId="1" fontId="0" fillId="0" borderId="2" xfId="0" applyNumberFormat="1" applyBorder="1" applyAlignment="1" applyProtection="1">
      <alignment horizontal="center"/>
    </xf>
    <xf numFmtId="0" fontId="74" fillId="28" borderId="0" xfId="0" applyFont="1" applyFill="1" applyAlignment="1" applyProtection="1">
      <alignment horizontal="right"/>
      <protection hidden="1"/>
    </xf>
    <xf numFmtId="2" fontId="0" fillId="28" borderId="0" xfId="0" applyNumberFormat="1" applyFill="1" applyProtection="1">
      <protection hidden="1"/>
    </xf>
    <xf numFmtId="1" fontId="0" fillId="28" borderId="0" xfId="0" applyNumberFormat="1" applyFill="1" applyAlignment="1" applyProtection="1">
      <alignment horizontal="left"/>
      <protection hidden="1"/>
    </xf>
    <xf numFmtId="0" fontId="47" fillId="0" borderId="14" xfId="0" applyFont="1" applyBorder="1" applyAlignment="1" applyProtection="1">
      <alignment horizontal="center" vertical="center" wrapText="1"/>
      <protection hidden="1"/>
    </xf>
    <xf numFmtId="0" fontId="47" fillId="0" borderId="6" xfId="0" applyFont="1" applyBorder="1" applyAlignment="1" applyProtection="1">
      <alignment horizontal="center" vertical="center" wrapText="1"/>
      <protection hidden="1"/>
    </xf>
    <xf numFmtId="0" fontId="47" fillId="0" borderId="14" xfId="0" applyFont="1" applyBorder="1" applyAlignment="1" applyProtection="1">
      <alignment vertical="center"/>
      <protection hidden="1"/>
    </xf>
    <xf numFmtId="0" fontId="0" fillId="0" borderId="3" xfId="0" applyBorder="1" applyAlignment="1" applyProtection="1">
      <alignment vertical="center"/>
      <protection hidden="1"/>
    </xf>
    <xf numFmtId="0" fontId="0" fillId="0" borderId="4" xfId="0" applyBorder="1" applyAlignment="1" applyProtection="1">
      <alignment vertical="center"/>
      <protection hidden="1"/>
    </xf>
    <xf numFmtId="0" fontId="0" fillId="0" borderId="5" xfId="0" applyBorder="1" applyAlignment="1" applyProtection="1">
      <alignment vertical="center"/>
      <protection hidden="1"/>
    </xf>
    <xf numFmtId="0" fontId="6" fillId="0" borderId="3" xfId="0" applyFont="1" applyBorder="1" applyAlignment="1" applyProtection="1">
      <alignment vertical="center"/>
      <protection hidden="1"/>
    </xf>
    <xf numFmtId="0" fontId="6" fillId="0" borderId="4" xfId="0" applyFont="1" applyBorder="1" applyAlignment="1" applyProtection="1">
      <alignment vertical="center"/>
      <protection hidden="1"/>
    </xf>
    <xf numFmtId="0" fontId="6" fillId="0" borderId="5" xfId="0" applyFont="1" applyBorder="1" applyAlignment="1" applyProtection="1">
      <alignment vertical="center"/>
      <protection hidden="1"/>
    </xf>
    <xf numFmtId="0" fontId="3" fillId="0" borderId="2" xfId="0" applyFont="1" applyBorder="1" applyAlignment="1" applyProtection="1">
      <alignment vertical="center"/>
      <protection hidden="1"/>
    </xf>
    <xf numFmtId="0" fontId="48" fillId="0" borderId="0" xfId="0" applyFont="1" applyAlignment="1" applyProtection="1">
      <alignment horizontal="left" vertical="top"/>
      <protection hidden="1"/>
    </xf>
    <xf numFmtId="0" fontId="0" fillId="11" borderId="5" xfId="0" applyFill="1" applyBorder="1" applyAlignment="1">
      <alignment horizontal="center"/>
    </xf>
    <xf numFmtId="0" fontId="0" fillId="23" borderId="4" xfId="0" applyFill="1" applyBorder="1" applyAlignment="1" applyProtection="1">
      <alignment horizontal="center"/>
      <protection locked="0"/>
    </xf>
    <xf numFmtId="0" fontId="0" fillId="4" borderId="4" xfId="0" applyFill="1" applyBorder="1" applyAlignment="1" applyProtection="1">
      <alignment horizontal="center"/>
      <protection locked="0"/>
    </xf>
    <xf numFmtId="0" fontId="0" fillId="11" borderId="4" xfId="0" applyFill="1" applyBorder="1" applyAlignment="1" applyProtection="1">
      <alignment horizontal="center"/>
      <protection locked="0"/>
    </xf>
    <xf numFmtId="0" fontId="0" fillId="3" borderId="4" xfId="0" applyFill="1" applyBorder="1" applyAlignment="1" applyProtection="1">
      <alignment horizontal="center"/>
      <protection locked="0"/>
    </xf>
    <xf numFmtId="0" fontId="0" fillId="3" borderId="2" xfId="0" applyFill="1" applyBorder="1" applyAlignment="1">
      <alignment horizontal="center"/>
    </xf>
    <xf numFmtId="0" fontId="0" fillId="0" borderId="0" xfId="0" applyAlignment="1">
      <alignment horizontal="center" textRotation="90"/>
    </xf>
    <xf numFmtId="0" fontId="0" fillId="4" borderId="6" xfId="0" applyFill="1" applyBorder="1" applyAlignment="1">
      <alignment horizontal="center" textRotation="90"/>
    </xf>
    <xf numFmtId="0" fontId="0" fillId="0" borderId="9" xfId="0" applyBorder="1" applyAlignment="1">
      <alignment horizontal="center" textRotation="90"/>
    </xf>
    <xf numFmtId="0" fontId="0" fillId="0" borderId="0" xfId="0" applyAlignment="1">
      <alignment horizontal="center"/>
    </xf>
    <xf numFmtId="0" fontId="0" fillId="4" borderId="9" xfId="0" applyFill="1" applyBorder="1" applyAlignment="1">
      <alignment horizontal="center" textRotation="90"/>
    </xf>
    <xf numFmtId="0" fontId="0" fillId="0" borderId="2" xfId="0" applyBorder="1" applyAlignment="1">
      <alignment horizontal="center" vertical="center"/>
    </xf>
    <xf numFmtId="0" fontId="0" fillId="0" borderId="10" xfId="0" applyBorder="1" applyAlignment="1">
      <alignment horizontal="center" textRotation="90"/>
    </xf>
    <xf numFmtId="0" fontId="0" fillId="0" borderId="0" xfId="0" applyBorder="1" applyAlignment="1">
      <alignment horizontal="left"/>
    </xf>
    <xf numFmtId="0" fontId="6" fillId="0" borderId="4" xfId="0" applyFont="1" applyBorder="1" applyAlignment="1" applyProtection="1">
      <alignment horizontal="justify" vertical="center" wrapText="1"/>
      <protection hidden="1"/>
    </xf>
    <xf numFmtId="0" fontId="6" fillId="0" borderId="5" xfId="0" applyFont="1" applyBorder="1" applyAlignment="1" applyProtection="1">
      <alignment horizontal="justify" vertical="center" wrapText="1"/>
      <protection hidden="1"/>
    </xf>
    <xf numFmtId="0" fontId="31" fillId="27" borderId="10" xfId="0" applyFont="1" applyFill="1" applyBorder="1" applyAlignment="1" applyProtection="1">
      <alignment horizontal="center" vertical="top" wrapText="1"/>
      <protection hidden="1"/>
    </xf>
    <xf numFmtId="0" fontId="31" fillId="27" borderId="10" xfId="0" applyFont="1" applyFill="1" applyBorder="1" applyAlignment="1" applyProtection="1">
      <alignment horizontal="center" vertical="top" wrapText="1" shrinkToFit="1"/>
      <protection hidden="1"/>
    </xf>
    <xf numFmtId="0" fontId="31" fillId="6" borderId="10" xfId="0" applyFont="1" applyFill="1" applyBorder="1" applyAlignment="1" applyProtection="1">
      <alignment horizontal="center" vertical="top" wrapText="1"/>
      <protection hidden="1"/>
    </xf>
    <xf numFmtId="0" fontId="31" fillId="6" borderId="10" xfId="0" applyFont="1" applyFill="1" applyBorder="1" applyAlignment="1" applyProtection="1">
      <alignment horizontal="center" vertical="top" wrapText="1" shrinkToFit="1"/>
      <protection hidden="1"/>
    </xf>
    <xf numFmtId="0" fontId="37" fillId="6" borderId="2" xfId="0" applyFont="1" applyFill="1" applyBorder="1" applyAlignment="1" applyProtection="1">
      <alignment horizontal="left" vertical="top" wrapText="1" shrinkToFit="1"/>
      <protection locked="0"/>
    </xf>
    <xf numFmtId="0" fontId="0" fillId="6" borderId="2" xfId="0" applyFill="1" applyBorder="1" applyAlignment="1" applyProtection="1">
      <alignment horizontal="left" vertical="top" wrapText="1" shrinkToFit="1"/>
      <protection locked="0"/>
    </xf>
    <xf numFmtId="0" fontId="0" fillId="0" borderId="4" xfId="0" applyBorder="1" applyAlignment="1" applyProtection="1">
      <alignment horizontal="center" vertical="center"/>
      <protection hidden="1"/>
    </xf>
    <xf numFmtId="0" fontId="3" fillId="3" borderId="0" xfId="0" applyFont="1" applyFill="1"/>
    <xf numFmtId="0" fontId="6" fillId="3" borderId="2" xfId="0" applyFont="1" applyFill="1" applyBorder="1" applyAlignment="1" applyProtection="1">
      <alignment horizontal="center"/>
    </xf>
    <xf numFmtId="0" fontId="0" fillId="6" borderId="2" xfId="0" applyFill="1" applyBorder="1" applyAlignment="1">
      <alignment horizontal="center" vertical="center"/>
    </xf>
    <xf numFmtId="0" fontId="77" fillId="6" borderId="2" xfId="0" applyFont="1" applyFill="1" applyBorder="1" applyAlignment="1">
      <alignment horizontal="center" vertical="center" wrapText="1"/>
    </xf>
    <xf numFmtId="0" fontId="0" fillId="3" borderId="0" xfId="0" applyFill="1" applyBorder="1"/>
    <xf numFmtId="0" fontId="0" fillId="6" borderId="2" xfId="0" applyFill="1" applyBorder="1" applyAlignment="1" applyProtection="1">
      <alignment horizontal="center" vertical="center"/>
      <protection hidden="1"/>
    </xf>
    <xf numFmtId="0" fontId="0" fillId="0" borderId="3" xfId="0" applyFill="1" applyBorder="1" applyAlignment="1"/>
    <xf numFmtId="0" fontId="0" fillId="0" borderId="4" xfId="0" applyFill="1" applyBorder="1" applyAlignment="1"/>
    <xf numFmtId="0" fontId="0" fillId="0" borderId="4" xfId="0" applyFill="1" applyBorder="1"/>
    <xf numFmtId="0" fontId="0" fillId="0" borderId="5" xfId="0" applyFill="1" applyBorder="1"/>
    <xf numFmtId="0" fontId="0" fillId="0" borderId="7" xfId="0" applyFill="1" applyBorder="1" applyAlignment="1"/>
    <xf numFmtId="0" fontId="0" fillId="0" borderId="8" xfId="0" applyFill="1" applyBorder="1"/>
    <xf numFmtId="0" fontId="0" fillId="0" borderId="16" xfId="0" applyFill="1" applyBorder="1"/>
    <xf numFmtId="0" fontId="0" fillId="3" borderId="13" xfId="0" applyFill="1" applyBorder="1" applyAlignment="1" applyProtection="1">
      <alignment horizontal="center"/>
      <protection hidden="1"/>
    </xf>
    <xf numFmtId="0" fontId="0" fillId="10" borderId="2" xfId="0" applyFill="1" applyBorder="1" applyAlignment="1" applyProtection="1">
      <alignment vertical="center"/>
      <protection hidden="1"/>
    </xf>
    <xf numFmtId="0" fontId="0" fillId="10" borderId="2" xfId="0" applyFill="1" applyBorder="1" applyAlignment="1">
      <alignment vertical="center"/>
    </xf>
    <xf numFmtId="0" fontId="0" fillId="0" borderId="2" xfId="0" applyFill="1" applyBorder="1"/>
    <xf numFmtId="2" fontId="0" fillId="3" borderId="2" xfId="0" applyNumberFormat="1" applyFill="1" applyBorder="1" applyAlignment="1" applyProtection="1">
      <alignment horizontal="center"/>
      <protection locked="0"/>
    </xf>
    <xf numFmtId="0" fontId="19" fillId="3" borderId="0" xfId="0" applyFont="1" applyFill="1" applyAlignment="1">
      <alignment horizontal="left"/>
    </xf>
    <xf numFmtId="0" fontId="19" fillId="3" borderId="2" xfId="0" applyFont="1" applyFill="1" applyBorder="1" applyAlignment="1">
      <alignment horizontal="left"/>
    </xf>
    <xf numFmtId="0" fontId="0" fillId="3" borderId="2" xfId="0" applyFill="1" applyBorder="1" applyAlignment="1" applyProtection="1">
      <alignment horizontal="center"/>
      <protection locked="0"/>
    </xf>
    <xf numFmtId="0" fontId="0" fillId="3" borderId="0" xfId="0" applyFill="1" applyAlignment="1"/>
    <xf numFmtId="0" fontId="9" fillId="3" borderId="2" xfId="0" applyFont="1" applyFill="1" applyBorder="1" applyAlignment="1" applyProtection="1">
      <protection hidden="1"/>
    </xf>
    <xf numFmtId="0" fontId="49" fillId="3" borderId="2" xfId="0" applyFont="1" applyFill="1" applyBorder="1"/>
    <xf numFmtId="0" fontId="50" fillId="3" borderId="2" xfId="0" applyFont="1" applyFill="1" applyBorder="1"/>
    <xf numFmtId="0" fontId="9" fillId="3" borderId="2" xfId="0" applyFont="1" applyFill="1" applyBorder="1" applyAlignment="1" applyProtection="1">
      <protection locked="0" hidden="1"/>
    </xf>
    <xf numFmtId="164" fontId="0" fillId="3" borderId="13" xfId="0" applyNumberFormat="1" applyFill="1" applyBorder="1" applyAlignment="1" applyProtection="1">
      <alignment horizontal="center"/>
      <protection hidden="1"/>
    </xf>
    <xf numFmtId="0" fontId="0" fillId="0" borderId="0" xfId="0" applyBorder="1" applyAlignment="1">
      <alignment horizontal="center" textRotation="90"/>
    </xf>
    <xf numFmtId="1" fontId="0" fillId="0" borderId="4" xfId="0" applyNumberFormat="1" applyBorder="1" applyAlignment="1" applyProtection="1">
      <alignment horizontal="center" vertical="center"/>
      <protection hidden="1"/>
    </xf>
    <xf numFmtId="0" fontId="48" fillId="0" borderId="0" xfId="0" applyFont="1" applyAlignment="1" applyProtection="1">
      <alignment horizontal="center" vertical="top"/>
      <protection hidden="1"/>
    </xf>
    <xf numFmtId="0" fontId="0" fillId="3" borderId="2" xfId="0" applyFill="1" applyBorder="1" applyAlignment="1">
      <alignment horizontal="center"/>
    </xf>
    <xf numFmtId="0" fontId="0" fillId="11" borderId="4" xfId="0" applyFill="1" applyBorder="1" applyAlignment="1" applyProtection="1">
      <alignment horizontal="center"/>
      <protection locked="0"/>
    </xf>
    <xf numFmtId="0" fontId="0" fillId="3" borderId="4" xfId="0" applyFill="1" applyBorder="1" applyAlignment="1" applyProtection="1">
      <alignment horizontal="center"/>
      <protection locked="0"/>
    </xf>
    <xf numFmtId="0" fontId="0" fillId="23" borderId="4" xfId="0" applyFill="1" applyBorder="1" applyAlignment="1" applyProtection="1">
      <alignment horizontal="center"/>
      <protection locked="0"/>
    </xf>
    <xf numFmtId="0" fontId="0" fillId="4" borderId="4" xfId="0" applyFill="1" applyBorder="1" applyAlignment="1" applyProtection="1">
      <alignment horizontal="center"/>
      <protection locked="0"/>
    </xf>
    <xf numFmtId="0" fontId="0" fillId="0" borderId="0" xfId="0" applyAlignment="1">
      <alignment horizontal="center"/>
    </xf>
    <xf numFmtId="16" fontId="3" fillId="0" borderId="0" xfId="0" applyNumberFormat="1" applyFont="1" applyBorder="1" applyAlignment="1" applyProtection="1">
      <alignment horizontal="left" vertical="center"/>
      <protection hidden="1"/>
    </xf>
    <xf numFmtId="0" fontId="0" fillId="3" borderId="2" xfId="0" applyFill="1" applyBorder="1" applyAlignment="1" applyProtection="1">
      <protection locked="0"/>
    </xf>
    <xf numFmtId="0" fontId="0" fillId="3" borderId="2" xfId="0" applyFont="1" applyFill="1" applyBorder="1" applyAlignment="1">
      <alignment horizontal="center"/>
    </xf>
    <xf numFmtId="0" fontId="0" fillId="3" borderId="2" xfId="0" applyFont="1" applyFill="1" applyBorder="1" applyAlignment="1"/>
    <xf numFmtId="0" fontId="0" fillId="3" borderId="2" xfId="0" applyFill="1" applyBorder="1" applyAlignment="1"/>
    <xf numFmtId="0" fontId="0" fillId="0" borderId="0" xfId="0" applyBorder="1" applyAlignment="1" applyProtection="1">
      <alignment horizontal="center"/>
      <protection locked="0"/>
    </xf>
    <xf numFmtId="0" fontId="0" fillId="0" borderId="2" xfId="0" applyFont="1" applyBorder="1"/>
    <xf numFmtId="0" fontId="0" fillId="24" borderId="2" xfId="0" applyFont="1" applyFill="1" applyBorder="1"/>
    <xf numFmtId="0" fontId="0" fillId="0" borderId="2" xfId="0" applyFont="1" applyFill="1" applyBorder="1"/>
    <xf numFmtId="0" fontId="0" fillId="0" borderId="2" xfId="0" applyFont="1" applyFill="1" applyBorder="1" applyAlignment="1">
      <alignment horizontal="left"/>
    </xf>
    <xf numFmtId="0" fontId="79" fillId="0" borderId="2" xfId="4" quotePrefix="1" applyFont="1" applyBorder="1" applyAlignment="1">
      <alignment horizontal="left"/>
    </xf>
    <xf numFmtId="0" fontId="79" fillId="0" borderId="2" xfId="4" applyFont="1" applyBorder="1"/>
    <xf numFmtId="0" fontId="14" fillId="17" borderId="0" xfId="0" applyFont="1" applyFill="1" applyBorder="1" applyAlignment="1" applyProtection="1">
      <alignment horizontal="center" vertical="center"/>
      <protection hidden="1"/>
    </xf>
    <xf numFmtId="0" fontId="14" fillId="17" borderId="15" xfId="0" applyFont="1" applyFill="1" applyBorder="1" applyAlignment="1" applyProtection="1">
      <alignment horizontal="center" vertical="center"/>
      <protection hidden="1"/>
    </xf>
    <xf numFmtId="0" fontId="16" fillId="18" borderId="11" xfId="0" applyFont="1" applyFill="1" applyBorder="1" applyAlignment="1" applyProtection="1">
      <alignment horizontal="center" vertical="center" wrapText="1"/>
      <protection hidden="1"/>
    </xf>
    <xf numFmtId="0" fontId="16" fillId="18" borderId="12" xfId="0" applyFont="1" applyFill="1" applyBorder="1" applyAlignment="1" applyProtection="1">
      <alignment horizontal="center" vertical="center" wrapText="1"/>
      <protection hidden="1"/>
    </xf>
    <xf numFmtId="0" fontId="16" fillId="18" borderId="13" xfId="0" applyFont="1" applyFill="1" applyBorder="1" applyAlignment="1" applyProtection="1">
      <alignment horizontal="center" vertical="center" wrapText="1"/>
      <protection hidden="1"/>
    </xf>
    <xf numFmtId="0" fontId="16" fillId="18" borderId="14" xfId="0" applyFont="1" applyFill="1" applyBorder="1" applyAlignment="1" applyProtection="1">
      <alignment horizontal="center" vertical="center" wrapText="1"/>
      <protection hidden="1"/>
    </xf>
    <xf numFmtId="0" fontId="16" fillId="18" borderId="0" xfId="0" applyFont="1" applyFill="1" applyBorder="1" applyAlignment="1" applyProtection="1">
      <alignment horizontal="center" vertical="center" wrapText="1"/>
      <protection hidden="1"/>
    </xf>
    <xf numFmtId="0" fontId="16" fillId="18" borderId="15" xfId="0" applyFont="1" applyFill="1" applyBorder="1" applyAlignment="1" applyProtection="1">
      <alignment horizontal="center" vertical="center" wrapText="1"/>
      <protection hidden="1"/>
    </xf>
    <xf numFmtId="0" fontId="17" fillId="17" borderId="17" xfId="0" applyFont="1" applyFill="1" applyBorder="1" applyAlignment="1" applyProtection="1">
      <alignment horizontal="center" vertical="center"/>
      <protection hidden="1"/>
    </xf>
    <xf numFmtId="0" fontId="17" fillId="17" borderId="18" xfId="0" applyFont="1" applyFill="1" applyBorder="1" applyAlignment="1" applyProtection="1">
      <alignment horizontal="center" vertical="center"/>
      <protection hidden="1"/>
    </xf>
    <xf numFmtId="0" fontId="17" fillId="17" borderId="19" xfId="0" applyFont="1" applyFill="1" applyBorder="1" applyAlignment="1" applyProtection="1">
      <alignment horizontal="center" vertical="center"/>
      <protection hidden="1"/>
    </xf>
    <xf numFmtId="0" fontId="17" fillId="17" borderId="14" xfId="0" applyFont="1" applyFill="1" applyBorder="1" applyAlignment="1" applyProtection="1">
      <alignment horizontal="center" vertical="center"/>
      <protection hidden="1"/>
    </xf>
    <xf numFmtId="0" fontId="17" fillId="17" borderId="0" xfId="0" applyFont="1" applyFill="1" applyBorder="1" applyAlignment="1" applyProtection="1">
      <alignment horizontal="center" vertical="center"/>
      <protection hidden="1"/>
    </xf>
    <xf numFmtId="0" fontId="17" fillId="17" borderId="15" xfId="0" applyFont="1" applyFill="1" applyBorder="1" applyAlignment="1" applyProtection="1">
      <alignment horizontal="center" vertical="center"/>
      <protection hidden="1"/>
    </xf>
    <xf numFmtId="0" fontId="16" fillId="18" borderId="7" xfId="0" applyFont="1" applyFill="1" applyBorder="1" applyAlignment="1" applyProtection="1">
      <alignment horizontal="center" vertical="center" wrapText="1"/>
      <protection hidden="1"/>
    </xf>
    <xf numFmtId="0" fontId="16" fillId="18" borderId="8" xfId="0" applyFont="1" applyFill="1" applyBorder="1" applyAlignment="1" applyProtection="1">
      <alignment horizontal="center" vertical="center" wrapText="1"/>
      <protection hidden="1"/>
    </xf>
    <xf numFmtId="0" fontId="16" fillId="18" borderId="16" xfId="0" applyFont="1" applyFill="1" applyBorder="1" applyAlignment="1" applyProtection="1">
      <alignment horizontal="center" vertical="center" wrapText="1"/>
      <protection hidden="1"/>
    </xf>
    <xf numFmtId="0" fontId="7" fillId="0" borderId="3" xfId="0" applyFont="1" applyFill="1" applyBorder="1" applyAlignment="1" applyProtection="1">
      <alignment horizontal="left"/>
    </xf>
    <xf numFmtId="0" fontId="7" fillId="0" borderId="4" xfId="0" applyFont="1" applyFill="1" applyBorder="1" applyAlignment="1" applyProtection="1">
      <alignment horizontal="left"/>
    </xf>
    <xf numFmtId="0" fontId="7" fillId="0" borderId="5" xfId="0" applyFont="1" applyFill="1" applyBorder="1" applyAlignment="1" applyProtection="1">
      <alignment horizontal="left"/>
    </xf>
    <xf numFmtId="0" fontId="26" fillId="11" borderId="7" xfId="0" applyFont="1" applyFill="1" applyBorder="1" applyAlignment="1" applyProtection="1">
      <alignment horizontal="center"/>
      <protection hidden="1"/>
    </xf>
    <xf numFmtId="0" fontId="26" fillId="11" borderId="8" xfId="0" applyFont="1" applyFill="1" applyBorder="1" applyAlignment="1" applyProtection="1">
      <alignment horizontal="center"/>
      <protection hidden="1"/>
    </xf>
    <xf numFmtId="0" fontId="26" fillId="11" borderId="16" xfId="0" applyFont="1" applyFill="1" applyBorder="1" applyAlignment="1" applyProtection="1">
      <alignment horizontal="center"/>
      <protection hidden="1"/>
    </xf>
    <xf numFmtId="165" fontId="7" fillId="0" borderId="3" xfId="0" applyNumberFormat="1" applyFont="1" applyFill="1" applyBorder="1" applyAlignment="1" applyProtection="1">
      <alignment horizontal="left" vertical="center" wrapText="1"/>
      <protection locked="0"/>
    </xf>
    <xf numFmtId="165" fontId="7" fillId="0" borderId="4" xfId="0" applyNumberFormat="1" applyFont="1" applyFill="1" applyBorder="1" applyAlignment="1" applyProtection="1">
      <alignment horizontal="left" vertical="center" wrapText="1"/>
      <protection locked="0"/>
    </xf>
    <xf numFmtId="165" fontId="7" fillId="0" borderId="5" xfId="0" applyNumberFormat="1" applyFont="1" applyFill="1" applyBorder="1" applyAlignment="1" applyProtection="1">
      <alignment horizontal="left" vertical="center" wrapText="1"/>
      <protection locked="0"/>
    </xf>
    <xf numFmtId="0" fontId="7" fillId="3" borderId="14" xfId="0" applyFont="1" applyFill="1" applyBorder="1" applyAlignment="1" applyProtection="1">
      <alignment horizontal="center" vertical="top" wrapText="1"/>
      <protection hidden="1"/>
    </xf>
    <xf numFmtId="0" fontId="7" fillId="3" borderId="0" xfId="0" applyFont="1" applyFill="1" applyBorder="1" applyAlignment="1" applyProtection="1">
      <alignment horizontal="center" vertical="top" wrapText="1"/>
      <protection hidden="1"/>
    </xf>
    <xf numFmtId="0" fontId="7" fillId="3" borderId="15" xfId="0" applyFont="1" applyFill="1" applyBorder="1" applyAlignment="1" applyProtection="1">
      <alignment horizontal="center" vertical="top" wrapText="1"/>
      <protection hidden="1"/>
    </xf>
    <xf numFmtId="0" fontId="7" fillId="0" borderId="2" xfId="0" applyFont="1" applyBorder="1" applyAlignment="1" applyProtection="1">
      <alignment horizontal="left"/>
      <protection locked="0"/>
    </xf>
    <xf numFmtId="0" fontId="7" fillId="0" borderId="2" xfId="0" applyFont="1" applyBorder="1" applyAlignment="1" applyProtection="1">
      <alignment horizontal="left"/>
      <protection hidden="1"/>
    </xf>
    <xf numFmtId="0" fontId="7" fillId="0" borderId="4" xfId="0" applyFont="1" applyFill="1" applyBorder="1" applyAlignment="1" applyProtection="1">
      <alignment horizontal="left" vertical="center"/>
      <protection locked="0"/>
    </xf>
    <xf numFmtId="0" fontId="7" fillId="0" borderId="5" xfId="0" applyFont="1" applyFill="1" applyBorder="1" applyAlignment="1" applyProtection="1">
      <alignment horizontal="left" vertical="center"/>
      <protection locked="0"/>
    </xf>
    <xf numFmtId="0" fontId="7" fillId="0" borderId="4" xfId="0" quotePrefix="1" applyFont="1" applyFill="1" applyBorder="1" applyAlignment="1" applyProtection="1">
      <alignment horizontal="left" vertical="center"/>
      <protection locked="0"/>
    </xf>
    <xf numFmtId="0" fontId="26" fillId="11" borderId="11" xfId="0" applyFont="1" applyFill="1" applyBorder="1" applyAlignment="1" applyProtection="1">
      <alignment horizontal="center"/>
      <protection hidden="1"/>
    </xf>
    <xf numFmtId="0" fontId="26" fillId="11" borderId="12" xfId="0" applyFont="1" applyFill="1" applyBorder="1" applyAlignment="1" applyProtection="1">
      <alignment horizontal="center"/>
      <protection hidden="1"/>
    </xf>
    <xf numFmtId="0" fontId="26" fillId="11" borderId="13" xfId="0" applyFont="1" applyFill="1" applyBorder="1" applyAlignment="1" applyProtection="1">
      <alignment horizontal="center"/>
      <protection hidden="1"/>
    </xf>
    <xf numFmtId="165" fontId="7" fillId="0" borderId="12" xfId="0" applyNumberFormat="1" applyFont="1" applyFill="1" applyBorder="1" applyAlignment="1" applyProtection="1">
      <alignment horizontal="left"/>
      <protection locked="0"/>
    </xf>
    <xf numFmtId="0" fontId="7" fillId="0" borderId="2" xfId="0" applyFont="1" applyBorder="1" applyAlignment="1" applyProtection="1">
      <alignment horizontal="center"/>
      <protection locked="0"/>
    </xf>
    <xf numFmtId="0" fontId="7" fillId="3" borderId="0" xfId="0" applyFont="1" applyFill="1" applyBorder="1" applyAlignment="1" applyProtection="1">
      <alignment horizontal="left"/>
      <protection locked="0"/>
    </xf>
    <xf numFmtId="0" fontId="25" fillId="23" borderId="14" xfId="0" applyFont="1" applyFill="1" applyBorder="1" applyAlignment="1" applyProtection="1">
      <alignment horizontal="center"/>
      <protection hidden="1"/>
    </xf>
    <xf numFmtId="0" fontId="25" fillId="23" borderId="0" xfId="0" applyFont="1" applyFill="1" applyBorder="1" applyAlignment="1" applyProtection="1">
      <alignment horizontal="center"/>
      <protection hidden="1"/>
    </xf>
    <xf numFmtId="0" fontId="25" fillId="23" borderId="15" xfId="0" applyFont="1" applyFill="1" applyBorder="1" applyAlignment="1" applyProtection="1">
      <alignment horizontal="center"/>
      <protection hidden="1"/>
    </xf>
    <xf numFmtId="0" fontId="7" fillId="0" borderId="11" xfId="0" applyFont="1" applyFill="1" applyBorder="1" applyAlignment="1" applyProtection="1">
      <alignment horizontal="left" vertical="top" wrapText="1"/>
      <protection locked="0"/>
    </xf>
    <xf numFmtId="0" fontId="7" fillId="0" borderId="12" xfId="0" applyFont="1" applyFill="1" applyBorder="1" applyAlignment="1" applyProtection="1">
      <alignment horizontal="left" vertical="top" wrapText="1"/>
      <protection locked="0"/>
    </xf>
    <xf numFmtId="0" fontId="7" fillId="0" borderId="13" xfId="0" applyFont="1" applyFill="1" applyBorder="1" applyAlignment="1" applyProtection="1">
      <alignment horizontal="left" vertical="top" wrapText="1"/>
      <protection locked="0"/>
    </xf>
    <xf numFmtId="0" fontId="7" fillId="0" borderId="7" xfId="0" applyFont="1" applyFill="1" applyBorder="1" applyAlignment="1" applyProtection="1">
      <alignment horizontal="left" vertical="top" wrapText="1"/>
      <protection locked="0"/>
    </xf>
    <xf numFmtId="0" fontId="7" fillId="0" borderId="8" xfId="0" applyFont="1" applyFill="1" applyBorder="1" applyAlignment="1" applyProtection="1">
      <alignment horizontal="left" vertical="top" wrapText="1"/>
      <protection locked="0"/>
    </xf>
    <xf numFmtId="0" fontId="7" fillId="0" borderId="16" xfId="0" applyFont="1" applyFill="1" applyBorder="1" applyAlignment="1" applyProtection="1">
      <alignment horizontal="left" vertical="top" wrapText="1"/>
      <protection locked="0"/>
    </xf>
    <xf numFmtId="0" fontId="7" fillId="0" borderId="4" xfId="0" applyFont="1" applyFill="1" applyBorder="1" applyAlignment="1" applyProtection="1">
      <alignment horizontal="left"/>
      <protection locked="0"/>
    </xf>
    <xf numFmtId="0" fontId="4" fillId="0" borderId="2" xfId="0" quotePrefix="1" applyFont="1" applyFill="1" applyBorder="1" applyAlignment="1" applyProtection="1">
      <alignment horizontal="left"/>
      <protection locked="0"/>
    </xf>
    <xf numFmtId="0" fontId="4" fillId="0" borderId="2" xfId="0" applyFont="1" applyFill="1" applyBorder="1" applyAlignment="1" applyProtection="1">
      <alignment horizontal="left"/>
      <protection locked="0"/>
    </xf>
    <xf numFmtId="0" fontId="4" fillId="0" borderId="6" xfId="0" applyFont="1" applyFill="1" applyBorder="1" applyAlignment="1" applyProtection="1">
      <alignment horizontal="left"/>
      <protection locked="0"/>
    </xf>
    <xf numFmtId="0" fontId="4" fillId="0" borderId="3" xfId="0" applyFont="1" applyFill="1" applyBorder="1" applyAlignment="1" applyProtection="1">
      <alignment horizontal="left"/>
      <protection locked="0"/>
    </xf>
    <xf numFmtId="0" fontId="4" fillId="0" borderId="4" xfId="0" applyFont="1" applyFill="1" applyBorder="1" applyAlignment="1" applyProtection="1">
      <alignment horizontal="left"/>
      <protection locked="0"/>
    </xf>
    <xf numFmtId="0" fontId="4" fillId="0" borderId="5" xfId="0" applyFont="1" applyFill="1" applyBorder="1" applyAlignment="1" applyProtection="1">
      <alignment horizontal="left"/>
      <protection locked="0"/>
    </xf>
    <xf numFmtId="0" fontId="44" fillId="0" borderId="0" xfId="0" applyFont="1" applyAlignment="1">
      <alignment horizontal="left" vertical="top" wrapText="1"/>
    </xf>
    <xf numFmtId="0" fontId="44" fillId="0" borderId="0" xfId="0" applyFont="1" applyAlignment="1">
      <alignment horizontal="left" vertical="top"/>
    </xf>
    <xf numFmtId="0" fontId="67" fillId="0" borderId="11" xfId="0" applyFont="1" applyBorder="1" applyAlignment="1">
      <alignment horizontal="center" vertical="center"/>
    </xf>
    <xf numFmtId="0" fontId="67" fillId="0" borderId="12" xfId="0" applyFont="1" applyBorder="1" applyAlignment="1">
      <alignment horizontal="center" vertical="center"/>
    </xf>
    <xf numFmtId="0" fontId="67" fillId="0" borderId="13" xfId="0" applyFont="1" applyBorder="1" applyAlignment="1">
      <alignment horizontal="center" vertical="center"/>
    </xf>
    <xf numFmtId="0" fontId="67" fillId="0" borderId="7" xfId="0" applyFont="1" applyBorder="1" applyAlignment="1">
      <alignment horizontal="center" vertical="center"/>
    </xf>
    <xf numFmtId="0" fontId="67" fillId="0" borderId="8" xfId="0" applyFont="1" applyBorder="1" applyAlignment="1">
      <alignment horizontal="center" vertical="center"/>
    </xf>
    <xf numFmtId="0" fontId="67" fillId="0" borderId="16" xfId="0" applyFont="1" applyBorder="1" applyAlignment="1">
      <alignment horizontal="center" vertical="center"/>
    </xf>
    <xf numFmtId="0" fontId="59" fillId="0" borderId="0" xfId="0" applyFont="1" applyBorder="1" applyAlignment="1">
      <alignment horizontal="center" vertical="center"/>
    </xf>
    <xf numFmtId="0" fontId="41" fillId="0" borderId="12" xfId="0" applyFont="1" applyBorder="1" applyAlignment="1">
      <alignment horizontal="center" vertical="center"/>
    </xf>
    <xf numFmtId="0" fontId="41" fillId="0" borderId="8" xfId="0" applyFont="1" applyBorder="1" applyAlignment="1">
      <alignment horizontal="center" vertical="center"/>
    </xf>
    <xf numFmtId="0" fontId="41" fillId="0" borderId="13" xfId="0" applyFont="1" applyBorder="1" applyAlignment="1">
      <alignment horizontal="center" vertical="center"/>
    </xf>
    <xf numFmtId="0" fontId="41" fillId="0" borderId="16" xfId="0" applyFont="1" applyBorder="1" applyAlignment="1">
      <alignment horizontal="center" vertical="center"/>
    </xf>
    <xf numFmtId="0" fontId="41" fillId="0" borderId="11" xfId="0" applyFont="1" applyBorder="1" applyAlignment="1">
      <alignment horizontal="center" vertical="center"/>
    </xf>
    <xf numFmtId="0" fontId="41" fillId="0" borderId="7" xfId="0" applyFont="1" applyBorder="1" applyAlignment="1">
      <alignment horizontal="center" vertical="center"/>
    </xf>
    <xf numFmtId="0" fontId="10" fillId="0" borderId="0" xfId="0" applyFont="1" applyAlignment="1">
      <alignment horizontal="left" vertical="top" wrapText="1"/>
    </xf>
    <xf numFmtId="0" fontId="7" fillId="0" borderId="0" xfId="0" applyFont="1" applyAlignment="1">
      <alignment horizontal="center"/>
    </xf>
    <xf numFmtId="0" fontId="48" fillId="0" borderId="0" xfId="0" applyFont="1" applyAlignment="1" applyProtection="1">
      <alignment horizontal="left" vertical="top"/>
      <protection hidden="1"/>
    </xf>
    <xf numFmtId="0" fontId="48" fillId="0" borderId="0" xfId="0" applyFont="1" applyAlignment="1">
      <alignment horizontal="left" vertical="top" wrapText="1"/>
    </xf>
    <xf numFmtId="0" fontId="10" fillId="0" borderId="0" xfId="0" applyFont="1" applyAlignment="1">
      <alignment horizontal="left"/>
    </xf>
    <xf numFmtId="0" fontId="48" fillId="0" borderId="0" xfId="0" applyFont="1" applyAlignment="1" applyProtection="1">
      <alignment horizontal="left" vertical="top" wrapText="1"/>
      <protection hidden="1"/>
    </xf>
    <xf numFmtId="0" fontId="48" fillId="0" borderId="0" xfId="0" applyFont="1" applyBorder="1" applyAlignment="1">
      <alignment horizontal="left" vertical="top" wrapText="1"/>
    </xf>
    <xf numFmtId="0" fontId="57" fillId="0" borderId="0" xfId="0" applyFont="1" applyAlignment="1">
      <alignment horizontal="center"/>
    </xf>
    <xf numFmtId="0" fontId="61" fillId="0" borderId="0" xfId="0" applyFont="1" applyAlignment="1">
      <alignment horizontal="center"/>
    </xf>
    <xf numFmtId="0" fontId="61" fillId="0" borderId="0" xfId="0" applyFont="1" applyBorder="1" applyAlignment="1" applyProtection="1">
      <alignment horizontal="center"/>
      <protection hidden="1"/>
    </xf>
    <xf numFmtId="0" fontId="10" fillId="0" borderId="0" xfId="0" quotePrefix="1" applyFont="1" applyFill="1" applyBorder="1" applyAlignment="1" applyProtection="1">
      <alignment horizontal="left"/>
      <protection locked="0"/>
    </xf>
    <xf numFmtId="0" fontId="10" fillId="0" borderId="0" xfId="0" applyFont="1" applyFill="1" applyBorder="1" applyAlignment="1" applyProtection="1">
      <alignment horizontal="left"/>
      <protection locked="0"/>
    </xf>
    <xf numFmtId="0" fontId="10" fillId="0" borderId="0" xfId="0" applyFont="1" applyFill="1" applyBorder="1" applyAlignment="1" applyProtection="1">
      <alignment horizontal="left" vertical="top" wrapText="1"/>
      <protection locked="0"/>
    </xf>
    <xf numFmtId="0" fontId="10" fillId="0" borderId="0" xfId="0" applyFont="1" applyAlignment="1" applyProtection="1">
      <alignment horizontal="left"/>
      <protection locked="0"/>
    </xf>
    <xf numFmtId="0" fontId="73" fillId="0" borderId="0" xfId="0" applyFont="1" applyAlignment="1">
      <alignment horizontal="center"/>
    </xf>
    <xf numFmtId="0" fontId="54" fillId="0" borderId="0" xfId="0" applyFont="1" applyBorder="1" applyAlignment="1">
      <alignment horizontal="center"/>
    </xf>
    <xf numFmtId="0" fontId="55" fillId="3" borderId="6" xfId="0" applyFont="1" applyFill="1" applyBorder="1" applyAlignment="1" applyProtection="1">
      <alignment horizontal="center" vertical="center"/>
      <protection locked="0"/>
    </xf>
    <xf numFmtId="0" fontId="55" fillId="3" borderId="9" xfId="0" applyFont="1" applyFill="1" applyBorder="1" applyAlignment="1" applyProtection="1">
      <alignment horizontal="center" vertical="center"/>
      <protection locked="0"/>
    </xf>
    <xf numFmtId="0" fontId="55" fillId="3" borderId="10" xfId="0" applyFont="1" applyFill="1" applyBorder="1" applyAlignment="1" applyProtection="1">
      <alignment horizontal="center" vertical="center"/>
      <protection locked="0"/>
    </xf>
    <xf numFmtId="0" fontId="65" fillId="0" borderId="0" xfId="0" applyFont="1" applyAlignment="1">
      <alignment horizontal="center"/>
    </xf>
    <xf numFmtId="0" fontId="66" fillId="0" borderId="0" xfId="0" applyFont="1" applyAlignment="1">
      <alignment horizontal="center"/>
    </xf>
    <xf numFmtId="0" fontId="54" fillId="0" borderId="6" xfId="0" applyFont="1" applyFill="1" applyBorder="1" applyAlignment="1">
      <alignment horizontal="left" vertical="center"/>
    </xf>
    <xf numFmtId="0" fontId="54" fillId="0" borderId="9" xfId="0" applyFont="1" applyFill="1" applyBorder="1" applyAlignment="1">
      <alignment horizontal="left" vertical="center"/>
    </xf>
    <xf numFmtId="0" fontId="54" fillId="0" borderId="10" xfId="0" applyFont="1" applyFill="1" applyBorder="1" applyAlignment="1">
      <alignment horizontal="left" vertical="center"/>
    </xf>
    <xf numFmtId="0" fontId="3" fillId="0" borderId="0" xfId="0" applyFont="1" applyAlignment="1">
      <alignment horizontal="center"/>
    </xf>
    <xf numFmtId="0" fontId="52" fillId="3" borderId="6" xfId="0" applyFont="1" applyFill="1" applyBorder="1" applyAlignment="1">
      <alignment horizontal="center" vertical="center"/>
    </xf>
    <xf numFmtId="0" fontId="52" fillId="3" borderId="10" xfId="0" applyFont="1" applyFill="1" applyBorder="1" applyAlignment="1">
      <alignment horizontal="center" vertical="center"/>
    </xf>
    <xf numFmtId="0" fontId="52" fillId="3" borderId="3" xfId="0" applyFont="1" applyFill="1" applyBorder="1" applyAlignment="1">
      <alignment horizontal="center" vertical="center"/>
    </xf>
    <xf numFmtId="0" fontId="52" fillId="3" borderId="5" xfId="0" applyFont="1" applyFill="1" applyBorder="1" applyAlignment="1">
      <alignment horizontal="center" vertical="center"/>
    </xf>
    <xf numFmtId="0" fontId="31" fillId="3" borderId="2" xfId="0" applyFont="1" applyFill="1" applyBorder="1" applyAlignment="1" applyProtection="1">
      <alignment horizontal="center"/>
      <protection locked="0"/>
    </xf>
    <xf numFmtId="0" fontId="0" fillId="4" borderId="2" xfId="0" applyFill="1" applyBorder="1" applyAlignment="1">
      <alignment horizontal="center" vertical="center"/>
    </xf>
    <xf numFmtId="0" fontId="11" fillId="4" borderId="2" xfId="0" applyFont="1" applyFill="1" applyBorder="1" applyAlignment="1">
      <alignment horizontal="center" vertical="center"/>
    </xf>
    <xf numFmtId="0" fontId="11" fillId="4" borderId="6" xfId="0" applyFont="1" applyFill="1" applyBorder="1" applyAlignment="1">
      <alignment horizontal="center" vertical="center"/>
    </xf>
    <xf numFmtId="0" fontId="11" fillId="4" borderId="10" xfId="0" applyFont="1" applyFill="1" applyBorder="1" applyAlignment="1">
      <alignment horizontal="center" vertical="center"/>
    </xf>
    <xf numFmtId="0" fontId="11" fillId="4" borderId="2" xfId="0" applyFont="1" applyFill="1" applyBorder="1" applyAlignment="1">
      <alignment horizontal="center" vertical="center" wrapText="1"/>
    </xf>
    <xf numFmtId="0" fontId="3" fillId="4" borderId="2" xfId="0" applyFont="1" applyFill="1" applyBorder="1" applyAlignment="1">
      <alignment horizontal="center" vertical="center"/>
    </xf>
    <xf numFmtId="0" fontId="11" fillId="4" borderId="6" xfId="0" applyFont="1" applyFill="1" applyBorder="1" applyAlignment="1">
      <alignment horizontal="center" vertical="center" wrapText="1"/>
    </xf>
    <xf numFmtId="0" fontId="11" fillId="4" borderId="10" xfId="0" applyFont="1" applyFill="1" applyBorder="1" applyAlignment="1">
      <alignment horizontal="center" vertical="center" wrapText="1"/>
    </xf>
    <xf numFmtId="0" fontId="33" fillId="13" borderId="2" xfId="3" applyFont="1" applyFill="1" applyBorder="1" applyAlignment="1">
      <alignment horizontal="center" vertical="center"/>
    </xf>
    <xf numFmtId="0" fontId="11" fillId="13" borderId="6" xfId="3" applyFont="1" applyFill="1" applyBorder="1" applyAlignment="1">
      <alignment horizontal="center" vertical="center"/>
    </xf>
    <xf numFmtId="0" fontId="11" fillId="13" borderId="9" xfId="3" applyFont="1" applyFill="1" applyBorder="1" applyAlignment="1">
      <alignment horizontal="center" vertical="center"/>
    </xf>
    <xf numFmtId="0" fontId="34" fillId="3" borderId="11" xfId="3" applyFont="1" applyFill="1" applyBorder="1" applyAlignment="1" applyProtection="1">
      <alignment horizontal="center" vertical="center" wrapText="1"/>
      <protection locked="0"/>
    </xf>
    <xf numFmtId="0" fontId="34" fillId="3" borderId="7" xfId="3" applyFont="1" applyFill="1" applyBorder="1" applyAlignment="1" applyProtection="1">
      <alignment horizontal="center" vertical="center" wrapText="1"/>
      <protection locked="0"/>
    </xf>
    <xf numFmtId="0" fontId="12" fillId="3" borderId="11" xfId="3" applyFont="1" applyFill="1" applyBorder="1" applyAlignment="1" applyProtection="1">
      <alignment horizontal="center" vertical="center" wrapText="1"/>
      <protection locked="0"/>
    </xf>
    <xf numFmtId="0" fontId="12" fillId="3" borderId="7" xfId="3" applyFont="1" applyFill="1" applyBorder="1" applyAlignment="1" applyProtection="1">
      <alignment horizontal="center" vertical="center" wrapText="1"/>
      <protection locked="0"/>
    </xf>
    <xf numFmtId="0" fontId="34" fillId="3" borderId="6" xfId="3" applyFont="1" applyFill="1" applyBorder="1" applyAlignment="1" applyProtection="1">
      <alignment horizontal="center" vertical="top" wrapText="1"/>
      <protection locked="0"/>
    </xf>
    <xf numFmtId="0" fontId="34" fillId="3" borderId="10" xfId="3" applyFont="1" applyFill="1" applyBorder="1" applyAlignment="1" applyProtection="1">
      <alignment horizontal="center" vertical="top" wrapText="1"/>
      <protection locked="0"/>
    </xf>
    <xf numFmtId="0" fontId="33" fillId="13" borderId="3" xfId="3" applyFont="1" applyFill="1" applyBorder="1" applyAlignment="1">
      <alignment horizontal="center" vertical="center"/>
    </xf>
    <xf numFmtId="0" fontId="33" fillId="13" borderId="4" xfId="3" applyFont="1" applyFill="1" applyBorder="1" applyAlignment="1">
      <alignment horizontal="center" vertical="center"/>
    </xf>
    <xf numFmtId="0" fontId="33" fillId="4" borderId="2" xfId="3" applyFont="1" applyFill="1" applyBorder="1" applyAlignment="1">
      <alignment horizontal="center" vertical="center"/>
    </xf>
    <xf numFmtId="0" fontId="33" fillId="4" borderId="3" xfId="3" applyFont="1" applyFill="1" applyBorder="1" applyAlignment="1">
      <alignment horizontal="center" vertical="center"/>
    </xf>
    <xf numFmtId="0" fontId="33" fillId="4" borderId="4" xfId="3" applyFont="1" applyFill="1" applyBorder="1" applyAlignment="1">
      <alignment horizontal="center" vertical="center"/>
    </xf>
    <xf numFmtId="0" fontId="11" fillId="11" borderId="6" xfId="3" applyFont="1" applyFill="1" applyBorder="1" applyAlignment="1">
      <alignment horizontal="center" vertical="center"/>
    </xf>
    <xf numFmtId="0" fontId="11" fillId="11" borderId="9" xfId="3" applyFont="1" applyFill="1" applyBorder="1" applyAlignment="1">
      <alignment horizontal="center" vertical="center"/>
    </xf>
    <xf numFmtId="0" fontId="11" fillId="11" borderId="10" xfId="3" applyFont="1" applyFill="1" applyBorder="1" applyAlignment="1">
      <alignment horizontal="center" vertical="center"/>
    </xf>
    <xf numFmtId="0" fontId="40" fillId="6" borderId="3" xfId="0" applyFont="1" applyFill="1" applyBorder="1" applyAlignment="1">
      <alignment horizontal="center" vertical="center" wrapText="1"/>
    </xf>
    <xf numFmtId="0" fontId="40" fillId="6" borderId="5" xfId="0" applyFont="1" applyFill="1" applyBorder="1" applyAlignment="1">
      <alignment horizontal="center" vertical="center" wrapText="1"/>
    </xf>
    <xf numFmtId="0" fontId="77" fillId="6" borderId="31" xfId="0" applyFont="1" applyFill="1" applyBorder="1" applyAlignment="1">
      <alignment horizontal="center" vertical="center" wrapText="1"/>
    </xf>
    <xf numFmtId="0" fontId="77" fillId="6" borderId="34" xfId="0" applyFont="1" applyFill="1" applyBorder="1" applyAlignment="1">
      <alignment horizontal="center" vertical="center" wrapText="1"/>
    </xf>
    <xf numFmtId="0" fontId="76" fillId="6" borderId="31" xfId="0" applyFont="1" applyFill="1" applyBorder="1" applyAlignment="1">
      <alignment horizontal="center" vertical="center" wrapText="1"/>
    </xf>
    <xf numFmtId="0" fontId="76" fillId="6" borderId="30" xfId="0" applyFont="1" applyFill="1" applyBorder="1" applyAlignment="1">
      <alignment horizontal="center" vertical="center" wrapText="1"/>
    </xf>
    <xf numFmtId="0" fontId="0" fillId="3" borderId="3" xfId="0" applyFill="1" applyBorder="1" applyAlignment="1">
      <alignment horizontal="center"/>
    </xf>
    <xf numFmtId="0" fontId="0" fillId="3" borderId="4" xfId="0" applyFill="1" applyBorder="1" applyAlignment="1">
      <alignment horizontal="center"/>
    </xf>
    <xf numFmtId="0" fontId="0" fillId="3" borderId="5" xfId="0" applyFill="1" applyBorder="1" applyAlignment="1">
      <alignment horizontal="center"/>
    </xf>
    <xf numFmtId="0" fontId="0" fillId="6" borderId="3" xfId="0" applyFill="1" applyBorder="1" applyAlignment="1">
      <alignment horizontal="center"/>
    </xf>
    <xf numFmtId="0" fontId="0" fillId="6" borderId="4" xfId="0" applyFill="1" applyBorder="1" applyAlignment="1">
      <alignment horizontal="center"/>
    </xf>
    <xf numFmtId="0" fontId="0" fillId="6" borderId="5" xfId="0" applyFill="1" applyBorder="1" applyAlignment="1">
      <alignment horizontal="center"/>
    </xf>
    <xf numFmtId="0" fontId="0" fillId="3" borderId="6" xfId="0" applyFill="1" applyBorder="1" applyAlignment="1">
      <alignment horizontal="center"/>
    </xf>
    <xf numFmtId="0" fontId="0" fillId="3" borderId="10" xfId="0" applyFill="1" applyBorder="1" applyAlignment="1">
      <alignment horizontal="center"/>
    </xf>
    <xf numFmtId="0" fontId="0" fillId="11" borderId="3" xfId="0" applyFill="1" applyBorder="1" applyAlignment="1">
      <alignment horizontal="center"/>
    </xf>
    <xf numFmtId="0" fontId="0" fillId="11" borderId="4" xfId="0" applyFill="1" applyBorder="1" applyAlignment="1">
      <alignment horizontal="center"/>
    </xf>
    <xf numFmtId="0" fontId="0" fillId="11" borderId="5" xfId="0" applyFill="1" applyBorder="1" applyAlignment="1">
      <alignment horizontal="center"/>
    </xf>
    <xf numFmtId="0" fontId="0" fillId="0" borderId="8" xfId="0" applyBorder="1" applyAlignment="1" applyProtection="1">
      <alignment horizontal="center"/>
      <protection locked="0"/>
    </xf>
    <xf numFmtId="0" fontId="3" fillId="0" borderId="0" xfId="0" applyFont="1" applyFill="1" applyBorder="1" applyAlignment="1" applyProtection="1">
      <alignment horizontal="left" vertical="center"/>
      <protection locked="0"/>
    </xf>
    <xf numFmtId="0" fontId="3" fillId="3" borderId="2" xfId="0" applyFont="1" applyFill="1" applyBorder="1" applyAlignment="1" applyProtection="1">
      <alignment horizontal="center" vertical="center"/>
      <protection hidden="1"/>
    </xf>
    <xf numFmtId="0" fontId="3" fillId="3" borderId="6" xfId="0" applyFont="1" applyFill="1" applyBorder="1" applyAlignment="1" applyProtection="1">
      <alignment horizontal="center" vertical="center"/>
      <protection hidden="1"/>
    </xf>
    <xf numFmtId="0" fontId="0" fillId="4" borderId="3" xfId="0" applyFill="1" applyBorder="1" applyAlignment="1">
      <alignment horizontal="center"/>
    </xf>
    <xf numFmtId="0" fontId="0" fillId="4" borderId="4" xfId="0" applyFill="1" applyBorder="1" applyAlignment="1">
      <alignment horizontal="center"/>
    </xf>
    <xf numFmtId="0" fontId="0" fillId="4" borderId="5" xfId="0" applyFill="1" applyBorder="1" applyAlignment="1">
      <alignment horizontal="center"/>
    </xf>
    <xf numFmtId="0" fontId="0" fillId="8" borderId="3" xfId="0" applyFill="1" applyBorder="1" applyAlignment="1">
      <alignment horizontal="center"/>
    </xf>
    <xf numFmtId="0" fontId="0" fillId="8" borderId="4" xfId="0" applyFill="1" applyBorder="1" applyAlignment="1">
      <alignment horizontal="center"/>
    </xf>
    <xf numFmtId="0" fontId="0" fillId="8" borderId="5" xfId="0" applyFill="1" applyBorder="1" applyAlignment="1">
      <alignment horizontal="center"/>
    </xf>
    <xf numFmtId="0" fontId="0" fillId="23" borderId="3" xfId="0" applyFill="1" applyBorder="1" applyAlignment="1" applyProtection="1">
      <alignment horizontal="center"/>
      <protection locked="0"/>
    </xf>
    <xf numFmtId="0" fontId="0" fillId="23" borderId="4" xfId="0" applyFill="1" applyBorder="1" applyAlignment="1" applyProtection="1">
      <alignment horizontal="center"/>
      <protection locked="0"/>
    </xf>
    <xf numFmtId="0" fontId="0" fillId="4" borderId="3" xfId="0" applyFill="1" applyBorder="1" applyAlignment="1" applyProtection="1">
      <alignment horizontal="center"/>
      <protection locked="0"/>
    </xf>
    <xf numFmtId="0" fontId="0" fillId="4" borderId="4" xfId="0" applyFill="1" applyBorder="1" applyAlignment="1" applyProtection="1">
      <alignment horizontal="center"/>
      <protection locked="0"/>
    </xf>
    <xf numFmtId="0" fontId="0" fillId="3" borderId="3" xfId="0" applyFill="1" applyBorder="1" applyAlignment="1" applyProtection="1">
      <alignment horizontal="center"/>
      <protection hidden="1"/>
    </xf>
    <xf numFmtId="0" fontId="0" fillId="3" borderId="4" xfId="0" applyFill="1" applyBorder="1" applyAlignment="1" applyProtection="1">
      <alignment horizontal="center"/>
      <protection hidden="1"/>
    </xf>
    <xf numFmtId="0" fontId="0" fillId="3" borderId="5" xfId="0" applyFill="1" applyBorder="1" applyAlignment="1" applyProtection="1">
      <alignment horizontal="center"/>
      <protection hidden="1"/>
    </xf>
    <xf numFmtId="16" fontId="3" fillId="0" borderId="0" xfId="0" applyNumberFormat="1" applyFont="1" applyBorder="1" applyAlignment="1" applyProtection="1">
      <alignment vertical="center"/>
      <protection hidden="1"/>
    </xf>
    <xf numFmtId="0" fontId="0" fillId="4" borderId="10" xfId="0" applyFill="1" applyBorder="1" applyAlignment="1">
      <alignment horizontal="center" vertical="center"/>
    </xf>
    <xf numFmtId="0" fontId="0" fillId="4" borderId="6" xfId="0" applyFill="1" applyBorder="1" applyAlignment="1">
      <alignment horizontal="center" vertical="center"/>
    </xf>
    <xf numFmtId="0" fontId="0" fillId="11" borderId="3" xfId="0" applyFill="1" applyBorder="1" applyAlignment="1" applyProtection="1">
      <alignment horizontal="center"/>
      <protection locked="0"/>
    </xf>
    <xf numFmtId="0" fontId="0" fillId="11" borderId="4" xfId="0" applyFill="1" applyBorder="1" applyAlignment="1" applyProtection="1">
      <alignment horizontal="center"/>
      <protection locked="0"/>
    </xf>
    <xf numFmtId="0" fontId="0" fillId="3" borderId="3" xfId="0" applyFill="1" applyBorder="1" applyAlignment="1" applyProtection="1">
      <alignment horizontal="center"/>
      <protection locked="0"/>
    </xf>
    <xf numFmtId="0" fontId="0" fillId="3" borderId="4" xfId="0" applyFill="1" applyBorder="1" applyAlignment="1" applyProtection="1">
      <alignment horizontal="center"/>
      <protection locked="0"/>
    </xf>
    <xf numFmtId="0" fontId="0" fillId="4" borderId="6" xfId="0" applyFill="1" applyBorder="1" applyAlignment="1" applyProtection="1">
      <alignment horizontal="center" textRotation="90"/>
      <protection hidden="1"/>
    </xf>
    <xf numFmtId="0" fontId="0" fillId="4" borderId="9" xfId="0" applyFill="1" applyBorder="1" applyAlignment="1" applyProtection="1">
      <alignment horizontal="center" textRotation="90"/>
      <protection hidden="1"/>
    </xf>
    <xf numFmtId="0" fontId="5" fillId="4" borderId="6" xfId="0" applyFont="1" applyFill="1" applyBorder="1" applyAlignment="1" applyProtection="1">
      <alignment horizontal="center" vertical="center" wrapText="1"/>
      <protection hidden="1"/>
    </xf>
    <xf numFmtId="0" fontId="5" fillId="4" borderId="9" xfId="0" applyFont="1" applyFill="1" applyBorder="1" applyAlignment="1" applyProtection="1">
      <alignment horizontal="center" vertical="center" wrapText="1"/>
      <protection hidden="1"/>
    </xf>
    <xf numFmtId="0" fontId="0" fillId="3" borderId="5" xfId="0" applyFill="1" applyBorder="1" applyAlignment="1" applyProtection="1">
      <alignment horizontal="center"/>
      <protection locked="0"/>
    </xf>
    <xf numFmtId="0" fontId="0" fillId="3" borderId="2" xfId="0" applyFill="1" applyBorder="1" applyAlignment="1">
      <alignment horizontal="center"/>
    </xf>
    <xf numFmtId="0" fontId="0" fillId="3" borderId="14" xfId="0" applyFill="1" applyBorder="1" applyAlignment="1">
      <alignment horizontal="center"/>
    </xf>
    <xf numFmtId="0" fontId="0" fillId="3" borderId="0" xfId="0" applyFill="1" applyBorder="1" applyAlignment="1">
      <alignment horizontal="center"/>
    </xf>
    <xf numFmtId="0" fontId="0" fillId="3" borderId="7" xfId="0" applyFill="1" applyBorder="1" applyAlignment="1">
      <alignment horizontal="center"/>
    </xf>
    <xf numFmtId="0" fontId="0" fillId="3" borderId="8" xfId="0" applyFill="1" applyBorder="1" applyAlignment="1">
      <alignment horizontal="center"/>
    </xf>
    <xf numFmtId="0" fontId="0" fillId="6" borderId="0" xfId="0" applyFill="1" applyBorder="1" applyAlignment="1">
      <alignment horizontal="center"/>
    </xf>
    <xf numFmtId="0" fontId="0" fillId="6" borderId="8" xfId="0" applyFill="1" applyBorder="1" applyAlignment="1">
      <alignment horizontal="center"/>
    </xf>
    <xf numFmtId="0" fontId="0" fillId="0" borderId="0" xfId="0" applyAlignment="1">
      <alignment horizontal="center" textRotation="90"/>
    </xf>
    <xf numFmtId="0" fontId="0" fillId="4" borderId="2" xfId="0" applyFill="1" applyBorder="1" applyAlignment="1">
      <alignment horizontal="center" textRotation="90"/>
    </xf>
    <xf numFmtId="0" fontId="0" fillId="4" borderId="6" xfId="0" applyFill="1" applyBorder="1" applyAlignment="1">
      <alignment horizontal="center" textRotation="90"/>
    </xf>
    <xf numFmtId="0" fontId="0" fillId="3" borderId="2" xfId="0" applyFill="1" applyBorder="1" applyAlignment="1">
      <alignment horizontal="center" textRotation="90"/>
    </xf>
    <xf numFmtId="0" fontId="0" fillId="3" borderId="6" xfId="0" applyFill="1" applyBorder="1" applyAlignment="1">
      <alignment horizontal="center" textRotation="90"/>
    </xf>
    <xf numFmtId="0" fontId="0" fillId="0" borderId="6" xfId="0" applyBorder="1" applyAlignment="1">
      <alignment horizontal="center" textRotation="90"/>
    </xf>
    <xf numFmtId="0" fontId="0" fillId="0" borderId="9" xfId="0" applyBorder="1" applyAlignment="1">
      <alignment horizontal="center" textRotation="90"/>
    </xf>
    <xf numFmtId="0" fontId="0" fillId="0" borderId="0" xfId="0" applyAlignment="1">
      <alignment horizontal="center" vertical="center" textRotation="90"/>
    </xf>
    <xf numFmtId="0" fontId="0" fillId="0" borderId="8" xfId="0" applyBorder="1" applyAlignment="1">
      <alignment horizontal="center" vertical="center" textRotation="90"/>
    </xf>
    <xf numFmtId="0" fontId="0" fillId="3" borderId="6" xfId="0" applyFill="1" applyBorder="1" applyAlignment="1" applyProtection="1">
      <alignment horizontal="left" textRotation="90"/>
      <protection hidden="1"/>
    </xf>
    <xf numFmtId="0" fontId="0" fillId="3" borderId="10" xfId="0" applyFill="1" applyBorder="1" applyAlignment="1" applyProtection="1">
      <alignment horizontal="left" textRotation="90"/>
      <protection hidden="1"/>
    </xf>
    <xf numFmtId="0" fontId="0" fillId="3" borderId="2" xfId="0" applyFill="1" applyBorder="1" applyAlignment="1" applyProtection="1">
      <alignment horizontal="center" textRotation="90"/>
      <protection hidden="1"/>
    </xf>
    <xf numFmtId="0" fontId="0" fillId="7" borderId="7" xfId="0" applyFill="1" applyBorder="1" applyAlignment="1" applyProtection="1">
      <alignment horizontal="center"/>
      <protection hidden="1"/>
    </xf>
    <xf numFmtId="0" fontId="0" fillId="7" borderId="8" xfId="0" applyFill="1" applyBorder="1" applyAlignment="1" applyProtection="1">
      <alignment horizontal="center"/>
      <protection hidden="1"/>
    </xf>
    <xf numFmtId="16" fontId="0" fillId="0" borderId="0" xfId="0" applyNumberFormat="1" applyFont="1" applyBorder="1" applyAlignment="1">
      <alignment horizontal="left" vertical="center"/>
    </xf>
    <xf numFmtId="0" fontId="0" fillId="0" borderId="8" xfId="0" applyBorder="1" applyAlignment="1" applyProtection="1">
      <alignment horizontal="left"/>
      <protection locked="0"/>
    </xf>
    <xf numFmtId="0" fontId="0" fillId="0" borderId="2" xfId="0" applyFill="1" applyBorder="1" applyAlignment="1" applyProtection="1">
      <alignment horizontal="center"/>
      <protection hidden="1"/>
    </xf>
    <xf numFmtId="0" fontId="0" fillId="10" borderId="2" xfId="0" applyFill="1" applyBorder="1" applyAlignment="1" applyProtection="1">
      <alignment horizontal="center"/>
      <protection hidden="1"/>
    </xf>
    <xf numFmtId="0" fontId="0" fillId="0" borderId="0" xfId="0" applyFont="1" applyFill="1" applyBorder="1" applyAlignment="1" applyProtection="1">
      <alignment horizontal="left" vertical="center"/>
      <protection locked="0"/>
    </xf>
    <xf numFmtId="0" fontId="0" fillId="0" borderId="0" xfId="0" applyAlignment="1">
      <alignment horizontal="center"/>
    </xf>
    <xf numFmtId="0" fontId="4" fillId="3" borderId="3" xfId="0" applyFont="1" applyFill="1" applyBorder="1" applyAlignment="1" applyProtection="1">
      <alignment horizontal="left"/>
      <protection hidden="1"/>
    </xf>
    <xf numFmtId="0" fontId="4" fillId="3" borderId="4" xfId="0" applyFont="1" applyFill="1" applyBorder="1" applyAlignment="1" applyProtection="1">
      <alignment horizontal="left"/>
      <protection hidden="1"/>
    </xf>
    <xf numFmtId="0" fontId="4" fillId="3" borderId="5" xfId="0" applyFont="1" applyFill="1" applyBorder="1" applyAlignment="1" applyProtection="1">
      <alignment horizontal="left"/>
      <protection hidden="1"/>
    </xf>
    <xf numFmtId="0" fontId="0" fillId="5" borderId="3" xfId="0" applyFill="1" applyBorder="1" applyAlignment="1" applyProtection="1">
      <alignment horizontal="center"/>
      <protection locked="0"/>
    </xf>
    <xf numFmtId="0" fontId="0" fillId="5" borderId="4" xfId="0" applyFill="1" applyBorder="1" applyAlignment="1" applyProtection="1">
      <alignment horizontal="center"/>
      <protection locked="0"/>
    </xf>
    <xf numFmtId="0" fontId="0" fillId="3" borderId="3" xfId="0" applyFill="1" applyBorder="1" applyAlignment="1" applyProtection="1">
      <alignment horizontal="center"/>
    </xf>
    <xf numFmtId="0" fontId="0" fillId="3" borderId="4" xfId="0" applyFill="1" applyBorder="1" applyAlignment="1" applyProtection="1">
      <alignment horizontal="center"/>
    </xf>
    <xf numFmtId="0" fontId="0" fillId="8" borderId="3" xfId="0" applyFill="1" applyBorder="1" applyAlignment="1" applyProtection="1">
      <alignment horizontal="center"/>
    </xf>
    <xf numFmtId="0" fontId="0" fillId="8" borderId="4" xfId="0" applyFill="1" applyBorder="1" applyAlignment="1" applyProtection="1">
      <alignment horizontal="center"/>
    </xf>
    <xf numFmtId="0" fontId="3" fillId="4" borderId="12" xfId="0" applyFont="1" applyFill="1" applyBorder="1" applyAlignment="1" applyProtection="1">
      <alignment horizontal="center" vertical="center" textRotation="90"/>
      <protection hidden="1"/>
    </xf>
    <xf numFmtId="0" fontId="3" fillId="4" borderId="0" xfId="0" applyFont="1" applyFill="1" applyAlignment="1" applyProtection="1">
      <alignment horizontal="center" vertical="center" textRotation="90"/>
      <protection hidden="1"/>
    </xf>
    <xf numFmtId="0" fontId="3" fillId="4" borderId="8" xfId="0" applyFont="1" applyFill="1" applyBorder="1" applyAlignment="1" applyProtection="1">
      <alignment horizontal="center" vertical="center" textRotation="90"/>
      <protection hidden="1"/>
    </xf>
    <xf numFmtId="0" fontId="3" fillId="15" borderId="3" xfId="0" applyFont="1" applyFill="1" applyBorder="1" applyAlignment="1">
      <alignment horizontal="left" vertical="center"/>
    </xf>
    <xf numFmtId="0" fontId="3" fillId="15" borderId="4" xfId="0" applyFont="1" applyFill="1" applyBorder="1" applyAlignment="1">
      <alignment horizontal="left" vertical="center"/>
    </xf>
    <xf numFmtId="0" fontId="0" fillId="6" borderId="2" xfId="0" applyFill="1" applyBorder="1" applyAlignment="1">
      <alignment horizontal="center" textRotation="90"/>
    </xf>
    <xf numFmtId="0" fontId="0" fillId="0" borderId="14" xfId="0" applyBorder="1" applyAlignment="1">
      <alignment horizontal="center" textRotation="90"/>
    </xf>
    <xf numFmtId="0" fontId="0" fillId="0" borderId="7" xfId="0" applyBorder="1" applyAlignment="1">
      <alignment horizontal="center" textRotation="90"/>
    </xf>
    <xf numFmtId="0" fontId="0" fillId="0" borderId="8" xfId="0" applyBorder="1" applyAlignment="1">
      <alignment horizontal="center" textRotation="90"/>
    </xf>
    <xf numFmtId="0" fontId="0" fillId="6" borderId="0" xfId="0" applyFill="1" applyAlignment="1">
      <alignment horizontal="center" textRotation="90"/>
    </xf>
    <xf numFmtId="0" fontId="0" fillId="6" borderId="8" xfId="0" applyFill="1" applyBorder="1" applyAlignment="1">
      <alignment horizontal="center" textRotation="90"/>
    </xf>
    <xf numFmtId="0" fontId="0" fillId="5" borderId="6" xfId="0" applyFill="1" applyBorder="1" applyAlignment="1">
      <alignment horizontal="center" textRotation="90"/>
    </xf>
    <xf numFmtId="0" fontId="0" fillId="5" borderId="9" xfId="0" applyFill="1" applyBorder="1" applyAlignment="1">
      <alignment horizontal="center" textRotation="90"/>
    </xf>
    <xf numFmtId="0" fontId="0" fillId="5" borderId="10" xfId="0" applyFill="1" applyBorder="1" applyAlignment="1">
      <alignment horizontal="center" textRotation="90"/>
    </xf>
    <xf numFmtId="0" fontId="0" fillId="6" borderId="6" xfId="0" applyFill="1" applyBorder="1" applyAlignment="1">
      <alignment horizontal="center" vertical="center"/>
    </xf>
    <xf numFmtId="0" fontId="0" fillId="6" borderId="9" xfId="0" applyFill="1" applyBorder="1" applyAlignment="1">
      <alignment horizontal="center" vertical="center"/>
    </xf>
    <xf numFmtId="0" fontId="0" fillId="6" borderId="10" xfId="0" applyFill="1"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10" fillId="0" borderId="0" xfId="0" applyFont="1" applyAlignment="1" applyProtection="1">
      <alignment horizontal="left" vertical="center"/>
      <protection hidden="1"/>
    </xf>
    <xf numFmtId="0" fontId="7" fillId="0" borderId="0" xfId="0" applyFont="1" applyBorder="1" applyAlignment="1" applyProtection="1">
      <alignment horizontal="left" vertical="center"/>
      <protection hidden="1"/>
    </xf>
    <xf numFmtId="0" fontId="11" fillId="0" borderId="3" xfId="0" applyFont="1" applyBorder="1" applyAlignment="1" applyProtection="1">
      <alignment horizontal="center" vertical="center" wrapText="1"/>
      <protection hidden="1"/>
    </xf>
    <xf numFmtId="0" fontId="11" fillId="0" borderId="4" xfId="0" applyFont="1" applyBorder="1" applyAlignment="1" applyProtection="1">
      <alignment horizontal="center" vertical="center" wrapText="1"/>
      <protection hidden="1"/>
    </xf>
    <xf numFmtId="0" fontId="11" fillId="0" borderId="5" xfId="0" applyFont="1" applyBorder="1" applyAlignment="1" applyProtection="1">
      <alignment horizontal="center" vertical="center" wrapText="1"/>
      <protection hidden="1"/>
    </xf>
    <xf numFmtId="0" fontId="11" fillId="0" borderId="3" xfId="0" applyFont="1" applyBorder="1" applyAlignment="1" applyProtection="1">
      <alignment horizontal="center" vertical="center"/>
      <protection hidden="1"/>
    </xf>
    <xf numFmtId="0" fontId="11" fillId="0" borderId="4" xfId="0" applyFont="1" applyBorder="1" applyAlignment="1" applyProtection="1">
      <alignment horizontal="center" vertical="center"/>
      <protection hidden="1"/>
    </xf>
    <xf numFmtId="0" fontId="11" fillId="0" borderId="5" xfId="0" applyFont="1" applyBorder="1" applyAlignment="1" applyProtection="1">
      <alignment horizontal="center" vertical="center"/>
      <protection hidden="1"/>
    </xf>
    <xf numFmtId="0" fontId="10" fillId="0" borderId="11" xfId="0" applyFont="1" applyBorder="1" applyAlignment="1" applyProtection="1">
      <alignment horizontal="left" vertical="top" wrapText="1"/>
      <protection hidden="1"/>
    </xf>
    <xf numFmtId="0" fontId="10" fillId="0" borderId="12" xfId="0" applyFont="1" applyBorder="1" applyAlignment="1" applyProtection="1">
      <alignment horizontal="left" vertical="top" wrapText="1"/>
      <protection hidden="1"/>
    </xf>
    <xf numFmtId="0" fontId="10" fillId="0" borderId="13" xfId="0" applyFont="1" applyBorder="1" applyAlignment="1" applyProtection="1">
      <alignment horizontal="left" vertical="top" wrapText="1"/>
      <protection hidden="1"/>
    </xf>
    <xf numFmtId="0" fontId="10" fillId="0" borderId="14" xfId="0" applyFont="1" applyBorder="1" applyAlignment="1" applyProtection="1">
      <alignment horizontal="left" vertical="top" wrapText="1"/>
      <protection hidden="1"/>
    </xf>
    <xf numFmtId="0" fontId="10" fillId="0" borderId="0" xfId="0" applyFont="1" applyBorder="1" applyAlignment="1" applyProtection="1">
      <alignment horizontal="left" vertical="top" wrapText="1"/>
      <protection hidden="1"/>
    </xf>
    <xf numFmtId="0" fontId="10" fillId="0" borderId="15" xfId="0" applyFont="1" applyBorder="1" applyAlignment="1" applyProtection="1">
      <alignment horizontal="left" vertical="top" wrapText="1"/>
      <protection hidden="1"/>
    </xf>
    <xf numFmtId="0" fontId="10" fillId="0" borderId="7" xfId="0" applyFont="1" applyBorder="1" applyAlignment="1" applyProtection="1">
      <alignment horizontal="left" vertical="top" wrapText="1"/>
      <protection hidden="1"/>
    </xf>
    <xf numFmtId="0" fontId="10" fillId="0" borderId="8" xfId="0" applyFont="1" applyBorder="1" applyAlignment="1" applyProtection="1">
      <alignment horizontal="left" vertical="top" wrapText="1"/>
      <protection hidden="1"/>
    </xf>
    <xf numFmtId="0" fontId="10" fillId="0" borderId="16" xfId="0" applyFont="1" applyBorder="1" applyAlignment="1" applyProtection="1">
      <alignment horizontal="left" vertical="top" wrapText="1"/>
      <protection hidden="1"/>
    </xf>
    <xf numFmtId="0" fontId="10" fillId="0" borderId="11" xfId="0" applyFont="1" applyBorder="1" applyAlignment="1" applyProtection="1">
      <alignment horizontal="justify" vertical="top" wrapText="1"/>
      <protection hidden="1"/>
    </xf>
    <xf numFmtId="0" fontId="10" fillId="0" borderId="12" xfId="0" applyFont="1" applyBorder="1" applyAlignment="1" applyProtection="1">
      <alignment horizontal="justify" vertical="top" wrapText="1"/>
      <protection hidden="1"/>
    </xf>
    <xf numFmtId="0" fontId="10" fillId="0" borderId="13" xfId="0" applyFont="1" applyBorder="1" applyAlignment="1" applyProtection="1">
      <alignment horizontal="justify" vertical="top" wrapText="1"/>
      <protection hidden="1"/>
    </xf>
    <xf numFmtId="0" fontId="10" fillId="0" borderId="14" xfId="0" applyFont="1" applyBorder="1" applyAlignment="1" applyProtection="1">
      <alignment horizontal="justify" vertical="top" wrapText="1"/>
      <protection hidden="1"/>
    </xf>
    <xf numFmtId="0" fontId="10" fillId="0" borderId="0" xfId="0" applyFont="1" applyBorder="1" applyAlignment="1" applyProtection="1">
      <alignment horizontal="justify" vertical="top" wrapText="1"/>
      <protection hidden="1"/>
    </xf>
    <xf numFmtId="0" fontId="10" fillId="0" borderId="15" xfId="0" applyFont="1" applyBorder="1" applyAlignment="1" applyProtection="1">
      <alignment horizontal="justify" vertical="top" wrapText="1"/>
      <protection hidden="1"/>
    </xf>
    <xf numFmtId="0" fontId="10" fillId="0" borderId="7" xfId="0" applyFont="1" applyBorder="1" applyAlignment="1" applyProtection="1">
      <alignment horizontal="justify" vertical="top" wrapText="1"/>
      <protection hidden="1"/>
    </xf>
    <xf numFmtId="0" fontId="10" fillId="0" borderId="8" xfId="0" applyFont="1" applyBorder="1" applyAlignment="1" applyProtection="1">
      <alignment horizontal="justify" vertical="top" wrapText="1"/>
      <protection hidden="1"/>
    </xf>
    <xf numFmtId="0" fontId="10" fillId="0" borderId="16" xfId="0" applyFont="1" applyBorder="1" applyAlignment="1" applyProtection="1">
      <alignment horizontal="justify" vertical="top" wrapText="1"/>
      <protection hidden="1"/>
    </xf>
    <xf numFmtId="0" fontId="36" fillId="3" borderId="21" xfId="0" applyFont="1" applyFill="1" applyBorder="1" applyAlignment="1" applyProtection="1">
      <alignment horizontal="center" vertical="center"/>
      <protection locked="0"/>
    </xf>
    <xf numFmtId="0" fontId="36" fillId="3" borderId="22" xfId="0" applyFont="1" applyFill="1" applyBorder="1" applyAlignment="1" applyProtection="1">
      <alignment horizontal="center" vertical="center"/>
      <protection locked="0"/>
    </xf>
    <xf numFmtId="0" fontId="10" fillId="0" borderId="0" xfId="0" applyFont="1" applyAlignment="1" applyProtection="1">
      <alignment vertical="center"/>
      <protection hidden="1"/>
    </xf>
    <xf numFmtId="0" fontId="0" fillId="0" borderId="12" xfId="0" applyFont="1" applyBorder="1" applyAlignment="1" applyProtection="1">
      <alignment horizontal="justify" vertical="top" wrapText="1"/>
      <protection hidden="1"/>
    </xf>
    <xf numFmtId="0" fontId="0" fillId="0" borderId="13" xfId="0" applyFont="1" applyBorder="1" applyAlignment="1" applyProtection="1">
      <alignment horizontal="justify" vertical="top" wrapText="1"/>
      <protection hidden="1"/>
    </xf>
    <xf numFmtId="0" fontId="0" fillId="0" borderId="0" xfId="0" applyFont="1" applyBorder="1" applyAlignment="1" applyProtection="1">
      <alignment horizontal="justify" vertical="top" wrapText="1"/>
      <protection hidden="1"/>
    </xf>
    <xf numFmtId="0" fontId="0" fillId="0" borderId="15" xfId="0" applyFont="1" applyBorder="1" applyAlignment="1" applyProtection="1">
      <alignment horizontal="justify" vertical="top" wrapText="1"/>
      <protection hidden="1"/>
    </xf>
    <xf numFmtId="0" fontId="0" fillId="0" borderId="8" xfId="0" applyFont="1" applyBorder="1" applyAlignment="1" applyProtection="1">
      <alignment horizontal="justify" vertical="top" wrapText="1"/>
      <protection hidden="1"/>
    </xf>
    <xf numFmtId="0" fontId="0" fillId="0" borderId="16" xfId="0" applyFont="1" applyBorder="1" applyAlignment="1" applyProtection="1">
      <alignment horizontal="justify" vertical="top" wrapText="1"/>
      <protection hidden="1"/>
    </xf>
    <xf numFmtId="0" fontId="11" fillId="0" borderId="11" xfId="0" applyFont="1" applyBorder="1" applyAlignment="1" applyProtection="1">
      <alignment horizontal="center" vertical="center"/>
      <protection hidden="1"/>
    </xf>
    <xf numFmtId="0" fontId="11" fillId="0" borderId="12" xfId="0" applyFont="1" applyBorder="1" applyAlignment="1" applyProtection="1">
      <alignment horizontal="center" vertical="center"/>
      <protection hidden="1"/>
    </xf>
    <xf numFmtId="0" fontId="11" fillId="0" borderId="13" xfId="0" applyFont="1" applyBorder="1" applyAlignment="1" applyProtection="1">
      <alignment horizontal="center" vertical="center"/>
      <protection hidden="1"/>
    </xf>
    <xf numFmtId="0" fontId="0" fillId="0" borderId="12" xfId="0" applyBorder="1" applyAlignment="1" applyProtection="1">
      <alignment horizontal="justify" vertical="top" wrapText="1"/>
      <protection hidden="1"/>
    </xf>
    <xf numFmtId="0" fontId="0" fillId="0" borderId="13" xfId="0" applyBorder="1" applyAlignment="1" applyProtection="1">
      <alignment horizontal="justify" vertical="top" wrapText="1"/>
      <protection hidden="1"/>
    </xf>
    <xf numFmtId="0" fontId="0" fillId="0" borderId="0" xfId="0" applyAlignment="1" applyProtection="1">
      <alignment horizontal="justify" vertical="top" wrapText="1"/>
      <protection hidden="1"/>
    </xf>
    <xf numFmtId="0" fontId="0" fillId="0" borderId="15" xfId="0" applyBorder="1" applyAlignment="1" applyProtection="1">
      <alignment horizontal="justify" vertical="top" wrapText="1"/>
      <protection hidden="1"/>
    </xf>
    <xf numFmtId="0" fontId="0" fillId="0" borderId="8" xfId="0" applyBorder="1" applyAlignment="1" applyProtection="1">
      <alignment horizontal="justify" vertical="top" wrapText="1"/>
      <protection hidden="1"/>
    </xf>
    <xf numFmtId="0" fontId="0" fillId="0" borderId="16" xfId="0" applyBorder="1" applyAlignment="1" applyProtection="1">
      <alignment horizontal="justify" vertical="top" wrapText="1"/>
      <protection hidden="1"/>
    </xf>
    <xf numFmtId="0" fontId="0" fillId="0" borderId="11" xfId="0" applyBorder="1" applyAlignment="1" applyProtection="1">
      <alignment horizontal="center" vertical="top" wrapText="1"/>
      <protection hidden="1"/>
    </xf>
    <xf numFmtId="0" fontId="0" fillId="0" borderId="14" xfId="0" applyBorder="1" applyAlignment="1" applyProtection="1">
      <alignment horizontal="center" vertical="top" wrapText="1"/>
      <protection hidden="1"/>
    </xf>
    <xf numFmtId="0" fontId="0" fillId="0" borderId="7" xfId="0" applyBorder="1" applyAlignment="1" applyProtection="1">
      <alignment horizontal="center" vertical="top" wrapText="1"/>
      <protection hidden="1"/>
    </xf>
    <xf numFmtId="0" fontId="0" fillId="0" borderId="0" xfId="0" applyBorder="1" applyAlignment="1" applyProtection="1">
      <alignment horizontal="justify" vertical="top" wrapText="1"/>
      <protection hidden="1"/>
    </xf>
    <xf numFmtId="0" fontId="0" fillId="0" borderId="14" xfId="0" applyFont="1" applyBorder="1" applyAlignment="1" applyProtection="1">
      <alignment horizontal="center" vertical="top" wrapText="1"/>
      <protection hidden="1"/>
    </xf>
    <xf numFmtId="0" fontId="0" fillId="0" borderId="7" xfId="0" applyFont="1" applyBorder="1" applyAlignment="1" applyProtection="1">
      <alignment horizontal="center" vertical="top" wrapText="1"/>
      <protection hidden="1"/>
    </xf>
    <xf numFmtId="0" fontId="11" fillId="0" borderId="11" xfId="0" applyFont="1" applyBorder="1" applyAlignment="1" applyProtection="1">
      <alignment horizontal="center" vertical="center" wrapText="1"/>
      <protection hidden="1"/>
    </xf>
    <xf numFmtId="0" fontId="11" fillId="0" borderId="12" xfId="0" applyFont="1" applyBorder="1" applyAlignment="1" applyProtection="1">
      <alignment horizontal="center" vertical="center" wrapText="1"/>
      <protection hidden="1"/>
    </xf>
    <xf numFmtId="0" fontId="11" fillId="0" borderId="13" xfId="0" applyFont="1" applyBorder="1" applyAlignment="1" applyProtection="1">
      <alignment horizontal="center" vertical="center" wrapText="1"/>
      <protection hidden="1"/>
    </xf>
    <xf numFmtId="0" fontId="0" fillId="0" borderId="11" xfId="0" applyBorder="1" applyAlignment="1" applyProtection="1">
      <alignment horizontal="center" vertical="top"/>
      <protection hidden="1"/>
    </xf>
    <xf numFmtId="0" fontId="0" fillId="0" borderId="14" xfId="0" applyBorder="1" applyAlignment="1" applyProtection="1">
      <alignment horizontal="center" vertical="top"/>
      <protection hidden="1"/>
    </xf>
    <xf numFmtId="0" fontId="0" fillId="0" borderId="7" xfId="0" applyBorder="1" applyAlignment="1" applyProtection="1">
      <alignment horizontal="center" vertical="top"/>
      <protection hidden="1"/>
    </xf>
    <xf numFmtId="0" fontId="0" fillId="0" borderId="6" xfId="0" applyFont="1" applyBorder="1" applyAlignment="1" applyProtection="1">
      <alignment horizontal="center" vertical="center"/>
      <protection hidden="1"/>
    </xf>
    <xf numFmtId="0" fontId="0" fillId="0" borderId="9" xfId="0" applyFont="1" applyBorder="1" applyAlignment="1" applyProtection="1">
      <alignment horizontal="center" vertical="center"/>
      <protection hidden="1"/>
    </xf>
    <xf numFmtId="0" fontId="0" fillId="0" borderId="10" xfId="0" applyFont="1" applyBorder="1" applyAlignment="1" applyProtection="1">
      <alignment horizontal="center" vertical="center"/>
      <protection hidden="1"/>
    </xf>
    <xf numFmtId="0" fontId="10" fillId="0" borderId="11" xfId="0" applyFont="1" applyBorder="1" applyAlignment="1" applyProtection="1">
      <alignment vertical="center"/>
      <protection hidden="1"/>
    </xf>
    <xf numFmtId="0" fontId="10" fillId="0" borderId="12" xfId="0" applyFont="1" applyBorder="1" applyAlignment="1" applyProtection="1">
      <alignment vertical="center"/>
      <protection hidden="1"/>
    </xf>
    <xf numFmtId="0" fontId="10" fillId="0" borderId="13" xfId="0" applyFont="1" applyBorder="1" applyAlignment="1" applyProtection="1">
      <alignment vertical="center"/>
      <protection hidden="1"/>
    </xf>
    <xf numFmtId="0" fontId="10" fillId="0" borderId="14" xfId="0" applyFont="1" applyBorder="1" applyAlignment="1" applyProtection="1">
      <alignment vertical="center"/>
      <protection hidden="1"/>
    </xf>
    <xf numFmtId="0" fontId="10" fillId="0" borderId="0" xfId="0" applyFont="1" applyBorder="1" applyAlignment="1" applyProtection="1">
      <alignment vertical="center"/>
      <protection hidden="1"/>
    </xf>
    <xf numFmtId="0" fontId="10" fillId="0" borderId="15" xfId="0" applyFont="1" applyBorder="1" applyAlignment="1" applyProtection="1">
      <alignment vertical="center"/>
      <protection hidden="1"/>
    </xf>
    <xf numFmtId="0" fontId="10" fillId="0" borderId="7" xfId="0" applyFont="1" applyBorder="1" applyAlignment="1" applyProtection="1">
      <alignment vertical="center"/>
      <protection hidden="1"/>
    </xf>
    <xf numFmtId="0" fontId="10" fillId="0" borderId="8" xfId="0" applyFont="1" applyBorder="1" applyAlignment="1" applyProtection="1">
      <alignment vertical="center"/>
      <protection hidden="1"/>
    </xf>
    <xf numFmtId="0" fontId="10" fillId="0" borderId="16" xfId="0" applyFont="1" applyBorder="1" applyAlignment="1" applyProtection="1">
      <alignment vertical="center"/>
      <protection hidden="1"/>
    </xf>
    <xf numFmtId="0" fontId="0" fillId="0" borderId="8" xfId="0" applyFont="1" applyBorder="1" applyAlignment="1" applyProtection="1">
      <alignment horizontal="center" vertical="top" wrapText="1"/>
      <protection hidden="1"/>
    </xf>
    <xf numFmtId="0" fontId="0" fillId="0" borderId="12" xfId="0" applyBorder="1" applyAlignment="1" applyProtection="1">
      <alignment horizontal="center" vertical="top" wrapText="1"/>
      <protection hidden="1"/>
    </xf>
    <xf numFmtId="0" fontId="0" fillId="0" borderId="0" xfId="0" applyFont="1" applyBorder="1" applyAlignment="1" applyProtection="1">
      <alignment horizontal="left" vertical="top" wrapText="1"/>
      <protection hidden="1"/>
    </xf>
    <xf numFmtId="0" fontId="0" fillId="0" borderId="0" xfId="0" applyFont="1" applyBorder="1" applyAlignment="1" applyProtection="1">
      <alignment horizontal="left" vertical="center"/>
      <protection hidden="1"/>
    </xf>
    <xf numFmtId="0" fontId="0" fillId="0" borderId="2" xfId="0" applyFont="1" applyBorder="1" applyAlignment="1" applyProtection="1">
      <alignment horizontal="center" vertical="center"/>
      <protection hidden="1"/>
    </xf>
    <xf numFmtId="0" fontId="11" fillId="0" borderId="14" xfId="0" applyFont="1" applyBorder="1" applyAlignment="1" applyProtection="1">
      <alignment horizontal="center" vertical="center" wrapText="1"/>
      <protection hidden="1"/>
    </xf>
    <xf numFmtId="0" fontId="11" fillId="0" borderId="0" xfId="0" applyFont="1" applyBorder="1" applyAlignment="1" applyProtection="1">
      <alignment horizontal="center" vertical="center" wrapText="1"/>
      <protection hidden="1"/>
    </xf>
    <xf numFmtId="0" fontId="11" fillId="0" borderId="15" xfId="0" applyFont="1" applyBorder="1" applyAlignment="1" applyProtection="1">
      <alignment horizontal="center" vertical="center" wrapText="1"/>
      <protection hidden="1"/>
    </xf>
    <xf numFmtId="0" fontId="11" fillId="0" borderId="7" xfId="0" applyFont="1" applyBorder="1" applyAlignment="1" applyProtection="1">
      <alignment horizontal="center" vertical="center" wrapText="1"/>
      <protection hidden="1"/>
    </xf>
    <xf numFmtId="0" fontId="11" fillId="0" borderId="8" xfId="0" applyFont="1" applyBorder="1" applyAlignment="1" applyProtection="1">
      <alignment horizontal="center" vertical="center" wrapText="1"/>
      <protection hidden="1"/>
    </xf>
    <xf numFmtId="0" fontId="11" fillId="0" borderId="16" xfId="0" applyFont="1" applyBorder="1" applyAlignment="1" applyProtection="1">
      <alignment horizontal="center" vertical="center" wrapText="1"/>
      <protection hidden="1"/>
    </xf>
    <xf numFmtId="0" fontId="0" fillId="0" borderId="11" xfId="0" applyFont="1" applyBorder="1" applyAlignment="1" applyProtection="1">
      <alignment horizontal="center" vertical="center"/>
      <protection hidden="1"/>
    </xf>
    <xf numFmtId="0" fontId="0" fillId="0" borderId="14" xfId="0" applyFont="1" applyBorder="1" applyAlignment="1" applyProtection="1">
      <alignment horizontal="center" vertical="center"/>
      <protection hidden="1"/>
    </xf>
    <xf numFmtId="0" fontId="0" fillId="0" borderId="7" xfId="0" applyFont="1" applyBorder="1" applyAlignment="1" applyProtection="1">
      <alignment horizontal="center" vertical="center"/>
      <protection hidden="1"/>
    </xf>
    <xf numFmtId="0" fontId="11" fillId="0" borderId="3" xfId="0" applyFont="1" applyBorder="1" applyAlignment="1" applyProtection="1">
      <alignment horizontal="center"/>
      <protection hidden="1"/>
    </xf>
    <xf numFmtId="0" fontId="11" fillId="0" borderId="4" xfId="0" applyFont="1" applyBorder="1" applyAlignment="1" applyProtection="1">
      <alignment horizontal="center"/>
      <protection hidden="1"/>
    </xf>
    <xf numFmtId="0" fontId="11" fillId="0" borderId="5" xfId="0" applyFont="1" applyBorder="1" applyAlignment="1" applyProtection="1">
      <alignment horizontal="center"/>
      <protection hidden="1"/>
    </xf>
    <xf numFmtId="0" fontId="10" fillId="0" borderId="0" xfId="0" applyFont="1" applyAlignment="1" applyProtection="1">
      <alignment horizontal="center"/>
      <protection hidden="1"/>
    </xf>
    <xf numFmtId="0" fontId="11" fillId="0" borderId="2" xfId="0" applyFont="1" applyFill="1" applyBorder="1" applyAlignment="1" applyProtection="1">
      <alignment horizontal="center" vertical="distributed"/>
      <protection hidden="1"/>
    </xf>
    <xf numFmtId="0" fontId="11" fillId="0" borderId="3" xfId="0" applyFont="1" applyFill="1" applyBorder="1" applyAlignment="1" applyProtection="1">
      <alignment horizontal="center"/>
      <protection hidden="1"/>
    </xf>
    <xf numFmtId="0" fontId="11" fillId="0" borderId="5" xfId="0" applyFont="1" applyFill="1" applyBorder="1" applyAlignment="1" applyProtection="1">
      <alignment horizontal="center"/>
      <protection hidden="1"/>
    </xf>
    <xf numFmtId="0" fontId="10" fillId="0" borderId="2" xfId="0" applyFont="1" applyBorder="1" applyAlignment="1" applyProtection="1">
      <alignment horizontal="center" vertical="center"/>
      <protection hidden="1"/>
    </xf>
    <xf numFmtId="0" fontId="10" fillId="0" borderId="2" xfId="0" applyFont="1" applyBorder="1" applyAlignment="1" applyProtection="1">
      <alignment horizontal="left" vertical="distributed"/>
      <protection hidden="1"/>
    </xf>
    <xf numFmtId="0" fontId="10" fillId="0" borderId="2" xfId="0" applyFont="1" applyBorder="1" applyAlignment="1" applyProtection="1">
      <alignment horizontal="left"/>
      <protection hidden="1"/>
    </xf>
    <xf numFmtId="0" fontId="11" fillId="0" borderId="2" xfId="0" applyFont="1" applyBorder="1" applyAlignment="1" applyProtection="1">
      <alignment horizontal="center"/>
      <protection hidden="1"/>
    </xf>
    <xf numFmtId="0" fontId="10" fillId="0" borderId="2" xfId="0" applyFont="1" applyBorder="1" applyAlignment="1" applyProtection="1">
      <alignment horizontal="left" vertical="center" wrapText="1"/>
      <protection hidden="1"/>
    </xf>
    <xf numFmtId="0" fontId="10" fillId="0" borderId="6" xfId="0" applyFont="1" applyBorder="1" applyAlignment="1" applyProtection="1">
      <alignment horizontal="center" vertical="center"/>
      <protection hidden="1"/>
    </xf>
    <xf numFmtId="0" fontId="10" fillId="0" borderId="9" xfId="0" applyFont="1" applyBorder="1" applyAlignment="1" applyProtection="1">
      <alignment horizontal="center" vertical="center"/>
      <protection hidden="1"/>
    </xf>
    <xf numFmtId="0" fontId="10" fillId="0" borderId="10" xfId="0" applyFont="1" applyBorder="1" applyAlignment="1" applyProtection="1">
      <alignment horizontal="center" vertical="center"/>
      <protection hidden="1"/>
    </xf>
    <xf numFmtId="0" fontId="10" fillId="0" borderId="11" xfId="0" applyFont="1" applyBorder="1" applyAlignment="1" applyProtection="1">
      <alignment horizontal="left" vertical="center" wrapText="1"/>
      <protection hidden="1"/>
    </xf>
    <xf numFmtId="0" fontId="10" fillId="0" borderId="12" xfId="0" applyFont="1" applyBorder="1" applyAlignment="1" applyProtection="1">
      <alignment horizontal="left" vertical="center" wrapText="1"/>
      <protection hidden="1"/>
    </xf>
    <xf numFmtId="0" fontId="10" fillId="0" borderId="13" xfId="0" applyFont="1" applyBorder="1" applyAlignment="1" applyProtection="1">
      <alignment horizontal="left" vertical="center" wrapText="1"/>
      <protection hidden="1"/>
    </xf>
    <xf numFmtId="0" fontId="10" fillId="0" borderId="14" xfId="0" applyFont="1" applyBorder="1" applyAlignment="1" applyProtection="1">
      <alignment horizontal="left" vertical="center" wrapText="1"/>
      <protection hidden="1"/>
    </xf>
    <xf numFmtId="0" fontId="10" fillId="0" borderId="0" xfId="0" applyFont="1" applyBorder="1" applyAlignment="1" applyProtection="1">
      <alignment horizontal="left" vertical="center" wrapText="1"/>
      <protection hidden="1"/>
    </xf>
    <xf numFmtId="0" fontId="10" fillId="0" borderId="15" xfId="0" applyFont="1" applyBorder="1" applyAlignment="1" applyProtection="1">
      <alignment horizontal="left" vertical="center" wrapText="1"/>
      <protection hidden="1"/>
    </xf>
    <xf numFmtId="0" fontId="10" fillId="0" borderId="7" xfId="0" applyFont="1" applyBorder="1" applyAlignment="1" applyProtection="1">
      <alignment horizontal="left" vertical="center" wrapText="1"/>
      <protection hidden="1"/>
    </xf>
    <xf numFmtId="0" fontId="10" fillId="0" borderId="8" xfId="0" applyFont="1" applyBorder="1" applyAlignment="1" applyProtection="1">
      <alignment horizontal="left" vertical="center" wrapText="1"/>
      <protection hidden="1"/>
    </xf>
    <xf numFmtId="0" fontId="10" fillId="0" borderId="16" xfId="0" applyFont="1" applyBorder="1" applyAlignment="1" applyProtection="1">
      <alignment horizontal="left" vertical="center" wrapText="1"/>
      <protection hidden="1"/>
    </xf>
    <xf numFmtId="0" fontId="10" fillId="0" borderId="0" xfId="0" applyFont="1" applyFill="1" applyBorder="1" applyAlignment="1" applyProtection="1">
      <alignment horizontal="center"/>
      <protection hidden="1"/>
    </xf>
    <xf numFmtId="0" fontId="10" fillId="4" borderId="2" xfId="0" applyFont="1" applyFill="1" applyBorder="1" applyAlignment="1" applyProtection="1">
      <alignment horizontal="center"/>
      <protection hidden="1"/>
    </xf>
    <xf numFmtId="0" fontId="10" fillId="4" borderId="3" xfId="0" applyFont="1" applyFill="1" applyBorder="1" applyAlignment="1" applyProtection="1">
      <alignment horizontal="center" wrapText="1"/>
      <protection hidden="1"/>
    </xf>
    <xf numFmtId="0" fontId="10" fillId="4" borderId="5" xfId="0" applyFont="1" applyFill="1" applyBorder="1" applyAlignment="1" applyProtection="1">
      <alignment horizontal="center" wrapText="1"/>
      <protection hidden="1"/>
    </xf>
    <xf numFmtId="0" fontId="10" fillId="4" borderId="3" xfId="0" applyFont="1" applyFill="1" applyBorder="1" applyAlignment="1" applyProtection="1">
      <alignment horizontal="center" vertical="center"/>
      <protection hidden="1"/>
    </xf>
    <xf numFmtId="0" fontId="10" fillId="4" borderId="4" xfId="0" applyFont="1" applyFill="1" applyBorder="1" applyAlignment="1" applyProtection="1">
      <alignment horizontal="center" vertical="center"/>
      <protection hidden="1"/>
    </xf>
    <xf numFmtId="0" fontId="10" fillId="4" borderId="5" xfId="0" applyFont="1" applyFill="1" applyBorder="1" applyAlignment="1" applyProtection="1">
      <alignment horizontal="center" vertical="center"/>
      <protection hidden="1"/>
    </xf>
    <xf numFmtId="0" fontId="31" fillId="11" borderId="3" xfId="0" applyFont="1" applyFill="1" applyBorder="1" applyAlignment="1" applyProtection="1">
      <alignment horizontal="center" vertical="top" wrapText="1" shrinkToFit="1"/>
      <protection hidden="1"/>
    </xf>
    <xf numFmtId="0" fontId="31" fillId="11" borderId="4" xfId="0" applyFont="1" applyFill="1" applyBorder="1" applyAlignment="1" applyProtection="1">
      <alignment horizontal="center" vertical="top" wrapText="1" shrinkToFit="1"/>
      <protection hidden="1"/>
    </xf>
    <xf numFmtId="0" fontId="31" fillId="11" borderId="5" xfId="0" applyFont="1" applyFill="1" applyBorder="1" applyAlignment="1" applyProtection="1">
      <alignment horizontal="center" vertical="top" wrapText="1" shrinkToFit="1"/>
      <protection hidden="1"/>
    </xf>
    <xf numFmtId="0" fontId="31" fillId="6" borderId="3" xfId="0" applyFont="1" applyFill="1" applyBorder="1" applyAlignment="1" applyProtection="1">
      <alignment horizontal="center" vertical="top" wrapText="1" shrinkToFit="1"/>
      <protection hidden="1"/>
    </xf>
    <xf numFmtId="0" fontId="31" fillId="6" borderId="4" xfId="0" applyFont="1" applyFill="1" applyBorder="1" applyAlignment="1" applyProtection="1">
      <alignment horizontal="center" vertical="top" wrapText="1" shrinkToFit="1"/>
      <protection hidden="1"/>
    </xf>
    <xf numFmtId="0" fontId="31" fillId="6" borderId="5" xfId="0" applyFont="1" applyFill="1" applyBorder="1" applyAlignment="1" applyProtection="1">
      <alignment horizontal="center" vertical="top" wrapText="1" shrinkToFit="1"/>
      <protection hidden="1"/>
    </xf>
    <xf numFmtId="0" fontId="31" fillId="3" borderId="3" xfId="0" applyFont="1" applyFill="1" applyBorder="1" applyAlignment="1" applyProtection="1">
      <alignment horizontal="center" vertical="top" wrapText="1" shrinkToFit="1"/>
      <protection hidden="1"/>
    </xf>
    <xf numFmtId="0" fontId="31" fillId="3" borderId="4" xfId="0" applyFont="1" applyFill="1" applyBorder="1" applyAlignment="1" applyProtection="1">
      <alignment horizontal="center" vertical="top" wrapText="1" shrinkToFit="1"/>
      <protection hidden="1"/>
    </xf>
    <xf numFmtId="0" fontId="31" fillId="3" borderId="5" xfId="0" applyFont="1" applyFill="1" applyBorder="1" applyAlignment="1" applyProtection="1">
      <alignment horizontal="center" vertical="top" wrapText="1" shrinkToFit="1"/>
      <protection hidden="1"/>
    </xf>
    <xf numFmtId="0" fontId="31" fillId="21" borderId="6" xfId="0" applyFont="1" applyFill="1" applyBorder="1" applyAlignment="1" applyProtection="1">
      <alignment horizontal="left" vertical="top" wrapText="1"/>
      <protection hidden="1"/>
    </xf>
    <xf numFmtId="0" fontId="31" fillId="21" borderId="10" xfId="0" applyFont="1" applyFill="1" applyBorder="1" applyAlignment="1" applyProtection="1">
      <alignment horizontal="left" vertical="top" wrapText="1"/>
      <protection hidden="1"/>
    </xf>
    <xf numFmtId="0" fontId="31" fillId="21" borderId="6" xfId="0" applyFont="1" applyFill="1" applyBorder="1" applyAlignment="1" applyProtection="1">
      <alignment horizontal="center" vertical="top" wrapText="1"/>
      <protection hidden="1"/>
    </xf>
    <xf numFmtId="0" fontId="31" fillId="21" borderId="10" xfId="0" applyFont="1" applyFill="1" applyBorder="1" applyAlignment="1" applyProtection="1">
      <alignment horizontal="center" vertical="top" wrapText="1"/>
      <protection hidden="1"/>
    </xf>
    <xf numFmtId="0" fontId="39" fillId="10" borderId="0" xfId="2" applyFont="1" applyFill="1" applyBorder="1" applyAlignment="1" applyProtection="1">
      <alignment horizontal="center" vertical="center"/>
    </xf>
    <xf numFmtId="0" fontId="39" fillId="10" borderId="8" xfId="2" applyFont="1" applyFill="1" applyBorder="1" applyAlignment="1" applyProtection="1">
      <alignment horizontal="center" vertical="center"/>
    </xf>
    <xf numFmtId="0" fontId="38" fillId="6" borderId="11" xfId="0" applyFont="1" applyFill="1" applyBorder="1" applyAlignment="1">
      <alignment horizontal="center" vertical="center"/>
    </xf>
    <xf numFmtId="0" fontId="38" fillId="6" borderId="12" xfId="0" applyFont="1" applyFill="1" applyBorder="1" applyAlignment="1">
      <alignment horizontal="center" vertical="center"/>
    </xf>
    <xf numFmtId="0" fontId="38" fillId="6" borderId="13" xfId="0" applyFont="1" applyFill="1" applyBorder="1" applyAlignment="1">
      <alignment horizontal="center" vertical="center"/>
    </xf>
    <xf numFmtId="0" fontId="38" fillId="6" borderId="7" xfId="0" applyFont="1" applyFill="1" applyBorder="1" applyAlignment="1">
      <alignment horizontal="center" vertical="center"/>
    </xf>
    <xf numFmtId="0" fontId="38" fillId="6" borderId="8" xfId="0" applyFont="1" applyFill="1" applyBorder="1" applyAlignment="1">
      <alignment horizontal="center" vertical="center"/>
    </xf>
    <xf numFmtId="0" fontId="38" fillId="6" borderId="16" xfId="0" applyFont="1" applyFill="1" applyBorder="1" applyAlignment="1">
      <alignment horizontal="center" vertical="center"/>
    </xf>
    <xf numFmtId="0" fontId="3" fillId="4" borderId="6" xfId="0" applyFont="1" applyFill="1" applyBorder="1" applyAlignment="1" applyProtection="1">
      <alignment horizontal="center" vertical="top" wrapText="1"/>
    </xf>
    <xf numFmtId="0" fontId="3" fillId="4" borderId="10" xfId="0" applyFont="1" applyFill="1" applyBorder="1" applyAlignment="1" applyProtection="1">
      <alignment horizontal="center" vertical="top" wrapText="1"/>
    </xf>
    <xf numFmtId="0" fontId="3" fillId="5" borderId="2" xfId="0" applyFont="1" applyFill="1" applyBorder="1" applyAlignment="1" applyProtection="1">
      <alignment horizontal="center"/>
    </xf>
    <xf numFmtId="0" fontId="3" fillId="15" borderId="3" xfId="0" applyFont="1" applyFill="1" applyBorder="1" applyAlignment="1" applyProtection="1">
      <alignment horizontal="left" vertical="center"/>
      <protection hidden="1"/>
    </xf>
    <xf numFmtId="0" fontId="3" fillId="15" borderId="4" xfId="0" applyFont="1" applyFill="1" applyBorder="1" applyAlignment="1" applyProtection="1">
      <alignment horizontal="left" vertical="center"/>
      <protection hidden="1"/>
    </xf>
    <xf numFmtId="0" fontId="0" fillId="13" borderId="6" xfId="0" applyFill="1" applyBorder="1" applyAlignment="1">
      <alignment horizontal="center" vertical="center"/>
    </xf>
    <xf numFmtId="0" fontId="0" fillId="13" borderId="9" xfId="0" applyFill="1" applyBorder="1" applyAlignment="1">
      <alignment horizontal="center" vertical="center"/>
    </xf>
    <xf numFmtId="0" fontId="0" fillId="13" borderId="10" xfId="0" applyFill="1" applyBorder="1" applyAlignment="1">
      <alignment horizontal="center" vertical="center"/>
    </xf>
    <xf numFmtId="0" fontId="0" fillId="3" borderId="5" xfId="0" applyFill="1" applyBorder="1" applyAlignment="1" applyProtection="1">
      <alignment horizontal="center"/>
    </xf>
    <xf numFmtId="0" fontId="0" fillId="8" borderId="5" xfId="0" applyFill="1" applyBorder="1" applyAlignment="1" applyProtection="1">
      <alignment horizontal="center"/>
    </xf>
    <xf numFmtId="0" fontId="0" fillId="5" borderId="5" xfId="0" applyFill="1" applyBorder="1" applyAlignment="1" applyProtection="1">
      <alignment horizontal="center"/>
      <protection locked="0"/>
    </xf>
    <xf numFmtId="0" fontId="0" fillId="6" borderId="3" xfId="0" applyFill="1" applyBorder="1" applyAlignment="1" applyProtection="1">
      <alignment horizontal="center"/>
      <protection hidden="1"/>
    </xf>
    <xf numFmtId="0" fontId="0" fillId="6" borderId="4" xfId="0" applyFill="1" applyBorder="1" applyAlignment="1" applyProtection="1">
      <alignment horizontal="center"/>
      <protection hidden="1"/>
    </xf>
    <xf numFmtId="0" fontId="0" fillId="6" borderId="5" xfId="0" applyFill="1" applyBorder="1" applyAlignment="1" applyProtection="1">
      <alignment horizontal="center"/>
      <protection hidden="1"/>
    </xf>
    <xf numFmtId="0" fontId="0" fillId="10" borderId="3" xfId="0" applyFill="1" applyBorder="1" applyAlignment="1" applyProtection="1">
      <alignment horizontal="center"/>
      <protection hidden="1"/>
    </xf>
    <xf numFmtId="0" fontId="0" fillId="10" borderId="4" xfId="0" applyFill="1" applyBorder="1" applyAlignment="1" applyProtection="1">
      <alignment horizontal="center"/>
      <protection hidden="1"/>
    </xf>
    <xf numFmtId="0" fontId="0" fillId="10" borderId="5" xfId="0" applyFill="1" applyBorder="1" applyAlignment="1" applyProtection="1">
      <alignment horizontal="center"/>
      <protection hidden="1"/>
    </xf>
    <xf numFmtId="0" fontId="0" fillId="0" borderId="0" xfId="0" applyFill="1" applyBorder="1" applyAlignment="1" applyProtection="1">
      <alignment horizontal="left" vertical="center"/>
      <protection locked="0"/>
    </xf>
    <xf numFmtId="0" fontId="0" fillId="3" borderId="14" xfId="0" applyFill="1" applyBorder="1" applyAlignment="1" applyProtection="1">
      <alignment horizontal="center" textRotation="90"/>
      <protection hidden="1"/>
    </xf>
    <xf numFmtId="0" fontId="0" fillId="4" borderId="9" xfId="0" applyFill="1" applyBorder="1" applyAlignment="1">
      <alignment horizontal="center" textRotation="90"/>
    </xf>
    <xf numFmtId="0" fontId="0" fillId="4" borderId="10" xfId="0" applyFill="1" applyBorder="1" applyAlignment="1">
      <alignment horizontal="center" textRotation="90"/>
    </xf>
    <xf numFmtId="0" fontId="0" fillId="0" borderId="2" xfId="0" applyBorder="1" applyAlignment="1">
      <alignment horizontal="center" vertical="center"/>
    </xf>
    <xf numFmtId="0" fontId="0" fillId="6" borderId="3" xfId="0" applyFill="1" applyBorder="1" applyAlignment="1" applyProtection="1">
      <alignment horizontal="center"/>
      <protection locked="0"/>
    </xf>
    <xf numFmtId="0" fontId="0" fillId="6" borderId="4" xfId="0" applyFill="1" applyBorder="1" applyAlignment="1" applyProtection="1">
      <alignment horizontal="center"/>
      <protection locked="0"/>
    </xf>
    <xf numFmtId="0" fontId="0" fillId="6" borderId="5" xfId="0" applyFill="1" applyBorder="1" applyAlignment="1" applyProtection="1">
      <alignment horizontal="center"/>
      <protection locked="0"/>
    </xf>
    <xf numFmtId="0" fontId="0" fillId="26" borderId="3" xfId="0" applyFill="1" applyBorder="1" applyAlignment="1" applyProtection="1">
      <alignment horizontal="center"/>
      <protection hidden="1"/>
    </xf>
    <xf numFmtId="0" fontId="0" fillId="26" borderId="4" xfId="0" applyFill="1" applyBorder="1" applyAlignment="1" applyProtection="1">
      <alignment horizontal="center"/>
      <protection hidden="1"/>
    </xf>
    <xf numFmtId="0" fontId="0" fillId="26" borderId="5" xfId="0" applyFill="1" applyBorder="1" applyAlignment="1" applyProtection="1">
      <alignment horizontal="center"/>
      <protection hidden="1"/>
    </xf>
    <xf numFmtId="0" fontId="0" fillId="3" borderId="3" xfId="0" applyFill="1" applyBorder="1" applyAlignment="1" applyProtection="1">
      <alignment horizontal="center" vertical="center"/>
    </xf>
    <xf numFmtId="0" fontId="0" fillId="3" borderId="4" xfId="0" applyFill="1" applyBorder="1" applyAlignment="1" applyProtection="1">
      <alignment horizontal="center" vertical="center"/>
    </xf>
    <xf numFmtId="0" fontId="0" fillId="3" borderId="5" xfId="0" applyFill="1" applyBorder="1" applyAlignment="1" applyProtection="1">
      <alignment horizontal="center" vertical="center"/>
    </xf>
    <xf numFmtId="0" fontId="0" fillId="8" borderId="3" xfId="0" applyFill="1" applyBorder="1" applyAlignment="1" applyProtection="1">
      <alignment horizontal="center" vertical="center"/>
    </xf>
    <xf numFmtId="0" fontId="0" fillId="8" borderId="4" xfId="0" applyFill="1" applyBorder="1" applyAlignment="1" applyProtection="1">
      <alignment horizontal="center" vertical="center"/>
    </xf>
    <xf numFmtId="0" fontId="0" fillId="8" borderId="5" xfId="0" applyFill="1" applyBorder="1" applyAlignment="1" applyProtection="1">
      <alignment horizontal="center" vertical="center"/>
    </xf>
    <xf numFmtId="0" fontId="0" fillId="4" borderId="3" xfId="0" applyFill="1" applyBorder="1" applyAlignment="1" applyProtection="1">
      <alignment horizontal="center"/>
      <protection hidden="1"/>
    </xf>
    <xf numFmtId="0" fontId="0" fillId="4" borderId="4" xfId="0" applyFill="1" applyBorder="1" applyAlignment="1" applyProtection="1">
      <alignment horizontal="center"/>
      <protection hidden="1"/>
    </xf>
    <xf numFmtId="0" fontId="0" fillId="4" borderId="5" xfId="0" applyFill="1" applyBorder="1" applyAlignment="1" applyProtection="1">
      <alignment horizontal="center"/>
      <protection hidden="1"/>
    </xf>
    <xf numFmtId="0" fontId="0" fillId="5" borderId="2" xfId="0" applyFill="1" applyBorder="1" applyAlignment="1">
      <alignment horizontal="center"/>
    </xf>
    <xf numFmtId="0" fontId="0" fillId="6" borderId="2" xfId="0" applyFill="1" applyBorder="1" applyAlignment="1">
      <alignment horizontal="center"/>
    </xf>
    <xf numFmtId="0" fontId="0" fillId="0" borderId="3" xfId="0" applyFill="1" applyBorder="1" applyAlignment="1" applyProtection="1">
      <alignment horizontal="center"/>
      <protection hidden="1"/>
    </xf>
    <xf numFmtId="0" fontId="0" fillId="0" borderId="4" xfId="0" applyFill="1" applyBorder="1" applyAlignment="1" applyProtection="1">
      <alignment horizontal="center"/>
      <protection hidden="1"/>
    </xf>
    <xf numFmtId="0" fontId="0" fillId="0" borderId="5" xfId="0" applyFill="1" applyBorder="1" applyAlignment="1" applyProtection="1">
      <alignment horizontal="center"/>
      <protection hidden="1"/>
    </xf>
    <xf numFmtId="0" fontId="0" fillId="3" borderId="13" xfId="0" applyFill="1" applyBorder="1" applyAlignment="1" applyProtection="1">
      <alignment horizontal="center"/>
      <protection hidden="1"/>
    </xf>
    <xf numFmtId="0" fontId="3" fillId="0" borderId="8" xfId="0" applyFont="1" applyFill="1" applyBorder="1" applyAlignment="1">
      <alignment horizontal="center" vertical="center"/>
    </xf>
    <xf numFmtId="164" fontId="0" fillId="3" borderId="3" xfId="0" applyNumberFormat="1" applyFill="1" applyBorder="1" applyAlignment="1">
      <alignment horizontal="center"/>
    </xf>
    <xf numFmtId="164" fontId="0" fillId="3" borderId="4" xfId="0" applyNumberFormat="1" applyFill="1" applyBorder="1" applyAlignment="1">
      <alignment horizontal="center"/>
    </xf>
    <xf numFmtId="164" fontId="0" fillId="3" borderId="5" xfId="0" applyNumberFormat="1" applyFill="1" applyBorder="1" applyAlignment="1">
      <alignment horizontal="center"/>
    </xf>
    <xf numFmtId="164" fontId="0" fillId="11" borderId="3" xfId="0" applyNumberFormat="1" applyFill="1" applyBorder="1" applyAlignment="1" applyProtection="1">
      <alignment horizontal="center"/>
      <protection locked="0"/>
    </xf>
    <xf numFmtId="164" fontId="0" fillId="11" borderId="4" xfId="0" applyNumberFormat="1" applyFill="1" applyBorder="1" applyAlignment="1" applyProtection="1">
      <alignment horizontal="center"/>
      <protection locked="0"/>
    </xf>
    <xf numFmtId="164" fontId="0" fillId="4" borderId="3" xfId="0" applyNumberFormat="1" applyFill="1" applyBorder="1" applyAlignment="1">
      <alignment horizontal="center"/>
    </xf>
    <xf numFmtId="164" fontId="0" fillId="4" borderId="4" xfId="0" applyNumberFormat="1" applyFill="1" applyBorder="1" applyAlignment="1">
      <alignment horizontal="center"/>
    </xf>
    <xf numFmtId="164" fontId="0" fillId="4" borderId="5" xfId="0" applyNumberFormat="1" applyFill="1" applyBorder="1" applyAlignment="1">
      <alignment horizontal="center"/>
    </xf>
    <xf numFmtId="164" fontId="0" fillId="8" borderId="2" xfId="0" applyNumberFormat="1" applyFill="1" applyBorder="1" applyAlignment="1">
      <alignment horizontal="center"/>
    </xf>
    <xf numFmtId="0" fontId="0" fillId="11" borderId="6" xfId="0" applyFill="1" applyBorder="1" applyAlignment="1">
      <alignment horizontal="center"/>
    </xf>
    <xf numFmtId="0" fontId="0" fillId="11" borderId="10" xfId="0" applyFill="1" applyBorder="1" applyAlignment="1">
      <alignment horizontal="center"/>
    </xf>
    <xf numFmtId="164" fontId="0" fillId="3" borderId="3" xfId="0" applyNumberFormat="1" applyFill="1" applyBorder="1" applyAlignment="1" applyProtection="1">
      <alignment horizontal="center"/>
      <protection hidden="1"/>
    </xf>
    <xf numFmtId="164" fontId="0" fillId="3" borderId="4" xfId="0" applyNumberFormat="1" applyFill="1" applyBorder="1" applyAlignment="1" applyProtection="1">
      <alignment horizontal="center"/>
      <protection hidden="1"/>
    </xf>
    <xf numFmtId="164" fontId="0" fillId="3" borderId="5" xfId="0" applyNumberFormat="1" applyFill="1" applyBorder="1" applyAlignment="1" applyProtection="1">
      <alignment horizontal="center"/>
      <protection hidden="1"/>
    </xf>
    <xf numFmtId="0" fontId="0" fillId="11" borderId="2" xfId="0" applyFill="1" applyBorder="1" applyAlignment="1">
      <alignment horizontal="center"/>
    </xf>
    <xf numFmtId="0" fontId="0" fillId="0" borderId="10" xfId="0" applyBorder="1" applyAlignment="1">
      <alignment horizontal="center" textRotation="90"/>
    </xf>
    <xf numFmtId="0" fontId="0" fillId="0" borderId="0" xfId="0" applyAlignment="1">
      <alignment horizontal="center" vertical="center"/>
    </xf>
    <xf numFmtId="0" fontId="42" fillId="4" borderId="6" xfId="0" applyFont="1" applyFill="1" applyBorder="1" applyAlignment="1" applyProtection="1">
      <alignment horizontal="center" vertical="center" wrapText="1"/>
      <protection hidden="1"/>
    </xf>
    <xf numFmtId="0" fontId="42" fillId="4" borderId="9" xfId="0" applyFont="1" applyFill="1" applyBorder="1" applyAlignment="1" applyProtection="1">
      <alignment horizontal="center" vertical="center" wrapText="1"/>
      <protection hidden="1"/>
    </xf>
    <xf numFmtId="0" fontId="0" fillId="3" borderId="11" xfId="0" applyFill="1" applyBorder="1" applyAlignment="1" applyProtection="1">
      <alignment horizontal="center"/>
      <protection hidden="1"/>
    </xf>
    <xf numFmtId="0" fontId="0" fillId="3" borderId="12" xfId="0" applyFill="1" applyBorder="1" applyAlignment="1" applyProtection="1">
      <alignment horizontal="center"/>
      <protection hidden="1"/>
    </xf>
    <xf numFmtId="0" fontId="0" fillId="23" borderId="3" xfId="0" applyFill="1" applyBorder="1" applyAlignment="1">
      <alignment horizontal="center"/>
    </xf>
    <xf numFmtId="0" fontId="0" fillId="23" borderId="4" xfId="0" applyFill="1" applyBorder="1" applyAlignment="1">
      <alignment horizontal="center"/>
    </xf>
    <xf numFmtId="0" fontId="0" fillId="0" borderId="0" xfId="0" applyBorder="1" applyAlignment="1">
      <alignment horizontal="left"/>
    </xf>
    <xf numFmtId="0" fontId="0" fillId="0" borderId="7" xfId="0" applyBorder="1" applyAlignment="1" applyProtection="1">
      <alignment horizontal="center"/>
      <protection locked="0"/>
    </xf>
    <xf numFmtId="0" fontId="0" fillId="3" borderId="9" xfId="0" applyFill="1" applyBorder="1" applyAlignment="1">
      <alignment horizontal="center" textRotation="90"/>
    </xf>
    <xf numFmtId="0" fontId="3" fillId="3" borderId="0" xfId="0" applyFont="1" applyFill="1" applyAlignment="1" applyProtection="1">
      <alignment horizontal="center"/>
    </xf>
    <xf numFmtId="0" fontId="0" fillId="5" borderId="3" xfId="0" applyFill="1" applyBorder="1" applyAlignment="1">
      <alignment horizontal="center"/>
    </xf>
    <xf numFmtId="0" fontId="0" fillId="5" borderId="4" xfId="0" applyFill="1" applyBorder="1" applyAlignment="1">
      <alignment horizontal="center"/>
    </xf>
    <xf numFmtId="0" fontId="0" fillId="5" borderId="5" xfId="0" applyFill="1" applyBorder="1" applyAlignment="1">
      <alignment horizontal="center"/>
    </xf>
    <xf numFmtId="0" fontId="0" fillId="13" borderId="3" xfId="0" applyFill="1" applyBorder="1" applyAlignment="1" applyProtection="1">
      <alignment horizontal="center"/>
      <protection hidden="1"/>
    </xf>
    <xf numFmtId="0" fontId="0" fillId="13" borderId="4" xfId="0" applyFill="1" applyBorder="1" applyAlignment="1" applyProtection="1">
      <alignment horizontal="center"/>
      <protection hidden="1"/>
    </xf>
    <xf numFmtId="0" fontId="0" fillId="13" borderId="5" xfId="0" applyFill="1" applyBorder="1" applyAlignment="1" applyProtection="1">
      <alignment horizontal="center"/>
      <protection hidden="1"/>
    </xf>
    <xf numFmtId="16" fontId="3" fillId="0" borderId="0" xfId="0" applyNumberFormat="1" applyFont="1" applyBorder="1" applyAlignment="1" applyProtection="1">
      <alignment horizontal="left" vertical="center"/>
      <protection hidden="1"/>
    </xf>
    <xf numFmtId="0" fontId="0" fillId="0" borderId="11" xfId="0" applyBorder="1" applyAlignment="1" applyProtection="1">
      <alignment horizontal="center" vertical="center"/>
      <protection hidden="1"/>
    </xf>
    <xf numFmtId="0" fontId="0" fillId="0" borderId="13" xfId="0" applyBorder="1" applyAlignment="1" applyProtection="1">
      <alignment horizontal="center" vertical="center"/>
      <protection hidden="1"/>
    </xf>
    <xf numFmtId="0" fontId="0" fillId="0" borderId="3" xfId="0" applyBorder="1" applyAlignment="1" applyProtection="1">
      <alignment horizontal="center" vertical="center"/>
      <protection hidden="1"/>
    </xf>
    <xf numFmtId="0" fontId="0" fillId="0" borderId="5" xfId="0" applyBorder="1" applyAlignment="1" applyProtection="1">
      <alignment horizontal="center" vertical="center"/>
      <protection hidden="1"/>
    </xf>
    <xf numFmtId="0" fontId="0" fillId="0" borderId="4" xfId="0" applyBorder="1" applyAlignment="1" applyProtection="1">
      <alignment horizontal="left" vertical="center" wrapText="1"/>
      <protection hidden="1"/>
    </xf>
    <xf numFmtId="0" fontId="0" fillId="0" borderId="5" xfId="0" applyBorder="1" applyAlignment="1" applyProtection="1">
      <alignment horizontal="left" vertical="center" wrapText="1"/>
      <protection hidden="1"/>
    </xf>
    <xf numFmtId="0" fontId="0" fillId="0" borderId="12" xfId="0" applyBorder="1" applyAlignment="1" applyProtection="1">
      <alignment horizontal="left" vertical="top" wrapText="1"/>
      <protection hidden="1"/>
    </xf>
    <xf numFmtId="0" fontId="0" fillId="0" borderId="13" xfId="0" applyBorder="1" applyAlignment="1" applyProtection="1">
      <alignment horizontal="left" vertical="top" wrapText="1"/>
      <protection hidden="1"/>
    </xf>
    <xf numFmtId="0" fontId="0" fillId="0" borderId="0" xfId="0" applyBorder="1" applyAlignment="1" applyProtection="1">
      <alignment horizontal="left" vertical="top" wrapText="1"/>
      <protection hidden="1"/>
    </xf>
    <xf numFmtId="0" fontId="0" fillId="0" borderId="15" xfId="0" applyBorder="1" applyAlignment="1" applyProtection="1">
      <alignment horizontal="left" vertical="top" wrapText="1"/>
      <protection hidden="1"/>
    </xf>
    <xf numFmtId="0" fontId="0" fillId="0" borderId="8" xfId="0" applyBorder="1" applyAlignment="1" applyProtection="1">
      <alignment horizontal="left" vertical="top" wrapText="1"/>
      <protection hidden="1"/>
    </xf>
    <xf numFmtId="0" fontId="0" fillId="0" borderId="16" xfId="0" applyBorder="1" applyAlignment="1" applyProtection="1">
      <alignment horizontal="left" vertical="top" wrapText="1"/>
      <protection hidden="1"/>
    </xf>
    <xf numFmtId="0" fontId="0" fillId="0" borderId="0" xfId="0" applyAlignment="1" applyProtection="1">
      <alignment horizontal="center"/>
      <protection hidden="1"/>
    </xf>
    <xf numFmtId="0" fontId="0" fillId="0" borderId="3" xfId="0" applyBorder="1" applyAlignment="1" applyProtection="1">
      <alignment horizontal="left"/>
      <protection hidden="1"/>
    </xf>
    <xf numFmtId="0" fontId="0" fillId="0" borderId="4" xfId="0" applyBorder="1" applyAlignment="1" applyProtection="1">
      <alignment horizontal="left"/>
      <protection hidden="1"/>
    </xf>
    <xf numFmtId="0" fontId="0" fillId="0" borderId="5" xfId="0" applyBorder="1" applyAlignment="1" applyProtection="1">
      <alignment horizontal="left"/>
      <protection hidden="1"/>
    </xf>
    <xf numFmtId="0" fontId="3" fillId="0" borderId="3" xfId="0" applyFont="1" applyBorder="1" applyAlignment="1" applyProtection="1">
      <alignment horizontal="center"/>
      <protection hidden="1"/>
    </xf>
    <xf numFmtId="0" fontId="3" fillId="0" borderId="4" xfId="0" applyFont="1" applyBorder="1" applyAlignment="1" applyProtection="1">
      <alignment horizontal="center"/>
      <protection hidden="1"/>
    </xf>
    <xf numFmtId="0" fontId="3" fillId="0" borderId="5" xfId="0" applyFont="1" applyBorder="1" applyAlignment="1" applyProtection="1">
      <alignment horizontal="center"/>
      <protection hidden="1"/>
    </xf>
    <xf numFmtId="0" fontId="0" fillId="0" borderId="11" xfId="0" applyBorder="1" applyAlignment="1" applyProtection="1">
      <alignment horizontal="left" vertical="top"/>
      <protection hidden="1"/>
    </xf>
    <xf numFmtId="0" fontId="0" fillId="0" borderId="12" xfId="0" applyBorder="1" applyAlignment="1" applyProtection="1">
      <alignment horizontal="left" vertical="top"/>
      <protection hidden="1"/>
    </xf>
    <xf numFmtId="0" fontId="0" fillId="0" borderId="13" xfId="0" applyBorder="1" applyAlignment="1" applyProtection="1">
      <alignment horizontal="left" vertical="top"/>
      <protection hidden="1"/>
    </xf>
    <xf numFmtId="0" fontId="0" fillId="0" borderId="3" xfId="0" applyBorder="1" applyAlignment="1" applyProtection="1">
      <alignment horizontal="left" vertical="top"/>
      <protection hidden="1"/>
    </xf>
    <xf numFmtId="0" fontId="0" fillId="0" borderId="4" xfId="0" applyBorder="1" applyAlignment="1" applyProtection="1">
      <alignment horizontal="left" vertical="top"/>
      <protection hidden="1"/>
    </xf>
    <xf numFmtId="0" fontId="0" fillId="0" borderId="5" xfId="0" applyBorder="1" applyAlignment="1" applyProtection="1">
      <alignment horizontal="left" vertical="top"/>
      <protection hidden="1"/>
    </xf>
    <xf numFmtId="0" fontId="47" fillId="0" borderId="3" xfId="0" applyFont="1" applyBorder="1" applyAlignment="1" applyProtection="1">
      <alignment horizontal="center" vertical="center"/>
      <protection hidden="1"/>
    </xf>
    <xf numFmtId="0" fontId="47" fillId="0" borderId="5" xfId="0" applyFont="1" applyBorder="1" applyAlignment="1" applyProtection="1">
      <alignment horizontal="center" vertical="center"/>
      <protection hidden="1"/>
    </xf>
    <xf numFmtId="0" fontId="0" fillId="0" borderId="2" xfId="0" applyBorder="1" applyAlignment="1" applyProtection="1">
      <alignment horizontal="center"/>
      <protection hidden="1"/>
    </xf>
    <xf numFmtId="0" fontId="47" fillId="0" borderId="3" xfId="0" applyFont="1" applyBorder="1" applyAlignment="1" applyProtection="1">
      <alignment horizontal="center" vertical="center" wrapText="1"/>
      <protection hidden="1"/>
    </xf>
    <xf numFmtId="0" fontId="47" fillId="0" borderId="5" xfId="0" applyFont="1" applyBorder="1" applyAlignment="1" applyProtection="1">
      <alignment horizontal="center" vertical="center" wrapText="1"/>
      <protection hidden="1"/>
    </xf>
    <xf numFmtId="0" fontId="6" fillId="0" borderId="11" xfId="0" applyFont="1" applyBorder="1" applyAlignment="1" applyProtection="1">
      <alignment horizontal="justify" vertical="top" wrapText="1"/>
      <protection hidden="1"/>
    </xf>
    <xf numFmtId="0" fontId="6" fillId="0" borderId="12" xfId="0" applyFont="1" applyBorder="1" applyAlignment="1" applyProtection="1">
      <alignment horizontal="justify" vertical="top" wrapText="1"/>
      <protection hidden="1"/>
    </xf>
    <xf numFmtId="0" fontId="6" fillId="0" borderId="13" xfId="0" applyFont="1" applyBorder="1" applyAlignment="1" applyProtection="1">
      <alignment horizontal="justify" vertical="top" wrapText="1"/>
      <protection hidden="1"/>
    </xf>
    <xf numFmtId="0" fontId="6" fillId="0" borderId="14" xfId="0" applyFont="1" applyBorder="1" applyAlignment="1" applyProtection="1">
      <alignment horizontal="justify" vertical="top" wrapText="1"/>
      <protection hidden="1"/>
    </xf>
    <xf numFmtId="0" fontId="6" fillId="0" borderId="0" xfId="0" applyFont="1" applyBorder="1" applyAlignment="1" applyProtection="1">
      <alignment horizontal="justify" vertical="top" wrapText="1"/>
      <protection hidden="1"/>
    </xf>
    <xf numFmtId="0" fontId="6" fillId="0" borderId="15" xfId="0" applyFont="1" applyBorder="1" applyAlignment="1" applyProtection="1">
      <alignment horizontal="justify" vertical="top" wrapText="1"/>
      <protection hidden="1"/>
    </xf>
    <xf numFmtId="0" fontId="6" fillId="0" borderId="7" xfId="0" applyFont="1" applyBorder="1" applyAlignment="1" applyProtection="1">
      <alignment horizontal="justify" vertical="top" wrapText="1"/>
      <protection hidden="1"/>
    </xf>
    <xf numFmtId="0" fontId="6" fillId="0" borderId="8" xfId="0" applyFont="1" applyBorder="1" applyAlignment="1" applyProtection="1">
      <alignment horizontal="justify" vertical="top" wrapText="1"/>
      <protection hidden="1"/>
    </xf>
    <xf numFmtId="0" fontId="6" fillId="0" borderId="16" xfId="0" applyFont="1" applyBorder="1" applyAlignment="1" applyProtection="1">
      <alignment horizontal="justify" vertical="top" wrapText="1"/>
      <protection hidden="1"/>
    </xf>
    <xf numFmtId="0" fontId="6" fillId="0" borderId="11" xfId="0" applyFont="1" applyBorder="1" applyAlignment="1" applyProtection="1">
      <alignment horizontal="justify" vertical="center" wrapText="1"/>
      <protection hidden="1"/>
    </xf>
    <xf numFmtId="0" fontId="6" fillId="0" borderId="12" xfId="0" applyFont="1" applyBorder="1" applyAlignment="1" applyProtection="1">
      <alignment horizontal="justify" vertical="center" wrapText="1"/>
      <protection hidden="1"/>
    </xf>
    <xf numFmtId="0" fontId="6" fillId="0" borderId="13" xfId="0" applyFont="1" applyBorder="1" applyAlignment="1" applyProtection="1">
      <alignment horizontal="justify" vertical="center" wrapText="1"/>
      <protection hidden="1"/>
    </xf>
    <xf numFmtId="0" fontId="47" fillId="0" borderId="4" xfId="0" applyFont="1" applyBorder="1" applyAlignment="1" applyProtection="1">
      <alignment horizontal="center" vertical="center"/>
      <protection hidden="1"/>
    </xf>
    <xf numFmtId="0" fontId="6" fillId="0" borderId="3" xfId="0" applyFont="1" applyBorder="1" applyAlignment="1" applyProtection="1">
      <alignment horizontal="justify" vertical="center" wrapText="1"/>
      <protection hidden="1"/>
    </xf>
    <xf numFmtId="0" fontId="6" fillId="0" borderId="4" xfId="0" applyFont="1" applyBorder="1" applyAlignment="1" applyProtection="1">
      <alignment horizontal="justify" vertical="center" wrapText="1"/>
      <protection hidden="1"/>
    </xf>
    <xf numFmtId="0" fontId="6" fillId="0" borderId="5" xfId="0" applyFont="1" applyBorder="1" applyAlignment="1" applyProtection="1">
      <alignment horizontal="justify" vertical="center" wrapText="1"/>
      <protection hidden="1"/>
    </xf>
    <xf numFmtId="0" fontId="3" fillId="0" borderId="11" xfId="0" applyFont="1" applyBorder="1" applyAlignment="1" applyProtection="1">
      <alignment horizontal="center"/>
      <protection hidden="1"/>
    </xf>
    <xf numFmtId="0" fontId="3" fillId="0" borderId="12" xfId="0" applyFont="1" applyBorder="1" applyAlignment="1" applyProtection="1">
      <alignment horizontal="center"/>
      <protection hidden="1"/>
    </xf>
    <xf numFmtId="0" fontId="3" fillId="0" borderId="13" xfId="0" applyFont="1" applyBorder="1" applyAlignment="1" applyProtection="1">
      <alignment horizontal="center"/>
      <protection hidden="1"/>
    </xf>
    <xf numFmtId="0" fontId="4" fillId="0" borderId="0" xfId="0" applyFont="1" applyAlignment="1" applyProtection="1">
      <alignment horizontal="center"/>
      <protection hidden="1"/>
    </xf>
    <xf numFmtId="0" fontId="47" fillId="0" borderId="3" xfId="0" applyFont="1" applyBorder="1" applyAlignment="1" applyProtection="1">
      <alignment horizontal="center"/>
      <protection hidden="1"/>
    </xf>
    <xf numFmtId="0" fontId="47" fillId="0" borderId="4" xfId="0" applyFont="1" applyBorder="1" applyAlignment="1" applyProtection="1">
      <alignment horizontal="center"/>
      <protection hidden="1"/>
    </xf>
    <xf numFmtId="0" fontId="47" fillId="0" borderId="5" xfId="0" applyFont="1" applyBorder="1" applyAlignment="1" applyProtection="1">
      <alignment horizontal="center"/>
      <protection hidden="1"/>
    </xf>
    <xf numFmtId="0" fontId="47" fillId="0" borderId="11" xfId="0" applyFont="1" applyBorder="1" applyAlignment="1" applyProtection="1">
      <alignment horizontal="center" vertical="center" wrapText="1"/>
      <protection hidden="1"/>
    </xf>
    <xf numFmtId="0" fontId="47" fillId="0" borderId="7" xfId="0" applyFont="1" applyBorder="1" applyAlignment="1" applyProtection="1">
      <alignment horizontal="center" vertical="center" wrapText="1"/>
      <protection hidden="1"/>
    </xf>
    <xf numFmtId="0" fontId="47" fillId="0" borderId="12" xfId="0" applyFont="1" applyBorder="1" applyAlignment="1" applyProtection="1">
      <alignment horizontal="center" vertical="center" wrapText="1"/>
      <protection hidden="1"/>
    </xf>
    <xf numFmtId="0" fontId="47" fillId="0" borderId="13" xfId="0" applyFont="1" applyBorder="1" applyAlignment="1" applyProtection="1">
      <alignment horizontal="center" vertical="center" wrapText="1"/>
      <protection hidden="1"/>
    </xf>
    <xf numFmtId="0" fontId="47" fillId="0" borderId="8" xfId="0" applyFont="1" applyBorder="1" applyAlignment="1" applyProtection="1">
      <alignment horizontal="center" vertical="center" wrapText="1"/>
      <protection hidden="1"/>
    </xf>
    <xf numFmtId="0" fontId="47" fillId="0" borderId="16" xfId="0" applyFont="1" applyBorder="1" applyAlignment="1" applyProtection="1">
      <alignment horizontal="center" vertical="center" wrapText="1"/>
      <protection hidden="1"/>
    </xf>
    <xf numFmtId="0" fontId="47" fillId="0" borderId="2" xfId="0" applyFont="1" applyBorder="1" applyAlignment="1" applyProtection="1">
      <alignment horizontal="center" wrapText="1"/>
      <protection hidden="1"/>
    </xf>
    <xf numFmtId="0" fontId="47" fillId="0" borderId="4" xfId="0" applyFont="1" applyBorder="1" applyAlignment="1" applyProtection="1">
      <alignment horizontal="center" vertical="center" wrapText="1"/>
      <protection hidden="1"/>
    </xf>
    <xf numFmtId="0" fontId="0" fillId="0" borderId="11" xfId="0" applyBorder="1" applyAlignment="1" applyProtection="1">
      <alignment horizontal="left" vertical="center" wrapText="1"/>
      <protection hidden="1"/>
    </xf>
    <xf numFmtId="0" fontId="0" fillId="0" borderId="12" xfId="0" applyBorder="1" applyAlignment="1" applyProtection="1">
      <alignment horizontal="left" vertical="center" wrapText="1"/>
      <protection hidden="1"/>
    </xf>
    <xf numFmtId="0" fontId="0" fillId="0" borderId="13" xfId="0" applyBorder="1" applyAlignment="1" applyProtection="1">
      <alignment horizontal="left" vertical="center" wrapText="1"/>
      <protection hidden="1"/>
    </xf>
    <xf numFmtId="0" fontId="0" fillId="0" borderId="11" xfId="0" applyBorder="1" applyAlignment="1" applyProtection="1">
      <alignment horizontal="left" vertical="center"/>
      <protection hidden="1"/>
    </xf>
    <xf numFmtId="0" fontId="0" fillId="0" borderId="12" xfId="0" applyBorder="1" applyAlignment="1" applyProtection="1">
      <alignment horizontal="left" vertical="center"/>
      <protection hidden="1"/>
    </xf>
    <xf numFmtId="0" fontId="0" fillId="0" borderId="13" xfId="0" applyBorder="1" applyAlignment="1" applyProtection="1">
      <alignment horizontal="left" vertical="center"/>
      <protection hidden="1"/>
    </xf>
    <xf numFmtId="0" fontId="0" fillId="0" borderId="14" xfId="0" applyBorder="1" applyAlignment="1" applyProtection="1">
      <alignment horizontal="left" vertical="center"/>
      <protection hidden="1"/>
    </xf>
    <xf numFmtId="0" fontId="0" fillId="0" borderId="0" xfId="0" applyBorder="1" applyAlignment="1" applyProtection="1">
      <alignment horizontal="left" vertical="center"/>
      <protection hidden="1"/>
    </xf>
    <xf numFmtId="0" fontId="0" fillId="0" borderId="15" xfId="0" applyBorder="1" applyAlignment="1" applyProtection="1">
      <alignment horizontal="left" vertical="center"/>
      <protection hidden="1"/>
    </xf>
    <xf numFmtId="0" fontId="0" fillId="0" borderId="7" xfId="0" applyBorder="1" applyAlignment="1" applyProtection="1">
      <alignment horizontal="left" vertical="center"/>
      <protection hidden="1"/>
    </xf>
    <xf numFmtId="0" fontId="0" fillId="0" borderId="8" xfId="0" applyBorder="1" applyAlignment="1" applyProtection="1">
      <alignment horizontal="left" vertical="center"/>
      <protection hidden="1"/>
    </xf>
    <xf numFmtId="0" fontId="0" fillId="0" borderId="16" xfId="0" applyBorder="1" applyAlignment="1" applyProtection="1">
      <alignment horizontal="left" vertical="center"/>
      <protection hidden="1"/>
    </xf>
    <xf numFmtId="0" fontId="0" fillId="0" borderId="6" xfId="0" applyBorder="1" applyAlignment="1" applyProtection="1">
      <alignment horizontal="center" vertical="center"/>
      <protection hidden="1"/>
    </xf>
    <xf numFmtId="0" fontId="0" fillId="0" borderId="9" xfId="0" applyBorder="1" applyAlignment="1" applyProtection="1">
      <alignment horizontal="center" vertical="center"/>
      <protection hidden="1"/>
    </xf>
    <xf numFmtId="0" fontId="0" fillId="0" borderId="10" xfId="0" applyBorder="1" applyAlignment="1" applyProtection="1">
      <alignment horizontal="center" vertical="center"/>
      <protection hidden="1"/>
    </xf>
    <xf numFmtId="0" fontId="6" fillId="0" borderId="11" xfId="0" applyFont="1" applyBorder="1" applyAlignment="1" applyProtection="1">
      <alignment horizontal="left" vertical="center" wrapText="1"/>
      <protection hidden="1"/>
    </xf>
    <xf numFmtId="0" fontId="6" fillId="0" borderId="12" xfId="0" applyFont="1" applyBorder="1" applyAlignment="1" applyProtection="1">
      <alignment horizontal="left" vertical="center" wrapText="1"/>
      <protection hidden="1"/>
    </xf>
    <xf numFmtId="0" fontId="6" fillId="0" borderId="13" xfId="0" applyFont="1" applyBorder="1" applyAlignment="1" applyProtection="1">
      <alignment horizontal="left" vertical="center" wrapText="1"/>
      <protection hidden="1"/>
    </xf>
    <xf numFmtId="0" fontId="0" fillId="0" borderId="3" xfId="0" applyBorder="1" applyAlignment="1" applyProtection="1">
      <alignment horizontal="left" vertical="center" wrapText="1"/>
      <protection hidden="1"/>
    </xf>
    <xf numFmtId="0" fontId="3" fillId="0" borderId="3" xfId="0" applyFont="1" applyBorder="1" applyAlignment="1" applyProtection="1">
      <alignment horizontal="left" wrapText="1"/>
      <protection hidden="1"/>
    </xf>
    <xf numFmtId="0" fontId="3" fillId="0" borderId="4" xfId="0" applyFont="1" applyBorder="1" applyAlignment="1" applyProtection="1">
      <alignment horizontal="left" wrapText="1"/>
      <protection hidden="1"/>
    </xf>
    <xf numFmtId="0" fontId="3" fillId="0" borderId="5" xfId="0" applyFont="1" applyBorder="1" applyAlignment="1" applyProtection="1">
      <alignment horizontal="left" wrapText="1"/>
      <protection hidden="1"/>
    </xf>
    <xf numFmtId="0" fontId="3" fillId="0" borderId="2" xfId="0" applyFont="1" applyBorder="1" applyAlignment="1" applyProtection="1">
      <alignment horizontal="center"/>
      <protection hidden="1"/>
    </xf>
    <xf numFmtId="0" fontId="0" fillId="0" borderId="11" xfId="0" applyBorder="1" applyAlignment="1" applyProtection="1">
      <alignment horizontal="center" vertical="center" wrapText="1"/>
      <protection hidden="1"/>
    </xf>
    <xf numFmtId="0" fontId="0" fillId="0" borderId="12" xfId="0" applyBorder="1" applyAlignment="1" applyProtection="1">
      <alignment horizontal="center" vertical="center" wrapText="1"/>
      <protection hidden="1"/>
    </xf>
    <xf numFmtId="0" fontId="0" fillId="0" borderId="13" xfId="0" applyBorder="1" applyAlignment="1" applyProtection="1">
      <alignment horizontal="center" vertical="center" wrapText="1"/>
      <protection hidden="1"/>
    </xf>
    <xf numFmtId="0" fontId="0" fillId="0" borderId="7" xfId="0" applyBorder="1" applyAlignment="1" applyProtection="1">
      <alignment horizontal="center" vertical="center" wrapText="1"/>
      <protection hidden="1"/>
    </xf>
    <xf numFmtId="0" fontId="0" fillId="0" borderId="8" xfId="0" applyBorder="1" applyAlignment="1" applyProtection="1">
      <alignment horizontal="center" vertical="center" wrapText="1"/>
      <protection hidden="1"/>
    </xf>
    <xf numFmtId="0" fontId="0" fillId="0" borderId="16" xfId="0" applyBorder="1" applyAlignment="1" applyProtection="1">
      <alignment horizontal="center" vertical="center" wrapText="1"/>
      <protection hidden="1"/>
    </xf>
    <xf numFmtId="0" fontId="0" fillId="0" borderId="4" xfId="0" applyBorder="1" applyAlignment="1" applyProtection="1">
      <alignment horizontal="center" vertical="center"/>
      <protection hidden="1"/>
    </xf>
    <xf numFmtId="0" fontId="0" fillId="0" borderId="3" xfId="0" applyBorder="1" applyAlignment="1" applyProtection="1">
      <alignment horizontal="left" vertical="center"/>
      <protection hidden="1"/>
    </xf>
    <xf numFmtId="0" fontId="0" fillId="0" borderId="4" xfId="0" applyBorder="1" applyAlignment="1" applyProtection="1">
      <alignment horizontal="left" vertical="center"/>
      <protection hidden="1"/>
    </xf>
    <xf numFmtId="0" fontId="6" fillId="0" borderId="2" xfId="0" applyFont="1" applyBorder="1" applyAlignment="1" applyProtection="1">
      <alignment horizontal="justify" vertical="top" wrapText="1"/>
      <protection hidden="1"/>
    </xf>
    <xf numFmtId="0" fontId="3" fillId="0" borderId="2" xfId="0" applyFont="1" applyBorder="1" applyAlignment="1" applyProtection="1">
      <alignment horizontal="center" vertical="center"/>
      <protection hidden="1"/>
    </xf>
    <xf numFmtId="0" fontId="3" fillId="0" borderId="11" xfId="0" applyFont="1" applyBorder="1" applyAlignment="1" applyProtection="1">
      <alignment horizontal="center" vertical="center"/>
      <protection hidden="1"/>
    </xf>
    <xf numFmtId="0" fontId="3" fillId="0" borderId="12" xfId="0" applyFont="1" applyBorder="1" applyAlignment="1" applyProtection="1">
      <alignment horizontal="center" vertical="center"/>
      <protection hidden="1"/>
    </xf>
    <xf numFmtId="0" fontId="3" fillId="0" borderId="7" xfId="0" applyFont="1" applyBorder="1" applyAlignment="1" applyProtection="1">
      <alignment horizontal="center" vertical="center"/>
      <protection hidden="1"/>
    </xf>
    <xf numFmtId="0" fontId="3" fillId="0" borderId="8" xfId="0" applyFont="1" applyBorder="1" applyAlignment="1" applyProtection="1">
      <alignment horizontal="center" vertical="center"/>
      <protection hidden="1"/>
    </xf>
    <xf numFmtId="0" fontId="31" fillId="5" borderId="2" xfId="0" applyFont="1" applyFill="1" applyBorder="1" applyAlignment="1">
      <alignment horizontal="center"/>
    </xf>
    <xf numFmtId="0" fontId="31" fillId="5" borderId="6" xfId="0" applyFont="1" applyFill="1" applyBorder="1" applyAlignment="1">
      <alignment horizontal="center"/>
    </xf>
    <xf numFmtId="0" fontId="31" fillId="5" borderId="10" xfId="0" applyFont="1" applyFill="1"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2" xfId="0" applyBorder="1" applyAlignment="1">
      <alignment horizontal="center"/>
    </xf>
    <xf numFmtId="0" fontId="0" fillId="27" borderId="3" xfId="0" applyFill="1" applyBorder="1" applyAlignment="1">
      <alignment horizontal="center"/>
    </xf>
    <xf numFmtId="0" fontId="0" fillId="27" borderId="5" xfId="0" applyFill="1" applyBorder="1" applyAlignment="1">
      <alignment horizontal="center"/>
    </xf>
    <xf numFmtId="0" fontId="0" fillId="23" borderId="5" xfId="0" applyFill="1" applyBorder="1" applyAlignment="1">
      <alignment horizontal="center"/>
    </xf>
    <xf numFmtId="0" fontId="31" fillId="11" borderId="2" xfId="0" applyFont="1" applyFill="1" applyBorder="1" applyAlignment="1">
      <alignment horizontal="center"/>
    </xf>
    <xf numFmtId="0" fontId="31" fillId="3" borderId="11" xfId="0" applyFont="1" applyFill="1" applyBorder="1" applyAlignment="1">
      <alignment horizontal="center" vertical="center"/>
    </xf>
    <xf numFmtId="0" fontId="31" fillId="3" borderId="12" xfId="0" applyFont="1" applyFill="1" applyBorder="1" applyAlignment="1">
      <alignment horizontal="center" vertical="center"/>
    </xf>
    <xf numFmtId="0" fontId="31" fillId="3" borderId="13" xfId="0" applyFont="1" applyFill="1" applyBorder="1" applyAlignment="1">
      <alignment horizontal="center" vertical="center"/>
    </xf>
    <xf numFmtId="0" fontId="31" fillId="6" borderId="2" xfId="0" applyFont="1" applyFill="1" applyBorder="1" applyAlignment="1">
      <alignment horizontal="center"/>
    </xf>
    <xf numFmtId="0" fontId="31" fillId="16" borderId="2" xfId="0" applyFont="1" applyFill="1" applyBorder="1" applyAlignment="1">
      <alignment horizontal="center"/>
    </xf>
    <xf numFmtId="0" fontId="31" fillId="4" borderId="2" xfId="0" applyFont="1" applyFill="1" applyBorder="1" applyAlignment="1">
      <alignment horizontal="center"/>
    </xf>
    <xf numFmtId="0" fontId="59" fillId="3" borderId="3" xfId="0" applyFont="1" applyFill="1" applyBorder="1" applyAlignment="1">
      <alignment horizontal="left" vertical="top" wrapText="1"/>
    </xf>
    <xf numFmtId="0" fontId="59" fillId="3" borderId="4" xfId="0" applyFont="1" applyFill="1" applyBorder="1" applyAlignment="1">
      <alignment horizontal="left" vertical="top" wrapText="1"/>
    </xf>
    <xf numFmtId="0" fontId="59" fillId="3" borderId="5" xfId="0" applyFont="1" applyFill="1" applyBorder="1" applyAlignment="1">
      <alignment horizontal="left" vertical="top" wrapText="1"/>
    </xf>
    <xf numFmtId="0" fontId="59" fillId="0" borderId="0" xfId="0" applyFont="1" applyAlignment="1">
      <alignment horizontal="left" vertical="top" wrapText="1"/>
    </xf>
    <xf numFmtId="0" fontId="59" fillId="0" borderId="0" xfId="0" applyFont="1" applyAlignment="1">
      <alignment horizontal="left" vertical="top"/>
    </xf>
    <xf numFmtId="0" fontId="31" fillId="3" borderId="3" xfId="0" applyFont="1" applyFill="1" applyBorder="1" applyAlignment="1">
      <alignment horizontal="left" vertical="top" wrapText="1"/>
    </xf>
    <xf numFmtId="0" fontId="31" fillId="3" borderId="4" xfId="0" applyFont="1" applyFill="1" applyBorder="1" applyAlignment="1">
      <alignment horizontal="left" vertical="top" wrapText="1"/>
    </xf>
    <xf numFmtId="0" fontId="31" fillId="3" borderId="5" xfId="0" applyFont="1" applyFill="1" applyBorder="1" applyAlignment="1">
      <alignment horizontal="left" vertical="top" wrapText="1"/>
    </xf>
    <xf numFmtId="0" fontId="59" fillId="0" borderId="3" xfId="0" applyFont="1" applyBorder="1" applyAlignment="1">
      <alignment horizontal="left" vertical="top" wrapText="1"/>
    </xf>
    <xf numFmtId="0" fontId="59" fillId="0" borderId="4" xfId="0" applyFont="1" applyBorder="1" applyAlignment="1">
      <alignment horizontal="left" vertical="top" wrapText="1"/>
    </xf>
    <xf numFmtId="0" fontId="59" fillId="0" borderId="5" xfId="0" applyFont="1" applyBorder="1" applyAlignment="1">
      <alignment horizontal="left" vertical="top" wrapText="1"/>
    </xf>
    <xf numFmtId="0" fontId="59" fillId="0" borderId="11" xfId="0" applyFont="1" applyBorder="1" applyAlignment="1">
      <alignment horizontal="left" vertical="top" wrapText="1"/>
    </xf>
    <xf numFmtId="0" fontId="59" fillId="0" borderId="12" xfId="0" applyFont="1" applyBorder="1" applyAlignment="1">
      <alignment horizontal="left" vertical="top" wrapText="1"/>
    </xf>
    <xf numFmtId="0" fontId="59" fillId="0" borderId="13" xfId="0" applyFont="1" applyBorder="1" applyAlignment="1">
      <alignment horizontal="left" vertical="top" wrapText="1"/>
    </xf>
    <xf numFmtId="0" fontId="31" fillId="0" borderId="3" xfId="0" applyFont="1" applyBorder="1" applyAlignment="1">
      <alignment horizontal="left" vertical="top" wrapText="1"/>
    </xf>
    <xf numFmtId="0" fontId="31" fillId="0" borderId="4" xfId="0" applyFont="1" applyBorder="1" applyAlignment="1">
      <alignment horizontal="left" vertical="top" wrapText="1"/>
    </xf>
    <xf numFmtId="0" fontId="31" fillId="0" borderId="5" xfId="0" applyFont="1" applyBorder="1" applyAlignment="1">
      <alignment horizontal="left" vertical="top" wrapText="1"/>
    </xf>
  </cellXfs>
  <cellStyles count="5">
    <cellStyle name="Check Cell" xfId="1" builtinId="23"/>
    <cellStyle name="Hyperlink" xfId="2" builtinId="8"/>
    <cellStyle name="Normal" xfId="0" builtinId="0"/>
    <cellStyle name="Normal 2" xfId="4"/>
    <cellStyle name="Normal 4 2"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ctrlProps/ctrlProp1.xml><?xml version="1.0" encoding="utf-8"?>
<formControlPr xmlns="http://schemas.microsoft.com/office/spreadsheetml/2009/9/main" objectType="Spin" dx="16" fmlaLink="M7" max="35" min="1" page="10"/>
</file>

<file path=xl/ctrlProps/ctrlProp2.xml><?xml version="1.0" encoding="utf-8"?>
<formControlPr xmlns="http://schemas.microsoft.com/office/spreadsheetml/2009/9/main" objectType="Spin" dx="16" fmlaLink="M2" max="35" min="1" page="10"/>
</file>

<file path=xl/ctrlProps/ctrlProp3.xml><?xml version="1.0" encoding="utf-8"?>
<formControlPr xmlns="http://schemas.microsoft.com/office/spreadsheetml/2009/9/main" objectType="Spin" dx="16" fmlaLink="P3" max="35" min="1" page="10" val="15"/>
</file>

<file path=xl/drawings/_rels/drawing1.xml.rels><?xml version="1.0" encoding="UTF-8" standalone="yes"?>
<Relationships xmlns="http://schemas.openxmlformats.org/package/2006/relationships"><Relationship Id="rId8" Type="http://schemas.openxmlformats.org/officeDocument/2006/relationships/hyperlink" Target="#ekskul!A1"/><Relationship Id="rId13" Type="http://schemas.openxmlformats.org/officeDocument/2006/relationships/hyperlink" Target="#'KDKI-3'!A1"/><Relationship Id="rId3" Type="http://schemas.openxmlformats.org/officeDocument/2006/relationships/hyperlink" Target="#'KI-1'!A1"/><Relationship Id="rId7" Type="http://schemas.openxmlformats.org/officeDocument/2006/relationships/hyperlink" Target="#saran!A1"/><Relationship Id="rId12" Type="http://schemas.openxmlformats.org/officeDocument/2006/relationships/hyperlink" Target="#SISWA!A1"/><Relationship Id="rId17" Type="http://schemas.openxmlformats.org/officeDocument/2006/relationships/hyperlink" Target="#JUK!A1"/><Relationship Id="rId2" Type="http://schemas.openxmlformats.org/officeDocument/2006/relationships/image" Target="../media/image2.jpeg"/><Relationship Id="rId16" Type="http://schemas.openxmlformats.org/officeDocument/2006/relationships/hyperlink" Target="#sampul!A1"/><Relationship Id="rId1" Type="http://schemas.openxmlformats.org/officeDocument/2006/relationships/image" Target="../media/image1.jpeg"/><Relationship Id="rId6" Type="http://schemas.openxmlformats.org/officeDocument/2006/relationships/hyperlink" Target="#ketramp!A1"/><Relationship Id="rId11" Type="http://schemas.openxmlformats.org/officeDocument/2006/relationships/hyperlink" Target="#rbaru!A1"/><Relationship Id="rId5" Type="http://schemas.openxmlformats.org/officeDocument/2006/relationships/hyperlink" Target="#penget!A1"/><Relationship Id="rId15" Type="http://schemas.openxmlformats.org/officeDocument/2006/relationships/hyperlink" Target="#KKM!A1"/><Relationship Id="rId10" Type="http://schemas.openxmlformats.org/officeDocument/2006/relationships/hyperlink" Target="#fisik!A1"/><Relationship Id="rId4" Type="http://schemas.openxmlformats.org/officeDocument/2006/relationships/hyperlink" Target="#'KI-2'!A1"/><Relationship Id="rId9" Type="http://schemas.openxmlformats.org/officeDocument/2006/relationships/hyperlink" Target="#absen!A1"/><Relationship Id="rId14" Type="http://schemas.openxmlformats.org/officeDocument/2006/relationships/hyperlink" Target="#'KDKI-4'!A1"/></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hyperlink" Target="#MENU!A1"/><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MENU!A1"/></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MENU!A1"/></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MENU!A1"/></Relationships>
</file>

<file path=xl/drawings/_rels/drawing6.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MENU!A1"/></Relationships>
</file>

<file path=xl/drawings/_rels/drawing7.xml.rels><?xml version="1.0" encoding="UTF-8" standalone="yes"?>
<Relationships xmlns="http://schemas.openxmlformats.org/package/2006/relationships"><Relationship Id="rId3" Type="http://schemas.openxmlformats.org/officeDocument/2006/relationships/hyperlink" Target="#MENU!A1"/><Relationship Id="rId2" Type="http://schemas.openxmlformats.org/officeDocument/2006/relationships/image" Target="../media/image6.jpeg"/><Relationship Id="rId1" Type="http://schemas.openxmlformats.org/officeDocument/2006/relationships/hyperlink" Target="#penget!A1"/><Relationship Id="rId4" Type="http://schemas.openxmlformats.org/officeDocument/2006/relationships/image" Target="../media/image7.png"/></Relationships>
</file>

<file path=xl/drawings/_rels/drawing8.xml.rels><?xml version="1.0" encoding="UTF-8" standalone="yes"?>
<Relationships xmlns="http://schemas.openxmlformats.org/package/2006/relationships"><Relationship Id="rId3" Type="http://schemas.openxmlformats.org/officeDocument/2006/relationships/hyperlink" Target="#MENU!A1"/><Relationship Id="rId2" Type="http://schemas.openxmlformats.org/officeDocument/2006/relationships/image" Target="../media/image6.jpeg"/><Relationship Id="rId1" Type="http://schemas.openxmlformats.org/officeDocument/2006/relationships/hyperlink" Target="#ketramp!A1"/><Relationship Id="rId4" Type="http://schemas.openxmlformats.org/officeDocument/2006/relationships/image" Target="../media/image7.png"/></Relationships>
</file>

<file path=xl/drawings/_rels/drawing9.xml.rels><?xml version="1.0" encoding="UTF-8" standalone="yes"?>
<Relationships xmlns="http://schemas.openxmlformats.org/package/2006/relationships"><Relationship Id="rId3" Type="http://schemas.openxmlformats.org/officeDocument/2006/relationships/hyperlink" Target="#'K-pkn'!A51"/><Relationship Id="rId2" Type="http://schemas.openxmlformats.org/officeDocument/2006/relationships/image" Target="../media/image7.png"/><Relationship Id="rId1" Type="http://schemas.openxmlformats.org/officeDocument/2006/relationships/hyperlink" Target="#MENU!A1"/><Relationship Id="rId5" Type="http://schemas.openxmlformats.org/officeDocument/2006/relationships/image" Target="../media/image6.jpeg"/><Relationship Id="rId4" Type="http://schemas.openxmlformats.org/officeDocument/2006/relationships/hyperlink" Target="#ketramp!A1"/></Relationships>
</file>

<file path=xl/drawings/_rels/drawing10.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hyperlink" Target="#penget!A1"/><Relationship Id="rId1" Type="http://schemas.openxmlformats.org/officeDocument/2006/relationships/hyperlink" Target="#'P-pkn'!B51"/><Relationship Id="rId5" Type="http://schemas.openxmlformats.org/officeDocument/2006/relationships/image" Target="../media/image5.png"/><Relationship Id="rId4" Type="http://schemas.openxmlformats.org/officeDocument/2006/relationships/hyperlink" Target="#MENU!A1"/></Relationships>
</file>

<file path=xl/drawings/_rels/drawing11.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MENU!A1"/></Relationships>
</file>

<file path=xl/drawings/_rels/drawing12.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hyperlink" Target="#MENU!A1"/></Relationships>
</file>

<file path=xl/drawings/_rels/drawing13.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hyperlink" Target="#MENU!A1"/></Relationships>
</file>

<file path=xl/drawings/_rels/drawing14.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hyperlink" Target="#MENU!A1"/></Relationships>
</file>

<file path=xl/drawings/_rels/drawing15.xml.rels><?xml version="1.0" encoding="UTF-8" standalone="yes"?>
<Relationships xmlns="http://schemas.openxmlformats.org/package/2006/relationships"><Relationship Id="rId8" Type="http://schemas.openxmlformats.org/officeDocument/2006/relationships/hyperlink" Target="#'KI-3'!A1"/><Relationship Id="rId3" Type="http://schemas.openxmlformats.org/officeDocument/2006/relationships/hyperlink" Target="#'P-pkn'!A1"/><Relationship Id="rId7" Type="http://schemas.openxmlformats.org/officeDocument/2006/relationships/hyperlink" Target="#'P-SBDP'!A1"/><Relationship Id="rId12" Type="http://schemas.openxmlformats.org/officeDocument/2006/relationships/hyperlink" Target="#'P-IPS'!A1"/><Relationship Id="rId2" Type="http://schemas.openxmlformats.org/officeDocument/2006/relationships/hyperlink" Target="#'P-PJOK'!A1"/><Relationship Id="rId1" Type="http://schemas.openxmlformats.org/officeDocument/2006/relationships/hyperlink" Target="#'P-AG'!A1"/><Relationship Id="rId6" Type="http://schemas.openxmlformats.org/officeDocument/2006/relationships/hyperlink" Target="#'P-BJAWA'!A1"/><Relationship Id="rId11" Type="http://schemas.openxmlformats.org/officeDocument/2006/relationships/hyperlink" Target="#'P-IPA'!A1"/><Relationship Id="rId5" Type="http://schemas.openxmlformats.org/officeDocument/2006/relationships/hyperlink" Target="#'P-MAT'!A1"/><Relationship Id="rId10" Type="http://schemas.openxmlformats.org/officeDocument/2006/relationships/image" Target="../media/image4.png"/><Relationship Id="rId4" Type="http://schemas.openxmlformats.org/officeDocument/2006/relationships/hyperlink" Target="#'P-BI'!A1"/><Relationship Id="rId9" Type="http://schemas.openxmlformats.org/officeDocument/2006/relationships/hyperlink" Target="#MENU!A1"/></Relationships>
</file>

<file path=xl/drawings/_rels/drawing16.xml.rels><?xml version="1.0" encoding="UTF-8" standalone="yes"?>
<Relationships xmlns="http://schemas.openxmlformats.org/package/2006/relationships"><Relationship Id="rId8" Type="http://schemas.openxmlformats.org/officeDocument/2006/relationships/hyperlink" Target="#'KI-4'!A1"/><Relationship Id="rId3" Type="http://schemas.openxmlformats.org/officeDocument/2006/relationships/hyperlink" Target="#'K-pkn'!A1"/><Relationship Id="rId7" Type="http://schemas.openxmlformats.org/officeDocument/2006/relationships/hyperlink" Target="#'K-SBDP'!A1"/><Relationship Id="rId12" Type="http://schemas.openxmlformats.org/officeDocument/2006/relationships/hyperlink" Target="#'K-IPS'!A1"/><Relationship Id="rId2" Type="http://schemas.openxmlformats.org/officeDocument/2006/relationships/hyperlink" Target="#'K-PJOK'!A1"/><Relationship Id="rId1" Type="http://schemas.openxmlformats.org/officeDocument/2006/relationships/hyperlink" Target="#'K-AG'!A1"/><Relationship Id="rId6" Type="http://schemas.openxmlformats.org/officeDocument/2006/relationships/hyperlink" Target="#'K-BJAWA'!A1"/><Relationship Id="rId11" Type="http://schemas.openxmlformats.org/officeDocument/2006/relationships/hyperlink" Target="#'K-IPA'!A1"/><Relationship Id="rId5" Type="http://schemas.openxmlformats.org/officeDocument/2006/relationships/hyperlink" Target="#'K-MAT'!A1"/><Relationship Id="rId10" Type="http://schemas.openxmlformats.org/officeDocument/2006/relationships/image" Target="../media/image4.png"/><Relationship Id="rId4" Type="http://schemas.openxmlformats.org/officeDocument/2006/relationships/hyperlink" Target="#'K-BI'!A1"/><Relationship Id="rId9" Type="http://schemas.openxmlformats.org/officeDocument/2006/relationships/hyperlink" Target="#MENU!A1"/></Relationships>
</file>

<file path=xl/drawings/_rels/drawing17.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hyperlink" Target="#MENU!A1"/></Relationships>
</file>

<file path=xl/drawings/_rels/drawing18.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hyperlink" Target="#penget!A1"/><Relationship Id="rId1" Type="http://schemas.openxmlformats.org/officeDocument/2006/relationships/hyperlink" Target="#'P-BI'!B51"/><Relationship Id="rId5" Type="http://schemas.openxmlformats.org/officeDocument/2006/relationships/image" Target="../media/image7.png"/><Relationship Id="rId4" Type="http://schemas.openxmlformats.org/officeDocument/2006/relationships/hyperlink" Target="#MENU!A1"/></Relationships>
</file>

<file path=xl/drawings/_rels/drawing19.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hyperlink" Target="#penget!A1"/><Relationship Id="rId1" Type="http://schemas.openxmlformats.org/officeDocument/2006/relationships/hyperlink" Target="#'P-MAT'!B51"/><Relationship Id="rId5" Type="http://schemas.openxmlformats.org/officeDocument/2006/relationships/image" Target="../media/image7.png"/><Relationship Id="rId4" Type="http://schemas.openxmlformats.org/officeDocument/2006/relationships/hyperlink" Target="#MENU!A1"/></Relationships>
</file>

<file path=xl/drawings/_rels/drawing20.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hyperlink" Target="#penget!A1"/><Relationship Id="rId1" Type="http://schemas.openxmlformats.org/officeDocument/2006/relationships/hyperlink" Target="#'P-SBDP'!B51"/><Relationship Id="rId5" Type="http://schemas.openxmlformats.org/officeDocument/2006/relationships/image" Target="../media/image7.png"/><Relationship Id="rId4" Type="http://schemas.openxmlformats.org/officeDocument/2006/relationships/hyperlink" Target="#MENU!A1"/></Relationships>
</file>

<file path=xl/drawings/_rels/drawing21.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hyperlink" Target="#penget!A1"/><Relationship Id="rId1" Type="http://schemas.openxmlformats.org/officeDocument/2006/relationships/hyperlink" Target="#'P-BJAWA'!B51"/><Relationship Id="rId5" Type="http://schemas.openxmlformats.org/officeDocument/2006/relationships/image" Target="../media/image7.png"/><Relationship Id="rId4" Type="http://schemas.openxmlformats.org/officeDocument/2006/relationships/hyperlink" Target="#MENU!A1"/></Relationships>
</file>

<file path=xl/drawings/_rels/drawing22.xml.rels><?xml version="1.0" encoding="UTF-8" standalone="yes"?>
<Relationships xmlns="http://schemas.openxmlformats.org/package/2006/relationships"><Relationship Id="rId3" Type="http://schemas.openxmlformats.org/officeDocument/2006/relationships/hyperlink" Target="#MENU!A1"/><Relationship Id="rId2" Type="http://schemas.openxmlformats.org/officeDocument/2006/relationships/image" Target="../media/image6.jpeg"/><Relationship Id="rId1" Type="http://schemas.openxmlformats.org/officeDocument/2006/relationships/hyperlink" Target="#penget!A1"/><Relationship Id="rId4" Type="http://schemas.openxmlformats.org/officeDocument/2006/relationships/image" Target="../media/image7.png"/></Relationships>
</file>

<file path=xl/drawings/_rels/drawing23.xml.rels><?xml version="1.0" encoding="UTF-8" standalone="yes"?>
<Relationships xmlns="http://schemas.openxmlformats.org/package/2006/relationships"><Relationship Id="rId3" Type="http://schemas.openxmlformats.org/officeDocument/2006/relationships/hyperlink" Target="#'K-BI'!A52"/><Relationship Id="rId2" Type="http://schemas.openxmlformats.org/officeDocument/2006/relationships/image" Target="../media/image7.png"/><Relationship Id="rId1" Type="http://schemas.openxmlformats.org/officeDocument/2006/relationships/hyperlink" Target="#MENU!A1"/><Relationship Id="rId5" Type="http://schemas.openxmlformats.org/officeDocument/2006/relationships/image" Target="../media/image6.jpeg"/><Relationship Id="rId4" Type="http://schemas.openxmlformats.org/officeDocument/2006/relationships/hyperlink" Target="#ketramp!A1"/></Relationships>
</file>

<file path=xl/drawings/_rels/drawing24.xml.rels><?xml version="1.0" encoding="UTF-8" standalone="yes"?>
<Relationships xmlns="http://schemas.openxmlformats.org/package/2006/relationships"><Relationship Id="rId3" Type="http://schemas.openxmlformats.org/officeDocument/2006/relationships/hyperlink" Target="#'K-MAT'!A52"/><Relationship Id="rId2" Type="http://schemas.openxmlformats.org/officeDocument/2006/relationships/image" Target="../media/image7.png"/><Relationship Id="rId1" Type="http://schemas.openxmlformats.org/officeDocument/2006/relationships/hyperlink" Target="#MENU!A1"/><Relationship Id="rId5" Type="http://schemas.openxmlformats.org/officeDocument/2006/relationships/image" Target="../media/image6.jpeg"/><Relationship Id="rId4" Type="http://schemas.openxmlformats.org/officeDocument/2006/relationships/hyperlink" Target="#ketramp!A1"/></Relationships>
</file>

<file path=xl/drawings/_rels/drawing25.xml.rels><?xml version="1.0" encoding="UTF-8" standalone="yes"?>
<Relationships xmlns="http://schemas.openxmlformats.org/package/2006/relationships"><Relationship Id="rId3" Type="http://schemas.openxmlformats.org/officeDocument/2006/relationships/hyperlink" Target="#'K-SBDP'!A52"/><Relationship Id="rId2" Type="http://schemas.openxmlformats.org/officeDocument/2006/relationships/image" Target="../media/image7.png"/><Relationship Id="rId1" Type="http://schemas.openxmlformats.org/officeDocument/2006/relationships/hyperlink" Target="#MENU!A1"/><Relationship Id="rId5" Type="http://schemas.openxmlformats.org/officeDocument/2006/relationships/image" Target="../media/image6.jpeg"/><Relationship Id="rId4" Type="http://schemas.openxmlformats.org/officeDocument/2006/relationships/hyperlink" Target="#ketramp!A1"/></Relationships>
</file>

<file path=xl/drawings/_rels/drawing26.xml.rels><?xml version="1.0" encoding="UTF-8" standalone="yes"?>
<Relationships xmlns="http://schemas.openxmlformats.org/package/2006/relationships"><Relationship Id="rId3" Type="http://schemas.openxmlformats.org/officeDocument/2006/relationships/hyperlink" Target="#'K-BJAWA'!A51"/><Relationship Id="rId2" Type="http://schemas.openxmlformats.org/officeDocument/2006/relationships/image" Target="../media/image7.png"/><Relationship Id="rId1" Type="http://schemas.openxmlformats.org/officeDocument/2006/relationships/hyperlink" Target="#MENU!A1"/><Relationship Id="rId5" Type="http://schemas.openxmlformats.org/officeDocument/2006/relationships/image" Target="../media/image6.jpeg"/><Relationship Id="rId4" Type="http://schemas.openxmlformats.org/officeDocument/2006/relationships/hyperlink" Target="#ketramp!A1"/></Relationships>
</file>

<file path=xl/drawings/_rels/drawing27.xml.rels><?xml version="1.0" encoding="UTF-8" standalone="yes"?>
<Relationships xmlns="http://schemas.openxmlformats.org/package/2006/relationships"><Relationship Id="rId3" Type="http://schemas.openxmlformats.org/officeDocument/2006/relationships/hyperlink" Target="#MENU!A1"/><Relationship Id="rId2" Type="http://schemas.openxmlformats.org/officeDocument/2006/relationships/image" Target="../media/image6.jpeg"/><Relationship Id="rId1" Type="http://schemas.openxmlformats.org/officeDocument/2006/relationships/hyperlink" Target="#ketramp!A1"/><Relationship Id="rId4" Type="http://schemas.openxmlformats.org/officeDocument/2006/relationships/image" Target="../media/image7.png"/></Relationships>
</file>

<file path=xl/drawings/_rels/drawing28.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hyperlink" Target="#MENU!A1"/></Relationships>
</file>

<file path=xl/drawings/_rels/drawing29.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hyperlink" Target="#MENU!A1"/></Relationships>
</file>

<file path=xl/drawings/_rels/drawing30.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hyperlink" Target="#penget!A1"/><Relationship Id="rId1" Type="http://schemas.openxmlformats.org/officeDocument/2006/relationships/hyperlink" Target="#'P-IPA'!B51"/><Relationship Id="rId5" Type="http://schemas.openxmlformats.org/officeDocument/2006/relationships/image" Target="../media/image7.png"/><Relationship Id="rId4" Type="http://schemas.openxmlformats.org/officeDocument/2006/relationships/hyperlink" Target="#MENU!A1"/></Relationships>
</file>

<file path=xl/drawings/_rels/drawing31.xml.rels><?xml version="1.0" encoding="UTF-8" standalone="yes"?>
<Relationships xmlns="http://schemas.openxmlformats.org/package/2006/relationships"><Relationship Id="rId3" Type="http://schemas.openxmlformats.org/officeDocument/2006/relationships/hyperlink" Target="#'K-IPA'!B51"/><Relationship Id="rId2" Type="http://schemas.openxmlformats.org/officeDocument/2006/relationships/image" Target="../media/image7.png"/><Relationship Id="rId1" Type="http://schemas.openxmlformats.org/officeDocument/2006/relationships/hyperlink" Target="#MENU!A1"/><Relationship Id="rId5" Type="http://schemas.openxmlformats.org/officeDocument/2006/relationships/image" Target="../media/image6.jpeg"/><Relationship Id="rId4" Type="http://schemas.openxmlformats.org/officeDocument/2006/relationships/hyperlink" Target="#ketramp!A1"/></Relationships>
</file>

<file path=xl/drawings/_rels/drawing32.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hyperlink" Target="#penget!A1"/><Relationship Id="rId1" Type="http://schemas.openxmlformats.org/officeDocument/2006/relationships/hyperlink" Target="#'P-IPS'!B52"/><Relationship Id="rId5" Type="http://schemas.openxmlformats.org/officeDocument/2006/relationships/image" Target="../media/image7.png"/><Relationship Id="rId4" Type="http://schemas.openxmlformats.org/officeDocument/2006/relationships/hyperlink" Target="#MENU!A1"/></Relationships>
</file>

<file path=xl/drawings/_rels/drawing33.xml.rels><?xml version="1.0" encoding="UTF-8" standalone="yes"?>
<Relationships xmlns="http://schemas.openxmlformats.org/package/2006/relationships"><Relationship Id="rId3" Type="http://schemas.openxmlformats.org/officeDocument/2006/relationships/hyperlink" Target="#'K-IPS'!B51"/><Relationship Id="rId2" Type="http://schemas.openxmlformats.org/officeDocument/2006/relationships/image" Target="../media/image7.png"/><Relationship Id="rId1" Type="http://schemas.openxmlformats.org/officeDocument/2006/relationships/hyperlink" Target="#MENU!A1"/><Relationship Id="rId5" Type="http://schemas.openxmlformats.org/officeDocument/2006/relationships/image" Target="../media/image6.jpeg"/><Relationship Id="rId4" Type="http://schemas.openxmlformats.org/officeDocument/2006/relationships/hyperlink" Target="#ketramp!A1"/></Relationships>
</file>

<file path=xl/drawings/_rels/drawing3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MENU!A1"/></Relationships>
</file>

<file path=xl/drawings/_rels/drawing35.xml.rels><?xml version="1.0" encoding="UTF-8" standalone="yes"?>
<Relationships xmlns="http://schemas.openxmlformats.org/package/2006/relationships"><Relationship Id="rId1" Type="http://schemas.openxmlformats.org/officeDocument/2006/relationships/hyperlink" Target="#MENU!A1"/></Relationships>
</file>

<file path=xl/drawings/_rels/drawing36.xml.rels><?xml version="1.0" encoding="UTF-8" standalone="yes"?>
<Relationships xmlns="http://schemas.openxmlformats.org/package/2006/relationships"><Relationship Id="rId1" Type="http://schemas.openxmlformats.org/officeDocument/2006/relationships/hyperlink" Target="#MENU!A1"/></Relationships>
</file>

<file path=xl/drawings/_rels/drawing37.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5.png"/><Relationship Id="rId1" Type="http://schemas.openxmlformats.org/officeDocument/2006/relationships/hyperlink" Target="#MENU!A1"/><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4</xdr:col>
      <xdr:colOff>0</xdr:colOff>
      <xdr:row>0</xdr:row>
      <xdr:rowOff>178594</xdr:rowOff>
    </xdr:from>
    <xdr:to>
      <xdr:col>7</xdr:col>
      <xdr:colOff>0</xdr:colOff>
      <xdr:row>5</xdr:row>
      <xdr:rowOff>35719</xdr:rowOff>
    </xdr:to>
    <xdr:pic>
      <xdr:nvPicPr>
        <xdr:cNvPr id="28" name="Picture 27"/>
        <xdr:cNvPicPr>
          <a:picLocks noChangeAspect="1" noChangeArrowheads="1"/>
        </xdr:cNvPicPr>
      </xdr:nvPicPr>
      <xdr:blipFill>
        <a:blip xmlns:r="http://schemas.openxmlformats.org/officeDocument/2006/relationships" r:embed="rId1" cstate="print"/>
        <a:srcRect/>
        <a:stretch>
          <a:fillRect/>
        </a:stretch>
      </xdr:blipFill>
      <xdr:spPr bwMode="auto">
        <a:xfrm>
          <a:off x="1821656" y="178594"/>
          <a:ext cx="928688" cy="80962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23</xdr:col>
      <xdr:colOff>23814</xdr:colOff>
      <xdr:row>1</xdr:row>
      <xdr:rowOff>0</xdr:rowOff>
    </xdr:from>
    <xdr:to>
      <xdr:col>26</xdr:col>
      <xdr:colOff>0</xdr:colOff>
      <xdr:row>5</xdr:row>
      <xdr:rowOff>11682</xdr:rowOff>
    </xdr:to>
    <xdr:pic>
      <xdr:nvPicPr>
        <xdr:cNvPr id="29" name="Picture 28" descr="https://encrypted-tbn2.gstatic.com/images?q=tbn:ANd9GcQPmkby_pF1mneCprIhuoJmxy7NBJv32vzQTM7E-zn5K3yqIWiJ"/>
        <xdr:cNvPicPr>
          <a:picLocks noChangeAspect="1" noChangeArrowheads="1"/>
        </xdr:cNvPicPr>
      </xdr:nvPicPr>
      <xdr:blipFill>
        <a:blip xmlns:r="http://schemas.openxmlformats.org/officeDocument/2006/relationships" r:embed="rId2" cstate="print"/>
        <a:srcRect/>
        <a:stretch>
          <a:fillRect/>
        </a:stretch>
      </xdr:blipFill>
      <xdr:spPr bwMode="auto">
        <a:xfrm>
          <a:off x="8036720" y="190500"/>
          <a:ext cx="928686" cy="773682"/>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1</xdr:col>
      <xdr:colOff>26723</xdr:colOff>
      <xdr:row>8</xdr:row>
      <xdr:rowOff>144440</xdr:rowOff>
    </xdr:from>
    <xdr:to>
      <xdr:col>3</xdr:col>
      <xdr:colOff>704057</xdr:colOff>
      <xdr:row>11</xdr:row>
      <xdr:rowOff>178594</xdr:rowOff>
    </xdr:to>
    <xdr:sp macro="" textlink="">
      <xdr:nvSpPr>
        <xdr:cNvPr id="30" name="Rounded Rectangle 29">
          <a:hlinkClick xmlns:r="http://schemas.openxmlformats.org/officeDocument/2006/relationships" r:id="rId3"/>
        </xdr:cNvPr>
        <xdr:cNvSpPr/>
      </xdr:nvSpPr>
      <xdr:spPr>
        <a:xfrm>
          <a:off x="121973" y="1668440"/>
          <a:ext cx="1689365" cy="605654"/>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600" b="1">
              <a:solidFill>
                <a:schemeClr val="tx1"/>
              </a:solidFill>
            </a:rPr>
            <a:t>NILAI</a:t>
          </a:r>
          <a:r>
            <a:rPr lang="en-US" sz="1600" b="1" baseline="0">
              <a:solidFill>
                <a:schemeClr val="tx1"/>
              </a:solidFill>
            </a:rPr>
            <a:t> SPIRITUAL</a:t>
          </a:r>
          <a:endParaRPr lang="en-US" sz="1600" b="1">
            <a:solidFill>
              <a:schemeClr val="tx1"/>
            </a:solidFill>
          </a:endParaRPr>
        </a:p>
      </xdr:txBody>
    </xdr:sp>
    <xdr:clientData/>
  </xdr:twoCellAnchor>
  <xdr:twoCellAnchor>
    <xdr:from>
      <xdr:col>1</xdr:col>
      <xdr:colOff>29633</xdr:colOff>
      <xdr:row>12</xdr:row>
      <xdr:rowOff>125919</xdr:rowOff>
    </xdr:from>
    <xdr:to>
      <xdr:col>3</xdr:col>
      <xdr:colOff>706967</xdr:colOff>
      <xdr:row>15</xdr:row>
      <xdr:rowOff>119062</xdr:rowOff>
    </xdr:to>
    <xdr:sp macro="" textlink="">
      <xdr:nvSpPr>
        <xdr:cNvPr id="31" name="Rounded Rectangle 30">
          <a:hlinkClick xmlns:r="http://schemas.openxmlformats.org/officeDocument/2006/relationships" r:id="rId4"/>
        </xdr:cNvPr>
        <xdr:cNvSpPr/>
      </xdr:nvSpPr>
      <xdr:spPr>
        <a:xfrm>
          <a:off x="124883" y="2411919"/>
          <a:ext cx="1689365" cy="564643"/>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NILAI SOSIAL</a:t>
          </a:r>
        </a:p>
      </xdr:txBody>
    </xdr:sp>
    <xdr:clientData/>
  </xdr:twoCellAnchor>
  <xdr:twoCellAnchor>
    <xdr:from>
      <xdr:col>1</xdr:col>
      <xdr:colOff>23284</xdr:colOff>
      <xdr:row>16</xdr:row>
      <xdr:rowOff>93917</xdr:rowOff>
    </xdr:from>
    <xdr:to>
      <xdr:col>3</xdr:col>
      <xdr:colOff>700618</xdr:colOff>
      <xdr:row>19</xdr:row>
      <xdr:rowOff>83332</xdr:rowOff>
    </xdr:to>
    <xdr:sp macro="" textlink="">
      <xdr:nvSpPr>
        <xdr:cNvPr id="32" name="Rounded Rectangle 31">
          <a:hlinkClick xmlns:r="http://schemas.openxmlformats.org/officeDocument/2006/relationships" r:id="rId5"/>
        </xdr:cNvPr>
        <xdr:cNvSpPr/>
      </xdr:nvSpPr>
      <xdr:spPr>
        <a:xfrm>
          <a:off x="118534" y="3141917"/>
          <a:ext cx="1689365" cy="560915"/>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600" b="1">
              <a:solidFill>
                <a:schemeClr val="tx1"/>
              </a:solidFill>
            </a:rPr>
            <a:t>NILAI PENGETAHUAN</a:t>
          </a:r>
        </a:p>
      </xdr:txBody>
    </xdr:sp>
    <xdr:clientData/>
  </xdr:twoCellAnchor>
  <xdr:twoCellAnchor>
    <xdr:from>
      <xdr:col>1</xdr:col>
      <xdr:colOff>30163</xdr:colOff>
      <xdr:row>19</xdr:row>
      <xdr:rowOff>188894</xdr:rowOff>
    </xdr:from>
    <xdr:to>
      <xdr:col>3</xdr:col>
      <xdr:colOff>707497</xdr:colOff>
      <xdr:row>22</xdr:row>
      <xdr:rowOff>182553</xdr:rowOff>
    </xdr:to>
    <xdr:sp macro="" textlink="">
      <xdr:nvSpPr>
        <xdr:cNvPr id="33" name="Rounded Rectangle 32">
          <a:hlinkClick xmlns:r="http://schemas.openxmlformats.org/officeDocument/2006/relationships" r:id="rId6"/>
        </xdr:cNvPr>
        <xdr:cNvSpPr/>
      </xdr:nvSpPr>
      <xdr:spPr>
        <a:xfrm>
          <a:off x="125413" y="3808394"/>
          <a:ext cx="1689365" cy="565159"/>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NILAI KETRAMPILAN</a:t>
          </a:r>
        </a:p>
      </xdr:txBody>
    </xdr:sp>
    <xdr:clientData/>
  </xdr:twoCellAnchor>
  <xdr:twoCellAnchor>
    <xdr:from>
      <xdr:col>26</xdr:col>
      <xdr:colOff>81375</xdr:colOff>
      <xdr:row>18</xdr:row>
      <xdr:rowOff>60292</xdr:rowOff>
    </xdr:from>
    <xdr:to>
      <xdr:col>28</xdr:col>
      <xdr:colOff>573500</xdr:colOff>
      <xdr:row>20</xdr:row>
      <xdr:rowOff>111126</xdr:rowOff>
    </xdr:to>
    <xdr:sp macro="" textlink="">
      <xdr:nvSpPr>
        <xdr:cNvPr id="34" name="Rounded Rectangle 33">
          <a:hlinkClick xmlns:r="http://schemas.openxmlformats.org/officeDocument/2006/relationships" r:id="rId7"/>
        </xdr:cNvPr>
        <xdr:cNvSpPr/>
      </xdr:nvSpPr>
      <xdr:spPr>
        <a:xfrm>
          <a:off x="9046781" y="3489292"/>
          <a:ext cx="1706563" cy="431834"/>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kalimat</a:t>
          </a:r>
          <a:r>
            <a:rPr lang="en-US" sz="1800" b="1" baseline="0">
              <a:solidFill>
                <a:schemeClr val="tx1"/>
              </a:solidFill>
            </a:rPr>
            <a:t> Saran</a:t>
          </a:r>
          <a:endParaRPr lang="en-US" sz="1800" b="1">
            <a:solidFill>
              <a:schemeClr val="tx1"/>
            </a:solidFill>
          </a:endParaRPr>
        </a:p>
      </xdr:txBody>
    </xdr:sp>
    <xdr:clientData/>
  </xdr:twoCellAnchor>
  <xdr:twoCellAnchor>
    <xdr:from>
      <xdr:col>26</xdr:col>
      <xdr:colOff>95252</xdr:colOff>
      <xdr:row>8</xdr:row>
      <xdr:rowOff>158737</xdr:rowOff>
    </xdr:from>
    <xdr:to>
      <xdr:col>28</xdr:col>
      <xdr:colOff>571501</xdr:colOff>
      <xdr:row>11</xdr:row>
      <xdr:rowOff>107156</xdr:rowOff>
    </xdr:to>
    <xdr:sp macro="" textlink="">
      <xdr:nvSpPr>
        <xdr:cNvPr id="35" name="Round Diagonal Corner Rectangle 34">
          <a:hlinkClick xmlns:r="http://schemas.openxmlformats.org/officeDocument/2006/relationships" r:id="rId8"/>
        </xdr:cNvPr>
        <xdr:cNvSpPr/>
      </xdr:nvSpPr>
      <xdr:spPr>
        <a:xfrm>
          <a:off x="9060658" y="1682737"/>
          <a:ext cx="1690687" cy="519919"/>
        </a:xfrm>
        <a:prstGeom prst="round2DiagRect">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EKSTRA KURIKULER</a:t>
          </a:r>
        </a:p>
      </xdr:txBody>
    </xdr:sp>
    <xdr:clientData/>
  </xdr:twoCellAnchor>
  <xdr:twoCellAnchor>
    <xdr:from>
      <xdr:col>26</xdr:col>
      <xdr:colOff>95251</xdr:colOff>
      <xdr:row>15</xdr:row>
      <xdr:rowOff>120391</xdr:rowOff>
    </xdr:from>
    <xdr:to>
      <xdr:col>28</xdr:col>
      <xdr:colOff>535781</xdr:colOff>
      <xdr:row>17</xdr:row>
      <xdr:rowOff>166687</xdr:rowOff>
    </xdr:to>
    <xdr:sp macro="" textlink="">
      <xdr:nvSpPr>
        <xdr:cNvPr id="36" name="Round Same Side Corner Rectangle 35">
          <a:hlinkClick xmlns:r="http://schemas.openxmlformats.org/officeDocument/2006/relationships" r:id="rId9"/>
        </xdr:cNvPr>
        <xdr:cNvSpPr/>
      </xdr:nvSpPr>
      <xdr:spPr>
        <a:xfrm>
          <a:off x="9060657" y="2977891"/>
          <a:ext cx="1654968" cy="427296"/>
        </a:xfrm>
        <a:prstGeom prst="round2Same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PRESENSI</a:t>
          </a:r>
        </a:p>
      </xdr:txBody>
    </xdr:sp>
    <xdr:clientData/>
  </xdr:twoCellAnchor>
  <xdr:twoCellAnchor>
    <xdr:from>
      <xdr:col>26</xdr:col>
      <xdr:colOff>95251</xdr:colOff>
      <xdr:row>12</xdr:row>
      <xdr:rowOff>23814</xdr:rowOff>
    </xdr:from>
    <xdr:to>
      <xdr:col>28</xdr:col>
      <xdr:colOff>547686</xdr:colOff>
      <xdr:row>15</xdr:row>
      <xdr:rowOff>23812</xdr:rowOff>
    </xdr:to>
    <xdr:sp macro="" textlink="">
      <xdr:nvSpPr>
        <xdr:cNvPr id="39" name="Rounded Rectangle 38">
          <a:hlinkClick xmlns:r="http://schemas.openxmlformats.org/officeDocument/2006/relationships" r:id="rId10"/>
        </xdr:cNvPr>
        <xdr:cNvSpPr/>
      </xdr:nvSpPr>
      <xdr:spPr>
        <a:xfrm>
          <a:off x="9060657" y="2309814"/>
          <a:ext cx="1666873" cy="571498"/>
        </a:xfrm>
        <a:prstGeom prst="roundRect">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fisik,prestasi</a:t>
          </a:r>
        </a:p>
      </xdr:txBody>
    </xdr:sp>
    <xdr:clientData/>
  </xdr:twoCellAnchor>
  <xdr:twoCellAnchor>
    <xdr:from>
      <xdr:col>1</xdr:col>
      <xdr:colOff>128323</xdr:colOff>
      <xdr:row>23</xdr:row>
      <xdr:rowOff>44987</xdr:rowOff>
    </xdr:from>
    <xdr:to>
      <xdr:col>3</xdr:col>
      <xdr:colOff>636323</xdr:colOff>
      <xdr:row>26</xdr:row>
      <xdr:rowOff>34404</xdr:rowOff>
    </xdr:to>
    <xdr:sp macro="" textlink="">
      <xdr:nvSpPr>
        <xdr:cNvPr id="40" name="Rounded Rectangle 39">
          <a:hlinkClick xmlns:r="http://schemas.openxmlformats.org/officeDocument/2006/relationships" r:id="rId11"/>
        </xdr:cNvPr>
        <xdr:cNvSpPr/>
      </xdr:nvSpPr>
      <xdr:spPr>
        <a:xfrm>
          <a:off x="223573" y="4426487"/>
          <a:ext cx="1520031" cy="560917"/>
        </a:xfrm>
        <a:prstGeom prst="round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US" sz="1800"/>
            <a:t>RAPOT SEM </a:t>
          </a:r>
          <a:r>
            <a:rPr lang="id-ID" sz="1800"/>
            <a:t>1</a:t>
          </a:r>
          <a:endParaRPr lang="en-US" sz="1800"/>
        </a:p>
      </xdr:txBody>
    </xdr:sp>
    <xdr:clientData/>
  </xdr:twoCellAnchor>
  <xdr:twoCellAnchor>
    <xdr:from>
      <xdr:col>1</xdr:col>
      <xdr:colOff>42333</xdr:colOff>
      <xdr:row>5</xdr:row>
      <xdr:rowOff>127000</xdr:rowOff>
    </xdr:from>
    <xdr:to>
      <xdr:col>3</xdr:col>
      <xdr:colOff>687917</xdr:colOff>
      <xdr:row>8</xdr:row>
      <xdr:rowOff>21167</xdr:rowOff>
    </xdr:to>
    <xdr:sp macro="" textlink="">
      <xdr:nvSpPr>
        <xdr:cNvPr id="41" name="Rounded Rectangle 40">
          <a:hlinkClick xmlns:r="http://schemas.openxmlformats.org/officeDocument/2006/relationships" r:id="rId12"/>
        </xdr:cNvPr>
        <xdr:cNvSpPr/>
      </xdr:nvSpPr>
      <xdr:spPr>
        <a:xfrm>
          <a:off x="137583" y="1079500"/>
          <a:ext cx="1664759" cy="465667"/>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DATA SISWA</a:t>
          </a:r>
        </a:p>
      </xdr:txBody>
    </xdr:sp>
    <xdr:clientData/>
  </xdr:twoCellAnchor>
  <xdr:twoCellAnchor>
    <xdr:from>
      <xdr:col>26</xdr:col>
      <xdr:colOff>107157</xdr:colOff>
      <xdr:row>25</xdr:row>
      <xdr:rowOff>130969</xdr:rowOff>
    </xdr:from>
    <xdr:to>
      <xdr:col>27</xdr:col>
      <xdr:colOff>452437</xdr:colOff>
      <xdr:row>28</xdr:row>
      <xdr:rowOff>47625</xdr:rowOff>
    </xdr:to>
    <xdr:sp macro="" textlink="">
      <xdr:nvSpPr>
        <xdr:cNvPr id="16" name="Rounded Rectangle 15">
          <a:hlinkClick xmlns:r="http://schemas.openxmlformats.org/officeDocument/2006/relationships" r:id="rId13"/>
        </xdr:cNvPr>
        <xdr:cNvSpPr/>
      </xdr:nvSpPr>
      <xdr:spPr>
        <a:xfrm>
          <a:off x="9072563" y="4131469"/>
          <a:ext cx="952499" cy="488156"/>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id-ID" sz="1800" b="1">
              <a:solidFill>
                <a:schemeClr val="tx1"/>
              </a:solidFill>
            </a:rPr>
            <a:t>KD</a:t>
          </a:r>
          <a:r>
            <a:rPr lang="id-ID" sz="1800" b="1" baseline="0">
              <a:solidFill>
                <a:schemeClr val="tx1"/>
              </a:solidFill>
            </a:rPr>
            <a:t> KI-3</a:t>
          </a:r>
          <a:endParaRPr lang="id-ID" sz="1800" b="1">
            <a:solidFill>
              <a:schemeClr val="tx1"/>
            </a:solidFill>
          </a:endParaRPr>
        </a:p>
      </xdr:txBody>
    </xdr:sp>
    <xdr:clientData/>
  </xdr:twoCellAnchor>
  <xdr:twoCellAnchor>
    <xdr:from>
      <xdr:col>27</xdr:col>
      <xdr:colOff>142876</xdr:colOff>
      <xdr:row>28</xdr:row>
      <xdr:rowOff>119062</xdr:rowOff>
    </xdr:from>
    <xdr:to>
      <xdr:col>28</xdr:col>
      <xdr:colOff>559593</xdr:colOff>
      <xdr:row>31</xdr:row>
      <xdr:rowOff>23811</xdr:rowOff>
    </xdr:to>
    <xdr:sp macro="" textlink="">
      <xdr:nvSpPr>
        <xdr:cNvPr id="17" name="Rounded Rectangle 16">
          <a:hlinkClick xmlns:r="http://schemas.openxmlformats.org/officeDocument/2006/relationships" r:id="rId14"/>
        </xdr:cNvPr>
        <xdr:cNvSpPr/>
      </xdr:nvSpPr>
      <xdr:spPr>
        <a:xfrm>
          <a:off x="9715501" y="4691062"/>
          <a:ext cx="1023936" cy="476249"/>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id-ID" sz="1800" b="1">
              <a:solidFill>
                <a:schemeClr val="tx1"/>
              </a:solidFill>
            </a:rPr>
            <a:t>KD</a:t>
          </a:r>
          <a:r>
            <a:rPr lang="id-ID" sz="1800" b="1" baseline="0">
              <a:solidFill>
                <a:schemeClr val="tx1"/>
              </a:solidFill>
            </a:rPr>
            <a:t> KI-4</a:t>
          </a:r>
          <a:endParaRPr lang="id-ID" sz="1800" b="1">
            <a:solidFill>
              <a:schemeClr val="tx1"/>
            </a:solidFill>
          </a:endParaRPr>
        </a:p>
      </xdr:txBody>
    </xdr:sp>
    <xdr:clientData/>
  </xdr:twoCellAnchor>
  <xdr:twoCellAnchor>
    <xdr:from>
      <xdr:col>26</xdr:col>
      <xdr:colOff>261938</xdr:colOff>
      <xdr:row>5</xdr:row>
      <xdr:rowOff>107156</xdr:rowOff>
    </xdr:from>
    <xdr:to>
      <xdr:col>28</xdr:col>
      <xdr:colOff>357187</xdr:colOff>
      <xdr:row>8</xdr:row>
      <xdr:rowOff>47625</xdr:rowOff>
    </xdr:to>
    <xdr:sp macro="" textlink="">
      <xdr:nvSpPr>
        <xdr:cNvPr id="2" name="Rounded Rectangle 1">
          <a:hlinkClick xmlns:r="http://schemas.openxmlformats.org/officeDocument/2006/relationships" r:id="rId15"/>
        </xdr:cNvPr>
        <xdr:cNvSpPr/>
      </xdr:nvSpPr>
      <xdr:spPr>
        <a:xfrm>
          <a:off x="9227344" y="1059656"/>
          <a:ext cx="1309687" cy="511969"/>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IN" sz="2400" b="1"/>
            <a:t>KKM</a:t>
          </a:r>
        </a:p>
      </xdr:txBody>
    </xdr:sp>
    <xdr:clientData/>
  </xdr:twoCellAnchor>
  <xdr:twoCellAnchor>
    <xdr:from>
      <xdr:col>1</xdr:col>
      <xdr:colOff>369094</xdr:colOff>
      <xdr:row>27</xdr:row>
      <xdr:rowOff>0</xdr:rowOff>
    </xdr:from>
    <xdr:to>
      <xdr:col>3</xdr:col>
      <xdr:colOff>488157</xdr:colOff>
      <xdr:row>28</xdr:row>
      <xdr:rowOff>166688</xdr:rowOff>
    </xdr:to>
    <xdr:sp macro="" textlink="">
      <xdr:nvSpPr>
        <xdr:cNvPr id="3" name="Rounded Rectangle 2">
          <a:hlinkClick xmlns:r="http://schemas.openxmlformats.org/officeDocument/2006/relationships" r:id="rId16"/>
        </xdr:cNvPr>
        <xdr:cNvSpPr/>
      </xdr:nvSpPr>
      <xdr:spPr>
        <a:xfrm>
          <a:off x="464344" y="5143500"/>
          <a:ext cx="1131094" cy="357188"/>
        </a:xfrm>
        <a:prstGeom prst="round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r>
            <a:rPr lang="en-IN" sz="1200"/>
            <a:t>sampul rapot</a:t>
          </a:r>
        </a:p>
      </xdr:txBody>
    </xdr:sp>
    <xdr:clientData/>
  </xdr:twoCellAnchor>
  <xdr:twoCellAnchor>
    <xdr:from>
      <xdr:col>26</xdr:col>
      <xdr:colOff>345282</xdr:colOff>
      <xdr:row>21</xdr:row>
      <xdr:rowOff>83344</xdr:rowOff>
    </xdr:from>
    <xdr:to>
      <xdr:col>28</xdr:col>
      <xdr:colOff>476250</xdr:colOff>
      <xdr:row>24</xdr:row>
      <xdr:rowOff>35719</xdr:rowOff>
    </xdr:to>
    <xdr:sp macro="" textlink="">
      <xdr:nvSpPr>
        <xdr:cNvPr id="18" name="Rounded Rectangle 17">
          <a:hlinkClick xmlns:r="http://schemas.openxmlformats.org/officeDocument/2006/relationships" r:id="rId17"/>
        </xdr:cNvPr>
        <xdr:cNvSpPr/>
      </xdr:nvSpPr>
      <xdr:spPr>
        <a:xfrm>
          <a:off x="9310688" y="4083844"/>
          <a:ext cx="1345406" cy="523875"/>
        </a:xfrm>
        <a:prstGeom prst="roundRect">
          <a:avLst/>
        </a:prstGeom>
      </xdr:spPr>
      <xdr:style>
        <a:lnRef idx="0">
          <a:schemeClr val="accent2"/>
        </a:lnRef>
        <a:fillRef idx="3">
          <a:schemeClr val="accent2"/>
        </a:fillRef>
        <a:effectRef idx="3">
          <a:schemeClr val="accent2"/>
        </a:effectRef>
        <a:fontRef idx="minor">
          <a:schemeClr val="lt1"/>
        </a:fontRef>
      </xdr:style>
      <xdr:txBody>
        <a:bodyPr rtlCol="0" anchor="ctr"/>
        <a:lstStyle/>
        <a:p>
          <a:pPr algn="ctr"/>
          <a:r>
            <a:rPr lang="id-ID" sz="1600"/>
            <a:t>PETUNJUK</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12170</xdr:colOff>
      <xdr:row>2</xdr:row>
      <xdr:rowOff>38100</xdr:rowOff>
    </xdr:from>
    <xdr:to>
      <xdr:col>6</xdr:col>
      <xdr:colOff>441854</xdr:colOff>
      <xdr:row>8</xdr:row>
      <xdr:rowOff>171450</xdr:rowOff>
    </xdr:to>
    <xdr:pic>
      <xdr:nvPicPr>
        <xdr:cNvPr id="2" name="Picture 1"/>
        <xdr:cNvPicPr/>
      </xdr:nvPicPr>
      <xdr:blipFill>
        <a:blip xmlns:r="http://schemas.openxmlformats.org/officeDocument/2006/relationships" r:embed="rId1"/>
        <a:stretch>
          <a:fillRect/>
        </a:stretch>
      </xdr:blipFill>
      <xdr:spPr bwMode="auto">
        <a:xfrm>
          <a:off x="2097087" y="524933"/>
          <a:ext cx="1593850" cy="1593850"/>
        </a:xfrm>
        <a:prstGeom prst="rect">
          <a:avLst/>
        </a:prstGeom>
        <a:noFill/>
        <a:ln w="9525">
          <a:noFill/>
          <a:miter lim="800000"/>
          <a:headEnd/>
          <a:tailEnd/>
        </a:ln>
      </xdr:spPr>
    </xdr:pic>
    <xdr:clientData/>
  </xdr:twoCellAnchor>
  <xdr:twoCellAnchor>
    <xdr:from>
      <xdr:col>3</xdr:col>
      <xdr:colOff>428625</xdr:colOff>
      <xdr:row>109</xdr:row>
      <xdr:rowOff>142875</xdr:rowOff>
    </xdr:from>
    <xdr:to>
      <xdr:col>5</xdr:col>
      <xdr:colOff>85726</xdr:colOff>
      <xdr:row>113</xdr:row>
      <xdr:rowOff>190500</xdr:rowOff>
    </xdr:to>
    <xdr:sp macro="" textlink="">
      <xdr:nvSpPr>
        <xdr:cNvPr id="3" name="Rectangle 1"/>
        <xdr:cNvSpPr>
          <a:spLocks noChangeArrowheads="1"/>
        </xdr:cNvSpPr>
      </xdr:nvSpPr>
      <xdr:spPr bwMode="auto">
        <a:xfrm>
          <a:off x="1628775" y="26241375"/>
          <a:ext cx="647701" cy="847725"/>
        </a:xfrm>
        <a:prstGeom prst="rect">
          <a:avLst/>
        </a:prstGeom>
        <a:solidFill>
          <a:srgbClr val="FFFFFF"/>
        </a:solidFill>
        <a:ln w="6350">
          <a:solidFill>
            <a:srgbClr val="000000"/>
          </a:solidFill>
          <a:miter lim="800000"/>
          <a:headEnd/>
          <a:tailEnd/>
        </a:ln>
      </xdr:spPr>
      <xdr:txBody>
        <a:bodyPr vertOverflow="clip" wrap="square" lIns="91440" tIns="45720" rIns="91440" bIns="45720" anchor="t" upright="1"/>
        <a:lstStyle/>
        <a:p>
          <a:pPr algn="l" rtl="0">
            <a:defRPr sz="1000"/>
          </a:pPr>
          <a:endParaRPr lang="en-US" sz="800" b="1" i="0" strike="noStrike">
            <a:solidFill>
              <a:srgbClr val="000000"/>
            </a:solidFill>
            <a:latin typeface="Arial" pitchFamily="34" charset="0"/>
            <a:ea typeface="SimHei"/>
            <a:cs typeface="Arial" pitchFamily="34" charset="0"/>
          </a:endParaRPr>
        </a:p>
        <a:p>
          <a:pPr algn="l" rtl="0">
            <a:defRPr sz="1000"/>
          </a:pPr>
          <a:endParaRPr lang="en-US" sz="800" b="1" i="0" strike="noStrike">
            <a:solidFill>
              <a:srgbClr val="000000"/>
            </a:solidFill>
            <a:latin typeface="Arial" pitchFamily="34" charset="0"/>
            <a:ea typeface="SimHei"/>
            <a:cs typeface="Arial" pitchFamily="34" charset="0"/>
          </a:endParaRPr>
        </a:p>
        <a:p>
          <a:pPr algn="l" rtl="0">
            <a:defRPr sz="1000"/>
          </a:pPr>
          <a:r>
            <a:rPr lang="en-US" sz="800" b="1" i="0" strike="noStrike">
              <a:solidFill>
                <a:srgbClr val="000000"/>
              </a:solidFill>
              <a:latin typeface="Arial" pitchFamily="34" charset="0"/>
              <a:ea typeface="SimHei"/>
              <a:cs typeface="Arial" pitchFamily="34" charset="0"/>
            </a:rPr>
            <a:t>Pas Foto</a:t>
          </a:r>
          <a:endParaRPr lang="en-US" sz="800" b="0" i="0" strike="noStrike">
            <a:solidFill>
              <a:srgbClr val="000000"/>
            </a:solidFill>
            <a:latin typeface="Arial" pitchFamily="34" charset="0"/>
            <a:cs typeface="Arial" pitchFamily="34" charset="0"/>
          </a:endParaRPr>
        </a:p>
        <a:p>
          <a:pPr algn="l" rtl="0">
            <a:defRPr sz="1000"/>
          </a:pPr>
          <a:endParaRPr lang="en-US" sz="800" b="1" i="0" strike="noStrike">
            <a:solidFill>
              <a:srgbClr val="000000"/>
            </a:solidFill>
            <a:latin typeface="Arial" pitchFamily="34" charset="0"/>
            <a:ea typeface="SimHei"/>
            <a:cs typeface="Arial" pitchFamily="34" charset="0"/>
          </a:endParaRPr>
        </a:p>
        <a:p>
          <a:pPr algn="l" rtl="0">
            <a:defRPr sz="1000"/>
          </a:pPr>
          <a:r>
            <a:rPr lang="en-US" sz="800" b="1" i="0" strike="noStrike">
              <a:solidFill>
                <a:srgbClr val="000000"/>
              </a:solidFill>
              <a:latin typeface="Arial" pitchFamily="34" charset="0"/>
              <a:ea typeface="SimHei"/>
              <a:cs typeface="Arial" pitchFamily="34" charset="0"/>
            </a:rPr>
            <a:t>3 X 4 CM</a:t>
          </a:r>
        </a:p>
      </xdr:txBody>
    </xdr:sp>
    <xdr:clientData/>
  </xdr:twoCellAnchor>
  <xdr:twoCellAnchor editAs="oneCell">
    <xdr:from>
      <xdr:col>14</xdr:col>
      <xdr:colOff>476250</xdr:colOff>
      <xdr:row>5</xdr:row>
      <xdr:rowOff>66675</xdr:rowOff>
    </xdr:from>
    <xdr:to>
      <xdr:col>15</xdr:col>
      <xdr:colOff>354061</xdr:colOff>
      <xdr:row>7</xdr:row>
      <xdr:rowOff>66675</xdr:rowOff>
    </xdr:to>
    <xdr:pic>
      <xdr:nvPicPr>
        <xdr:cNvPr id="4" name="Picture 4">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rcRect/>
        <a:stretch>
          <a:fillRect/>
        </a:stretch>
      </xdr:blipFill>
      <xdr:spPr bwMode="auto">
        <a:xfrm>
          <a:off x="8172450" y="1457325"/>
          <a:ext cx="487411" cy="4953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mc:AlternateContent xmlns:mc="http://schemas.openxmlformats.org/markup-compatibility/2006">
    <mc:Choice xmlns:a14="http://schemas.microsoft.com/office/drawing/2010/main" Requires="a14">
      <xdr:twoCellAnchor>
        <xdr:from>
          <xdr:col>13</xdr:col>
          <xdr:colOff>114300</xdr:colOff>
          <xdr:row>4</xdr:row>
          <xdr:rowOff>171450</xdr:rowOff>
        </xdr:from>
        <xdr:to>
          <xdr:col>13</xdr:col>
          <xdr:colOff>581025</xdr:colOff>
          <xdr:row>8</xdr:row>
          <xdr:rowOff>180975</xdr:rowOff>
        </xdr:to>
        <xdr:sp macro="" textlink="">
          <xdr:nvSpPr>
            <xdr:cNvPr id="43009" name="Spinner 1" hidden="1">
              <a:extLst>
                <a:ext uri="{63B3BB69-23CF-44E3-9099-C40C66FF867C}">
                  <a14:compatExt spid="_x0000_s43009"/>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0</xdr:col>
      <xdr:colOff>161925</xdr:colOff>
      <xdr:row>0</xdr:row>
      <xdr:rowOff>38100</xdr:rowOff>
    </xdr:from>
    <xdr:to>
      <xdr:col>0</xdr:col>
      <xdr:colOff>536857</xdr:colOff>
      <xdr:row>2</xdr:row>
      <xdr:rowOff>38100</xdr:rowOff>
    </xdr:to>
    <xdr:pic>
      <xdr:nvPicPr>
        <xdr:cNvPr id="3" name="Picture 2">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61925" y="228600"/>
          <a:ext cx="374932" cy="3810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257175</xdr:colOff>
      <xdr:row>0</xdr:row>
      <xdr:rowOff>85725</xdr:rowOff>
    </xdr:from>
    <xdr:to>
      <xdr:col>1</xdr:col>
      <xdr:colOff>317782</xdr:colOff>
      <xdr:row>2</xdr:row>
      <xdr:rowOff>85725</xdr:rowOff>
    </xdr:to>
    <xdr:pic>
      <xdr:nvPicPr>
        <xdr:cNvPr id="3" name="Picture 2">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257175" y="85725"/>
          <a:ext cx="374932" cy="3810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295275</xdr:colOff>
      <xdr:row>0</xdr:row>
      <xdr:rowOff>114300</xdr:rowOff>
    </xdr:from>
    <xdr:to>
      <xdr:col>1</xdr:col>
      <xdr:colOff>365407</xdr:colOff>
      <xdr:row>2</xdr:row>
      <xdr:rowOff>114300</xdr:rowOff>
    </xdr:to>
    <xdr:pic>
      <xdr:nvPicPr>
        <xdr:cNvPr id="3" name="Picture 2">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295275" y="114300"/>
          <a:ext cx="374932" cy="3810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xdr:colOff>
      <xdr:row>0</xdr:row>
      <xdr:rowOff>161925</xdr:rowOff>
    </xdr:from>
    <xdr:to>
      <xdr:col>1</xdr:col>
      <xdr:colOff>470182</xdr:colOff>
      <xdr:row>2</xdr:row>
      <xdr:rowOff>171450</xdr:rowOff>
    </xdr:to>
    <xdr:pic>
      <xdr:nvPicPr>
        <xdr:cNvPr id="5"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352425" y="161925"/>
          <a:ext cx="374932" cy="3810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323850</xdr:colOff>
      <xdr:row>0</xdr:row>
      <xdr:rowOff>85725</xdr:rowOff>
    </xdr:from>
    <xdr:to>
      <xdr:col>1</xdr:col>
      <xdr:colOff>771525</xdr:colOff>
      <xdr:row>2</xdr:row>
      <xdr:rowOff>118704</xdr:rowOff>
    </xdr:to>
    <xdr:pic>
      <xdr:nvPicPr>
        <xdr:cNvPr id="5" name="Picture 4"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581025" y="85725"/>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47625</xdr:colOff>
      <xdr:row>0</xdr:row>
      <xdr:rowOff>95250</xdr:rowOff>
    </xdr:from>
    <xdr:to>
      <xdr:col>1</xdr:col>
      <xdr:colOff>228601</xdr:colOff>
      <xdr:row>2</xdr:row>
      <xdr:rowOff>88670</xdr:rowOff>
    </xdr:to>
    <xdr:pic>
      <xdr:nvPicPr>
        <xdr:cNvPr id="3" name="Picture 4">
          <a:hlinkClick xmlns:r="http://schemas.openxmlformats.org/officeDocument/2006/relationships" r:id="rId3"/>
        </xdr:cNvPr>
        <xdr:cNvPicPr>
          <a:picLocks noChangeAspect="1" noChangeArrowheads="1"/>
        </xdr:cNvPicPr>
      </xdr:nvPicPr>
      <xdr:blipFill>
        <a:blip xmlns:r="http://schemas.openxmlformats.org/officeDocument/2006/relationships" r:embed="rId4" cstate="print"/>
        <a:srcRect/>
        <a:stretch>
          <a:fillRect/>
        </a:stretch>
      </xdr:blipFill>
      <xdr:spPr bwMode="auto">
        <a:xfrm>
          <a:off x="47625" y="95250"/>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8.xml><?xml version="1.0" encoding="utf-8"?>
<xdr:wsDr xmlns:xdr="http://schemas.openxmlformats.org/drawingml/2006/spreadsheetDrawing" xmlns:a="http://schemas.openxmlformats.org/drawingml/2006/main">
  <xdr:twoCellAnchor editAs="oneCell">
    <xdr:from>
      <xdr:col>1</xdr:col>
      <xdr:colOff>447675</xdr:colOff>
      <xdr:row>0</xdr:row>
      <xdr:rowOff>152400</xdr:rowOff>
    </xdr:from>
    <xdr:to>
      <xdr:col>1</xdr:col>
      <xdr:colOff>895350</xdr:colOff>
      <xdr:row>2</xdr:row>
      <xdr:rowOff>185379</xdr:rowOff>
    </xdr:to>
    <xdr:pic>
      <xdr:nvPicPr>
        <xdr:cNvPr id="3" name="Picture 2"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762000" y="15240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161925</xdr:colOff>
      <xdr:row>0</xdr:row>
      <xdr:rowOff>152400</xdr:rowOff>
    </xdr:from>
    <xdr:to>
      <xdr:col>1</xdr:col>
      <xdr:colOff>285751</xdr:colOff>
      <xdr:row>2</xdr:row>
      <xdr:rowOff>145820</xdr:rowOff>
    </xdr:to>
    <xdr:pic>
      <xdr:nvPicPr>
        <xdr:cNvPr id="5" name="Picture 4">
          <a:hlinkClick xmlns:r="http://schemas.openxmlformats.org/officeDocument/2006/relationships" r:id="rId3"/>
        </xdr:cNvPr>
        <xdr:cNvPicPr>
          <a:picLocks noChangeAspect="1" noChangeArrowheads="1"/>
        </xdr:cNvPicPr>
      </xdr:nvPicPr>
      <xdr:blipFill>
        <a:blip xmlns:r="http://schemas.openxmlformats.org/officeDocument/2006/relationships" r:embed="rId4" cstate="print"/>
        <a:srcRect/>
        <a:stretch>
          <a:fillRect/>
        </a:stretch>
      </xdr:blipFill>
      <xdr:spPr bwMode="auto">
        <a:xfrm>
          <a:off x="161925" y="152400"/>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9.xml><?xml version="1.0" encoding="utf-8"?>
<xdr:wsDr xmlns:xdr="http://schemas.openxmlformats.org/drawingml/2006/spreadsheetDrawing" xmlns:a="http://schemas.openxmlformats.org/drawingml/2006/main">
  <xdr:twoCellAnchor editAs="oneCell">
    <xdr:from>
      <xdr:col>0</xdr:col>
      <xdr:colOff>190499</xdr:colOff>
      <xdr:row>0</xdr:row>
      <xdr:rowOff>114301</xdr:rowOff>
    </xdr:from>
    <xdr:to>
      <xdr:col>1</xdr:col>
      <xdr:colOff>314325</xdr:colOff>
      <xdr:row>2</xdr:row>
      <xdr:rowOff>107721</xdr:rowOff>
    </xdr:to>
    <xdr:pic>
      <xdr:nvPicPr>
        <xdr:cNvPr id="2"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90499" y="114301"/>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xdr:from>
      <xdr:col>1</xdr:col>
      <xdr:colOff>57150</xdr:colOff>
      <xdr:row>3</xdr:row>
      <xdr:rowOff>85725</xdr:rowOff>
    </xdr:from>
    <xdr:to>
      <xdr:col>1</xdr:col>
      <xdr:colOff>1562100</xdr:colOff>
      <xdr:row>4</xdr:row>
      <xdr:rowOff>85725</xdr:rowOff>
    </xdr:to>
    <xdr:sp macro="" textlink="">
      <xdr:nvSpPr>
        <xdr:cNvPr id="3" name="Rounded Rectangle 2">
          <a:hlinkClick xmlns:r="http://schemas.openxmlformats.org/officeDocument/2006/relationships" r:id="rId3"/>
        </xdr:cNvPr>
        <xdr:cNvSpPr/>
      </xdr:nvSpPr>
      <xdr:spPr>
        <a:xfrm>
          <a:off x="371475" y="847725"/>
          <a:ext cx="1504950" cy="190500"/>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523875</xdr:colOff>
      <xdr:row>0</xdr:row>
      <xdr:rowOff>123825</xdr:rowOff>
    </xdr:from>
    <xdr:to>
      <xdr:col>1</xdr:col>
      <xdr:colOff>933450</xdr:colOff>
      <xdr:row>2</xdr:row>
      <xdr:rowOff>121572</xdr:rowOff>
    </xdr:to>
    <xdr:pic>
      <xdr:nvPicPr>
        <xdr:cNvPr id="4" name="Picture 3" descr="https://encrypted-tbn2.gstatic.com/images?q=tbn:ANd9GcQPmkby_pF1mneCprIhuoJmxy7NBJv32vzQTM7E-zn5K3yqIWiJ">
          <a:hlinkClick xmlns:r="http://schemas.openxmlformats.org/officeDocument/2006/relationships" r:id="rId4"/>
        </xdr:cNvPr>
        <xdr:cNvPicPr>
          <a:picLocks noChangeAspect="1" noChangeArrowheads="1"/>
        </xdr:cNvPicPr>
      </xdr:nvPicPr>
      <xdr:blipFill>
        <a:blip xmlns:r="http://schemas.openxmlformats.org/officeDocument/2006/relationships" r:embed="rId5"/>
        <a:stretch>
          <a:fillRect/>
        </a:stretch>
      </xdr:blipFill>
      <xdr:spPr bwMode="auto">
        <a:xfrm>
          <a:off x="838200" y="123825"/>
          <a:ext cx="409575" cy="378747"/>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10.xml><?xml version="1.0" encoding="utf-8"?>
<xdr:wsDr xmlns:xdr="http://schemas.openxmlformats.org/drawingml/2006/spreadsheetDrawing" xmlns:a="http://schemas.openxmlformats.org/drawingml/2006/main">
  <xdr:twoCellAnchor>
    <xdr:from>
      <xdr:col>1</xdr:col>
      <xdr:colOff>31750</xdr:colOff>
      <xdr:row>3</xdr:row>
      <xdr:rowOff>0</xdr:rowOff>
    </xdr:from>
    <xdr:to>
      <xdr:col>1</xdr:col>
      <xdr:colOff>1536700</xdr:colOff>
      <xdr:row>4</xdr:row>
      <xdr:rowOff>76200</xdr:rowOff>
    </xdr:to>
    <xdr:sp macro="" textlink="">
      <xdr:nvSpPr>
        <xdr:cNvPr id="3" name="Rounded Rectangle 2">
          <a:hlinkClick xmlns:r="http://schemas.openxmlformats.org/officeDocument/2006/relationships" r:id="rId1"/>
        </xdr:cNvPr>
        <xdr:cNvSpPr/>
      </xdr:nvSpPr>
      <xdr:spPr>
        <a:xfrm>
          <a:off x="346075" y="600075"/>
          <a:ext cx="1504950" cy="266700"/>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323851</xdr:colOff>
      <xdr:row>0</xdr:row>
      <xdr:rowOff>104776</xdr:rowOff>
    </xdr:from>
    <xdr:to>
      <xdr:col>1</xdr:col>
      <xdr:colOff>685801</xdr:colOff>
      <xdr:row>2</xdr:row>
      <xdr:rowOff>39432</xdr:rowOff>
    </xdr:to>
    <xdr:pic>
      <xdr:nvPicPr>
        <xdr:cNvPr id="4" name="Picture 3" descr="https://encrypted-tbn2.gstatic.com/images?q=tbn:ANd9GcQPmkby_pF1mneCprIhuoJmxy7NBJv32vzQTM7E-zn5K3yqIWiJ">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tretch>
          <a:fillRect/>
        </a:stretch>
      </xdr:blipFill>
      <xdr:spPr bwMode="auto">
        <a:xfrm>
          <a:off x="638176" y="104776"/>
          <a:ext cx="361950" cy="334706"/>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95251</xdr:colOff>
      <xdr:row>0</xdr:row>
      <xdr:rowOff>95250</xdr:rowOff>
    </xdr:from>
    <xdr:to>
      <xdr:col>1</xdr:col>
      <xdr:colOff>155858</xdr:colOff>
      <xdr:row>2</xdr:row>
      <xdr:rowOff>76200</xdr:rowOff>
    </xdr:to>
    <xdr:pic>
      <xdr:nvPicPr>
        <xdr:cNvPr id="5" name="Picture 4">
          <a:hlinkClick xmlns:r="http://schemas.openxmlformats.org/officeDocument/2006/relationships" r:id="rId4"/>
        </xdr:cNvPr>
        <xdr:cNvPicPr>
          <a:picLocks noChangeAspect="1" noChangeArrowheads="1"/>
        </xdr:cNvPicPr>
      </xdr:nvPicPr>
      <xdr:blipFill>
        <a:blip xmlns:r="http://schemas.openxmlformats.org/officeDocument/2006/relationships" r:embed="rId5" cstate="print"/>
        <a:srcRect/>
        <a:stretch>
          <a:fillRect/>
        </a:stretch>
      </xdr:blipFill>
      <xdr:spPr bwMode="auto">
        <a:xfrm>
          <a:off x="95251" y="95250"/>
          <a:ext cx="374932" cy="3810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11.xml><?xml version="1.0" encoding="utf-8"?>
<xdr:wsDr xmlns:xdr="http://schemas.openxmlformats.org/drawingml/2006/spreadsheetDrawing" xmlns:a="http://schemas.openxmlformats.org/drawingml/2006/main">
  <xdr:twoCellAnchor>
    <xdr:from>
      <xdr:col>14</xdr:col>
      <xdr:colOff>136526</xdr:colOff>
      <xdr:row>1</xdr:row>
      <xdr:rowOff>0</xdr:rowOff>
    </xdr:from>
    <xdr:to>
      <xdr:col>16</xdr:col>
      <xdr:colOff>317500</xdr:colOff>
      <xdr:row>4</xdr:row>
      <xdr:rowOff>171450</xdr:rowOff>
    </xdr:to>
    <xdr:sp macro="" textlink="">
      <xdr:nvSpPr>
        <xdr:cNvPr id="2" name="Rounded Rectangular Callout 1"/>
        <xdr:cNvSpPr/>
      </xdr:nvSpPr>
      <xdr:spPr>
        <a:xfrm>
          <a:off x="7794626" y="66675"/>
          <a:ext cx="1400174" cy="742950"/>
        </a:xfrm>
        <a:prstGeom prst="wedgeRoundRectCallout">
          <a:avLst>
            <a:gd name="adj1" fmla="val -58153"/>
            <a:gd name="adj2" fmla="val -245"/>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200" b="1">
              <a:solidFill>
                <a:schemeClr val="tx1"/>
              </a:solidFill>
            </a:rPr>
            <a:t>klik tanda panah untuk menentukan nomor urut siswa</a:t>
          </a:r>
        </a:p>
      </xdr:txBody>
    </xdr:sp>
    <xdr:clientData/>
  </xdr:twoCellAnchor>
  <xdr:twoCellAnchor>
    <xdr:from>
      <xdr:col>12</xdr:col>
      <xdr:colOff>228600</xdr:colOff>
      <xdr:row>6</xdr:row>
      <xdr:rowOff>133351</xdr:rowOff>
    </xdr:from>
    <xdr:to>
      <xdr:col>15</xdr:col>
      <xdr:colOff>466725</xdr:colOff>
      <xdr:row>11</xdr:row>
      <xdr:rowOff>0</xdr:rowOff>
    </xdr:to>
    <xdr:sp macro="" textlink="">
      <xdr:nvSpPr>
        <xdr:cNvPr id="3" name="Rounded Rectangle 2"/>
        <xdr:cNvSpPr/>
      </xdr:nvSpPr>
      <xdr:spPr>
        <a:xfrm>
          <a:off x="6667500" y="1152526"/>
          <a:ext cx="2066925" cy="1000124"/>
        </a:xfrm>
        <a:prstGeom prst="roundRect">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cetak rapot dengan ukuran kertas A4</a:t>
          </a:r>
        </a:p>
      </xdr:txBody>
    </xdr:sp>
    <xdr:clientData/>
  </xdr:twoCellAnchor>
  <xdr:twoCellAnchor editAs="oneCell">
    <xdr:from>
      <xdr:col>11</xdr:col>
      <xdr:colOff>47625</xdr:colOff>
      <xdr:row>0</xdr:row>
      <xdr:rowOff>47625</xdr:rowOff>
    </xdr:from>
    <xdr:to>
      <xdr:col>11</xdr:col>
      <xdr:colOff>535036</xdr:colOff>
      <xdr:row>3</xdr:row>
      <xdr:rowOff>95250</xdr:rowOff>
    </xdr:to>
    <xdr:pic>
      <xdr:nvPicPr>
        <xdr:cNvPr id="4"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5876925" y="47625"/>
          <a:ext cx="487411" cy="4953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twoCellAnchor>
    <xdr:from>
      <xdr:col>12</xdr:col>
      <xdr:colOff>257175</xdr:colOff>
      <xdr:row>21</xdr:row>
      <xdr:rowOff>0</xdr:rowOff>
    </xdr:from>
    <xdr:to>
      <xdr:col>14</xdr:col>
      <xdr:colOff>28575</xdr:colOff>
      <xdr:row>25</xdr:row>
      <xdr:rowOff>0</xdr:rowOff>
    </xdr:to>
    <xdr:sp macro="" textlink="">
      <xdr:nvSpPr>
        <xdr:cNvPr id="5" name="Rounded Rectangular Callout 4"/>
        <xdr:cNvSpPr/>
      </xdr:nvSpPr>
      <xdr:spPr>
        <a:xfrm>
          <a:off x="6696075" y="4657725"/>
          <a:ext cx="990600" cy="8382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agama</a:t>
          </a:r>
        </a:p>
      </xdr:txBody>
    </xdr:sp>
    <xdr:clientData/>
  </xdr:twoCellAnchor>
  <xdr:twoCellAnchor>
    <xdr:from>
      <xdr:col>12</xdr:col>
      <xdr:colOff>200025</xdr:colOff>
      <xdr:row>26</xdr:row>
      <xdr:rowOff>152401</xdr:rowOff>
    </xdr:from>
    <xdr:to>
      <xdr:col>13</xdr:col>
      <xdr:colOff>581025</xdr:colOff>
      <xdr:row>30</xdr:row>
      <xdr:rowOff>1</xdr:rowOff>
    </xdr:to>
    <xdr:sp macro="" textlink="">
      <xdr:nvSpPr>
        <xdr:cNvPr id="6" name="Rounded Rectangular Callout 5"/>
        <xdr:cNvSpPr/>
      </xdr:nvSpPr>
      <xdr:spPr>
        <a:xfrm>
          <a:off x="6705600" y="5000626"/>
          <a:ext cx="990600" cy="62865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pkn</a:t>
          </a:r>
        </a:p>
      </xdr:txBody>
    </xdr:sp>
    <xdr:clientData/>
  </xdr:twoCellAnchor>
  <xdr:twoCellAnchor>
    <xdr:from>
      <xdr:col>12</xdr:col>
      <xdr:colOff>180975</xdr:colOff>
      <xdr:row>33</xdr:row>
      <xdr:rowOff>28575</xdr:rowOff>
    </xdr:from>
    <xdr:to>
      <xdr:col>13</xdr:col>
      <xdr:colOff>561975</xdr:colOff>
      <xdr:row>39</xdr:row>
      <xdr:rowOff>0</xdr:rowOff>
    </xdr:to>
    <xdr:sp macro="" textlink="">
      <xdr:nvSpPr>
        <xdr:cNvPr id="7" name="Rounded Rectangular Callout 6"/>
        <xdr:cNvSpPr/>
      </xdr:nvSpPr>
      <xdr:spPr>
        <a:xfrm>
          <a:off x="6686550" y="6229350"/>
          <a:ext cx="990600" cy="1114425"/>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b indo</a:t>
          </a:r>
        </a:p>
      </xdr:txBody>
    </xdr:sp>
    <xdr:clientData/>
  </xdr:twoCellAnchor>
  <xdr:twoCellAnchor>
    <xdr:from>
      <xdr:col>12</xdr:col>
      <xdr:colOff>200025</xdr:colOff>
      <xdr:row>43</xdr:row>
      <xdr:rowOff>19050</xdr:rowOff>
    </xdr:from>
    <xdr:to>
      <xdr:col>13</xdr:col>
      <xdr:colOff>581025</xdr:colOff>
      <xdr:row>46</xdr:row>
      <xdr:rowOff>0</xdr:rowOff>
    </xdr:to>
    <xdr:sp macro="" textlink="">
      <xdr:nvSpPr>
        <xdr:cNvPr id="8" name="Rounded Rectangular Callout 7"/>
        <xdr:cNvSpPr/>
      </xdr:nvSpPr>
      <xdr:spPr>
        <a:xfrm>
          <a:off x="6638925" y="10220325"/>
          <a:ext cx="990600" cy="8382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mat</a:t>
          </a:r>
        </a:p>
      </xdr:txBody>
    </xdr:sp>
    <xdr:clientData/>
  </xdr:twoCellAnchor>
  <xdr:twoCellAnchor>
    <xdr:from>
      <xdr:col>12</xdr:col>
      <xdr:colOff>323850</xdr:colOff>
      <xdr:row>60</xdr:row>
      <xdr:rowOff>161925</xdr:rowOff>
    </xdr:from>
    <xdr:to>
      <xdr:col>14</xdr:col>
      <xdr:colOff>95250</xdr:colOff>
      <xdr:row>64</xdr:row>
      <xdr:rowOff>0</xdr:rowOff>
    </xdr:to>
    <xdr:sp macro="" textlink="">
      <xdr:nvSpPr>
        <xdr:cNvPr id="9" name="Rounded Rectangular Callout 8"/>
        <xdr:cNvSpPr/>
      </xdr:nvSpPr>
      <xdr:spPr>
        <a:xfrm>
          <a:off x="6829425" y="11506200"/>
          <a:ext cx="990600" cy="600075"/>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SBDP</a:t>
          </a:r>
        </a:p>
      </xdr:txBody>
    </xdr:sp>
    <xdr:clientData/>
  </xdr:twoCellAnchor>
  <xdr:twoCellAnchor>
    <xdr:from>
      <xdr:col>12</xdr:col>
      <xdr:colOff>180975</xdr:colOff>
      <xdr:row>65</xdr:row>
      <xdr:rowOff>104775</xdr:rowOff>
    </xdr:from>
    <xdr:to>
      <xdr:col>13</xdr:col>
      <xdr:colOff>561975</xdr:colOff>
      <xdr:row>69</xdr:row>
      <xdr:rowOff>180975</xdr:rowOff>
    </xdr:to>
    <xdr:sp macro="" textlink="">
      <xdr:nvSpPr>
        <xdr:cNvPr id="10" name="Rounded Rectangular Callout 9"/>
        <xdr:cNvSpPr/>
      </xdr:nvSpPr>
      <xdr:spPr>
        <a:xfrm>
          <a:off x="6619875" y="9734550"/>
          <a:ext cx="990600" cy="8382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PJOK</a:t>
          </a:r>
        </a:p>
      </xdr:txBody>
    </xdr:sp>
    <xdr:clientData/>
  </xdr:twoCellAnchor>
  <xdr:twoCellAnchor>
    <xdr:from>
      <xdr:col>12</xdr:col>
      <xdr:colOff>200025</xdr:colOff>
      <xdr:row>72</xdr:row>
      <xdr:rowOff>38100</xdr:rowOff>
    </xdr:from>
    <xdr:to>
      <xdr:col>13</xdr:col>
      <xdr:colOff>581025</xdr:colOff>
      <xdr:row>75</xdr:row>
      <xdr:rowOff>0</xdr:rowOff>
    </xdr:to>
    <xdr:sp macro="" textlink="">
      <xdr:nvSpPr>
        <xdr:cNvPr id="11" name="Rounded Rectangular Callout 10"/>
        <xdr:cNvSpPr/>
      </xdr:nvSpPr>
      <xdr:spPr>
        <a:xfrm>
          <a:off x="6638925" y="11001375"/>
          <a:ext cx="990600" cy="8382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B JAWA</a:t>
          </a:r>
        </a:p>
      </xdr:txBody>
    </xdr:sp>
    <xdr:clientData/>
  </xdr:twoCellAnchor>
  <xdr:twoCellAnchor>
    <xdr:from>
      <xdr:col>12</xdr:col>
      <xdr:colOff>228600</xdr:colOff>
      <xdr:row>79</xdr:row>
      <xdr:rowOff>152400</xdr:rowOff>
    </xdr:from>
    <xdr:to>
      <xdr:col>14</xdr:col>
      <xdr:colOff>0</xdr:colOff>
      <xdr:row>84</xdr:row>
      <xdr:rowOff>38100</xdr:rowOff>
    </xdr:to>
    <xdr:sp macro="" textlink="">
      <xdr:nvSpPr>
        <xdr:cNvPr id="12" name="Rounded Rectangular Callout 11"/>
        <xdr:cNvSpPr/>
      </xdr:nvSpPr>
      <xdr:spPr>
        <a:xfrm>
          <a:off x="6667500" y="20269200"/>
          <a:ext cx="990600" cy="10287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agama</a:t>
          </a:r>
        </a:p>
      </xdr:txBody>
    </xdr:sp>
    <xdr:clientData/>
  </xdr:twoCellAnchor>
  <xdr:twoCellAnchor>
    <xdr:from>
      <xdr:col>12</xdr:col>
      <xdr:colOff>180975</xdr:colOff>
      <xdr:row>87</xdr:row>
      <xdr:rowOff>9525</xdr:rowOff>
    </xdr:from>
    <xdr:to>
      <xdr:col>13</xdr:col>
      <xdr:colOff>561975</xdr:colOff>
      <xdr:row>90</xdr:row>
      <xdr:rowOff>85725</xdr:rowOff>
    </xdr:to>
    <xdr:sp macro="" textlink="">
      <xdr:nvSpPr>
        <xdr:cNvPr id="13" name="Rounded Rectangular Callout 12"/>
        <xdr:cNvSpPr/>
      </xdr:nvSpPr>
      <xdr:spPr>
        <a:xfrm>
          <a:off x="6619875" y="21840825"/>
          <a:ext cx="990600" cy="8382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pkn</a:t>
          </a:r>
        </a:p>
      </xdr:txBody>
    </xdr:sp>
    <xdr:clientData/>
  </xdr:twoCellAnchor>
  <xdr:twoCellAnchor>
    <xdr:from>
      <xdr:col>12</xdr:col>
      <xdr:colOff>219075</xdr:colOff>
      <xdr:row>93</xdr:row>
      <xdr:rowOff>66675</xdr:rowOff>
    </xdr:from>
    <xdr:to>
      <xdr:col>13</xdr:col>
      <xdr:colOff>600075</xdr:colOff>
      <xdr:row>97</xdr:row>
      <xdr:rowOff>142875</xdr:rowOff>
    </xdr:to>
    <xdr:sp macro="" textlink="">
      <xdr:nvSpPr>
        <xdr:cNvPr id="14" name="Rounded Rectangular Callout 13"/>
        <xdr:cNvSpPr/>
      </xdr:nvSpPr>
      <xdr:spPr>
        <a:xfrm>
          <a:off x="6657975" y="23231475"/>
          <a:ext cx="990600" cy="10287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b indo</a:t>
          </a:r>
        </a:p>
      </xdr:txBody>
    </xdr:sp>
    <xdr:clientData/>
  </xdr:twoCellAnchor>
  <xdr:twoCellAnchor>
    <xdr:from>
      <xdr:col>12</xdr:col>
      <xdr:colOff>190500</xdr:colOff>
      <xdr:row>98</xdr:row>
      <xdr:rowOff>142875</xdr:rowOff>
    </xdr:from>
    <xdr:to>
      <xdr:col>13</xdr:col>
      <xdr:colOff>571500</xdr:colOff>
      <xdr:row>102</xdr:row>
      <xdr:rowOff>28575</xdr:rowOff>
    </xdr:to>
    <xdr:sp macro="" textlink="">
      <xdr:nvSpPr>
        <xdr:cNvPr id="15" name="Rounded Rectangular Callout 14"/>
        <xdr:cNvSpPr/>
      </xdr:nvSpPr>
      <xdr:spPr>
        <a:xfrm>
          <a:off x="6629400" y="24450675"/>
          <a:ext cx="990600" cy="8382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mat</a:t>
          </a:r>
        </a:p>
      </xdr:txBody>
    </xdr:sp>
    <xdr:clientData/>
  </xdr:twoCellAnchor>
  <xdr:twoCellAnchor>
    <xdr:from>
      <xdr:col>12</xdr:col>
      <xdr:colOff>180975</xdr:colOff>
      <xdr:row>119</xdr:row>
      <xdr:rowOff>133350</xdr:rowOff>
    </xdr:from>
    <xdr:to>
      <xdr:col>13</xdr:col>
      <xdr:colOff>561975</xdr:colOff>
      <xdr:row>123</xdr:row>
      <xdr:rowOff>19050</xdr:rowOff>
    </xdr:to>
    <xdr:sp macro="" textlink="">
      <xdr:nvSpPr>
        <xdr:cNvPr id="16" name="Rounded Rectangular Callout 15"/>
        <xdr:cNvSpPr/>
      </xdr:nvSpPr>
      <xdr:spPr>
        <a:xfrm>
          <a:off x="6619875" y="25774650"/>
          <a:ext cx="990600" cy="8382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SBDP</a:t>
          </a:r>
        </a:p>
      </xdr:txBody>
    </xdr:sp>
    <xdr:clientData/>
  </xdr:twoCellAnchor>
  <xdr:twoCellAnchor>
    <xdr:from>
      <xdr:col>12</xdr:col>
      <xdr:colOff>200025</xdr:colOff>
      <xdr:row>125</xdr:row>
      <xdr:rowOff>57150</xdr:rowOff>
    </xdr:from>
    <xdr:to>
      <xdr:col>13</xdr:col>
      <xdr:colOff>581025</xdr:colOff>
      <xdr:row>130</xdr:row>
      <xdr:rowOff>0</xdr:rowOff>
    </xdr:to>
    <xdr:sp macro="" textlink="">
      <xdr:nvSpPr>
        <xdr:cNvPr id="17" name="Rounded Rectangular Callout 16"/>
        <xdr:cNvSpPr/>
      </xdr:nvSpPr>
      <xdr:spPr>
        <a:xfrm>
          <a:off x="6638925" y="27031950"/>
          <a:ext cx="990600" cy="89535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PJOK</a:t>
          </a:r>
        </a:p>
      </xdr:txBody>
    </xdr:sp>
    <xdr:clientData/>
  </xdr:twoCellAnchor>
  <xdr:twoCellAnchor>
    <xdr:from>
      <xdr:col>12</xdr:col>
      <xdr:colOff>257175</xdr:colOff>
      <xdr:row>131</xdr:row>
      <xdr:rowOff>95250</xdr:rowOff>
    </xdr:from>
    <xdr:to>
      <xdr:col>14</xdr:col>
      <xdr:colOff>28575</xdr:colOff>
      <xdr:row>135</xdr:row>
      <xdr:rowOff>171450</xdr:rowOff>
    </xdr:to>
    <xdr:sp macro="" textlink="">
      <xdr:nvSpPr>
        <xdr:cNvPr id="18" name="Rounded Rectangular Callout 17"/>
        <xdr:cNvSpPr/>
      </xdr:nvSpPr>
      <xdr:spPr>
        <a:xfrm>
          <a:off x="6696075" y="28213050"/>
          <a:ext cx="990600" cy="12192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B JAWA</a:t>
          </a:r>
        </a:p>
      </xdr:txBody>
    </xdr:sp>
    <xdr:clientData/>
  </xdr:twoCellAnchor>
  <xdr:twoCellAnchor>
    <xdr:from>
      <xdr:col>12</xdr:col>
      <xdr:colOff>209550</xdr:colOff>
      <xdr:row>47</xdr:row>
      <xdr:rowOff>180975</xdr:rowOff>
    </xdr:from>
    <xdr:to>
      <xdr:col>13</xdr:col>
      <xdr:colOff>590550</xdr:colOff>
      <xdr:row>51</xdr:row>
      <xdr:rowOff>0</xdr:rowOff>
    </xdr:to>
    <xdr:sp macro="" textlink="">
      <xdr:nvSpPr>
        <xdr:cNvPr id="19" name="Rounded Rectangular Callout 18"/>
        <xdr:cNvSpPr/>
      </xdr:nvSpPr>
      <xdr:spPr>
        <a:xfrm>
          <a:off x="6715125" y="9048750"/>
          <a:ext cx="990600" cy="581025"/>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IPA</a:t>
          </a:r>
        </a:p>
      </xdr:txBody>
    </xdr:sp>
    <xdr:clientData/>
  </xdr:twoCellAnchor>
  <xdr:twoCellAnchor>
    <xdr:from>
      <xdr:col>12</xdr:col>
      <xdr:colOff>247650</xdr:colOff>
      <xdr:row>53</xdr:row>
      <xdr:rowOff>95250</xdr:rowOff>
    </xdr:from>
    <xdr:to>
      <xdr:col>14</xdr:col>
      <xdr:colOff>19050</xdr:colOff>
      <xdr:row>58</xdr:row>
      <xdr:rowOff>76200</xdr:rowOff>
    </xdr:to>
    <xdr:sp macro="" textlink="">
      <xdr:nvSpPr>
        <xdr:cNvPr id="20" name="Rounded Rectangular Callout 19"/>
        <xdr:cNvSpPr/>
      </xdr:nvSpPr>
      <xdr:spPr>
        <a:xfrm>
          <a:off x="6686550" y="10106025"/>
          <a:ext cx="990600" cy="55245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IPs</a:t>
          </a:r>
        </a:p>
      </xdr:txBody>
    </xdr:sp>
    <xdr:clientData/>
  </xdr:twoCellAnchor>
  <xdr:twoCellAnchor>
    <xdr:from>
      <xdr:col>12</xdr:col>
      <xdr:colOff>133350</xdr:colOff>
      <xdr:row>103</xdr:row>
      <xdr:rowOff>161925</xdr:rowOff>
    </xdr:from>
    <xdr:to>
      <xdr:col>13</xdr:col>
      <xdr:colOff>514350</xdr:colOff>
      <xdr:row>108</xdr:row>
      <xdr:rowOff>47625</xdr:rowOff>
    </xdr:to>
    <xdr:sp macro="" textlink="">
      <xdr:nvSpPr>
        <xdr:cNvPr id="21" name="Rounded Rectangular Callout 20"/>
        <xdr:cNvSpPr/>
      </xdr:nvSpPr>
      <xdr:spPr>
        <a:xfrm>
          <a:off x="6572250" y="19897725"/>
          <a:ext cx="990600" cy="6477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IPA</a:t>
          </a:r>
        </a:p>
      </xdr:txBody>
    </xdr:sp>
    <xdr:clientData/>
  </xdr:twoCellAnchor>
  <xdr:twoCellAnchor>
    <xdr:from>
      <xdr:col>12</xdr:col>
      <xdr:colOff>171450</xdr:colOff>
      <xdr:row>110</xdr:row>
      <xdr:rowOff>152400</xdr:rowOff>
    </xdr:from>
    <xdr:to>
      <xdr:col>13</xdr:col>
      <xdr:colOff>552450</xdr:colOff>
      <xdr:row>116</xdr:row>
      <xdr:rowOff>38100</xdr:rowOff>
    </xdr:to>
    <xdr:sp macro="" textlink="">
      <xdr:nvSpPr>
        <xdr:cNvPr id="22" name="Rounded Rectangular Callout 21"/>
        <xdr:cNvSpPr/>
      </xdr:nvSpPr>
      <xdr:spPr>
        <a:xfrm>
          <a:off x="6610350" y="21031200"/>
          <a:ext cx="990600" cy="647700"/>
        </a:xfrm>
        <a:prstGeom prst="wedgeRoundRectCallout">
          <a:avLst>
            <a:gd name="adj1" fmla="val -93910"/>
            <a:gd name="adj2" fmla="val -19318"/>
            <a:gd name="adj3" fmla="val 16667"/>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en-US" sz="1800" b="1">
              <a:solidFill>
                <a:schemeClr val="tx1"/>
              </a:solidFill>
            </a:rPr>
            <a:t>IPs</a:t>
          </a:r>
        </a:p>
      </xdr:txBody>
    </xdr:sp>
    <xdr:clientData/>
  </xdr:twoCellAnchor>
  <mc:AlternateContent xmlns:mc="http://schemas.openxmlformats.org/markup-compatibility/2006">
    <mc:Choice xmlns:a14="http://schemas.microsoft.com/office/drawing/2010/main" Requires="a14">
      <xdr:twoCellAnchor>
        <xdr:from>
          <xdr:col>13</xdr:col>
          <xdr:colOff>114300</xdr:colOff>
          <xdr:row>1</xdr:row>
          <xdr:rowOff>0</xdr:rowOff>
        </xdr:from>
        <xdr:to>
          <xdr:col>13</xdr:col>
          <xdr:colOff>552450</xdr:colOff>
          <xdr:row>4</xdr:row>
          <xdr:rowOff>123825</xdr:rowOff>
        </xdr:to>
        <xdr:sp macro="" textlink="">
          <xdr:nvSpPr>
            <xdr:cNvPr id="1025" name="Spinner 1" hidden="1">
              <a:extLst>
                <a:ext uri="{63B3BB69-23CF-44E3-9099-C40C66FF867C}">
                  <a14:compatExt spid="_x0000_s1025"/>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xdr:twoCellAnchor editAs="oneCell">
    <xdr:from>
      <xdr:col>1</xdr:col>
      <xdr:colOff>19050</xdr:colOff>
      <xdr:row>0</xdr:row>
      <xdr:rowOff>95250</xdr:rowOff>
    </xdr:from>
    <xdr:to>
      <xdr:col>1</xdr:col>
      <xdr:colOff>466725</xdr:colOff>
      <xdr:row>2</xdr:row>
      <xdr:rowOff>128229</xdr:rowOff>
    </xdr:to>
    <xdr:pic>
      <xdr:nvPicPr>
        <xdr:cNvPr id="4" name="Picture 3"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285750" y="9525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28575</xdr:colOff>
      <xdr:row>1</xdr:row>
      <xdr:rowOff>0</xdr:rowOff>
    </xdr:from>
    <xdr:to>
      <xdr:col>1</xdr:col>
      <xdr:colOff>476250</xdr:colOff>
      <xdr:row>3</xdr:row>
      <xdr:rowOff>32979</xdr:rowOff>
    </xdr:to>
    <xdr:pic>
      <xdr:nvPicPr>
        <xdr:cNvPr id="3" name="Picture 2"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219075" y="19050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28575</xdr:colOff>
      <xdr:row>0</xdr:row>
      <xdr:rowOff>123825</xdr:rowOff>
    </xdr:from>
    <xdr:to>
      <xdr:col>1</xdr:col>
      <xdr:colOff>476250</xdr:colOff>
      <xdr:row>2</xdr:row>
      <xdr:rowOff>109179</xdr:rowOff>
    </xdr:to>
    <xdr:pic>
      <xdr:nvPicPr>
        <xdr:cNvPr id="4" name="Picture 3"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409575" y="123825"/>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400997</xdr:colOff>
      <xdr:row>4</xdr:row>
      <xdr:rowOff>86782</xdr:rowOff>
    </xdr:from>
    <xdr:to>
      <xdr:col>3</xdr:col>
      <xdr:colOff>283522</xdr:colOff>
      <xdr:row>6</xdr:row>
      <xdr:rowOff>44448</xdr:rowOff>
    </xdr:to>
    <xdr:sp macro="" textlink="">
      <xdr:nvSpPr>
        <xdr:cNvPr id="2" name="Rounded Rectangle 1">
          <a:hlinkClick xmlns:r="http://schemas.openxmlformats.org/officeDocument/2006/relationships" r:id="rId1"/>
        </xdr:cNvPr>
        <xdr:cNvSpPr/>
      </xdr:nvSpPr>
      <xdr:spPr>
        <a:xfrm>
          <a:off x="400997" y="848782"/>
          <a:ext cx="1711325" cy="348191"/>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PEND</a:t>
          </a:r>
          <a:r>
            <a:rPr lang="en-US" sz="1800" b="1" baseline="0">
              <a:solidFill>
                <a:schemeClr val="tx1"/>
              </a:solidFill>
            </a:rPr>
            <a:t> AGAMA</a:t>
          </a:r>
          <a:endParaRPr lang="en-US" sz="1800" b="1">
            <a:solidFill>
              <a:schemeClr val="tx1"/>
            </a:solidFill>
          </a:endParaRPr>
        </a:p>
      </xdr:txBody>
    </xdr:sp>
    <xdr:clientData/>
  </xdr:twoCellAnchor>
  <xdr:twoCellAnchor>
    <xdr:from>
      <xdr:col>5</xdr:col>
      <xdr:colOff>432215</xdr:colOff>
      <xdr:row>4</xdr:row>
      <xdr:rowOff>110566</xdr:rowOff>
    </xdr:from>
    <xdr:to>
      <xdr:col>8</xdr:col>
      <xdr:colOff>314740</xdr:colOff>
      <xdr:row>6</xdr:row>
      <xdr:rowOff>58708</xdr:rowOff>
    </xdr:to>
    <xdr:sp macro="" textlink="">
      <xdr:nvSpPr>
        <xdr:cNvPr id="3" name="Rounded Rectangle 2">
          <a:hlinkClick xmlns:r="http://schemas.openxmlformats.org/officeDocument/2006/relationships" r:id="rId2"/>
        </xdr:cNvPr>
        <xdr:cNvSpPr/>
      </xdr:nvSpPr>
      <xdr:spPr>
        <a:xfrm>
          <a:off x="3480215" y="872566"/>
          <a:ext cx="1711325" cy="338667"/>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P J OK</a:t>
          </a:r>
        </a:p>
      </xdr:txBody>
    </xdr:sp>
    <xdr:clientData/>
  </xdr:twoCellAnchor>
  <xdr:twoCellAnchor>
    <xdr:from>
      <xdr:col>1</xdr:col>
      <xdr:colOff>270821</xdr:colOff>
      <xdr:row>6</xdr:row>
      <xdr:rowOff>132817</xdr:rowOff>
    </xdr:from>
    <xdr:to>
      <xdr:col>4</xdr:col>
      <xdr:colOff>153346</xdr:colOff>
      <xdr:row>8</xdr:row>
      <xdr:rowOff>65084</xdr:rowOff>
    </xdr:to>
    <xdr:sp macro="" textlink="">
      <xdr:nvSpPr>
        <xdr:cNvPr id="4" name="Rounded Rectangle 3">
          <a:hlinkClick xmlns:r="http://schemas.openxmlformats.org/officeDocument/2006/relationships" r:id="rId3"/>
        </xdr:cNvPr>
        <xdr:cNvSpPr/>
      </xdr:nvSpPr>
      <xdr:spPr>
        <a:xfrm>
          <a:off x="880421" y="1285342"/>
          <a:ext cx="1711325" cy="313267"/>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PKN</a:t>
          </a:r>
        </a:p>
      </xdr:txBody>
    </xdr:sp>
    <xdr:clientData/>
  </xdr:twoCellAnchor>
  <xdr:twoCellAnchor>
    <xdr:from>
      <xdr:col>1</xdr:col>
      <xdr:colOff>275049</xdr:colOff>
      <xdr:row>8</xdr:row>
      <xdr:rowOff>167210</xdr:rowOff>
    </xdr:from>
    <xdr:to>
      <xdr:col>4</xdr:col>
      <xdr:colOff>157574</xdr:colOff>
      <xdr:row>10</xdr:row>
      <xdr:rowOff>137577</xdr:rowOff>
    </xdr:to>
    <xdr:sp macro="" textlink="">
      <xdr:nvSpPr>
        <xdr:cNvPr id="5" name="Rounded Rectangle 4">
          <a:hlinkClick xmlns:r="http://schemas.openxmlformats.org/officeDocument/2006/relationships" r:id="rId4"/>
        </xdr:cNvPr>
        <xdr:cNvSpPr/>
      </xdr:nvSpPr>
      <xdr:spPr>
        <a:xfrm>
          <a:off x="884649" y="1700735"/>
          <a:ext cx="1711325" cy="351367"/>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B INDO</a:t>
          </a:r>
        </a:p>
      </xdr:txBody>
    </xdr:sp>
    <xdr:clientData/>
  </xdr:twoCellAnchor>
  <xdr:twoCellAnchor>
    <xdr:from>
      <xdr:col>1</xdr:col>
      <xdr:colOff>276638</xdr:colOff>
      <xdr:row>11</xdr:row>
      <xdr:rowOff>45496</xdr:rowOff>
    </xdr:from>
    <xdr:to>
      <xdr:col>4</xdr:col>
      <xdr:colOff>159163</xdr:colOff>
      <xdr:row>13</xdr:row>
      <xdr:rowOff>1047</xdr:rowOff>
    </xdr:to>
    <xdr:sp macro="" textlink="">
      <xdr:nvSpPr>
        <xdr:cNvPr id="6" name="Rounded Rectangle 5">
          <a:hlinkClick xmlns:r="http://schemas.openxmlformats.org/officeDocument/2006/relationships" r:id="rId5"/>
        </xdr:cNvPr>
        <xdr:cNvSpPr/>
      </xdr:nvSpPr>
      <xdr:spPr>
        <a:xfrm>
          <a:off x="886238" y="2150521"/>
          <a:ext cx="1711325" cy="336551"/>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MATEMATIKA</a:t>
          </a:r>
        </a:p>
      </xdr:txBody>
    </xdr:sp>
    <xdr:clientData/>
  </xdr:twoCellAnchor>
  <xdr:twoCellAnchor>
    <xdr:from>
      <xdr:col>4</xdr:col>
      <xdr:colOff>443328</xdr:colOff>
      <xdr:row>9</xdr:row>
      <xdr:rowOff>1565</xdr:rowOff>
    </xdr:from>
    <xdr:to>
      <xdr:col>7</xdr:col>
      <xdr:colOff>325853</xdr:colOff>
      <xdr:row>10</xdr:row>
      <xdr:rowOff>141793</xdr:rowOff>
    </xdr:to>
    <xdr:sp macro="" textlink="">
      <xdr:nvSpPr>
        <xdr:cNvPr id="7" name="Rounded Rectangle 6">
          <a:hlinkClick xmlns:r="http://schemas.openxmlformats.org/officeDocument/2006/relationships" r:id="rId6"/>
        </xdr:cNvPr>
        <xdr:cNvSpPr/>
      </xdr:nvSpPr>
      <xdr:spPr>
        <a:xfrm>
          <a:off x="2881728" y="1725590"/>
          <a:ext cx="1711325" cy="330728"/>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B.</a:t>
          </a:r>
          <a:r>
            <a:rPr lang="en-US" sz="1800" b="1" baseline="0">
              <a:solidFill>
                <a:schemeClr val="tx1"/>
              </a:solidFill>
            </a:rPr>
            <a:t> JAWA</a:t>
          </a:r>
          <a:endParaRPr lang="en-US" sz="1800" b="1">
            <a:solidFill>
              <a:schemeClr val="tx1"/>
            </a:solidFill>
          </a:endParaRPr>
        </a:p>
      </xdr:txBody>
    </xdr:sp>
    <xdr:clientData/>
  </xdr:twoCellAnchor>
  <xdr:twoCellAnchor>
    <xdr:from>
      <xdr:col>4</xdr:col>
      <xdr:colOff>466610</xdr:colOff>
      <xdr:row>6</xdr:row>
      <xdr:rowOff>132264</xdr:rowOff>
    </xdr:from>
    <xdr:to>
      <xdr:col>7</xdr:col>
      <xdr:colOff>349135</xdr:colOff>
      <xdr:row>8</xdr:row>
      <xdr:rowOff>72467</xdr:rowOff>
    </xdr:to>
    <xdr:sp macro="" textlink="">
      <xdr:nvSpPr>
        <xdr:cNvPr id="8" name="Rounded Rectangle 7">
          <a:hlinkClick xmlns:r="http://schemas.openxmlformats.org/officeDocument/2006/relationships" r:id="rId7"/>
        </xdr:cNvPr>
        <xdr:cNvSpPr/>
      </xdr:nvSpPr>
      <xdr:spPr>
        <a:xfrm>
          <a:off x="2905010" y="1284789"/>
          <a:ext cx="1711325" cy="321203"/>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S B D P</a:t>
          </a:r>
        </a:p>
      </xdr:txBody>
    </xdr:sp>
    <xdr:clientData/>
  </xdr:twoCellAnchor>
  <xdr:twoCellAnchor>
    <xdr:from>
      <xdr:col>4</xdr:col>
      <xdr:colOff>571500</xdr:colOff>
      <xdr:row>18</xdr:row>
      <xdr:rowOff>28575</xdr:rowOff>
    </xdr:from>
    <xdr:to>
      <xdr:col>8</xdr:col>
      <xdr:colOff>206375</xdr:colOff>
      <xdr:row>19</xdr:row>
      <xdr:rowOff>176742</xdr:rowOff>
    </xdr:to>
    <xdr:sp macro="" textlink="">
      <xdr:nvSpPr>
        <xdr:cNvPr id="9" name="Rounded Rectangle 8">
          <a:hlinkClick xmlns:r="http://schemas.openxmlformats.org/officeDocument/2006/relationships" r:id="rId8"/>
        </xdr:cNvPr>
        <xdr:cNvSpPr/>
      </xdr:nvSpPr>
      <xdr:spPr>
        <a:xfrm>
          <a:off x="3009900" y="3467100"/>
          <a:ext cx="2073275" cy="338667"/>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id-ID" sz="1800" b="1">
              <a:solidFill>
                <a:schemeClr val="tx1"/>
              </a:solidFill>
            </a:rPr>
            <a:t>LEGER NILAI </a:t>
          </a:r>
          <a:r>
            <a:rPr lang="en-US" sz="1800" b="1">
              <a:solidFill>
                <a:schemeClr val="tx1"/>
              </a:solidFill>
            </a:rPr>
            <a:t>KI-3</a:t>
          </a:r>
        </a:p>
      </xdr:txBody>
    </xdr:sp>
    <xdr:clientData/>
  </xdr:twoCellAnchor>
  <xdr:twoCellAnchor editAs="oneCell">
    <xdr:from>
      <xdr:col>8</xdr:col>
      <xdr:colOff>0</xdr:colOff>
      <xdr:row>0</xdr:row>
      <xdr:rowOff>123825</xdr:rowOff>
    </xdr:from>
    <xdr:to>
      <xdr:col>8</xdr:col>
      <xdr:colOff>487411</xdr:colOff>
      <xdr:row>3</xdr:row>
      <xdr:rowOff>47625</xdr:rowOff>
    </xdr:to>
    <xdr:pic>
      <xdr:nvPicPr>
        <xdr:cNvPr id="10" name="Picture 4">
          <a:hlinkClick xmlns:r="http://schemas.openxmlformats.org/officeDocument/2006/relationships" r:id="rId9"/>
        </xdr:cNvPr>
        <xdr:cNvPicPr>
          <a:picLocks noChangeAspect="1" noChangeArrowheads="1"/>
        </xdr:cNvPicPr>
      </xdr:nvPicPr>
      <xdr:blipFill>
        <a:blip xmlns:r="http://schemas.openxmlformats.org/officeDocument/2006/relationships" r:embed="rId10" cstate="print"/>
        <a:srcRect/>
        <a:stretch>
          <a:fillRect/>
        </a:stretch>
      </xdr:blipFill>
      <xdr:spPr bwMode="auto">
        <a:xfrm>
          <a:off x="4876800" y="123825"/>
          <a:ext cx="487411" cy="4953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twoCellAnchor>
    <xdr:from>
      <xdr:col>3</xdr:col>
      <xdr:colOff>19050</xdr:colOff>
      <xdr:row>14</xdr:row>
      <xdr:rowOff>0</xdr:rowOff>
    </xdr:from>
    <xdr:to>
      <xdr:col>5</xdr:col>
      <xdr:colOff>511175</xdr:colOff>
      <xdr:row>15</xdr:row>
      <xdr:rowOff>146051</xdr:rowOff>
    </xdr:to>
    <xdr:sp macro="" textlink="">
      <xdr:nvSpPr>
        <xdr:cNvPr id="11" name="Rounded Rectangle 10">
          <a:hlinkClick xmlns:r="http://schemas.openxmlformats.org/officeDocument/2006/relationships" r:id="rId11"/>
        </xdr:cNvPr>
        <xdr:cNvSpPr/>
      </xdr:nvSpPr>
      <xdr:spPr>
        <a:xfrm>
          <a:off x="1847850" y="2676525"/>
          <a:ext cx="1711325" cy="336551"/>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800" b="1">
              <a:solidFill>
                <a:schemeClr val="tx1"/>
              </a:solidFill>
            </a:rPr>
            <a:t>I P A</a:t>
          </a:r>
          <a:endParaRPr lang="en-US" sz="1800" b="1">
            <a:solidFill>
              <a:schemeClr val="tx1"/>
            </a:solidFill>
          </a:endParaRPr>
        </a:p>
      </xdr:txBody>
    </xdr:sp>
    <xdr:clientData/>
  </xdr:twoCellAnchor>
  <xdr:twoCellAnchor>
    <xdr:from>
      <xdr:col>4</xdr:col>
      <xdr:colOff>428625</xdr:colOff>
      <xdr:row>11</xdr:row>
      <xdr:rowOff>66675</xdr:rowOff>
    </xdr:from>
    <xdr:to>
      <xdr:col>7</xdr:col>
      <xdr:colOff>311150</xdr:colOff>
      <xdr:row>13</xdr:row>
      <xdr:rowOff>22226</xdr:rowOff>
    </xdr:to>
    <xdr:sp macro="" textlink="">
      <xdr:nvSpPr>
        <xdr:cNvPr id="12" name="Rounded Rectangle 11">
          <a:hlinkClick xmlns:r="http://schemas.openxmlformats.org/officeDocument/2006/relationships" r:id="rId12"/>
        </xdr:cNvPr>
        <xdr:cNvSpPr/>
      </xdr:nvSpPr>
      <xdr:spPr>
        <a:xfrm>
          <a:off x="2867025" y="2171700"/>
          <a:ext cx="1711325" cy="336551"/>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800" b="1">
              <a:solidFill>
                <a:schemeClr val="tx1"/>
              </a:solidFill>
            </a:rPr>
            <a:t>I P S</a:t>
          </a:r>
          <a:endParaRPr lang="en-US" sz="1800" b="1">
            <a:solidFill>
              <a:schemeClr val="tx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105722</xdr:colOff>
      <xdr:row>4</xdr:row>
      <xdr:rowOff>96307</xdr:rowOff>
    </xdr:from>
    <xdr:to>
      <xdr:col>3</xdr:col>
      <xdr:colOff>597847</xdr:colOff>
      <xdr:row>6</xdr:row>
      <xdr:rowOff>53973</xdr:rowOff>
    </xdr:to>
    <xdr:sp macro="" textlink="">
      <xdr:nvSpPr>
        <xdr:cNvPr id="2" name="Rounded Rectangle 1">
          <a:hlinkClick xmlns:r="http://schemas.openxmlformats.org/officeDocument/2006/relationships" r:id="rId1"/>
        </xdr:cNvPr>
        <xdr:cNvSpPr/>
      </xdr:nvSpPr>
      <xdr:spPr>
        <a:xfrm>
          <a:off x="715322" y="858307"/>
          <a:ext cx="1711325" cy="348191"/>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PEND</a:t>
          </a:r>
          <a:r>
            <a:rPr lang="en-US" sz="1800" b="1" baseline="0">
              <a:solidFill>
                <a:schemeClr val="tx1"/>
              </a:solidFill>
            </a:rPr>
            <a:t> AGAMA</a:t>
          </a:r>
          <a:endParaRPr lang="en-US" sz="1800" b="1">
            <a:solidFill>
              <a:schemeClr val="tx1"/>
            </a:solidFill>
          </a:endParaRPr>
        </a:p>
      </xdr:txBody>
    </xdr:sp>
    <xdr:clientData/>
  </xdr:twoCellAnchor>
  <xdr:twoCellAnchor>
    <xdr:from>
      <xdr:col>5</xdr:col>
      <xdr:colOff>136940</xdr:colOff>
      <xdr:row>4</xdr:row>
      <xdr:rowOff>91516</xdr:rowOff>
    </xdr:from>
    <xdr:to>
      <xdr:col>8</xdr:col>
      <xdr:colOff>19465</xdr:colOff>
      <xdr:row>6</xdr:row>
      <xdr:rowOff>39658</xdr:rowOff>
    </xdr:to>
    <xdr:sp macro="" textlink="">
      <xdr:nvSpPr>
        <xdr:cNvPr id="3" name="Rounded Rectangle 2">
          <a:hlinkClick xmlns:r="http://schemas.openxmlformats.org/officeDocument/2006/relationships" r:id="rId2"/>
        </xdr:cNvPr>
        <xdr:cNvSpPr/>
      </xdr:nvSpPr>
      <xdr:spPr>
        <a:xfrm>
          <a:off x="3184940" y="853516"/>
          <a:ext cx="1711325" cy="338667"/>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P J OK</a:t>
          </a:r>
        </a:p>
      </xdr:txBody>
    </xdr:sp>
    <xdr:clientData/>
  </xdr:twoCellAnchor>
  <xdr:twoCellAnchor>
    <xdr:from>
      <xdr:col>1</xdr:col>
      <xdr:colOff>270821</xdr:colOff>
      <xdr:row>6</xdr:row>
      <xdr:rowOff>132817</xdr:rowOff>
    </xdr:from>
    <xdr:to>
      <xdr:col>4</xdr:col>
      <xdr:colOff>153346</xdr:colOff>
      <xdr:row>8</xdr:row>
      <xdr:rowOff>65084</xdr:rowOff>
    </xdr:to>
    <xdr:sp macro="" textlink="">
      <xdr:nvSpPr>
        <xdr:cNvPr id="4" name="Rounded Rectangle 3">
          <a:hlinkClick xmlns:r="http://schemas.openxmlformats.org/officeDocument/2006/relationships" r:id="rId3"/>
        </xdr:cNvPr>
        <xdr:cNvSpPr/>
      </xdr:nvSpPr>
      <xdr:spPr>
        <a:xfrm>
          <a:off x="880421" y="1285342"/>
          <a:ext cx="1711325" cy="313267"/>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PKN</a:t>
          </a:r>
        </a:p>
      </xdr:txBody>
    </xdr:sp>
    <xdr:clientData/>
  </xdr:twoCellAnchor>
  <xdr:twoCellAnchor>
    <xdr:from>
      <xdr:col>1</xdr:col>
      <xdr:colOff>255999</xdr:colOff>
      <xdr:row>9</xdr:row>
      <xdr:rowOff>24335</xdr:rowOff>
    </xdr:from>
    <xdr:to>
      <xdr:col>4</xdr:col>
      <xdr:colOff>138524</xdr:colOff>
      <xdr:row>10</xdr:row>
      <xdr:rowOff>185202</xdr:rowOff>
    </xdr:to>
    <xdr:sp macro="" textlink="">
      <xdr:nvSpPr>
        <xdr:cNvPr id="5" name="Rounded Rectangle 4">
          <a:hlinkClick xmlns:r="http://schemas.openxmlformats.org/officeDocument/2006/relationships" r:id="rId4"/>
        </xdr:cNvPr>
        <xdr:cNvSpPr/>
      </xdr:nvSpPr>
      <xdr:spPr>
        <a:xfrm>
          <a:off x="865599" y="1748360"/>
          <a:ext cx="1711325" cy="351367"/>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B INDO</a:t>
          </a:r>
        </a:p>
      </xdr:txBody>
    </xdr:sp>
    <xdr:clientData/>
  </xdr:twoCellAnchor>
  <xdr:twoCellAnchor>
    <xdr:from>
      <xdr:col>1</xdr:col>
      <xdr:colOff>248063</xdr:colOff>
      <xdr:row>11</xdr:row>
      <xdr:rowOff>83596</xdr:rowOff>
    </xdr:from>
    <xdr:to>
      <xdr:col>4</xdr:col>
      <xdr:colOff>130588</xdr:colOff>
      <xdr:row>13</xdr:row>
      <xdr:rowOff>39147</xdr:rowOff>
    </xdr:to>
    <xdr:sp macro="" textlink="">
      <xdr:nvSpPr>
        <xdr:cNvPr id="6" name="Rounded Rectangle 5">
          <a:hlinkClick xmlns:r="http://schemas.openxmlformats.org/officeDocument/2006/relationships" r:id="rId5"/>
        </xdr:cNvPr>
        <xdr:cNvSpPr/>
      </xdr:nvSpPr>
      <xdr:spPr>
        <a:xfrm>
          <a:off x="857663" y="2188621"/>
          <a:ext cx="1711325" cy="336551"/>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MATEMATIKA</a:t>
          </a:r>
        </a:p>
      </xdr:txBody>
    </xdr:sp>
    <xdr:clientData/>
  </xdr:twoCellAnchor>
  <xdr:twoCellAnchor>
    <xdr:from>
      <xdr:col>4</xdr:col>
      <xdr:colOff>576678</xdr:colOff>
      <xdr:row>10</xdr:row>
      <xdr:rowOff>30140</xdr:rowOff>
    </xdr:from>
    <xdr:to>
      <xdr:col>7</xdr:col>
      <xdr:colOff>459203</xdr:colOff>
      <xdr:row>11</xdr:row>
      <xdr:rowOff>170368</xdr:rowOff>
    </xdr:to>
    <xdr:sp macro="" textlink="">
      <xdr:nvSpPr>
        <xdr:cNvPr id="7" name="Rounded Rectangle 6">
          <a:hlinkClick xmlns:r="http://schemas.openxmlformats.org/officeDocument/2006/relationships" r:id="rId6"/>
        </xdr:cNvPr>
        <xdr:cNvSpPr/>
      </xdr:nvSpPr>
      <xdr:spPr>
        <a:xfrm>
          <a:off x="3015078" y="1944665"/>
          <a:ext cx="1711325" cy="330728"/>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B.</a:t>
          </a:r>
          <a:r>
            <a:rPr lang="en-US" sz="1800" b="1" baseline="0">
              <a:solidFill>
                <a:schemeClr val="tx1"/>
              </a:solidFill>
            </a:rPr>
            <a:t> JAWA</a:t>
          </a:r>
          <a:endParaRPr lang="en-US" sz="1800" b="1">
            <a:solidFill>
              <a:schemeClr val="tx1"/>
            </a:solidFill>
          </a:endParaRPr>
        </a:p>
      </xdr:txBody>
    </xdr:sp>
    <xdr:clientData/>
  </xdr:twoCellAnchor>
  <xdr:twoCellAnchor>
    <xdr:from>
      <xdr:col>4</xdr:col>
      <xdr:colOff>590435</xdr:colOff>
      <xdr:row>7</xdr:row>
      <xdr:rowOff>56064</xdr:rowOff>
    </xdr:from>
    <xdr:to>
      <xdr:col>7</xdr:col>
      <xdr:colOff>472960</xdr:colOff>
      <xdr:row>8</xdr:row>
      <xdr:rowOff>186767</xdr:rowOff>
    </xdr:to>
    <xdr:sp macro="" textlink="">
      <xdr:nvSpPr>
        <xdr:cNvPr id="8" name="Rounded Rectangle 7">
          <a:hlinkClick xmlns:r="http://schemas.openxmlformats.org/officeDocument/2006/relationships" r:id="rId7"/>
        </xdr:cNvPr>
        <xdr:cNvSpPr/>
      </xdr:nvSpPr>
      <xdr:spPr>
        <a:xfrm>
          <a:off x="3028835" y="1399089"/>
          <a:ext cx="1711325" cy="321203"/>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en-US" sz="1800" b="1">
              <a:solidFill>
                <a:schemeClr val="tx1"/>
              </a:solidFill>
            </a:rPr>
            <a:t>S B D P</a:t>
          </a:r>
        </a:p>
      </xdr:txBody>
    </xdr:sp>
    <xdr:clientData/>
  </xdr:twoCellAnchor>
  <xdr:twoCellAnchor>
    <xdr:from>
      <xdr:col>5</xdr:col>
      <xdr:colOff>76200</xdr:colOff>
      <xdr:row>18</xdr:row>
      <xdr:rowOff>28575</xdr:rowOff>
    </xdr:from>
    <xdr:to>
      <xdr:col>8</xdr:col>
      <xdr:colOff>206375</xdr:colOff>
      <xdr:row>19</xdr:row>
      <xdr:rowOff>176742</xdr:rowOff>
    </xdr:to>
    <xdr:sp macro="" textlink="">
      <xdr:nvSpPr>
        <xdr:cNvPr id="9" name="Rounded Rectangle 8">
          <a:hlinkClick xmlns:r="http://schemas.openxmlformats.org/officeDocument/2006/relationships" r:id="rId8"/>
        </xdr:cNvPr>
        <xdr:cNvSpPr/>
      </xdr:nvSpPr>
      <xdr:spPr>
        <a:xfrm>
          <a:off x="3124200" y="3467100"/>
          <a:ext cx="1958975" cy="338667"/>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id-ID" sz="1800" b="1">
              <a:solidFill>
                <a:schemeClr val="tx1"/>
              </a:solidFill>
            </a:rPr>
            <a:t>LEGER NILAI KI-4</a:t>
          </a:r>
          <a:endParaRPr lang="en-US" sz="1800" b="1">
            <a:solidFill>
              <a:schemeClr val="tx1"/>
            </a:solidFill>
          </a:endParaRPr>
        </a:p>
      </xdr:txBody>
    </xdr:sp>
    <xdr:clientData/>
  </xdr:twoCellAnchor>
  <xdr:twoCellAnchor editAs="oneCell">
    <xdr:from>
      <xdr:col>8</xdr:col>
      <xdr:colOff>0</xdr:colOff>
      <xdr:row>0</xdr:row>
      <xdr:rowOff>123825</xdr:rowOff>
    </xdr:from>
    <xdr:to>
      <xdr:col>8</xdr:col>
      <xdr:colOff>487411</xdr:colOff>
      <xdr:row>3</xdr:row>
      <xdr:rowOff>47625</xdr:rowOff>
    </xdr:to>
    <xdr:pic>
      <xdr:nvPicPr>
        <xdr:cNvPr id="10" name="Picture 4">
          <a:hlinkClick xmlns:r="http://schemas.openxmlformats.org/officeDocument/2006/relationships" r:id="rId9"/>
        </xdr:cNvPr>
        <xdr:cNvPicPr>
          <a:picLocks noChangeAspect="1" noChangeArrowheads="1"/>
        </xdr:cNvPicPr>
      </xdr:nvPicPr>
      <xdr:blipFill>
        <a:blip xmlns:r="http://schemas.openxmlformats.org/officeDocument/2006/relationships" r:embed="rId10" cstate="print"/>
        <a:srcRect/>
        <a:stretch>
          <a:fillRect/>
        </a:stretch>
      </xdr:blipFill>
      <xdr:spPr bwMode="auto">
        <a:xfrm>
          <a:off x="4876800" y="123825"/>
          <a:ext cx="487411" cy="4953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twoCellAnchor>
    <xdr:from>
      <xdr:col>1</xdr:col>
      <xdr:colOff>266700</xdr:colOff>
      <xdr:row>13</xdr:row>
      <xdr:rowOff>161925</xdr:rowOff>
    </xdr:from>
    <xdr:to>
      <xdr:col>4</xdr:col>
      <xdr:colOff>85725</xdr:colOff>
      <xdr:row>15</xdr:row>
      <xdr:rowOff>161925</xdr:rowOff>
    </xdr:to>
    <xdr:sp macro="" textlink="">
      <xdr:nvSpPr>
        <xdr:cNvPr id="11" name="Rounded Rectangle 10">
          <a:hlinkClick xmlns:r="http://schemas.openxmlformats.org/officeDocument/2006/relationships" r:id="rId11"/>
        </xdr:cNvPr>
        <xdr:cNvSpPr/>
      </xdr:nvSpPr>
      <xdr:spPr>
        <a:xfrm>
          <a:off x="876300" y="2647950"/>
          <a:ext cx="1647825" cy="381000"/>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800" b="1">
              <a:solidFill>
                <a:schemeClr val="tx1"/>
              </a:solidFill>
            </a:rPr>
            <a:t>I P A</a:t>
          </a:r>
        </a:p>
      </xdr:txBody>
    </xdr:sp>
    <xdr:clientData/>
  </xdr:twoCellAnchor>
  <xdr:twoCellAnchor>
    <xdr:from>
      <xdr:col>4</xdr:col>
      <xdr:colOff>571500</xdr:colOff>
      <xdr:row>12</xdr:row>
      <xdr:rowOff>171450</xdr:rowOff>
    </xdr:from>
    <xdr:to>
      <xdr:col>7</xdr:col>
      <xdr:colOff>409575</xdr:colOff>
      <xdr:row>14</xdr:row>
      <xdr:rowOff>161925</xdr:rowOff>
    </xdr:to>
    <xdr:sp macro="" textlink="">
      <xdr:nvSpPr>
        <xdr:cNvPr id="12" name="Rounded Rectangle 11">
          <a:hlinkClick xmlns:r="http://schemas.openxmlformats.org/officeDocument/2006/relationships" r:id="rId12"/>
        </xdr:cNvPr>
        <xdr:cNvSpPr/>
      </xdr:nvSpPr>
      <xdr:spPr>
        <a:xfrm>
          <a:off x="3009900" y="2466975"/>
          <a:ext cx="1666875" cy="371475"/>
        </a:xfrm>
        <a:prstGeom prst="round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800" b="1">
              <a:solidFill>
                <a:schemeClr val="tx1"/>
              </a:solidFill>
            </a:rPr>
            <a:t>I P S</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38100</xdr:colOff>
      <xdr:row>0</xdr:row>
      <xdr:rowOff>114300</xdr:rowOff>
    </xdr:from>
    <xdr:to>
      <xdr:col>1</xdr:col>
      <xdr:colOff>485775</xdr:colOff>
      <xdr:row>2</xdr:row>
      <xdr:rowOff>137754</xdr:rowOff>
    </xdr:to>
    <xdr:pic>
      <xdr:nvPicPr>
        <xdr:cNvPr id="3" name="Picture 2"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438150" y="11430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18.xml><?xml version="1.0" encoding="utf-8"?>
<xdr:wsDr xmlns:xdr="http://schemas.openxmlformats.org/drawingml/2006/spreadsheetDrawing" xmlns:a="http://schemas.openxmlformats.org/drawingml/2006/main">
  <xdr:twoCellAnchor>
    <xdr:from>
      <xdr:col>1</xdr:col>
      <xdr:colOff>31750</xdr:colOff>
      <xdr:row>3</xdr:row>
      <xdr:rowOff>0</xdr:rowOff>
    </xdr:from>
    <xdr:to>
      <xdr:col>1</xdr:col>
      <xdr:colOff>1536700</xdr:colOff>
      <xdr:row>4</xdr:row>
      <xdr:rowOff>76200</xdr:rowOff>
    </xdr:to>
    <xdr:sp macro="" textlink="">
      <xdr:nvSpPr>
        <xdr:cNvPr id="2" name="Rounded Rectangle 1">
          <a:hlinkClick xmlns:r="http://schemas.openxmlformats.org/officeDocument/2006/relationships" r:id="rId1"/>
        </xdr:cNvPr>
        <xdr:cNvSpPr/>
      </xdr:nvSpPr>
      <xdr:spPr>
        <a:xfrm>
          <a:off x="346075" y="600075"/>
          <a:ext cx="1504950" cy="266700"/>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457200</xdr:colOff>
      <xdr:row>0</xdr:row>
      <xdr:rowOff>133350</xdr:rowOff>
    </xdr:from>
    <xdr:to>
      <xdr:col>1</xdr:col>
      <xdr:colOff>904875</xdr:colOff>
      <xdr:row>2</xdr:row>
      <xdr:rowOff>166329</xdr:rowOff>
    </xdr:to>
    <xdr:pic>
      <xdr:nvPicPr>
        <xdr:cNvPr id="3" name="Picture 2" descr="https://encrypted-tbn2.gstatic.com/images?q=tbn:ANd9GcQPmkby_pF1mneCprIhuoJmxy7NBJv32vzQTM7E-zn5K3yqIWiJ">
          <a:hlinkClick xmlns:r="http://schemas.openxmlformats.org/officeDocument/2006/relationships" r:id="rId2"/>
        </xdr:cNvPr>
        <xdr:cNvPicPr>
          <a:picLocks noChangeAspect="1" noChangeArrowheads="1"/>
        </xdr:cNvPicPr>
      </xdr:nvPicPr>
      <xdr:blipFill>
        <a:blip xmlns:r="http://schemas.openxmlformats.org/officeDocument/2006/relationships" r:embed="rId3"/>
        <a:stretch>
          <a:fillRect/>
        </a:stretch>
      </xdr:blipFill>
      <xdr:spPr bwMode="auto">
        <a:xfrm>
          <a:off x="771525" y="13335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114300</xdr:colOff>
      <xdr:row>0</xdr:row>
      <xdr:rowOff>95250</xdr:rowOff>
    </xdr:from>
    <xdr:to>
      <xdr:col>1</xdr:col>
      <xdr:colOff>238126</xdr:colOff>
      <xdr:row>2</xdr:row>
      <xdr:rowOff>88670</xdr:rowOff>
    </xdr:to>
    <xdr:pic>
      <xdr:nvPicPr>
        <xdr:cNvPr id="4" name="Picture 4">
          <a:hlinkClick xmlns:r="http://schemas.openxmlformats.org/officeDocument/2006/relationships" r:id="rId4"/>
        </xdr:cNvPr>
        <xdr:cNvPicPr>
          <a:picLocks noChangeAspect="1" noChangeArrowheads="1"/>
        </xdr:cNvPicPr>
      </xdr:nvPicPr>
      <xdr:blipFill>
        <a:blip xmlns:r="http://schemas.openxmlformats.org/officeDocument/2006/relationships" r:embed="rId5" cstate="print"/>
        <a:srcRect/>
        <a:stretch>
          <a:fillRect/>
        </a:stretch>
      </xdr:blipFill>
      <xdr:spPr bwMode="auto">
        <a:xfrm>
          <a:off x="114300" y="95250"/>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19.xml><?xml version="1.0" encoding="utf-8"?>
<xdr:wsDr xmlns:xdr="http://schemas.openxmlformats.org/drawingml/2006/spreadsheetDrawing" xmlns:a="http://schemas.openxmlformats.org/drawingml/2006/main">
  <xdr:twoCellAnchor>
    <xdr:from>
      <xdr:col>1</xdr:col>
      <xdr:colOff>31750</xdr:colOff>
      <xdr:row>3</xdr:row>
      <xdr:rowOff>0</xdr:rowOff>
    </xdr:from>
    <xdr:to>
      <xdr:col>1</xdr:col>
      <xdr:colOff>1536700</xdr:colOff>
      <xdr:row>4</xdr:row>
      <xdr:rowOff>76200</xdr:rowOff>
    </xdr:to>
    <xdr:sp macro="" textlink="">
      <xdr:nvSpPr>
        <xdr:cNvPr id="2" name="Rounded Rectangle 1">
          <a:hlinkClick xmlns:r="http://schemas.openxmlformats.org/officeDocument/2006/relationships" r:id="rId1"/>
        </xdr:cNvPr>
        <xdr:cNvSpPr/>
      </xdr:nvSpPr>
      <xdr:spPr>
        <a:xfrm>
          <a:off x="346075" y="600075"/>
          <a:ext cx="1504950" cy="266700"/>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504825</xdr:colOff>
      <xdr:row>0</xdr:row>
      <xdr:rowOff>133350</xdr:rowOff>
    </xdr:from>
    <xdr:to>
      <xdr:col>1</xdr:col>
      <xdr:colOff>906536</xdr:colOff>
      <xdr:row>2</xdr:row>
      <xdr:rowOff>104775</xdr:rowOff>
    </xdr:to>
    <xdr:pic>
      <xdr:nvPicPr>
        <xdr:cNvPr id="3" name="Picture 2" descr="https://encrypted-tbn2.gstatic.com/images?q=tbn:ANd9GcQPmkby_pF1mneCprIhuoJmxy7NBJv32vzQTM7E-zn5K3yqIWiJ">
          <a:hlinkClick xmlns:r="http://schemas.openxmlformats.org/officeDocument/2006/relationships" r:id="rId2"/>
        </xdr:cNvPr>
        <xdr:cNvPicPr>
          <a:picLocks noChangeAspect="1" noChangeArrowheads="1"/>
        </xdr:cNvPicPr>
      </xdr:nvPicPr>
      <xdr:blipFill>
        <a:blip xmlns:r="http://schemas.openxmlformats.org/officeDocument/2006/relationships" r:embed="rId3"/>
        <a:stretch>
          <a:fillRect/>
        </a:stretch>
      </xdr:blipFill>
      <xdr:spPr bwMode="auto">
        <a:xfrm>
          <a:off x="819150" y="133350"/>
          <a:ext cx="401711" cy="371475"/>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190500</xdr:colOff>
      <xdr:row>0</xdr:row>
      <xdr:rowOff>104775</xdr:rowOff>
    </xdr:from>
    <xdr:to>
      <xdr:col>1</xdr:col>
      <xdr:colOff>314326</xdr:colOff>
      <xdr:row>2</xdr:row>
      <xdr:rowOff>79145</xdr:rowOff>
    </xdr:to>
    <xdr:pic>
      <xdr:nvPicPr>
        <xdr:cNvPr id="4" name="Picture 4">
          <a:hlinkClick xmlns:r="http://schemas.openxmlformats.org/officeDocument/2006/relationships" r:id="rId4"/>
        </xdr:cNvPr>
        <xdr:cNvPicPr>
          <a:picLocks noChangeAspect="1" noChangeArrowheads="1"/>
        </xdr:cNvPicPr>
      </xdr:nvPicPr>
      <xdr:blipFill>
        <a:blip xmlns:r="http://schemas.openxmlformats.org/officeDocument/2006/relationships" r:embed="rId5" cstate="print"/>
        <a:srcRect/>
        <a:stretch>
          <a:fillRect/>
        </a:stretch>
      </xdr:blipFill>
      <xdr:spPr bwMode="auto">
        <a:xfrm>
          <a:off x="190500" y="104775"/>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20.xml><?xml version="1.0" encoding="utf-8"?>
<xdr:wsDr xmlns:xdr="http://schemas.openxmlformats.org/drawingml/2006/spreadsheetDrawing" xmlns:a="http://schemas.openxmlformats.org/drawingml/2006/main">
  <xdr:twoCellAnchor>
    <xdr:from>
      <xdr:col>1</xdr:col>
      <xdr:colOff>31750</xdr:colOff>
      <xdr:row>3</xdr:row>
      <xdr:rowOff>0</xdr:rowOff>
    </xdr:from>
    <xdr:to>
      <xdr:col>1</xdr:col>
      <xdr:colOff>1536700</xdr:colOff>
      <xdr:row>4</xdr:row>
      <xdr:rowOff>76200</xdr:rowOff>
    </xdr:to>
    <xdr:sp macro="" textlink="">
      <xdr:nvSpPr>
        <xdr:cNvPr id="2" name="Rounded Rectangle 1">
          <a:hlinkClick xmlns:r="http://schemas.openxmlformats.org/officeDocument/2006/relationships" r:id="rId1"/>
        </xdr:cNvPr>
        <xdr:cNvSpPr/>
      </xdr:nvSpPr>
      <xdr:spPr>
        <a:xfrm>
          <a:off x="346075" y="600075"/>
          <a:ext cx="1504950" cy="266700"/>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333375</xdr:colOff>
      <xdr:row>0</xdr:row>
      <xdr:rowOff>123825</xdr:rowOff>
    </xdr:from>
    <xdr:to>
      <xdr:col>1</xdr:col>
      <xdr:colOff>781050</xdr:colOff>
      <xdr:row>2</xdr:row>
      <xdr:rowOff>156804</xdr:rowOff>
    </xdr:to>
    <xdr:pic>
      <xdr:nvPicPr>
        <xdr:cNvPr id="3" name="Picture 2" descr="https://encrypted-tbn2.gstatic.com/images?q=tbn:ANd9GcQPmkby_pF1mneCprIhuoJmxy7NBJv32vzQTM7E-zn5K3yqIWiJ">
          <a:hlinkClick xmlns:r="http://schemas.openxmlformats.org/officeDocument/2006/relationships" r:id="rId2"/>
        </xdr:cNvPr>
        <xdr:cNvPicPr>
          <a:picLocks noChangeAspect="1" noChangeArrowheads="1"/>
        </xdr:cNvPicPr>
      </xdr:nvPicPr>
      <xdr:blipFill>
        <a:blip xmlns:r="http://schemas.openxmlformats.org/officeDocument/2006/relationships" r:embed="rId3"/>
        <a:stretch>
          <a:fillRect/>
        </a:stretch>
      </xdr:blipFill>
      <xdr:spPr bwMode="auto">
        <a:xfrm>
          <a:off x="647700" y="123825"/>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104775</xdr:colOff>
      <xdr:row>0</xdr:row>
      <xdr:rowOff>114300</xdr:rowOff>
    </xdr:from>
    <xdr:to>
      <xdr:col>1</xdr:col>
      <xdr:colOff>228601</xdr:colOff>
      <xdr:row>2</xdr:row>
      <xdr:rowOff>107720</xdr:rowOff>
    </xdr:to>
    <xdr:pic>
      <xdr:nvPicPr>
        <xdr:cNvPr id="4" name="Picture 4">
          <a:hlinkClick xmlns:r="http://schemas.openxmlformats.org/officeDocument/2006/relationships" r:id="rId4"/>
        </xdr:cNvPr>
        <xdr:cNvPicPr>
          <a:picLocks noChangeAspect="1" noChangeArrowheads="1"/>
        </xdr:cNvPicPr>
      </xdr:nvPicPr>
      <xdr:blipFill>
        <a:blip xmlns:r="http://schemas.openxmlformats.org/officeDocument/2006/relationships" r:embed="rId5" cstate="print"/>
        <a:srcRect/>
        <a:stretch>
          <a:fillRect/>
        </a:stretch>
      </xdr:blipFill>
      <xdr:spPr bwMode="auto">
        <a:xfrm>
          <a:off x="104775" y="114300"/>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21.xml><?xml version="1.0" encoding="utf-8"?>
<xdr:wsDr xmlns:xdr="http://schemas.openxmlformats.org/drawingml/2006/spreadsheetDrawing" xmlns:a="http://schemas.openxmlformats.org/drawingml/2006/main">
  <xdr:twoCellAnchor>
    <xdr:from>
      <xdr:col>1</xdr:col>
      <xdr:colOff>31750</xdr:colOff>
      <xdr:row>3</xdr:row>
      <xdr:rowOff>0</xdr:rowOff>
    </xdr:from>
    <xdr:to>
      <xdr:col>1</xdr:col>
      <xdr:colOff>1536700</xdr:colOff>
      <xdr:row>4</xdr:row>
      <xdr:rowOff>76200</xdr:rowOff>
    </xdr:to>
    <xdr:sp macro="" textlink="">
      <xdr:nvSpPr>
        <xdr:cNvPr id="2" name="Rounded Rectangle 1">
          <a:hlinkClick xmlns:r="http://schemas.openxmlformats.org/officeDocument/2006/relationships" r:id="rId1"/>
        </xdr:cNvPr>
        <xdr:cNvSpPr/>
      </xdr:nvSpPr>
      <xdr:spPr>
        <a:xfrm>
          <a:off x="346075" y="600075"/>
          <a:ext cx="1504950" cy="266700"/>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390525</xdr:colOff>
      <xdr:row>0</xdr:row>
      <xdr:rowOff>123825</xdr:rowOff>
    </xdr:from>
    <xdr:to>
      <xdr:col>1</xdr:col>
      <xdr:colOff>838200</xdr:colOff>
      <xdr:row>2</xdr:row>
      <xdr:rowOff>156804</xdr:rowOff>
    </xdr:to>
    <xdr:pic>
      <xdr:nvPicPr>
        <xdr:cNvPr id="3" name="Picture 2" descr="https://encrypted-tbn2.gstatic.com/images?q=tbn:ANd9GcQPmkby_pF1mneCprIhuoJmxy7NBJv32vzQTM7E-zn5K3yqIWiJ">
          <a:hlinkClick xmlns:r="http://schemas.openxmlformats.org/officeDocument/2006/relationships" r:id="rId2"/>
        </xdr:cNvPr>
        <xdr:cNvPicPr>
          <a:picLocks noChangeAspect="1" noChangeArrowheads="1"/>
        </xdr:cNvPicPr>
      </xdr:nvPicPr>
      <xdr:blipFill>
        <a:blip xmlns:r="http://schemas.openxmlformats.org/officeDocument/2006/relationships" r:embed="rId3"/>
        <a:stretch>
          <a:fillRect/>
        </a:stretch>
      </xdr:blipFill>
      <xdr:spPr bwMode="auto">
        <a:xfrm>
          <a:off x="704850" y="123825"/>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133350</xdr:colOff>
      <xdr:row>0</xdr:row>
      <xdr:rowOff>161925</xdr:rowOff>
    </xdr:from>
    <xdr:to>
      <xdr:col>1</xdr:col>
      <xdr:colOff>257176</xdr:colOff>
      <xdr:row>2</xdr:row>
      <xdr:rowOff>155345</xdr:rowOff>
    </xdr:to>
    <xdr:pic>
      <xdr:nvPicPr>
        <xdr:cNvPr id="4" name="Picture 4">
          <a:hlinkClick xmlns:r="http://schemas.openxmlformats.org/officeDocument/2006/relationships" r:id="rId4"/>
        </xdr:cNvPr>
        <xdr:cNvPicPr>
          <a:picLocks noChangeAspect="1" noChangeArrowheads="1"/>
        </xdr:cNvPicPr>
      </xdr:nvPicPr>
      <xdr:blipFill>
        <a:blip xmlns:r="http://schemas.openxmlformats.org/officeDocument/2006/relationships" r:embed="rId5" cstate="print"/>
        <a:srcRect/>
        <a:stretch>
          <a:fillRect/>
        </a:stretch>
      </xdr:blipFill>
      <xdr:spPr bwMode="auto">
        <a:xfrm>
          <a:off x="133350" y="161925"/>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22.xml><?xml version="1.0" encoding="utf-8"?>
<xdr:wsDr xmlns:xdr="http://schemas.openxmlformats.org/drawingml/2006/spreadsheetDrawing" xmlns:a="http://schemas.openxmlformats.org/drawingml/2006/main">
  <xdr:twoCellAnchor editAs="oneCell">
    <xdr:from>
      <xdr:col>1</xdr:col>
      <xdr:colOff>352425</xdr:colOff>
      <xdr:row>1</xdr:row>
      <xdr:rowOff>28575</xdr:rowOff>
    </xdr:from>
    <xdr:to>
      <xdr:col>1</xdr:col>
      <xdr:colOff>800100</xdr:colOff>
      <xdr:row>3</xdr:row>
      <xdr:rowOff>61554</xdr:rowOff>
    </xdr:to>
    <xdr:pic>
      <xdr:nvPicPr>
        <xdr:cNvPr id="2" name="Picture 1"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666750" y="219075"/>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95250</xdr:colOff>
      <xdr:row>0</xdr:row>
      <xdr:rowOff>142875</xdr:rowOff>
    </xdr:from>
    <xdr:to>
      <xdr:col>1</xdr:col>
      <xdr:colOff>219076</xdr:colOff>
      <xdr:row>2</xdr:row>
      <xdr:rowOff>136295</xdr:rowOff>
    </xdr:to>
    <xdr:pic>
      <xdr:nvPicPr>
        <xdr:cNvPr id="3" name="Picture 4">
          <a:hlinkClick xmlns:r="http://schemas.openxmlformats.org/officeDocument/2006/relationships" r:id="rId3"/>
        </xdr:cNvPr>
        <xdr:cNvPicPr>
          <a:picLocks noChangeAspect="1" noChangeArrowheads="1"/>
        </xdr:cNvPicPr>
      </xdr:nvPicPr>
      <xdr:blipFill>
        <a:blip xmlns:r="http://schemas.openxmlformats.org/officeDocument/2006/relationships" r:embed="rId4" cstate="print"/>
        <a:srcRect/>
        <a:stretch>
          <a:fillRect/>
        </a:stretch>
      </xdr:blipFill>
      <xdr:spPr bwMode="auto">
        <a:xfrm>
          <a:off x="95250" y="142875"/>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161924</xdr:colOff>
      <xdr:row>0</xdr:row>
      <xdr:rowOff>152401</xdr:rowOff>
    </xdr:from>
    <xdr:to>
      <xdr:col>1</xdr:col>
      <xdr:colOff>285750</xdr:colOff>
      <xdr:row>2</xdr:row>
      <xdr:rowOff>145821</xdr:rowOff>
    </xdr:to>
    <xdr:pic>
      <xdr:nvPicPr>
        <xdr:cNvPr id="2"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61924" y="152401"/>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xdr:from>
      <xdr:col>1</xdr:col>
      <xdr:colOff>57150</xdr:colOff>
      <xdr:row>3</xdr:row>
      <xdr:rowOff>142875</xdr:rowOff>
    </xdr:from>
    <xdr:to>
      <xdr:col>1</xdr:col>
      <xdr:colOff>1562100</xdr:colOff>
      <xdr:row>5</xdr:row>
      <xdr:rowOff>0</xdr:rowOff>
    </xdr:to>
    <xdr:sp macro="" textlink="">
      <xdr:nvSpPr>
        <xdr:cNvPr id="3" name="Rounded Rectangle 2">
          <a:hlinkClick xmlns:r="http://schemas.openxmlformats.org/officeDocument/2006/relationships" r:id="rId3"/>
        </xdr:cNvPr>
        <xdr:cNvSpPr/>
      </xdr:nvSpPr>
      <xdr:spPr>
        <a:xfrm>
          <a:off x="371475" y="714375"/>
          <a:ext cx="1504950" cy="238125"/>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476250</xdr:colOff>
      <xdr:row>0</xdr:row>
      <xdr:rowOff>133350</xdr:rowOff>
    </xdr:from>
    <xdr:to>
      <xdr:col>1</xdr:col>
      <xdr:colOff>923925</xdr:colOff>
      <xdr:row>2</xdr:row>
      <xdr:rowOff>166329</xdr:rowOff>
    </xdr:to>
    <xdr:pic>
      <xdr:nvPicPr>
        <xdr:cNvPr id="4" name="Picture 3" descr="https://encrypted-tbn2.gstatic.com/images?q=tbn:ANd9GcQPmkby_pF1mneCprIhuoJmxy7NBJv32vzQTM7E-zn5K3yqIWiJ">
          <a:hlinkClick xmlns:r="http://schemas.openxmlformats.org/officeDocument/2006/relationships" r:id="rId4"/>
        </xdr:cNvPr>
        <xdr:cNvPicPr>
          <a:picLocks noChangeAspect="1" noChangeArrowheads="1"/>
        </xdr:cNvPicPr>
      </xdr:nvPicPr>
      <xdr:blipFill>
        <a:blip xmlns:r="http://schemas.openxmlformats.org/officeDocument/2006/relationships" r:embed="rId5"/>
        <a:stretch>
          <a:fillRect/>
        </a:stretch>
      </xdr:blipFill>
      <xdr:spPr bwMode="auto">
        <a:xfrm>
          <a:off x="790575" y="13335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180974</xdr:colOff>
      <xdr:row>0</xdr:row>
      <xdr:rowOff>76201</xdr:rowOff>
    </xdr:from>
    <xdr:to>
      <xdr:col>1</xdr:col>
      <xdr:colOff>304800</xdr:colOff>
      <xdr:row>2</xdr:row>
      <xdr:rowOff>69621</xdr:rowOff>
    </xdr:to>
    <xdr:pic>
      <xdr:nvPicPr>
        <xdr:cNvPr id="2"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0974" y="76201"/>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xdr:from>
      <xdr:col>1</xdr:col>
      <xdr:colOff>57150</xdr:colOff>
      <xdr:row>3</xdr:row>
      <xdr:rowOff>0</xdr:rowOff>
    </xdr:from>
    <xdr:to>
      <xdr:col>1</xdr:col>
      <xdr:colOff>1562100</xdr:colOff>
      <xdr:row>4</xdr:row>
      <xdr:rowOff>66675</xdr:rowOff>
    </xdr:to>
    <xdr:sp macro="" textlink="">
      <xdr:nvSpPr>
        <xdr:cNvPr id="3" name="Rounded Rectangle 2">
          <a:hlinkClick xmlns:r="http://schemas.openxmlformats.org/officeDocument/2006/relationships" r:id="rId3"/>
        </xdr:cNvPr>
        <xdr:cNvSpPr/>
      </xdr:nvSpPr>
      <xdr:spPr>
        <a:xfrm>
          <a:off x="371475" y="571500"/>
          <a:ext cx="1504950" cy="257175"/>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514350</xdr:colOff>
      <xdr:row>0</xdr:row>
      <xdr:rowOff>76200</xdr:rowOff>
    </xdr:from>
    <xdr:to>
      <xdr:col>1</xdr:col>
      <xdr:colOff>962025</xdr:colOff>
      <xdr:row>2</xdr:row>
      <xdr:rowOff>109179</xdr:rowOff>
    </xdr:to>
    <xdr:pic>
      <xdr:nvPicPr>
        <xdr:cNvPr id="4" name="Picture 3" descr="https://encrypted-tbn2.gstatic.com/images?q=tbn:ANd9GcQPmkby_pF1mneCprIhuoJmxy7NBJv32vzQTM7E-zn5K3yqIWiJ">
          <a:hlinkClick xmlns:r="http://schemas.openxmlformats.org/officeDocument/2006/relationships" r:id="rId4"/>
        </xdr:cNvPr>
        <xdr:cNvPicPr>
          <a:picLocks noChangeAspect="1" noChangeArrowheads="1"/>
        </xdr:cNvPicPr>
      </xdr:nvPicPr>
      <xdr:blipFill>
        <a:blip xmlns:r="http://schemas.openxmlformats.org/officeDocument/2006/relationships" r:embed="rId5"/>
        <a:stretch>
          <a:fillRect/>
        </a:stretch>
      </xdr:blipFill>
      <xdr:spPr bwMode="auto">
        <a:xfrm>
          <a:off x="828675" y="7620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161924</xdr:colOff>
      <xdr:row>0</xdr:row>
      <xdr:rowOff>104776</xdr:rowOff>
    </xdr:from>
    <xdr:to>
      <xdr:col>1</xdr:col>
      <xdr:colOff>285750</xdr:colOff>
      <xdr:row>2</xdr:row>
      <xdr:rowOff>98196</xdr:rowOff>
    </xdr:to>
    <xdr:pic>
      <xdr:nvPicPr>
        <xdr:cNvPr id="2"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61924" y="104776"/>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xdr:from>
      <xdr:col>1</xdr:col>
      <xdr:colOff>57150</xdr:colOff>
      <xdr:row>3</xdr:row>
      <xdr:rowOff>0</xdr:rowOff>
    </xdr:from>
    <xdr:to>
      <xdr:col>1</xdr:col>
      <xdr:colOff>1562100</xdr:colOff>
      <xdr:row>4</xdr:row>
      <xdr:rowOff>66675</xdr:rowOff>
    </xdr:to>
    <xdr:sp macro="" textlink="">
      <xdr:nvSpPr>
        <xdr:cNvPr id="3" name="Rounded Rectangle 2">
          <a:hlinkClick xmlns:r="http://schemas.openxmlformats.org/officeDocument/2006/relationships" r:id="rId3"/>
        </xdr:cNvPr>
        <xdr:cNvSpPr/>
      </xdr:nvSpPr>
      <xdr:spPr>
        <a:xfrm>
          <a:off x="371475" y="571500"/>
          <a:ext cx="1504950" cy="257175"/>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514350</xdr:colOff>
      <xdr:row>0</xdr:row>
      <xdr:rowOff>114300</xdr:rowOff>
    </xdr:from>
    <xdr:to>
      <xdr:col>1</xdr:col>
      <xdr:colOff>962025</xdr:colOff>
      <xdr:row>2</xdr:row>
      <xdr:rowOff>147279</xdr:rowOff>
    </xdr:to>
    <xdr:pic>
      <xdr:nvPicPr>
        <xdr:cNvPr id="4" name="Picture 3" descr="https://encrypted-tbn2.gstatic.com/images?q=tbn:ANd9GcQPmkby_pF1mneCprIhuoJmxy7NBJv32vzQTM7E-zn5K3yqIWiJ">
          <a:hlinkClick xmlns:r="http://schemas.openxmlformats.org/officeDocument/2006/relationships" r:id="rId4"/>
        </xdr:cNvPr>
        <xdr:cNvPicPr>
          <a:picLocks noChangeAspect="1" noChangeArrowheads="1"/>
        </xdr:cNvPicPr>
      </xdr:nvPicPr>
      <xdr:blipFill>
        <a:blip xmlns:r="http://schemas.openxmlformats.org/officeDocument/2006/relationships" r:embed="rId5"/>
        <a:stretch>
          <a:fillRect/>
        </a:stretch>
      </xdr:blipFill>
      <xdr:spPr bwMode="auto">
        <a:xfrm>
          <a:off x="828675" y="11430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200024</xdr:colOff>
      <xdr:row>0</xdr:row>
      <xdr:rowOff>66676</xdr:rowOff>
    </xdr:from>
    <xdr:to>
      <xdr:col>1</xdr:col>
      <xdr:colOff>323850</xdr:colOff>
      <xdr:row>2</xdr:row>
      <xdr:rowOff>60096</xdr:rowOff>
    </xdr:to>
    <xdr:pic>
      <xdr:nvPicPr>
        <xdr:cNvPr id="2"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200024" y="66676"/>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xdr:from>
      <xdr:col>1</xdr:col>
      <xdr:colOff>57150</xdr:colOff>
      <xdr:row>3</xdr:row>
      <xdr:rowOff>0</xdr:rowOff>
    </xdr:from>
    <xdr:to>
      <xdr:col>1</xdr:col>
      <xdr:colOff>1562100</xdr:colOff>
      <xdr:row>4</xdr:row>
      <xdr:rowOff>133350</xdr:rowOff>
    </xdr:to>
    <xdr:sp macro="" textlink="">
      <xdr:nvSpPr>
        <xdr:cNvPr id="3" name="Rounded Rectangle 2">
          <a:hlinkClick xmlns:r="http://schemas.openxmlformats.org/officeDocument/2006/relationships" r:id="rId3"/>
        </xdr:cNvPr>
        <xdr:cNvSpPr/>
      </xdr:nvSpPr>
      <xdr:spPr>
        <a:xfrm>
          <a:off x="371475" y="571500"/>
          <a:ext cx="1504950" cy="323850"/>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571500</xdr:colOff>
      <xdr:row>0</xdr:row>
      <xdr:rowOff>85725</xdr:rowOff>
    </xdr:from>
    <xdr:to>
      <xdr:col>1</xdr:col>
      <xdr:colOff>1019175</xdr:colOff>
      <xdr:row>2</xdr:row>
      <xdr:rowOff>118704</xdr:rowOff>
    </xdr:to>
    <xdr:pic>
      <xdr:nvPicPr>
        <xdr:cNvPr id="4" name="Picture 3" descr="https://encrypted-tbn2.gstatic.com/images?q=tbn:ANd9GcQPmkby_pF1mneCprIhuoJmxy7NBJv32vzQTM7E-zn5K3yqIWiJ">
          <a:hlinkClick xmlns:r="http://schemas.openxmlformats.org/officeDocument/2006/relationships" r:id="rId4"/>
        </xdr:cNvPr>
        <xdr:cNvPicPr>
          <a:picLocks noChangeAspect="1" noChangeArrowheads="1"/>
        </xdr:cNvPicPr>
      </xdr:nvPicPr>
      <xdr:blipFill>
        <a:blip xmlns:r="http://schemas.openxmlformats.org/officeDocument/2006/relationships" r:embed="rId5"/>
        <a:stretch>
          <a:fillRect/>
        </a:stretch>
      </xdr:blipFill>
      <xdr:spPr bwMode="auto">
        <a:xfrm>
          <a:off x="885825" y="85725"/>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571500</xdr:colOff>
      <xdr:row>2</xdr:row>
      <xdr:rowOff>0</xdr:rowOff>
    </xdr:from>
    <xdr:to>
      <xdr:col>1</xdr:col>
      <xdr:colOff>1019175</xdr:colOff>
      <xdr:row>4</xdr:row>
      <xdr:rowOff>32979</xdr:rowOff>
    </xdr:to>
    <xdr:pic>
      <xdr:nvPicPr>
        <xdr:cNvPr id="2" name="Picture 1"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885825" y="38100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200025</xdr:colOff>
      <xdr:row>2</xdr:row>
      <xdr:rowOff>0</xdr:rowOff>
    </xdr:from>
    <xdr:to>
      <xdr:col>1</xdr:col>
      <xdr:colOff>323851</xdr:colOff>
      <xdr:row>3</xdr:row>
      <xdr:rowOff>183920</xdr:rowOff>
    </xdr:to>
    <xdr:pic>
      <xdr:nvPicPr>
        <xdr:cNvPr id="3" name="Picture 4">
          <a:hlinkClick xmlns:r="http://schemas.openxmlformats.org/officeDocument/2006/relationships" r:id="rId3"/>
        </xdr:cNvPr>
        <xdr:cNvPicPr>
          <a:picLocks noChangeAspect="1" noChangeArrowheads="1"/>
        </xdr:cNvPicPr>
      </xdr:nvPicPr>
      <xdr:blipFill>
        <a:blip xmlns:r="http://schemas.openxmlformats.org/officeDocument/2006/relationships" r:embed="rId4" cstate="print"/>
        <a:srcRect/>
        <a:stretch>
          <a:fillRect/>
        </a:stretch>
      </xdr:blipFill>
      <xdr:spPr bwMode="auto">
        <a:xfrm>
          <a:off x="200025" y="381000"/>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133350</xdr:colOff>
      <xdr:row>0</xdr:row>
      <xdr:rowOff>76200</xdr:rowOff>
    </xdr:from>
    <xdr:to>
      <xdr:col>1</xdr:col>
      <xdr:colOff>171450</xdr:colOff>
      <xdr:row>2</xdr:row>
      <xdr:rowOff>26322</xdr:rowOff>
    </xdr:to>
    <xdr:pic>
      <xdr:nvPicPr>
        <xdr:cNvPr id="2" name="Picture 1"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133350" y="76200"/>
          <a:ext cx="409575" cy="378747"/>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0</xdr:row>
      <xdr:rowOff>104775</xdr:rowOff>
    </xdr:from>
    <xdr:to>
      <xdr:col>1</xdr:col>
      <xdr:colOff>409575</xdr:colOff>
      <xdr:row>2</xdr:row>
      <xdr:rowOff>92997</xdr:rowOff>
    </xdr:to>
    <xdr:pic>
      <xdr:nvPicPr>
        <xdr:cNvPr id="2" name="Picture 1" descr="https://encrypted-tbn2.gstatic.com/images?q=tbn:ANd9GcQPmkby_pF1mneCprIhuoJmxy7NBJv32vzQTM7E-zn5K3yqIWiJ">
          <a:hlinkClick xmlns:r="http://schemas.openxmlformats.org/officeDocument/2006/relationships" r:id="rId1"/>
        </xdr:cNvPr>
        <xdr:cNvPicPr>
          <a:picLocks noChangeAspect="1" noChangeArrowheads="1"/>
        </xdr:cNvPicPr>
      </xdr:nvPicPr>
      <xdr:blipFill>
        <a:blip xmlns:r="http://schemas.openxmlformats.org/officeDocument/2006/relationships" r:embed="rId2"/>
        <a:stretch>
          <a:fillRect/>
        </a:stretch>
      </xdr:blipFill>
      <xdr:spPr bwMode="auto">
        <a:xfrm>
          <a:off x="333375" y="104775"/>
          <a:ext cx="409575" cy="378747"/>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30.xml><?xml version="1.0" encoding="utf-8"?>
<xdr:wsDr xmlns:xdr="http://schemas.openxmlformats.org/drawingml/2006/spreadsheetDrawing" xmlns:a="http://schemas.openxmlformats.org/drawingml/2006/main">
  <xdr:twoCellAnchor>
    <xdr:from>
      <xdr:col>1</xdr:col>
      <xdr:colOff>31750</xdr:colOff>
      <xdr:row>3</xdr:row>
      <xdr:rowOff>0</xdr:rowOff>
    </xdr:from>
    <xdr:to>
      <xdr:col>1</xdr:col>
      <xdr:colOff>1536700</xdr:colOff>
      <xdr:row>4</xdr:row>
      <xdr:rowOff>76200</xdr:rowOff>
    </xdr:to>
    <xdr:sp macro="" textlink="">
      <xdr:nvSpPr>
        <xdr:cNvPr id="2" name="Rounded Rectangle 1">
          <a:hlinkClick xmlns:r="http://schemas.openxmlformats.org/officeDocument/2006/relationships" r:id="rId1"/>
        </xdr:cNvPr>
        <xdr:cNvSpPr/>
      </xdr:nvSpPr>
      <xdr:spPr>
        <a:xfrm>
          <a:off x="346075" y="600075"/>
          <a:ext cx="1504950" cy="266700"/>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561975</xdr:colOff>
      <xdr:row>0</xdr:row>
      <xdr:rowOff>123825</xdr:rowOff>
    </xdr:from>
    <xdr:to>
      <xdr:col>1</xdr:col>
      <xdr:colOff>1009650</xdr:colOff>
      <xdr:row>2</xdr:row>
      <xdr:rowOff>137754</xdr:rowOff>
    </xdr:to>
    <xdr:pic>
      <xdr:nvPicPr>
        <xdr:cNvPr id="3" name="Picture 2" descr="https://encrypted-tbn2.gstatic.com/images?q=tbn:ANd9GcQPmkby_pF1mneCprIhuoJmxy7NBJv32vzQTM7E-zn5K3yqIWiJ">
          <a:hlinkClick xmlns:r="http://schemas.openxmlformats.org/officeDocument/2006/relationships" r:id="rId2"/>
        </xdr:cNvPr>
        <xdr:cNvPicPr>
          <a:picLocks noChangeAspect="1" noChangeArrowheads="1"/>
        </xdr:cNvPicPr>
      </xdr:nvPicPr>
      <xdr:blipFill>
        <a:blip xmlns:r="http://schemas.openxmlformats.org/officeDocument/2006/relationships" r:embed="rId3"/>
        <a:stretch>
          <a:fillRect/>
        </a:stretch>
      </xdr:blipFill>
      <xdr:spPr bwMode="auto">
        <a:xfrm>
          <a:off x="876300" y="123825"/>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200025</xdr:colOff>
      <xdr:row>0</xdr:row>
      <xdr:rowOff>161925</xdr:rowOff>
    </xdr:from>
    <xdr:to>
      <xdr:col>1</xdr:col>
      <xdr:colOff>323851</xdr:colOff>
      <xdr:row>2</xdr:row>
      <xdr:rowOff>136295</xdr:rowOff>
    </xdr:to>
    <xdr:pic>
      <xdr:nvPicPr>
        <xdr:cNvPr id="4" name="Picture 4">
          <a:hlinkClick xmlns:r="http://schemas.openxmlformats.org/officeDocument/2006/relationships" r:id="rId4"/>
        </xdr:cNvPr>
        <xdr:cNvPicPr>
          <a:picLocks noChangeAspect="1" noChangeArrowheads="1"/>
        </xdr:cNvPicPr>
      </xdr:nvPicPr>
      <xdr:blipFill>
        <a:blip xmlns:r="http://schemas.openxmlformats.org/officeDocument/2006/relationships" r:embed="rId5" cstate="print"/>
        <a:srcRect/>
        <a:stretch>
          <a:fillRect/>
        </a:stretch>
      </xdr:blipFill>
      <xdr:spPr bwMode="auto">
        <a:xfrm>
          <a:off x="200025" y="161925"/>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31.xml><?xml version="1.0" encoding="utf-8"?>
<xdr:wsDr xmlns:xdr="http://schemas.openxmlformats.org/drawingml/2006/spreadsheetDrawing" xmlns:a="http://schemas.openxmlformats.org/drawingml/2006/main">
  <xdr:twoCellAnchor editAs="oneCell">
    <xdr:from>
      <xdr:col>0</xdr:col>
      <xdr:colOff>142874</xdr:colOff>
      <xdr:row>0</xdr:row>
      <xdr:rowOff>66676</xdr:rowOff>
    </xdr:from>
    <xdr:to>
      <xdr:col>1</xdr:col>
      <xdr:colOff>266700</xdr:colOff>
      <xdr:row>2</xdr:row>
      <xdr:rowOff>60096</xdr:rowOff>
    </xdr:to>
    <xdr:pic>
      <xdr:nvPicPr>
        <xdr:cNvPr id="2"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42874" y="66676"/>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xdr:from>
      <xdr:col>1</xdr:col>
      <xdr:colOff>57150</xdr:colOff>
      <xdr:row>3</xdr:row>
      <xdr:rowOff>0</xdr:rowOff>
    </xdr:from>
    <xdr:to>
      <xdr:col>1</xdr:col>
      <xdr:colOff>1562100</xdr:colOff>
      <xdr:row>4</xdr:row>
      <xdr:rowOff>47625</xdr:rowOff>
    </xdr:to>
    <xdr:sp macro="" textlink="">
      <xdr:nvSpPr>
        <xdr:cNvPr id="3" name="Rounded Rectangle 2">
          <a:hlinkClick xmlns:r="http://schemas.openxmlformats.org/officeDocument/2006/relationships" r:id="rId3"/>
        </xdr:cNvPr>
        <xdr:cNvSpPr/>
      </xdr:nvSpPr>
      <xdr:spPr>
        <a:xfrm>
          <a:off x="371475" y="571500"/>
          <a:ext cx="1504950" cy="238125"/>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409575</xdr:colOff>
      <xdr:row>0</xdr:row>
      <xdr:rowOff>85725</xdr:rowOff>
    </xdr:from>
    <xdr:to>
      <xdr:col>1</xdr:col>
      <xdr:colOff>857250</xdr:colOff>
      <xdr:row>2</xdr:row>
      <xdr:rowOff>118704</xdr:rowOff>
    </xdr:to>
    <xdr:pic>
      <xdr:nvPicPr>
        <xdr:cNvPr id="4" name="Picture 3" descr="https://encrypted-tbn2.gstatic.com/images?q=tbn:ANd9GcQPmkby_pF1mneCprIhuoJmxy7NBJv32vzQTM7E-zn5K3yqIWiJ">
          <a:hlinkClick xmlns:r="http://schemas.openxmlformats.org/officeDocument/2006/relationships" r:id="rId4"/>
        </xdr:cNvPr>
        <xdr:cNvPicPr>
          <a:picLocks noChangeAspect="1" noChangeArrowheads="1"/>
        </xdr:cNvPicPr>
      </xdr:nvPicPr>
      <xdr:blipFill>
        <a:blip xmlns:r="http://schemas.openxmlformats.org/officeDocument/2006/relationships" r:embed="rId5"/>
        <a:stretch>
          <a:fillRect/>
        </a:stretch>
      </xdr:blipFill>
      <xdr:spPr bwMode="auto">
        <a:xfrm>
          <a:off x="723900" y="85725"/>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32.xml><?xml version="1.0" encoding="utf-8"?>
<xdr:wsDr xmlns:xdr="http://schemas.openxmlformats.org/drawingml/2006/spreadsheetDrawing" xmlns:a="http://schemas.openxmlformats.org/drawingml/2006/main">
  <xdr:twoCellAnchor>
    <xdr:from>
      <xdr:col>1</xdr:col>
      <xdr:colOff>31750</xdr:colOff>
      <xdr:row>3</xdr:row>
      <xdr:rowOff>0</xdr:rowOff>
    </xdr:from>
    <xdr:to>
      <xdr:col>1</xdr:col>
      <xdr:colOff>1536700</xdr:colOff>
      <xdr:row>4</xdr:row>
      <xdr:rowOff>76200</xdr:rowOff>
    </xdr:to>
    <xdr:sp macro="" textlink="">
      <xdr:nvSpPr>
        <xdr:cNvPr id="2" name="Rounded Rectangle 1">
          <a:hlinkClick xmlns:r="http://schemas.openxmlformats.org/officeDocument/2006/relationships" r:id="rId1"/>
        </xdr:cNvPr>
        <xdr:cNvSpPr/>
      </xdr:nvSpPr>
      <xdr:spPr>
        <a:xfrm>
          <a:off x="346075" y="600075"/>
          <a:ext cx="1504950" cy="266700"/>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447675</xdr:colOff>
      <xdr:row>0</xdr:row>
      <xdr:rowOff>104775</xdr:rowOff>
    </xdr:from>
    <xdr:to>
      <xdr:col>1</xdr:col>
      <xdr:colOff>895350</xdr:colOff>
      <xdr:row>2</xdr:row>
      <xdr:rowOff>137754</xdr:rowOff>
    </xdr:to>
    <xdr:pic>
      <xdr:nvPicPr>
        <xdr:cNvPr id="3" name="Picture 2" descr="https://encrypted-tbn2.gstatic.com/images?q=tbn:ANd9GcQPmkby_pF1mneCprIhuoJmxy7NBJv32vzQTM7E-zn5K3yqIWiJ">
          <a:hlinkClick xmlns:r="http://schemas.openxmlformats.org/officeDocument/2006/relationships" r:id="rId2"/>
        </xdr:cNvPr>
        <xdr:cNvPicPr>
          <a:picLocks noChangeAspect="1" noChangeArrowheads="1"/>
        </xdr:cNvPicPr>
      </xdr:nvPicPr>
      <xdr:blipFill>
        <a:blip xmlns:r="http://schemas.openxmlformats.org/officeDocument/2006/relationships" r:embed="rId3"/>
        <a:stretch>
          <a:fillRect/>
        </a:stretch>
      </xdr:blipFill>
      <xdr:spPr bwMode="auto">
        <a:xfrm>
          <a:off x="762000" y="104775"/>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editAs="oneCell">
    <xdr:from>
      <xdr:col>0</xdr:col>
      <xdr:colOff>161925</xdr:colOff>
      <xdr:row>0</xdr:row>
      <xdr:rowOff>123825</xdr:rowOff>
    </xdr:from>
    <xdr:to>
      <xdr:col>1</xdr:col>
      <xdr:colOff>285751</xdr:colOff>
      <xdr:row>2</xdr:row>
      <xdr:rowOff>117245</xdr:rowOff>
    </xdr:to>
    <xdr:pic>
      <xdr:nvPicPr>
        <xdr:cNvPr id="4" name="Picture 4">
          <a:hlinkClick xmlns:r="http://schemas.openxmlformats.org/officeDocument/2006/relationships" r:id="rId4"/>
        </xdr:cNvPr>
        <xdr:cNvPicPr>
          <a:picLocks noChangeAspect="1" noChangeArrowheads="1"/>
        </xdr:cNvPicPr>
      </xdr:nvPicPr>
      <xdr:blipFill>
        <a:blip xmlns:r="http://schemas.openxmlformats.org/officeDocument/2006/relationships" r:embed="rId5" cstate="print"/>
        <a:srcRect/>
        <a:stretch>
          <a:fillRect/>
        </a:stretch>
      </xdr:blipFill>
      <xdr:spPr bwMode="auto">
        <a:xfrm>
          <a:off x="161925" y="123825"/>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wsDr>
</file>

<file path=xl/drawings/drawing33.xml><?xml version="1.0" encoding="utf-8"?>
<xdr:wsDr xmlns:xdr="http://schemas.openxmlformats.org/drawingml/2006/spreadsheetDrawing" xmlns:a="http://schemas.openxmlformats.org/drawingml/2006/main">
  <xdr:twoCellAnchor editAs="oneCell">
    <xdr:from>
      <xdr:col>0</xdr:col>
      <xdr:colOff>114299</xdr:colOff>
      <xdr:row>0</xdr:row>
      <xdr:rowOff>95251</xdr:rowOff>
    </xdr:from>
    <xdr:to>
      <xdr:col>1</xdr:col>
      <xdr:colOff>238125</xdr:colOff>
      <xdr:row>2</xdr:row>
      <xdr:rowOff>88671</xdr:rowOff>
    </xdr:to>
    <xdr:pic>
      <xdr:nvPicPr>
        <xdr:cNvPr id="2"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4299" y="95251"/>
          <a:ext cx="438151" cy="37442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fPrintsWithSheet="0"/>
  </xdr:twoCellAnchor>
  <xdr:twoCellAnchor>
    <xdr:from>
      <xdr:col>1</xdr:col>
      <xdr:colOff>57150</xdr:colOff>
      <xdr:row>3</xdr:row>
      <xdr:rowOff>0</xdr:rowOff>
    </xdr:from>
    <xdr:to>
      <xdr:col>1</xdr:col>
      <xdr:colOff>1562100</xdr:colOff>
      <xdr:row>4</xdr:row>
      <xdr:rowOff>85725</xdr:rowOff>
    </xdr:to>
    <xdr:sp macro="" textlink="">
      <xdr:nvSpPr>
        <xdr:cNvPr id="3" name="Rounded Rectangle 2">
          <a:hlinkClick xmlns:r="http://schemas.openxmlformats.org/officeDocument/2006/relationships" r:id="rId3"/>
        </xdr:cNvPr>
        <xdr:cNvSpPr/>
      </xdr:nvSpPr>
      <xdr:spPr>
        <a:xfrm>
          <a:off x="371475" y="571500"/>
          <a:ext cx="1504950" cy="276225"/>
        </a:xfrm>
        <a:prstGeom prst="round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en-US" sz="1100"/>
            <a:t>LIHAT KD</a:t>
          </a:r>
        </a:p>
      </xdr:txBody>
    </xdr:sp>
    <xdr:clientData/>
  </xdr:twoCellAnchor>
  <xdr:twoCellAnchor editAs="oneCell">
    <xdr:from>
      <xdr:col>1</xdr:col>
      <xdr:colOff>514350</xdr:colOff>
      <xdr:row>0</xdr:row>
      <xdr:rowOff>152400</xdr:rowOff>
    </xdr:from>
    <xdr:to>
      <xdr:col>1</xdr:col>
      <xdr:colOff>962025</xdr:colOff>
      <xdr:row>2</xdr:row>
      <xdr:rowOff>185379</xdr:rowOff>
    </xdr:to>
    <xdr:pic>
      <xdr:nvPicPr>
        <xdr:cNvPr id="4" name="Picture 3" descr="https://encrypted-tbn2.gstatic.com/images?q=tbn:ANd9GcQPmkby_pF1mneCprIhuoJmxy7NBJv32vzQTM7E-zn5K3yqIWiJ">
          <a:hlinkClick xmlns:r="http://schemas.openxmlformats.org/officeDocument/2006/relationships" r:id="rId4"/>
        </xdr:cNvPr>
        <xdr:cNvPicPr>
          <a:picLocks noChangeAspect="1" noChangeArrowheads="1"/>
        </xdr:cNvPicPr>
      </xdr:nvPicPr>
      <xdr:blipFill>
        <a:blip xmlns:r="http://schemas.openxmlformats.org/officeDocument/2006/relationships" r:embed="rId5"/>
        <a:stretch>
          <a:fillRect/>
        </a:stretch>
      </xdr:blipFill>
      <xdr:spPr bwMode="auto">
        <a:xfrm>
          <a:off x="828675" y="152400"/>
          <a:ext cx="447675" cy="413979"/>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14</xdr:col>
      <xdr:colOff>47625</xdr:colOff>
      <xdr:row>1</xdr:row>
      <xdr:rowOff>47625</xdr:rowOff>
    </xdr:from>
    <xdr:to>
      <xdr:col>14</xdr:col>
      <xdr:colOff>535036</xdr:colOff>
      <xdr:row>4</xdr:row>
      <xdr:rowOff>76200</xdr:rowOff>
    </xdr:to>
    <xdr:pic>
      <xdr:nvPicPr>
        <xdr:cNvPr id="3"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5943600" y="47625"/>
          <a:ext cx="487411" cy="4953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mc:AlternateContent xmlns:mc="http://schemas.openxmlformats.org/markup-compatibility/2006">
    <mc:Choice xmlns:a14="http://schemas.microsoft.com/office/drawing/2010/main" Requires="a14">
      <xdr:twoCellAnchor>
        <xdr:from>
          <xdr:col>16</xdr:col>
          <xdr:colOff>114300</xdr:colOff>
          <xdr:row>2</xdr:row>
          <xdr:rowOff>0</xdr:rowOff>
        </xdr:from>
        <xdr:to>
          <xdr:col>16</xdr:col>
          <xdr:colOff>552450</xdr:colOff>
          <xdr:row>5</xdr:row>
          <xdr:rowOff>123825</xdr:rowOff>
        </xdr:to>
        <xdr:sp macro="" textlink="">
          <xdr:nvSpPr>
            <xdr:cNvPr id="2049" name="Spinner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xdr:twoCellAnchor>
    <xdr:from>
      <xdr:col>1</xdr:col>
      <xdr:colOff>0</xdr:colOff>
      <xdr:row>0</xdr:row>
      <xdr:rowOff>47624</xdr:rowOff>
    </xdr:from>
    <xdr:to>
      <xdr:col>1</xdr:col>
      <xdr:colOff>600075</xdr:colOff>
      <xdr:row>1</xdr:row>
      <xdr:rowOff>85725</xdr:rowOff>
    </xdr:to>
    <xdr:sp macro="" textlink="">
      <xdr:nvSpPr>
        <xdr:cNvPr id="2" name="Rounded Rectangle 1">
          <a:hlinkClick xmlns:r="http://schemas.openxmlformats.org/officeDocument/2006/relationships" r:id="rId1"/>
        </xdr:cNvPr>
        <xdr:cNvSpPr/>
      </xdr:nvSpPr>
      <xdr:spPr>
        <a:xfrm>
          <a:off x="314325" y="47624"/>
          <a:ext cx="600075" cy="2762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menu</a:t>
          </a: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1</xdr:col>
      <xdr:colOff>0</xdr:colOff>
      <xdr:row>0</xdr:row>
      <xdr:rowOff>47624</xdr:rowOff>
    </xdr:from>
    <xdr:to>
      <xdr:col>1</xdr:col>
      <xdr:colOff>600075</xdr:colOff>
      <xdr:row>1</xdr:row>
      <xdr:rowOff>85725</xdr:rowOff>
    </xdr:to>
    <xdr:sp macro="" textlink="">
      <xdr:nvSpPr>
        <xdr:cNvPr id="2" name="Rounded Rectangle 1">
          <a:hlinkClick xmlns:r="http://schemas.openxmlformats.org/officeDocument/2006/relationships" r:id="rId1"/>
        </xdr:cNvPr>
        <xdr:cNvSpPr/>
      </xdr:nvSpPr>
      <xdr:spPr>
        <a:xfrm>
          <a:off x="314325" y="47624"/>
          <a:ext cx="600075" cy="2762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menu</a:t>
          </a:r>
        </a:p>
      </xdr:txBody>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190500</xdr:colOff>
      <xdr:row>0</xdr:row>
      <xdr:rowOff>133350</xdr:rowOff>
    </xdr:from>
    <xdr:to>
      <xdr:col>0</xdr:col>
      <xdr:colOff>190500</xdr:colOff>
      <xdr:row>0</xdr:row>
      <xdr:rowOff>133350</xdr:rowOff>
    </xdr:to>
    <xdr:pic>
      <xdr:nvPicPr>
        <xdr:cNvPr id="2" name="Picture 1">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90500" y="133350"/>
          <a:ext cx="374932" cy="3810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twoCellAnchor editAs="oneCell">
    <xdr:from>
      <xdr:col>0</xdr:col>
      <xdr:colOff>228600</xdr:colOff>
      <xdr:row>0</xdr:row>
      <xdr:rowOff>76200</xdr:rowOff>
    </xdr:from>
    <xdr:to>
      <xdr:col>0</xdr:col>
      <xdr:colOff>228600</xdr:colOff>
      <xdr:row>0</xdr:row>
      <xdr:rowOff>76200</xdr:rowOff>
    </xdr:to>
    <xdr:pic>
      <xdr:nvPicPr>
        <xdr:cNvPr id="3" name="Picture 4">
          <a:hlinkClick xmlns:r="http://schemas.openxmlformats.org/officeDocument/2006/relationships" r:id="rId1"/>
        </xdr:cNvPr>
        <xdr:cNvPicPr>
          <a:picLocks noChangeAspect="1" noChangeArrowheads="1"/>
        </xdr:cNvPicPr>
      </xdr:nvPicPr>
      <xdr:blipFill>
        <a:blip xmlns:r="http://schemas.openxmlformats.org/officeDocument/2006/relationships" r:embed="rId3" cstate="print"/>
        <a:srcRect/>
        <a:stretch>
          <a:fillRect/>
        </a:stretch>
      </xdr:blipFill>
      <xdr:spPr bwMode="auto">
        <a:xfrm>
          <a:off x="228600" y="76200"/>
          <a:ext cx="491645" cy="486834"/>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twoCellAnchor>
    <xdr:from>
      <xdr:col>2</xdr:col>
      <xdr:colOff>247650</xdr:colOff>
      <xdr:row>18</xdr:row>
      <xdr:rowOff>66676</xdr:rowOff>
    </xdr:from>
    <xdr:to>
      <xdr:col>7</xdr:col>
      <xdr:colOff>28575</xdr:colOff>
      <xdr:row>23</xdr:row>
      <xdr:rowOff>85726</xdr:rowOff>
    </xdr:to>
    <xdr:pic>
      <xdr:nvPicPr>
        <xdr:cNvPr id="4" name="Picture 0" descr="kd.PNG"/>
        <xdr:cNvPicPr>
          <a:picLocks noChangeAspect="1" noChangeArrowheads="1"/>
        </xdr:cNvPicPr>
      </xdr:nvPicPr>
      <xdr:blipFill>
        <a:blip xmlns:r="http://schemas.openxmlformats.org/officeDocument/2006/relationships" r:embed="rId4"/>
        <a:srcRect/>
        <a:stretch>
          <a:fillRect/>
        </a:stretch>
      </xdr:blipFill>
      <xdr:spPr bwMode="auto">
        <a:xfrm>
          <a:off x="942975" y="4953001"/>
          <a:ext cx="1352550" cy="1209675"/>
        </a:xfrm>
        <a:prstGeom prst="rect">
          <a:avLst/>
        </a:prstGeom>
        <a:noFill/>
      </xdr:spPr>
    </xdr:pic>
    <xdr:clientData/>
  </xdr:twoCellAnchor>
  <xdr:twoCellAnchor>
    <xdr:from>
      <xdr:col>3</xdr:col>
      <xdr:colOff>28575</xdr:colOff>
      <xdr:row>27</xdr:row>
      <xdr:rowOff>95250</xdr:rowOff>
    </xdr:from>
    <xdr:to>
      <xdr:col>8</xdr:col>
      <xdr:colOff>114300</xdr:colOff>
      <xdr:row>34</xdr:row>
      <xdr:rowOff>76200</xdr:rowOff>
    </xdr:to>
    <xdr:pic>
      <xdr:nvPicPr>
        <xdr:cNvPr id="5" name="Picture 1" descr="angka.PNG"/>
        <xdr:cNvPicPr>
          <a:picLocks noChangeAspect="1" noChangeArrowheads="1"/>
        </xdr:cNvPicPr>
      </xdr:nvPicPr>
      <xdr:blipFill>
        <a:blip xmlns:r="http://schemas.openxmlformats.org/officeDocument/2006/relationships" r:embed="rId5"/>
        <a:srcRect/>
        <a:stretch>
          <a:fillRect/>
        </a:stretch>
      </xdr:blipFill>
      <xdr:spPr bwMode="auto">
        <a:xfrm>
          <a:off x="1038225" y="7362825"/>
          <a:ext cx="1657350" cy="1647825"/>
        </a:xfrm>
        <a:prstGeom prst="rect">
          <a:avLst/>
        </a:prstGeom>
        <a:noFill/>
      </xdr:spPr>
    </xdr:pic>
    <xdr:clientData/>
  </xdr:twoCellAnchor>
  <xdr:twoCellAnchor editAs="oneCell">
    <xdr:from>
      <xdr:col>3</xdr:col>
      <xdr:colOff>0</xdr:colOff>
      <xdr:row>36</xdr:row>
      <xdr:rowOff>0</xdr:rowOff>
    </xdr:from>
    <xdr:to>
      <xdr:col>3</xdr:col>
      <xdr:colOff>0</xdr:colOff>
      <xdr:row>36</xdr:row>
      <xdr:rowOff>0</xdr:rowOff>
    </xdr:to>
    <xdr:pic>
      <xdr:nvPicPr>
        <xdr:cNvPr id="6" name="Picture 1"/>
        <xdr:cNvPicPr>
          <a:picLocks noChangeAspect="1" noChangeArrowheads="1"/>
        </xdr:cNvPicPr>
      </xdr:nvPicPr>
      <xdr:blipFill>
        <a:blip xmlns:r="http://schemas.openxmlformats.org/officeDocument/2006/relationships" r:embed="rId6"/>
        <a:srcRect/>
        <a:stretch>
          <a:fillRect/>
        </a:stretch>
      </xdr:blipFill>
      <xdr:spPr bwMode="auto">
        <a:xfrm>
          <a:off x="1009650" y="9410700"/>
          <a:ext cx="1857375" cy="571500"/>
        </a:xfrm>
        <a:prstGeom prst="rect">
          <a:avLst/>
        </a:prstGeom>
        <a:noFill/>
        <a:ln w="1">
          <a:noFill/>
          <a:miter lim="800000"/>
          <a:headEnd/>
          <a:tailEnd type="none" w="med" len="med"/>
        </a:ln>
        <a:effectLst/>
      </xdr:spPr>
    </xdr:pic>
    <xdr:clientData/>
  </xdr:twoCellAnchor>
  <xdr:twoCellAnchor editAs="oneCell">
    <xdr:from>
      <xdr:col>0</xdr:col>
      <xdr:colOff>276225</xdr:colOff>
      <xdr:row>0</xdr:row>
      <xdr:rowOff>114300</xdr:rowOff>
    </xdr:from>
    <xdr:to>
      <xdr:col>1</xdr:col>
      <xdr:colOff>270157</xdr:colOff>
      <xdr:row>1</xdr:row>
      <xdr:rowOff>304800</xdr:rowOff>
    </xdr:to>
    <xdr:pic>
      <xdr:nvPicPr>
        <xdr:cNvPr id="7" name="Picture 6">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276225" y="114300"/>
          <a:ext cx="374932" cy="381000"/>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SD%20MUH%20WONOPETI\draft%20SEM%20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SD%20MUH%20WONOPETI\RAPOT%20KLS%206%20SEM%201%20%2020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SEKOLAH"/>
      <sheetName val="data siswa"/>
      <sheetName val="pengetahuan"/>
      <sheetName val="KI-1"/>
      <sheetName val="KI-2"/>
      <sheetName val="KI-3"/>
      <sheetName val="KI-4"/>
      <sheetName val="ekskul"/>
      <sheetName val="PRESENSI"/>
      <sheetName val="rapot"/>
      <sheetName val="sampulrapot"/>
      <sheetName val="leger"/>
      <sheetName val="PETUNJUK"/>
      <sheetName val="P-PA"/>
      <sheetName val="P-pkn"/>
      <sheetName val="P-BI"/>
      <sheetName val="P-MAT"/>
      <sheetName val="P-SBDP"/>
      <sheetName val="P-PJOK"/>
      <sheetName val="P-JAWA"/>
      <sheetName val="KET-PA"/>
      <sheetName val="KET-pkn"/>
      <sheetName val="ket-bi"/>
      <sheetName val="KET-MAT"/>
      <sheetName val="KET-Sbdp"/>
      <sheetName val="KET Pjok"/>
      <sheetName val="KET-Jawa"/>
      <sheetName val="KETRAMPILAN"/>
      <sheetName val="UTS"/>
      <sheetName val="UAS"/>
      <sheetName val="fisik"/>
      <sheetName val="saran"/>
    </sheetNames>
    <sheetDataSet>
      <sheetData sheetId="0" refreshError="1"/>
      <sheetData sheetId="1">
        <row r="11">
          <cell r="D11" t="str">
            <v>Wates</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0">
          <cell r="A10">
            <v>1</v>
          </cell>
          <cell r="B10" t="str">
            <v>DWI IBNU SUHARYANA</v>
          </cell>
          <cell r="C10">
            <v>2934</v>
          </cell>
          <cell r="D10" t="str">
            <v>00123456789</v>
          </cell>
          <cell r="E10" t="str">
            <v xml:space="preserve">Sudah baik dalam  ketaatan beribadah Sudah baik dalam perilaku bersyukur, Cukup baik dalam berdoa sebelum dan sesudah melakukan kegiatan Sudah baik dalam toleransi dalam beribadah.  </v>
          </cell>
          <cell r="F10" t="str">
            <v>Sudah baik dalam perilaku jujur Sangat baik dalam disiplin Sudah baik dalam sikap percaya diri Sangat baik dalam tanggung jawab Sudah baik dalam santun Cukup baik dalam sopan Sudah baik dalam …</v>
          </cell>
          <cell r="G10" t="str">
            <v>pandai menulis</v>
          </cell>
          <cell r="H10">
            <v>91.8</v>
          </cell>
          <cell r="I10" t="str">
            <v xml:space="preserve">Cukup pandai mengenal teks deskriptif tentang anggota tubuh dan pancaindra, wujud dan sifat benda, serta peristiwa siang dan malam , Cukup pandai mengenal teks petunjuk/arahan tentang perawatan tubuh serta pemeliharaan kesehatan dan kebugaran tubuh , Perlu banyak latihan mengenal teks terima kasih tentangsikap kasih sayang , Perlu bimbingan mengenal teks cerita diri/personaltentang keberadaan keluarga , Pandai mengenal teks diagram/label tentang anggota keluarga dan kerabat </v>
          </cell>
          <cell r="J10" t="str">
            <v>Menguasai dengan baik mengenal lambang bilangan dan mendeskripsikan kemunculan bilangan dengan bahasa yang sederhana.  , Perlu banyak latihan mengenal bilangan asli sampai 99 dengan menggunakan benda benda yang ada di sekitar rumah, sekolah, atau tempat bermain, Menguasai dengan baik mengenal dan memprediksi pola-pola bilangan sederhana menggunakan gambar-gambar/benda konkrit, Perlu bimbingan menunjukkan pemahaman tentang besaran dengan menghitung maju sampai 100 dan mundur dari 20, Cukup pandai mengenal bangun datar dan bangun ruang menggunakan benda-benda yang ada di sekitar rumah, sekolah, atau tempat  bermain</v>
          </cell>
          <cell r="K10" t="str">
            <v xml:space="preserve">Cukup pandai mengenal cara dan hasil karya seni ekspresi, Cukup pandai mengenal pola irama lagu bervariasi menggunakan alat musik ritmis. , Perlu banyak latihan mengenal unsur-unsur gerak, bagian-bagian gerak anggota tubuh dan level gerak dalam menari. , Perlu bimbingan mengamati berbagai bahan, alat, dan fungsinya dalam membuat membuat prakarya. , Menguasai dengan baik mengenal karya seni budaya benda dan bahasa daerah setempat. </v>
          </cell>
          <cell r="L10" t="str">
            <v>sangat pandai bermain sepak bola</v>
          </cell>
          <cell r="M10" t="str">
            <v>Cukup pandai  Memahami teks diskriptif tentang anggota tubuh dan pancaindera, Menguasai dengan baik Memahami dongeng hewan, tembang dolanan, dan permainan tradisional’, Menguasai dengan baik Memahami wayang (punakawan) dan silsilah keluarga, Perlu bimbingan Memahami unggah ungguh basa untuk memperkenalkan diri dan menanyakan sesuatu kepada orang lain</v>
          </cell>
          <cell r="N10" t="str">
            <v>mahir berwudhu</v>
          </cell>
          <cell r="O10" t="str">
            <v xml:space="preserve"> Sudah terampil dalam mengamati dan menceritakan perilaku di sekitar rumah dan sekolah, Sudah terampil dalam melaksanakan kewajiban sebagai warga, Sudah terampil dalam bekerja sama dengan teman dalam keberagaman, Sudah terampil dalam mengelompokkan kesamaan identitas suku bangsa, Sudah terampil dalam memetakan keberagaman sumber daya alam.</v>
          </cell>
          <cell r="P10" t="str">
            <v xml:space="preserve"> Sudah terampil dalam mengamati dan menceritakan perilaku di sekitar rumah dan sekolah, , Menguasai dengan baik dalam melaksanakan kewajiban sebagai warga, , Menguasai dengan baik dalam bekerja sama dengan teman dalam keberagaman, , Menguasai dengan baik dalam mengelompokkan kesamaan identitas suku bangsa, , Menguasai dengan baik dalam memetakan keberagaman sumber daya alam.</v>
          </cell>
          <cell r="Q10" t="str">
            <v xml:space="preserve"> Sudah terampil dalam mengurai sebuah bilangan asli sampai dengan 99 sebagai hasil penjumlahan atau pengurangan dua buah bilangan asli lainnya dengan berbagai kemungkinan jawaban, Menguasai dengan baik dalam membentuk dan menggambarbangun baru dari bangun-bangundatar atau pola bangun datar yangsudah ada. , Perlu banyak latihan dalam mengelompokkan teman sekelas berdasarkan tinggi badannya, Perlu banyak latihan dalam mengemukakan kembali dengan kalimat sendiri dan memecahkan masalah yang berkaitan dengan penjumlahan dan pengurangan terkait dengan aktivitas sehari-hari serta memeriksa kebenarannya, Perlu banyak latihan dalam melakukan pengubinan daribangun datar sederhana tertentu. </v>
          </cell>
          <cell r="R10" t="str">
            <v xml:space="preserve"> Sudah terampil dalam mengamati dan menceritakan perilaku di sekitar rumah dan sekolah, , Menguasai dengan baik dalam melaksanakan kewajiban sebagai warga, , Menguasai dengan baik dalam bekerja sama dengan teman dalam keberagaman, , Menguasai dengan baik dalam mengelompokkan kesamaan identitas suku bangsa, , Menguasai dengan baik dalam memetakan keberagaman sumber daya alam.</v>
          </cell>
          <cell r="S10" t="str">
            <v>menguasai dengan baik teknik bermain bola s</v>
          </cell>
          <cell r="T10" t="str">
            <v xml:space="preserve"> Sudah terampil dalam  Menirukan dan menyalin teks diskriptif tentang anggota tubuh dan pancaindera, Menguasai dengan baik dalam Menceritakan dongeng hewan, melantunkan tembang dolanan,dan melakukan permainan tradisional, Sudah terampil dalam Menceriterakan wayang punakawan dan silsilah keluarga, Mahir dalam  Menggunakan unggah  ungguh basa untuk  memperkenallkan diri dan menanyakan sesuatu kepada orang lain.</v>
          </cell>
          <cell r="U10" t="str">
            <v>Pramuka</v>
          </cell>
          <cell r="V10" t="str">
            <v>Sudah menguasai kode moral pramuka, salam pramuka, sandi morse, kotak 1 dan 2, sandi rumput, simpul jangkar simpul mati dan tali temali dengan baik.</v>
          </cell>
          <cell r="W10" t="str">
            <v>seni tari</v>
          </cell>
          <cell r="X10" t="str">
            <v>Cukup menguasai dalam gerak tangan dan badan</v>
          </cell>
          <cell r="Y10" t="str">
            <v>sepak bola</v>
          </cell>
          <cell r="Z10" t="str">
            <v>Cukup menguasai dalam olah raga atletik</v>
          </cell>
          <cell r="AA10" t="str">
            <v>Bahasa Inggris</v>
          </cell>
          <cell r="AB10" t="str">
            <v>Sudah dapat memahami  tulisan, membaca, mengeja, menirukan ujaran, merespon instruksi dalam Bahasa Inggris sangat sederhana tentang bagian tubuh manusia, pakaian, warna, anggota keluarga, hari, bulan, pekerjaan, makanan, minuman dan sayuran.</v>
          </cell>
          <cell r="AC10" t="str">
            <v>Lebih Giatlah Belajar !</v>
          </cell>
          <cell r="AD10">
            <v>6</v>
          </cell>
          <cell r="AE10">
            <v>0</v>
          </cell>
          <cell r="AF10">
            <v>0</v>
          </cell>
        </row>
        <row r="11">
          <cell r="A11">
            <v>2</v>
          </cell>
          <cell r="B11" t="str">
            <v>GILANG FAJAR PRASTIO</v>
          </cell>
          <cell r="C11">
            <v>2938</v>
          </cell>
          <cell r="D11" t="str">
            <v>00123456790</v>
          </cell>
          <cell r="E11" t="str">
            <v/>
          </cell>
          <cell r="F11" t="str">
            <v/>
          </cell>
          <cell r="G11">
            <v>0</v>
          </cell>
          <cell r="H11" t="str">
            <v/>
          </cell>
          <cell r="I11" t="str">
            <v xml:space="preserve">CEK LAGI, CEK LAGI, CEK LAGI, , Perlu bimbingan mengenal teks cerita diri/personaltentang keberadaan keluarga CEK LAGI. </v>
          </cell>
          <cell r="J11" t="str">
            <v xml:space="preserve">CEK LAGI, CEK LAGI, CEK LAGI, , Perlu bimbingan menunjukkan pemahaman tentang besaran dengan menghitung maju sampai 100 dan mundur dari 20CEK LAGI. </v>
          </cell>
          <cell r="K11" t="str">
            <v xml:space="preserve">CEK LAGI, CEK LAGI, CEK LAGI, , Perlu bimbingan mengamati berbagai bahan, alat, dan fungsinya dalam membuat membuat prakarya. CEK LAGI. </v>
          </cell>
          <cell r="L11">
            <v>0</v>
          </cell>
          <cell r="M11" t="str">
            <v>CEK LAGI, CEK LAGI, CEK LAGI, , Perlu bimbingan Memahami unggah ungguh basa untuk memperkenalkan diri dan menanyakan sesuatu kepada orang lain</v>
          </cell>
          <cell r="N11">
            <v>0</v>
          </cell>
          <cell r="O11"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11"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11"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11"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11">
            <v>0</v>
          </cell>
          <cell r="T11"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11" t="str">
            <v>Pramuka</v>
          </cell>
          <cell r="V11">
            <v>0</v>
          </cell>
          <cell r="W11">
            <v>0</v>
          </cell>
          <cell r="X11">
            <v>0</v>
          </cell>
          <cell r="Y11">
            <v>0</v>
          </cell>
          <cell r="Z11">
            <v>0</v>
          </cell>
          <cell r="AA11">
            <v>0</v>
          </cell>
          <cell r="AB11">
            <v>0</v>
          </cell>
          <cell r="AC11">
            <v>0</v>
          </cell>
          <cell r="AD11">
            <v>0</v>
          </cell>
          <cell r="AE11">
            <v>0</v>
          </cell>
          <cell r="AF11">
            <v>0</v>
          </cell>
        </row>
        <row r="12">
          <cell r="A12">
            <v>3</v>
          </cell>
          <cell r="B12" t="str">
            <v>HERLAND ATARNALIZ MULYADIKHA</v>
          </cell>
          <cell r="C12">
            <v>2941</v>
          </cell>
          <cell r="D12" t="str">
            <v>00123456791</v>
          </cell>
          <cell r="E12" t="str">
            <v/>
          </cell>
          <cell r="F12" t="str">
            <v/>
          </cell>
          <cell r="G12">
            <v>0</v>
          </cell>
          <cell r="H12" t="str">
            <v/>
          </cell>
          <cell r="I12" t="str">
            <v xml:space="preserve">CEK LAGI, CEK LAGI, CEK LAGI, , Perlu bimbingan mengenal teks cerita diri/personaltentang keberadaan keluarga CEK LAGI. </v>
          </cell>
          <cell r="J12" t="str">
            <v xml:space="preserve">CEK LAGI, CEK LAGI, CEK LAGI, , Perlu bimbingan menunjukkan pemahaman tentang besaran dengan menghitung maju sampai 100 dan mundur dari 20CEK LAGI. </v>
          </cell>
          <cell r="K12" t="str">
            <v xml:space="preserve">CEK LAGI, CEK LAGI, CEK LAGI, , Perlu bimbingan mengamati berbagai bahan, alat, dan fungsinya dalam membuat membuat prakarya. CEK LAGI. </v>
          </cell>
          <cell r="L12">
            <v>0</v>
          </cell>
          <cell r="M12" t="str">
            <v>CEK LAGI, CEK LAGI, CEK LAGI, , Perlu bimbingan Memahami unggah ungguh basa untuk memperkenalkan diri dan menanyakan sesuatu kepada orang lain</v>
          </cell>
          <cell r="N12">
            <v>0</v>
          </cell>
          <cell r="O12"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12"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12"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12"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12">
            <v>0</v>
          </cell>
          <cell r="T12"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12">
            <v>0</v>
          </cell>
          <cell r="V12">
            <v>0</v>
          </cell>
          <cell r="W12">
            <v>0</v>
          </cell>
          <cell r="X12">
            <v>0</v>
          </cell>
          <cell r="Y12">
            <v>0</v>
          </cell>
          <cell r="Z12">
            <v>0</v>
          </cell>
          <cell r="AA12">
            <v>0</v>
          </cell>
          <cell r="AB12">
            <v>0</v>
          </cell>
          <cell r="AC12">
            <v>0</v>
          </cell>
          <cell r="AD12">
            <v>0</v>
          </cell>
          <cell r="AE12">
            <v>0</v>
          </cell>
          <cell r="AF12">
            <v>0</v>
          </cell>
        </row>
        <row r="13">
          <cell r="A13">
            <v>4</v>
          </cell>
          <cell r="B13" t="str">
            <v>KENNYA ARAWINDA NARISWARI</v>
          </cell>
          <cell r="C13">
            <v>2943</v>
          </cell>
          <cell r="D13" t="str">
            <v>00123456792</v>
          </cell>
          <cell r="E13" t="str">
            <v/>
          </cell>
          <cell r="F13" t="str">
            <v/>
          </cell>
          <cell r="G13">
            <v>0</v>
          </cell>
          <cell r="H13" t="str">
            <v/>
          </cell>
          <cell r="I13" t="str">
            <v xml:space="preserve">CEK LAGI, CEK LAGI, CEK LAGI, , Perlu bimbingan mengenal teks cerita diri/personaltentang keberadaan keluarga CEK LAGI. </v>
          </cell>
          <cell r="J13" t="str">
            <v xml:space="preserve">CEK LAGI, CEK LAGI, CEK LAGI, , Perlu bimbingan menunjukkan pemahaman tentang besaran dengan menghitung maju sampai 100 dan mundur dari 20CEK LAGI. </v>
          </cell>
          <cell r="K13" t="str">
            <v xml:space="preserve">CEK LAGI, CEK LAGI, CEK LAGI, , Perlu bimbingan mengamati berbagai bahan, alat, dan fungsinya dalam membuat membuat prakarya. CEK LAGI. </v>
          </cell>
          <cell r="L13">
            <v>0</v>
          </cell>
          <cell r="M13" t="str">
            <v>CEK LAGI, CEK LAGI, CEK LAGI, , Perlu bimbingan Memahami unggah ungguh basa untuk memperkenalkan diri dan menanyakan sesuatu kepada orang lain</v>
          </cell>
          <cell r="N13">
            <v>0</v>
          </cell>
          <cell r="O13"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13"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13"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13"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13">
            <v>0</v>
          </cell>
          <cell r="T13"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13">
            <v>0</v>
          </cell>
          <cell r="V13">
            <v>0</v>
          </cell>
          <cell r="W13">
            <v>0</v>
          </cell>
          <cell r="X13">
            <v>0</v>
          </cell>
          <cell r="Y13">
            <v>0</v>
          </cell>
          <cell r="Z13">
            <v>0</v>
          </cell>
          <cell r="AA13">
            <v>0</v>
          </cell>
          <cell r="AB13">
            <v>0</v>
          </cell>
          <cell r="AC13">
            <v>0</v>
          </cell>
          <cell r="AD13">
            <v>0</v>
          </cell>
          <cell r="AE13">
            <v>0</v>
          </cell>
          <cell r="AF13">
            <v>0</v>
          </cell>
        </row>
        <row r="14">
          <cell r="A14">
            <v>5</v>
          </cell>
          <cell r="B14" t="str">
            <v>Ahmad Afif Muafa</v>
          </cell>
          <cell r="C14">
            <v>2968</v>
          </cell>
          <cell r="D14" t="str">
            <v>00123456793</v>
          </cell>
          <cell r="E14" t="str">
            <v/>
          </cell>
          <cell r="F14" t="str">
            <v/>
          </cell>
          <cell r="G14">
            <v>0</v>
          </cell>
          <cell r="H14" t="str">
            <v/>
          </cell>
          <cell r="I14" t="str">
            <v xml:space="preserve">CEK LAGI, CEK LAGI, CEK LAGI, , Perlu bimbingan mengenal teks cerita diri/personaltentang keberadaan keluarga CEK LAGI. </v>
          </cell>
          <cell r="J14" t="str">
            <v xml:space="preserve">CEK LAGI, CEK LAGI, CEK LAGI, , Perlu bimbingan menunjukkan pemahaman tentang besaran dengan menghitung maju sampai 100 dan mundur dari 20CEK LAGI. </v>
          </cell>
          <cell r="K14" t="str">
            <v xml:space="preserve">CEK LAGI, CEK LAGI, CEK LAGI, , Perlu bimbingan mengamati berbagai bahan, alat, dan fungsinya dalam membuat membuat prakarya. CEK LAGI. </v>
          </cell>
          <cell r="L14">
            <v>0</v>
          </cell>
          <cell r="M14" t="str">
            <v>CEK LAGI, CEK LAGI, CEK LAGI, , Perlu bimbingan Memahami unggah ungguh basa untuk memperkenalkan diri dan menanyakan sesuatu kepada orang lain</v>
          </cell>
          <cell r="N14">
            <v>0</v>
          </cell>
          <cell r="O14"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14"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14"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14"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14">
            <v>0</v>
          </cell>
          <cell r="T14"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14">
            <v>0</v>
          </cell>
          <cell r="V14">
            <v>0</v>
          </cell>
          <cell r="W14">
            <v>0</v>
          </cell>
          <cell r="X14">
            <v>0</v>
          </cell>
          <cell r="Y14">
            <v>0</v>
          </cell>
          <cell r="Z14">
            <v>0</v>
          </cell>
          <cell r="AA14">
            <v>0</v>
          </cell>
          <cell r="AB14">
            <v>0</v>
          </cell>
          <cell r="AC14">
            <v>0</v>
          </cell>
          <cell r="AD14">
            <v>0</v>
          </cell>
          <cell r="AE14">
            <v>0</v>
          </cell>
          <cell r="AF14">
            <v>0</v>
          </cell>
        </row>
        <row r="15">
          <cell r="A15">
            <v>6</v>
          </cell>
          <cell r="B15" t="str">
            <v>Ainun Ni'mah Wira Atmaja</v>
          </cell>
          <cell r="C15">
            <v>2969</v>
          </cell>
          <cell r="D15" t="str">
            <v>00123456794</v>
          </cell>
          <cell r="E15" t="str">
            <v/>
          </cell>
          <cell r="F15" t="str">
            <v/>
          </cell>
          <cell r="G15">
            <v>0</v>
          </cell>
          <cell r="H15" t="str">
            <v/>
          </cell>
          <cell r="I15" t="str">
            <v xml:space="preserve">CEK LAGI, CEK LAGI, CEK LAGI, , Perlu bimbingan mengenal teks cerita diri/personaltentang keberadaan keluarga CEK LAGI. </v>
          </cell>
          <cell r="J15" t="str">
            <v xml:space="preserve">CEK LAGI, CEK LAGI, CEK LAGI, , Perlu bimbingan menunjukkan pemahaman tentang besaran dengan menghitung maju sampai 100 dan mundur dari 20CEK LAGI. </v>
          </cell>
          <cell r="K15" t="str">
            <v xml:space="preserve">CEK LAGI, CEK LAGI, CEK LAGI, , Perlu bimbingan mengamati berbagai bahan, alat, dan fungsinya dalam membuat membuat prakarya. CEK LAGI. </v>
          </cell>
          <cell r="L15">
            <v>0</v>
          </cell>
          <cell r="M15" t="str">
            <v>CEK LAGI, CEK LAGI, CEK LAGI, , Perlu bimbingan Memahami unggah ungguh basa untuk memperkenalkan diri dan menanyakan sesuatu kepada orang lain</v>
          </cell>
          <cell r="N15">
            <v>0</v>
          </cell>
          <cell r="O15"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15"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15"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15"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15">
            <v>0</v>
          </cell>
          <cell r="T15"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15">
            <v>0</v>
          </cell>
          <cell r="V15">
            <v>0</v>
          </cell>
          <cell r="W15">
            <v>0</v>
          </cell>
          <cell r="X15">
            <v>0</v>
          </cell>
          <cell r="Y15">
            <v>0</v>
          </cell>
          <cell r="Z15">
            <v>0</v>
          </cell>
          <cell r="AA15">
            <v>0</v>
          </cell>
          <cell r="AB15">
            <v>0</v>
          </cell>
          <cell r="AC15">
            <v>0</v>
          </cell>
          <cell r="AD15">
            <v>0</v>
          </cell>
          <cell r="AE15">
            <v>0</v>
          </cell>
          <cell r="AF15">
            <v>0</v>
          </cell>
        </row>
        <row r="16">
          <cell r="A16">
            <v>7</v>
          </cell>
          <cell r="B16" t="str">
            <v>Anggita Ayuningtyas</v>
          </cell>
          <cell r="C16">
            <v>2970</v>
          </cell>
          <cell r="D16" t="str">
            <v>00123456795</v>
          </cell>
          <cell r="E16" t="str">
            <v/>
          </cell>
          <cell r="F16" t="str">
            <v/>
          </cell>
          <cell r="G16">
            <v>0</v>
          </cell>
          <cell r="H16" t="str">
            <v/>
          </cell>
          <cell r="I16" t="str">
            <v xml:space="preserve">CEK LAGI, CEK LAGI, CEK LAGI, , Perlu bimbingan mengenal teks cerita diri/personaltentang keberadaan keluarga CEK LAGI. </v>
          </cell>
          <cell r="J16" t="str">
            <v xml:space="preserve">CEK LAGI, CEK LAGI, CEK LAGI, , Perlu bimbingan menunjukkan pemahaman tentang besaran dengan menghitung maju sampai 100 dan mundur dari 20CEK LAGI. </v>
          </cell>
          <cell r="K16" t="str">
            <v xml:space="preserve">CEK LAGI, CEK LAGI, CEK LAGI, , Perlu bimbingan mengamati berbagai bahan, alat, dan fungsinya dalam membuat membuat prakarya. CEK LAGI. </v>
          </cell>
          <cell r="L16">
            <v>0</v>
          </cell>
          <cell r="M16" t="str">
            <v>CEK LAGI, CEK LAGI, CEK LAGI, , Perlu bimbingan Memahami unggah ungguh basa untuk memperkenalkan diri dan menanyakan sesuatu kepada orang lain</v>
          </cell>
          <cell r="N16">
            <v>0</v>
          </cell>
          <cell r="O16"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16"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16"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16"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16">
            <v>0</v>
          </cell>
          <cell r="T16"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16">
            <v>0</v>
          </cell>
          <cell r="V16">
            <v>0</v>
          </cell>
          <cell r="W16">
            <v>0</v>
          </cell>
          <cell r="X16">
            <v>0</v>
          </cell>
          <cell r="Y16">
            <v>0</v>
          </cell>
          <cell r="Z16">
            <v>0</v>
          </cell>
          <cell r="AA16">
            <v>0</v>
          </cell>
          <cell r="AB16">
            <v>0</v>
          </cell>
          <cell r="AC16">
            <v>0</v>
          </cell>
          <cell r="AD16">
            <v>0</v>
          </cell>
          <cell r="AE16">
            <v>0</v>
          </cell>
          <cell r="AF16">
            <v>0</v>
          </cell>
        </row>
        <row r="17">
          <cell r="A17">
            <v>8</v>
          </cell>
          <cell r="B17" t="str">
            <v>Arinal Husna Zulfi Putri Maliki</v>
          </cell>
          <cell r="C17">
            <v>2972</v>
          </cell>
          <cell r="D17" t="str">
            <v>00123456796</v>
          </cell>
          <cell r="E17" t="str">
            <v/>
          </cell>
          <cell r="F17" t="str">
            <v/>
          </cell>
          <cell r="G17">
            <v>0</v>
          </cell>
          <cell r="H17" t="str">
            <v/>
          </cell>
          <cell r="I17" t="str">
            <v xml:space="preserve">CEK LAGI, CEK LAGI, CEK LAGI, , Perlu bimbingan mengenal teks cerita diri/personaltentang keberadaan keluarga CEK LAGI. </v>
          </cell>
          <cell r="J17" t="str">
            <v xml:space="preserve">CEK LAGI, CEK LAGI, CEK LAGI, , Perlu bimbingan menunjukkan pemahaman tentang besaran dengan menghitung maju sampai 100 dan mundur dari 20CEK LAGI. </v>
          </cell>
          <cell r="K17" t="str">
            <v xml:space="preserve">CEK LAGI, CEK LAGI, CEK LAGI, , Perlu bimbingan mengamati berbagai bahan, alat, dan fungsinya dalam membuat membuat prakarya. CEK LAGI. </v>
          </cell>
          <cell r="L17">
            <v>0</v>
          </cell>
          <cell r="M17" t="str">
            <v>CEK LAGI, CEK LAGI, CEK LAGI, , Perlu bimbingan Memahami unggah ungguh basa untuk memperkenalkan diri dan menanyakan sesuatu kepada orang lain</v>
          </cell>
          <cell r="N17">
            <v>0</v>
          </cell>
          <cell r="O17"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17"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17"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17"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17">
            <v>0</v>
          </cell>
          <cell r="T17"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17">
            <v>0</v>
          </cell>
          <cell r="V17">
            <v>0</v>
          </cell>
          <cell r="W17">
            <v>0</v>
          </cell>
          <cell r="X17">
            <v>0</v>
          </cell>
          <cell r="Y17">
            <v>0</v>
          </cell>
          <cell r="Z17">
            <v>0</v>
          </cell>
          <cell r="AA17">
            <v>0</v>
          </cell>
          <cell r="AB17">
            <v>0</v>
          </cell>
          <cell r="AC17">
            <v>0</v>
          </cell>
          <cell r="AD17">
            <v>0</v>
          </cell>
          <cell r="AE17">
            <v>0</v>
          </cell>
          <cell r="AF17">
            <v>0</v>
          </cell>
        </row>
        <row r="18">
          <cell r="A18">
            <v>9</v>
          </cell>
          <cell r="B18" t="str">
            <v>Arma Rizki Fauzan</v>
          </cell>
          <cell r="C18">
            <v>2973</v>
          </cell>
          <cell r="D18" t="str">
            <v>00123456797</v>
          </cell>
          <cell r="E18" t="str">
            <v/>
          </cell>
          <cell r="F18" t="str">
            <v/>
          </cell>
          <cell r="G18">
            <v>0</v>
          </cell>
          <cell r="H18" t="str">
            <v/>
          </cell>
          <cell r="I18" t="str">
            <v xml:space="preserve">CEK LAGI, CEK LAGI, CEK LAGI, , Perlu bimbingan mengenal teks cerita diri/personaltentang keberadaan keluarga CEK LAGI. </v>
          </cell>
          <cell r="J18" t="str">
            <v xml:space="preserve">CEK LAGI, CEK LAGI, CEK LAGI, , Perlu bimbingan menunjukkan pemahaman tentang besaran dengan menghitung maju sampai 100 dan mundur dari 20CEK LAGI. </v>
          </cell>
          <cell r="K18" t="str">
            <v xml:space="preserve">CEK LAGI, CEK LAGI, CEK LAGI, , Perlu bimbingan mengamati berbagai bahan, alat, dan fungsinya dalam membuat membuat prakarya. CEK LAGI. </v>
          </cell>
          <cell r="L18">
            <v>0</v>
          </cell>
          <cell r="M18" t="str">
            <v>CEK LAGI, CEK LAGI, CEK LAGI, , Perlu bimbingan Memahami unggah ungguh basa untuk memperkenalkan diri dan menanyakan sesuatu kepada orang lain</v>
          </cell>
          <cell r="N18">
            <v>0</v>
          </cell>
          <cell r="O18"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18"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18"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18"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18">
            <v>0</v>
          </cell>
          <cell r="T18"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18">
            <v>0</v>
          </cell>
          <cell r="V18">
            <v>0</v>
          </cell>
          <cell r="W18">
            <v>0</v>
          </cell>
          <cell r="X18">
            <v>0</v>
          </cell>
          <cell r="Y18">
            <v>0</v>
          </cell>
          <cell r="Z18">
            <v>0</v>
          </cell>
          <cell r="AA18">
            <v>0</v>
          </cell>
          <cell r="AB18">
            <v>0</v>
          </cell>
          <cell r="AC18">
            <v>0</v>
          </cell>
          <cell r="AD18">
            <v>0</v>
          </cell>
          <cell r="AE18">
            <v>0</v>
          </cell>
          <cell r="AF18">
            <v>0</v>
          </cell>
        </row>
        <row r="19">
          <cell r="A19">
            <v>10</v>
          </cell>
          <cell r="B19" t="str">
            <v>Azza Altuffina Dewi</v>
          </cell>
          <cell r="C19">
            <v>2974</v>
          </cell>
          <cell r="D19" t="str">
            <v>00123456798</v>
          </cell>
          <cell r="E19" t="str">
            <v/>
          </cell>
          <cell r="F19" t="str">
            <v/>
          </cell>
          <cell r="G19">
            <v>0</v>
          </cell>
          <cell r="H19" t="str">
            <v/>
          </cell>
          <cell r="I19" t="str">
            <v xml:space="preserve">CEK LAGI, CEK LAGI, CEK LAGI, , Perlu bimbingan mengenal teks cerita diri/personaltentang keberadaan keluarga CEK LAGI. </v>
          </cell>
          <cell r="J19" t="str">
            <v xml:space="preserve">CEK LAGI, CEK LAGI, CEK LAGI, , Perlu bimbingan menunjukkan pemahaman tentang besaran dengan menghitung maju sampai 100 dan mundur dari 20CEK LAGI. </v>
          </cell>
          <cell r="K19" t="str">
            <v xml:space="preserve">CEK LAGI, CEK LAGI, CEK LAGI, , Perlu bimbingan mengamati berbagai bahan, alat, dan fungsinya dalam membuat membuat prakarya. CEK LAGI. </v>
          </cell>
          <cell r="L19">
            <v>0</v>
          </cell>
          <cell r="M19" t="str">
            <v>CEK LAGI, CEK LAGI, CEK LAGI, , Perlu bimbingan Memahami unggah ungguh basa untuk memperkenalkan diri dan menanyakan sesuatu kepada orang lain</v>
          </cell>
          <cell r="N19">
            <v>0</v>
          </cell>
          <cell r="O19"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19"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19"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19"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19">
            <v>0</v>
          </cell>
          <cell r="T19"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19">
            <v>0</v>
          </cell>
          <cell r="V19">
            <v>0</v>
          </cell>
          <cell r="W19">
            <v>0</v>
          </cell>
          <cell r="X19">
            <v>0</v>
          </cell>
          <cell r="Y19">
            <v>0</v>
          </cell>
          <cell r="Z19">
            <v>0</v>
          </cell>
          <cell r="AA19">
            <v>0</v>
          </cell>
          <cell r="AB19">
            <v>0</v>
          </cell>
          <cell r="AC19">
            <v>0</v>
          </cell>
          <cell r="AD19">
            <v>0</v>
          </cell>
          <cell r="AE19">
            <v>0</v>
          </cell>
          <cell r="AF19">
            <v>0</v>
          </cell>
        </row>
        <row r="20">
          <cell r="A20">
            <v>11</v>
          </cell>
          <cell r="B20" t="str">
            <v>Besty Tochsyarmi Hakim</v>
          </cell>
          <cell r="C20">
            <v>2975</v>
          </cell>
          <cell r="D20" t="str">
            <v>00123456799</v>
          </cell>
          <cell r="E20" t="str">
            <v/>
          </cell>
          <cell r="F20" t="str">
            <v/>
          </cell>
          <cell r="G20">
            <v>0</v>
          </cell>
          <cell r="H20" t="str">
            <v/>
          </cell>
          <cell r="I20" t="str">
            <v xml:space="preserve">CEK LAGI, CEK LAGI, CEK LAGI, , Perlu bimbingan mengenal teks cerita diri/personaltentang keberadaan keluarga CEK LAGI. </v>
          </cell>
          <cell r="J20" t="str">
            <v xml:space="preserve">CEK LAGI, CEK LAGI, CEK LAGI, , Perlu bimbingan menunjukkan pemahaman tentang besaran dengan menghitung maju sampai 100 dan mundur dari 20CEK LAGI. </v>
          </cell>
          <cell r="K20" t="str">
            <v xml:space="preserve">CEK LAGI, CEK LAGI, CEK LAGI, , Perlu bimbingan mengamati berbagai bahan, alat, dan fungsinya dalam membuat membuat prakarya. CEK LAGI. </v>
          </cell>
          <cell r="L20">
            <v>0</v>
          </cell>
          <cell r="M20" t="str">
            <v>CEK LAGI, CEK LAGI, CEK LAGI, , Perlu bimbingan Memahami unggah ungguh basa untuk memperkenalkan diri dan menanyakan sesuatu kepada orang lain</v>
          </cell>
          <cell r="N20">
            <v>0</v>
          </cell>
          <cell r="O20"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0"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0"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0"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0">
            <v>0</v>
          </cell>
          <cell r="T20"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0">
            <v>0</v>
          </cell>
          <cell r="V20">
            <v>0</v>
          </cell>
          <cell r="W20">
            <v>0</v>
          </cell>
          <cell r="X20">
            <v>0</v>
          </cell>
          <cell r="Y20">
            <v>0</v>
          </cell>
          <cell r="Z20">
            <v>0</v>
          </cell>
          <cell r="AA20">
            <v>0</v>
          </cell>
          <cell r="AB20">
            <v>0</v>
          </cell>
          <cell r="AC20">
            <v>0</v>
          </cell>
          <cell r="AD20">
            <v>0</v>
          </cell>
          <cell r="AE20">
            <v>0</v>
          </cell>
          <cell r="AF20">
            <v>0</v>
          </cell>
        </row>
        <row r="21">
          <cell r="A21">
            <v>12</v>
          </cell>
          <cell r="B21" t="str">
            <v>Daffa Dzaki Herlambang</v>
          </cell>
          <cell r="C21">
            <v>2976</v>
          </cell>
          <cell r="D21" t="str">
            <v>00123456800</v>
          </cell>
          <cell r="E21" t="str">
            <v/>
          </cell>
          <cell r="F21" t="str">
            <v/>
          </cell>
          <cell r="G21">
            <v>0</v>
          </cell>
          <cell r="H21" t="str">
            <v/>
          </cell>
          <cell r="I21" t="str">
            <v xml:space="preserve">CEK LAGI, CEK LAGI, CEK LAGI, , Perlu bimbingan mengenal teks cerita diri/personaltentang keberadaan keluarga CEK LAGI. </v>
          </cell>
          <cell r="J21" t="str">
            <v xml:space="preserve">CEK LAGI, CEK LAGI, CEK LAGI, , Perlu bimbingan menunjukkan pemahaman tentang besaran dengan menghitung maju sampai 100 dan mundur dari 20CEK LAGI. </v>
          </cell>
          <cell r="K21" t="str">
            <v xml:space="preserve">CEK LAGI, CEK LAGI, CEK LAGI, , Perlu bimbingan mengamati berbagai bahan, alat, dan fungsinya dalam membuat membuat prakarya. CEK LAGI. </v>
          </cell>
          <cell r="L21">
            <v>0</v>
          </cell>
          <cell r="M21" t="str">
            <v>CEK LAGI, CEK LAGI, CEK LAGI, , Perlu bimbingan Memahami unggah ungguh basa untuk memperkenalkan diri dan menanyakan sesuatu kepada orang lain</v>
          </cell>
          <cell r="N21">
            <v>0</v>
          </cell>
          <cell r="O21"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1"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1"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1"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1">
            <v>0</v>
          </cell>
          <cell r="T21"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1">
            <v>0</v>
          </cell>
          <cell r="V21">
            <v>0</v>
          </cell>
          <cell r="W21">
            <v>0</v>
          </cell>
          <cell r="X21">
            <v>0</v>
          </cell>
          <cell r="Y21">
            <v>0</v>
          </cell>
          <cell r="Z21">
            <v>0</v>
          </cell>
          <cell r="AA21">
            <v>0</v>
          </cell>
          <cell r="AB21">
            <v>0</v>
          </cell>
          <cell r="AC21">
            <v>0</v>
          </cell>
          <cell r="AD21">
            <v>0</v>
          </cell>
          <cell r="AE21">
            <v>0</v>
          </cell>
          <cell r="AF21">
            <v>0</v>
          </cell>
        </row>
        <row r="22">
          <cell r="A22">
            <v>13</v>
          </cell>
          <cell r="B22" t="str">
            <v>Dhani Achmad Al Rasyid</v>
          </cell>
          <cell r="C22">
            <v>2977</v>
          </cell>
          <cell r="D22" t="str">
            <v>00123456801</v>
          </cell>
          <cell r="E22" t="str">
            <v/>
          </cell>
          <cell r="F22" t="str">
            <v/>
          </cell>
          <cell r="G22">
            <v>0</v>
          </cell>
          <cell r="H22" t="str">
            <v/>
          </cell>
          <cell r="I22" t="str">
            <v xml:space="preserve">CEK LAGI, CEK LAGI, CEK LAGI, , Perlu bimbingan mengenal teks cerita diri/personaltentang keberadaan keluarga CEK LAGI. </v>
          </cell>
          <cell r="J22" t="str">
            <v xml:space="preserve">CEK LAGI, CEK LAGI, CEK LAGI, , Perlu bimbingan menunjukkan pemahaman tentang besaran dengan menghitung maju sampai 100 dan mundur dari 20CEK LAGI. </v>
          </cell>
          <cell r="K22" t="str">
            <v xml:space="preserve">CEK LAGI, CEK LAGI, CEK LAGI, , Perlu bimbingan mengamati berbagai bahan, alat, dan fungsinya dalam membuat membuat prakarya. CEK LAGI. </v>
          </cell>
          <cell r="L22">
            <v>0</v>
          </cell>
          <cell r="M22" t="str">
            <v>CEK LAGI, CEK LAGI, CEK LAGI, , Perlu bimbingan Memahami unggah ungguh basa untuk memperkenalkan diri dan menanyakan sesuatu kepada orang lain</v>
          </cell>
          <cell r="N22">
            <v>0</v>
          </cell>
          <cell r="O22"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2"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2"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2"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2">
            <v>0</v>
          </cell>
          <cell r="T22"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2">
            <v>0</v>
          </cell>
          <cell r="V22">
            <v>0</v>
          </cell>
          <cell r="W22">
            <v>0</v>
          </cell>
          <cell r="X22">
            <v>0</v>
          </cell>
          <cell r="Y22">
            <v>0</v>
          </cell>
          <cell r="Z22">
            <v>0</v>
          </cell>
          <cell r="AA22">
            <v>0</v>
          </cell>
          <cell r="AB22">
            <v>0</v>
          </cell>
          <cell r="AC22">
            <v>0</v>
          </cell>
          <cell r="AD22">
            <v>0</v>
          </cell>
          <cell r="AE22">
            <v>0</v>
          </cell>
          <cell r="AF22">
            <v>0</v>
          </cell>
        </row>
        <row r="23">
          <cell r="A23">
            <v>14</v>
          </cell>
          <cell r="B23" t="str">
            <v>Endah Rusdi Rahayu</v>
          </cell>
          <cell r="C23">
            <v>2979</v>
          </cell>
          <cell r="D23" t="str">
            <v>00123456802</v>
          </cell>
          <cell r="E23" t="str">
            <v/>
          </cell>
          <cell r="F23" t="str">
            <v/>
          </cell>
          <cell r="G23">
            <v>0</v>
          </cell>
          <cell r="H23" t="str">
            <v/>
          </cell>
          <cell r="I23" t="str">
            <v xml:space="preserve">CEK LAGI, CEK LAGI, CEK LAGI, , Perlu bimbingan mengenal teks cerita diri/personaltentang keberadaan keluarga CEK LAGI. </v>
          </cell>
          <cell r="J23" t="str">
            <v xml:space="preserve">CEK LAGI, CEK LAGI, CEK LAGI, , Perlu bimbingan menunjukkan pemahaman tentang besaran dengan menghitung maju sampai 100 dan mundur dari 20CEK LAGI. </v>
          </cell>
          <cell r="K23" t="str">
            <v xml:space="preserve">CEK LAGI, CEK LAGI, CEK LAGI, , Perlu bimbingan mengamati berbagai bahan, alat, dan fungsinya dalam membuat membuat prakarya. CEK LAGI. </v>
          </cell>
          <cell r="L23">
            <v>0</v>
          </cell>
          <cell r="M23" t="str">
            <v>CEK LAGI, CEK LAGI, CEK LAGI, , Perlu bimbingan Memahami unggah ungguh basa untuk memperkenalkan diri dan menanyakan sesuatu kepada orang lain</v>
          </cell>
          <cell r="N23">
            <v>0</v>
          </cell>
          <cell r="O23"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3"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3"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3"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3">
            <v>0</v>
          </cell>
          <cell r="T23"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3">
            <v>0</v>
          </cell>
          <cell r="V23">
            <v>0</v>
          </cell>
          <cell r="W23">
            <v>0</v>
          </cell>
          <cell r="X23">
            <v>0</v>
          </cell>
          <cell r="Y23">
            <v>0</v>
          </cell>
          <cell r="Z23">
            <v>0</v>
          </cell>
          <cell r="AA23">
            <v>0</v>
          </cell>
          <cell r="AB23">
            <v>0</v>
          </cell>
          <cell r="AC23">
            <v>0</v>
          </cell>
          <cell r="AD23">
            <v>0</v>
          </cell>
          <cell r="AE23">
            <v>0</v>
          </cell>
          <cell r="AF23">
            <v>0</v>
          </cell>
        </row>
        <row r="24">
          <cell r="A24">
            <v>15</v>
          </cell>
          <cell r="B24" t="str">
            <v>Guntur Pratama Jaya Wardani Putra</v>
          </cell>
          <cell r="C24">
            <v>2981</v>
          </cell>
          <cell r="D24" t="str">
            <v>00123456803</v>
          </cell>
          <cell r="E24" t="str">
            <v/>
          </cell>
          <cell r="F24" t="str">
            <v/>
          </cell>
          <cell r="G24">
            <v>0</v>
          </cell>
          <cell r="H24" t="str">
            <v/>
          </cell>
          <cell r="I24" t="str">
            <v xml:space="preserve">CEK LAGI, CEK LAGI, CEK LAGI, , Perlu bimbingan mengenal teks cerita diri/personaltentang keberadaan keluarga CEK LAGI. </v>
          </cell>
          <cell r="J24" t="str">
            <v xml:space="preserve">CEK LAGI, CEK LAGI, CEK LAGI, , Perlu bimbingan menunjukkan pemahaman tentang besaran dengan menghitung maju sampai 100 dan mundur dari 20CEK LAGI. </v>
          </cell>
          <cell r="K24" t="str">
            <v xml:space="preserve">CEK LAGI, CEK LAGI, CEK LAGI, , Perlu bimbingan mengamati berbagai bahan, alat, dan fungsinya dalam membuat membuat prakarya. CEK LAGI. </v>
          </cell>
          <cell r="L24">
            <v>0</v>
          </cell>
          <cell r="M24" t="str">
            <v>CEK LAGI, CEK LAGI, CEK LAGI, , Perlu bimbingan Memahami unggah ungguh basa untuk memperkenalkan diri dan menanyakan sesuatu kepada orang lain</v>
          </cell>
          <cell r="N24">
            <v>0</v>
          </cell>
          <cell r="O24"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4"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4"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4"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4">
            <v>0</v>
          </cell>
          <cell r="T24"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4">
            <v>0</v>
          </cell>
          <cell r="V24">
            <v>0</v>
          </cell>
          <cell r="W24">
            <v>0</v>
          </cell>
          <cell r="X24">
            <v>0</v>
          </cell>
          <cell r="Y24">
            <v>0</v>
          </cell>
          <cell r="Z24">
            <v>0</v>
          </cell>
          <cell r="AA24">
            <v>0</v>
          </cell>
          <cell r="AB24">
            <v>0</v>
          </cell>
          <cell r="AC24">
            <v>0</v>
          </cell>
          <cell r="AD24">
            <v>0</v>
          </cell>
          <cell r="AE24">
            <v>0</v>
          </cell>
          <cell r="AF24">
            <v>0</v>
          </cell>
        </row>
        <row r="25">
          <cell r="A25">
            <v>16</v>
          </cell>
          <cell r="B25" t="str">
            <v>Hanif Yaafi Ahwani</v>
          </cell>
          <cell r="C25">
            <v>2983</v>
          </cell>
          <cell r="D25" t="str">
            <v>00123456804</v>
          </cell>
          <cell r="E25" t="str">
            <v/>
          </cell>
          <cell r="F25" t="str">
            <v/>
          </cell>
          <cell r="G25">
            <v>0</v>
          </cell>
          <cell r="H25" t="str">
            <v/>
          </cell>
          <cell r="I25" t="str">
            <v xml:space="preserve">CEK LAGI, CEK LAGI, CEK LAGI, , Perlu bimbingan mengenal teks cerita diri/personaltentang keberadaan keluarga CEK LAGI. </v>
          </cell>
          <cell r="J25" t="str">
            <v xml:space="preserve">CEK LAGI, CEK LAGI, CEK LAGI, , Perlu bimbingan menunjukkan pemahaman tentang besaran dengan menghitung maju sampai 100 dan mundur dari 20CEK LAGI. </v>
          </cell>
          <cell r="K25" t="str">
            <v xml:space="preserve">CEK LAGI, CEK LAGI, CEK LAGI, , Perlu bimbingan mengamati berbagai bahan, alat, dan fungsinya dalam membuat membuat prakarya. CEK LAGI. </v>
          </cell>
          <cell r="L25">
            <v>0</v>
          </cell>
          <cell r="M25" t="str">
            <v>CEK LAGI, CEK LAGI, CEK LAGI, , Perlu bimbingan Memahami unggah ungguh basa untuk memperkenalkan diri dan menanyakan sesuatu kepada orang lain</v>
          </cell>
          <cell r="N25">
            <v>0</v>
          </cell>
          <cell r="O25"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5"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5"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5"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5">
            <v>0</v>
          </cell>
          <cell r="T25"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5">
            <v>0</v>
          </cell>
          <cell r="V25">
            <v>0</v>
          </cell>
          <cell r="W25">
            <v>0</v>
          </cell>
          <cell r="X25">
            <v>0</v>
          </cell>
          <cell r="Y25">
            <v>0</v>
          </cell>
          <cell r="Z25">
            <v>0</v>
          </cell>
          <cell r="AA25">
            <v>0</v>
          </cell>
          <cell r="AB25">
            <v>0</v>
          </cell>
          <cell r="AC25">
            <v>0</v>
          </cell>
          <cell r="AD25">
            <v>0</v>
          </cell>
          <cell r="AE25">
            <v>0</v>
          </cell>
          <cell r="AF25">
            <v>0</v>
          </cell>
        </row>
        <row r="26">
          <cell r="A26">
            <v>17</v>
          </cell>
          <cell r="B26" t="str">
            <v>Helda Melamichi Regina Putri</v>
          </cell>
          <cell r="C26">
            <v>2984</v>
          </cell>
          <cell r="D26" t="str">
            <v>00123456805</v>
          </cell>
          <cell r="E26" t="str">
            <v/>
          </cell>
          <cell r="F26" t="str">
            <v/>
          </cell>
          <cell r="G26">
            <v>0</v>
          </cell>
          <cell r="H26" t="str">
            <v/>
          </cell>
          <cell r="I26" t="str">
            <v xml:space="preserve">CEK LAGI, CEK LAGI, CEK LAGI, , Perlu bimbingan mengenal teks cerita diri/personaltentang keberadaan keluarga CEK LAGI. </v>
          </cell>
          <cell r="J26" t="str">
            <v xml:space="preserve">CEK LAGI, CEK LAGI, CEK LAGI, , Perlu bimbingan menunjukkan pemahaman tentang besaran dengan menghitung maju sampai 100 dan mundur dari 20CEK LAGI. </v>
          </cell>
          <cell r="K26" t="str">
            <v xml:space="preserve">CEK LAGI, CEK LAGI, CEK LAGI, , Perlu bimbingan mengamati berbagai bahan, alat, dan fungsinya dalam membuat membuat prakarya. CEK LAGI. </v>
          </cell>
          <cell r="L26">
            <v>0</v>
          </cell>
          <cell r="M26" t="str">
            <v>CEK LAGI, CEK LAGI, CEK LAGI, , Perlu bimbingan Memahami unggah ungguh basa untuk memperkenalkan diri dan menanyakan sesuatu kepada orang lain</v>
          </cell>
          <cell r="N26">
            <v>0</v>
          </cell>
          <cell r="O26"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6"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6"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6"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6">
            <v>0</v>
          </cell>
          <cell r="T26"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6">
            <v>0</v>
          </cell>
          <cell r="V26">
            <v>0</v>
          </cell>
          <cell r="W26">
            <v>0</v>
          </cell>
          <cell r="X26">
            <v>0</v>
          </cell>
          <cell r="Y26">
            <v>0</v>
          </cell>
          <cell r="Z26">
            <v>0</v>
          </cell>
          <cell r="AA26">
            <v>0</v>
          </cell>
          <cell r="AB26">
            <v>0</v>
          </cell>
          <cell r="AC26">
            <v>0</v>
          </cell>
          <cell r="AD26">
            <v>0</v>
          </cell>
          <cell r="AE26">
            <v>0</v>
          </cell>
          <cell r="AF26">
            <v>0</v>
          </cell>
        </row>
        <row r="27">
          <cell r="A27">
            <v>18</v>
          </cell>
          <cell r="B27" t="str">
            <v>Khonzamayra Aura Chanta</v>
          </cell>
          <cell r="C27">
            <v>2985</v>
          </cell>
          <cell r="D27" t="str">
            <v>00123456806</v>
          </cell>
          <cell r="E27" t="str">
            <v/>
          </cell>
          <cell r="F27" t="str">
            <v/>
          </cell>
          <cell r="G27">
            <v>0</v>
          </cell>
          <cell r="H27" t="str">
            <v/>
          </cell>
          <cell r="I27" t="str">
            <v xml:space="preserve">CEK LAGI, CEK LAGI, CEK LAGI, , Perlu bimbingan mengenal teks cerita diri/personaltentang keberadaan keluarga CEK LAGI. </v>
          </cell>
          <cell r="J27" t="str">
            <v xml:space="preserve">CEK LAGI, CEK LAGI, CEK LAGI, , Perlu bimbingan menunjukkan pemahaman tentang besaran dengan menghitung maju sampai 100 dan mundur dari 20CEK LAGI. </v>
          </cell>
          <cell r="K27" t="str">
            <v xml:space="preserve">CEK LAGI, CEK LAGI, CEK LAGI, , Perlu bimbingan mengamati berbagai bahan, alat, dan fungsinya dalam membuat membuat prakarya. CEK LAGI. </v>
          </cell>
          <cell r="L27">
            <v>0</v>
          </cell>
          <cell r="M27" t="str">
            <v>CEK LAGI, CEK LAGI, CEK LAGI, , Perlu bimbingan Memahami unggah ungguh basa untuk memperkenalkan diri dan menanyakan sesuatu kepada orang lain</v>
          </cell>
          <cell r="N27">
            <v>0</v>
          </cell>
          <cell r="O27"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7"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7"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7"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7">
            <v>0</v>
          </cell>
          <cell r="T27"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7">
            <v>0</v>
          </cell>
          <cell r="V27">
            <v>0</v>
          </cell>
          <cell r="W27">
            <v>0</v>
          </cell>
          <cell r="X27">
            <v>0</v>
          </cell>
          <cell r="Y27">
            <v>0</v>
          </cell>
          <cell r="Z27">
            <v>0</v>
          </cell>
          <cell r="AA27">
            <v>0</v>
          </cell>
          <cell r="AB27">
            <v>0</v>
          </cell>
          <cell r="AC27">
            <v>0</v>
          </cell>
          <cell r="AD27">
            <v>0</v>
          </cell>
          <cell r="AE27">
            <v>0</v>
          </cell>
          <cell r="AF27">
            <v>0</v>
          </cell>
        </row>
        <row r="28">
          <cell r="A28">
            <v>19</v>
          </cell>
          <cell r="B28" t="str">
            <v>Moksha Nurdwika Shabdasi</v>
          </cell>
          <cell r="C28">
            <v>2986</v>
          </cell>
          <cell r="D28" t="str">
            <v>00123456807</v>
          </cell>
          <cell r="E28" t="str">
            <v/>
          </cell>
          <cell r="F28" t="str">
            <v/>
          </cell>
          <cell r="G28">
            <v>0</v>
          </cell>
          <cell r="H28" t="str">
            <v/>
          </cell>
          <cell r="I28" t="str">
            <v xml:space="preserve">CEK LAGI, CEK LAGI, CEK LAGI, , Perlu bimbingan mengenal teks cerita diri/personaltentang keberadaan keluarga CEK LAGI. </v>
          </cell>
          <cell r="J28" t="str">
            <v xml:space="preserve">CEK LAGI, CEK LAGI, CEK LAGI, , Perlu bimbingan menunjukkan pemahaman tentang besaran dengan menghitung maju sampai 100 dan mundur dari 20CEK LAGI. </v>
          </cell>
          <cell r="K28" t="str">
            <v xml:space="preserve">CEK LAGI, CEK LAGI, CEK LAGI, , Perlu bimbingan mengamati berbagai bahan, alat, dan fungsinya dalam membuat membuat prakarya. CEK LAGI. </v>
          </cell>
          <cell r="L28">
            <v>0</v>
          </cell>
          <cell r="M28" t="str">
            <v>CEK LAGI, CEK LAGI, CEK LAGI, , Perlu bimbingan Memahami unggah ungguh basa untuk memperkenalkan diri dan menanyakan sesuatu kepada orang lain</v>
          </cell>
          <cell r="N28">
            <v>0</v>
          </cell>
          <cell r="O28"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8"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8"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8"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8">
            <v>0</v>
          </cell>
          <cell r="T28"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8">
            <v>0</v>
          </cell>
          <cell r="V28">
            <v>0</v>
          </cell>
          <cell r="W28">
            <v>0</v>
          </cell>
          <cell r="X28">
            <v>0</v>
          </cell>
          <cell r="Y28">
            <v>0</v>
          </cell>
          <cell r="Z28">
            <v>0</v>
          </cell>
          <cell r="AA28">
            <v>0</v>
          </cell>
          <cell r="AB28">
            <v>0</v>
          </cell>
          <cell r="AC28">
            <v>0</v>
          </cell>
          <cell r="AD28">
            <v>0</v>
          </cell>
          <cell r="AE28">
            <v>0</v>
          </cell>
          <cell r="AF28">
            <v>0</v>
          </cell>
        </row>
        <row r="29">
          <cell r="A29">
            <v>20</v>
          </cell>
          <cell r="B29" t="str">
            <v>Muhammad Bintang Pamungkas</v>
          </cell>
          <cell r="C29">
            <v>2987</v>
          </cell>
          <cell r="D29" t="str">
            <v>00123456808</v>
          </cell>
          <cell r="E29" t="str">
            <v/>
          </cell>
          <cell r="F29" t="str">
            <v/>
          </cell>
          <cell r="G29">
            <v>0</v>
          </cell>
          <cell r="H29" t="str">
            <v/>
          </cell>
          <cell r="I29" t="str">
            <v xml:space="preserve">CEK LAGI, CEK LAGI, CEK LAGI, , Perlu bimbingan mengenal teks cerita diri/personaltentang keberadaan keluarga CEK LAGI. </v>
          </cell>
          <cell r="J29" t="str">
            <v xml:space="preserve">CEK LAGI, CEK LAGI, CEK LAGI, , Perlu bimbingan menunjukkan pemahaman tentang besaran dengan menghitung maju sampai 100 dan mundur dari 20CEK LAGI. </v>
          </cell>
          <cell r="K29" t="str">
            <v xml:space="preserve">CEK LAGI, CEK LAGI, CEK LAGI, , Perlu bimbingan mengamati berbagai bahan, alat, dan fungsinya dalam membuat membuat prakarya. CEK LAGI. </v>
          </cell>
          <cell r="L29">
            <v>0</v>
          </cell>
          <cell r="M29" t="str">
            <v>CEK LAGI, CEK LAGI, CEK LAGI, , Perlu bimbingan Memahami unggah ungguh basa untuk memperkenalkan diri dan menanyakan sesuatu kepada orang lain</v>
          </cell>
          <cell r="N29">
            <v>0</v>
          </cell>
          <cell r="O29"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29"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29"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29"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29">
            <v>0</v>
          </cell>
          <cell r="T29"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29">
            <v>0</v>
          </cell>
          <cell r="V29">
            <v>0</v>
          </cell>
          <cell r="W29">
            <v>0</v>
          </cell>
          <cell r="X29">
            <v>0</v>
          </cell>
          <cell r="Y29">
            <v>0</v>
          </cell>
          <cell r="Z29">
            <v>0</v>
          </cell>
          <cell r="AA29">
            <v>0</v>
          </cell>
          <cell r="AB29">
            <v>0</v>
          </cell>
          <cell r="AC29">
            <v>0</v>
          </cell>
          <cell r="AD29">
            <v>0</v>
          </cell>
          <cell r="AE29">
            <v>0</v>
          </cell>
          <cell r="AF29">
            <v>0</v>
          </cell>
        </row>
        <row r="30">
          <cell r="A30">
            <v>21</v>
          </cell>
          <cell r="B30" t="str">
            <v>Nisa Hanna Fazira</v>
          </cell>
          <cell r="C30">
            <v>2988</v>
          </cell>
          <cell r="D30" t="str">
            <v>00123456809</v>
          </cell>
          <cell r="E30" t="str">
            <v/>
          </cell>
          <cell r="F30" t="str">
            <v/>
          </cell>
          <cell r="G30">
            <v>0</v>
          </cell>
          <cell r="H30" t="str">
            <v/>
          </cell>
          <cell r="I30" t="str">
            <v xml:space="preserve">CEK LAGI, CEK LAGI, CEK LAGI, , Perlu bimbingan mengenal teks cerita diri/personaltentang keberadaan keluarga CEK LAGI. </v>
          </cell>
          <cell r="J30" t="str">
            <v xml:space="preserve">CEK LAGI, CEK LAGI, CEK LAGI, , Perlu bimbingan menunjukkan pemahaman tentang besaran dengan menghitung maju sampai 100 dan mundur dari 20CEK LAGI. </v>
          </cell>
          <cell r="K30" t="str">
            <v xml:space="preserve">CEK LAGI, CEK LAGI, CEK LAGI, , Perlu bimbingan mengamati berbagai bahan, alat, dan fungsinya dalam membuat membuat prakarya. CEK LAGI. </v>
          </cell>
          <cell r="L30">
            <v>0</v>
          </cell>
          <cell r="M30" t="str">
            <v>CEK LAGI, CEK LAGI, CEK LAGI, , Perlu bimbingan Memahami unggah ungguh basa untuk memperkenalkan diri dan menanyakan sesuatu kepada orang lain</v>
          </cell>
          <cell r="N30">
            <v>0</v>
          </cell>
          <cell r="O30"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0"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0"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0"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0">
            <v>0</v>
          </cell>
          <cell r="T30"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0">
            <v>0</v>
          </cell>
          <cell r="V30">
            <v>0</v>
          </cell>
          <cell r="W30">
            <v>0</v>
          </cell>
          <cell r="X30">
            <v>0</v>
          </cell>
          <cell r="Y30">
            <v>0</v>
          </cell>
          <cell r="Z30">
            <v>0</v>
          </cell>
          <cell r="AA30">
            <v>0</v>
          </cell>
          <cell r="AB30">
            <v>0</v>
          </cell>
          <cell r="AC30">
            <v>0</v>
          </cell>
          <cell r="AD30">
            <v>0</v>
          </cell>
          <cell r="AE30">
            <v>0</v>
          </cell>
          <cell r="AF30">
            <v>0</v>
          </cell>
        </row>
        <row r="31">
          <cell r="A31">
            <v>22</v>
          </cell>
          <cell r="B31" t="str">
            <v>Rafly Ardiansyah</v>
          </cell>
          <cell r="C31">
            <v>2989</v>
          </cell>
          <cell r="D31" t="str">
            <v>00123456810</v>
          </cell>
          <cell r="E31" t="str">
            <v/>
          </cell>
          <cell r="F31" t="str">
            <v/>
          </cell>
          <cell r="G31">
            <v>0</v>
          </cell>
          <cell r="H31" t="str">
            <v/>
          </cell>
          <cell r="I31" t="str">
            <v xml:space="preserve">CEK LAGI, CEK LAGI, CEK LAGI, , Perlu bimbingan mengenal teks cerita diri/personaltentang keberadaan keluarga CEK LAGI. </v>
          </cell>
          <cell r="J31" t="str">
            <v xml:space="preserve">CEK LAGI, CEK LAGI, CEK LAGI, , Perlu bimbingan menunjukkan pemahaman tentang besaran dengan menghitung maju sampai 100 dan mundur dari 20CEK LAGI. </v>
          </cell>
          <cell r="K31" t="str">
            <v xml:space="preserve">CEK LAGI, CEK LAGI, CEK LAGI, , Perlu bimbingan mengamati berbagai bahan, alat, dan fungsinya dalam membuat membuat prakarya. CEK LAGI. </v>
          </cell>
          <cell r="L31">
            <v>0</v>
          </cell>
          <cell r="M31" t="str">
            <v>CEK LAGI, CEK LAGI, CEK LAGI, , Perlu bimbingan Memahami unggah ungguh basa untuk memperkenalkan diri dan menanyakan sesuatu kepada orang lain</v>
          </cell>
          <cell r="N31">
            <v>0</v>
          </cell>
          <cell r="O31"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1"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1"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1"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1">
            <v>0</v>
          </cell>
          <cell r="T31"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1">
            <v>0</v>
          </cell>
          <cell r="V31">
            <v>0</v>
          </cell>
          <cell r="W31">
            <v>0</v>
          </cell>
          <cell r="X31">
            <v>0</v>
          </cell>
          <cell r="Y31">
            <v>0</v>
          </cell>
          <cell r="Z31">
            <v>0</v>
          </cell>
          <cell r="AA31">
            <v>0</v>
          </cell>
          <cell r="AB31">
            <v>0</v>
          </cell>
          <cell r="AC31">
            <v>0</v>
          </cell>
          <cell r="AD31">
            <v>0</v>
          </cell>
          <cell r="AE31">
            <v>0</v>
          </cell>
          <cell r="AF31">
            <v>0</v>
          </cell>
        </row>
        <row r="32">
          <cell r="A32">
            <v>23</v>
          </cell>
          <cell r="B32" t="str">
            <v>Resiana Kinanti Jati</v>
          </cell>
          <cell r="C32">
            <v>2990</v>
          </cell>
          <cell r="D32" t="str">
            <v>00123456811</v>
          </cell>
          <cell r="E32" t="str">
            <v/>
          </cell>
          <cell r="F32" t="str">
            <v/>
          </cell>
          <cell r="G32">
            <v>0</v>
          </cell>
          <cell r="H32" t="str">
            <v/>
          </cell>
          <cell r="I32" t="str">
            <v xml:space="preserve">CEK LAGI, CEK LAGI, CEK LAGI, , Perlu bimbingan mengenal teks cerita diri/personaltentang keberadaan keluarga CEK LAGI. </v>
          </cell>
          <cell r="J32" t="str">
            <v xml:space="preserve">CEK LAGI, CEK LAGI, CEK LAGI, , Perlu bimbingan menunjukkan pemahaman tentang besaran dengan menghitung maju sampai 100 dan mundur dari 20CEK LAGI. </v>
          </cell>
          <cell r="K32" t="str">
            <v xml:space="preserve">CEK LAGI, CEK LAGI, CEK LAGI, , Perlu bimbingan mengamati berbagai bahan, alat, dan fungsinya dalam membuat membuat prakarya. CEK LAGI. </v>
          </cell>
          <cell r="L32">
            <v>0</v>
          </cell>
          <cell r="M32" t="str">
            <v>CEK LAGI, CEK LAGI, CEK LAGI, , Perlu bimbingan Memahami unggah ungguh basa untuk memperkenalkan diri dan menanyakan sesuatu kepada orang lain</v>
          </cell>
          <cell r="N32">
            <v>0</v>
          </cell>
          <cell r="O32"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2"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2"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2"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2">
            <v>0</v>
          </cell>
          <cell r="T32"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2">
            <v>0</v>
          </cell>
          <cell r="V32">
            <v>0</v>
          </cell>
          <cell r="W32">
            <v>0</v>
          </cell>
          <cell r="X32">
            <v>0</v>
          </cell>
          <cell r="Y32">
            <v>0</v>
          </cell>
          <cell r="Z32">
            <v>0</v>
          </cell>
          <cell r="AA32">
            <v>0</v>
          </cell>
          <cell r="AB32">
            <v>0</v>
          </cell>
          <cell r="AC32">
            <v>0</v>
          </cell>
          <cell r="AD32">
            <v>0</v>
          </cell>
          <cell r="AE32">
            <v>0</v>
          </cell>
          <cell r="AF32">
            <v>0</v>
          </cell>
        </row>
        <row r="33">
          <cell r="A33">
            <v>24</v>
          </cell>
          <cell r="B33" t="str">
            <v>Riyass Amanullah</v>
          </cell>
          <cell r="C33">
            <v>2991</v>
          </cell>
          <cell r="D33" t="str">
            <v>00123456812</v>
          </cell>
          <cell r="E33" t="str">
            <v/>
          </cell>
          <cell r="F33" t="str">
            <v/>
          </cell>
          <cell r="G33">
            <v>0</v>
          </cell>
          <cell r="H33" t="str">
            <v/>
          </cell>
          <cell r="I33" t="str">
            <v xml:space="preserve">CEK LAGI, CEK LAGI, CEK LAGI, , Perlu bimbingan mengenal teks cerita diri/personaltentang keberadaan keluarga CEK LAGI. </v>
          </cell>
          <cell r="J33" t="str">
            <v xml:space="preserve">CEK LAGI, CEK LAGI, CEK LAGI, , Perlu bimbingan menunjukkan pemahaman tentang besaran dengan menghitung maju sampai 100 dan mundur dari 20CEK LAGI. </v>
          </cell>
          <cell r="K33" t="str">
            <v xml:space="preserve">CEK LAGI, CEK LAGI, CEK LAGI, , Perlu bimbingan mengamati berbagai bahan, alat, dan fungsinya dalam membuat membuat prakarya. CEK LAGI. </v>
          </cell>
          <cell r="L33">
            <v>0</v>
          </cell>
          <cell r="M33" t="str">
            <v>CEK LAGI, CEK LAGI, CEK LAGI, , Perlu bimbingan Memahami unggah ungguh basa untuk memperkenalkan diri dan menanyakan sesuatu kepada orang lain</v>
          </cell>
          <cell r="N33">
            <v>0</v>
          </cell>
          <cell r="O33"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3"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3"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3"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3">
            <v>0</v>
          </cell>
          <cell r="T33"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3">
            <v>0</v>
          </cell>
          <cell r="V33">
            <v>0</v>
          </cell>
          <cell r="W33">
            <v>0</v>
          </cell>
          <cell r="X33">
            <v>0</v>
          </cell>
          <cell r="Y33">
            <v>0</v>
          </cell>
          <cell r="Z33">
            <v>0</v>
          </cell>
          <cell r="AA33">
            <v>0</v>
          </cell>
          <cell r="AB33">
            <v>0</v>
          </cell>
          <cell r="AC33">
            <v>0</v>
          </cell>
          <cell r="AD33">
            <v>0</v>
          </cell>
          <cell r="AE33">
            <v>0</v>
          </cell>
          <cell r="AF33">
            <v>0</v>
          </cell>
        </row>
        <row r="34">
          <cell r="A34">
            <v>25</v>
          </cell>
          <cell r="B34" t="str">
            <v>Rizka Ayuningtya</v>
          </cell>
          <cell r="C34">
            <v>2992</v>
          </cell>
          <cell r="D34" t="str">
            <v>00123456813</v>
          </cell>
          <cell r="E34" t="str">
            <v/>
          </cell>
          <cell r="F34" t="str">
            <v/>
          </cell>
          <cell r="G34">
            <v>0</v>
          </cell>
          <cell r="H34" t="str">
            <v/>
          </cell>
          <cell r="I34" t="str">
            <v xml:space="preserve">CEK LAGI, CEK LAGI, CEK LAGI, , Perlu bimbingan mengenal teks cerita diri/personaltentang keberadaan keluarga CEK LAGI. </v>
          </cell>
          <cell r="J34" t="str">
            <v xml:space="preserve">CEK LAGI, CEK LAGI, CEK LAGI, , Perlu bimbingan menunjukkan pemahaman tentang besaran dengan menghitung maju sampai 100 dan mundur dari 20CEK LAGI. </v>
          </cell>
          <cell r="K34" t="str">
            <v xml:space="preserve">CEK LAGI, CEK LAGI, CEK LAGI, , Perlu bimbingan mengamati berbagai bahan, alat, dan fungsinya dalam membuat membuat prakarya. CEK LAGI. </v>
          </cell>
          <cell r="L34">
            <v>0</v>
          </cell>
          <cell r="M34" t="str">
            <v>CEK LAGI, CEK LAGI, CEK LAGI, , Perlu bimbingan Memahami unggah ungguh basa untuk memperkenalkan diri dan menanyakan sesuatu kepada orang lain</v>
          </cell>
          <cell r="N34">
            <v>0</v>
          </cell>
          <cell r="O34"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4"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4"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4"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4">
            <v>0</v>
          </cell>
          <cell r="T34"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4">
            <v>0</v>
          </cell>
          <cell r="V34">
            <v>0</v>
          </cell>
          <cell r="W34">
            <v>0</v>
          </cell>
          <cell r="X34">
            <v>0</v>
          </cell>
          <cell r="Y34">
            <v>0</v>
          </cell>
          <cell r="Z34">
            <v>0</v>
          </cell>
          <cell r="AA34">
            <v>0</v>
          </cell>
          <cell r="AB34">
            <v>0</v>
          </cell>
          <cell r="AC34">
            <v>0</v>
          </cell>
          <cell r="AD34">
            <v>0</v>
          </cell>
          <cell r="AE34">
            <v>0</v>
          </cell>
          <cell r="AF34">
            <v>0</v>
          </cell>
        </row>
        <row r="35">
          <cell r="A35">
            <v>26</v>
          </cell>
          <cell r="B35" t="str">
            <v>Roid</v>
          </cell>
          <cell r="C35">
            <v>2993</v>
          </cell>
          <cell r="D35" t="str">
            <v>00123456814</v>
          </cell>
          <cell r="E35" t="str">
            <v/>
          </cell>
          <cell r="F35" t="str">
            <v/>
          </cell>
          <cell r="G35">
            <v>0</v>
          </cell>
          <cell r="H35" t="str">
            <v/>
          </cell>
          <cell r="I35" t="str">
            <v xml:space="preserve">CEK LAGI, CEK LAGI, CEK LAGI, , Perlu bimbingan mengenal teks cerita diri/personaltentang keberadaan keluarga CEK LAGI. </v>
          </cell>
          <cell r="J35" t="str">
            <v xml:space="preserve">CEK LAGI, CEK LAGI, CEK LAGI, , Perlu bimbingan menunjukkan pemahaman tentang besaran dengan menghitung maju sampai 100 dan mundur dari 20CEK LAGI. </v>
          </cell>
          <cell r="K35" t="str">
            <v xml:space="preserve">CEK LAGI, CEK LAGI, CEK LAGI, , Perlu bimbingan mengamati berbagai bahan, alat, dan fungsinya dalam membuat membuat prakarya. CEK LAGI. </v>
          </cell>
          <cell r="L35">
            <v>0</v>
          </cell>
          <cell r="M35" t="str">
            <v>CEK LAGI, CEK LAGI, CEK LAGI, , Perlu bimbingan Memahami unggah ungguh basa untuk memperkenalkan diri dan menanyakan sesuatu kepada orang lain</v>
          </cell>
          <cell r="N35">
            <v>0</v>
          </cell>
          <cell r="O35"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5"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5"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5"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5">
            <v>0</v>
          </cell>
          <cell r="T35"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5">
            <v>0</v>
          </cell>
          <cell r="V35">
            <v>0</v>
          </cell>
          <cell r="W35">
            <v>0</v>
          </cell>
          <cell r="X35">
            <v>0</v>
          </cell>
          <cell r="Y35">
            <v>0</v>
          </cell>
          <cell r="Z35">
            <v>0</v>
          </cell>
          <cell r="AA35">
            <v>0</v>
          </cell>
          <cell r="AB35">
            <v>0</v>
          </cell>
          <cell r="AC35">
            <v>0</v>
          </cell>
          <cell r="AD35">
            <v>0</v>
          </cell>
          <cell r="AE35">
            <v>0</v>
          </cell>
          <cell r="AF35">
            <v>0</v>
          </cell>
        </row>
        <row r="36">
          <cell r="A36">
            <v>27</v>
          </cell>
          <cell r="B36" t="str">
            <v>Aria Dwi Darmala</v>
          </cell>
          <cell r="C36">
            <v>2994</v>
          </cell>
          <cell r="D36" t="str">
            <v>00123456815</v>
          </cell>
          <cell r="E36" t="str">
            <v/>
          </cell>
          <cell r="F36" t="str">
            <v/>
          </cell>
          <cell r="G36">
            <v>0</v>
          </cell>
          <cell r="H36" t="str">
            <v/>
          </cell>
          <cell r="I36" t="str">
            <v xml:space="preserve">CEK LAGI, CEK LAGI, CEK LAGI, , Perlu bimbingan mengenal teks cerita diri/personaltentang keberadaan keluarga CEK LAGI. </v>
          </cell>
          <cell r="J36" t="str">
            <v xml:space="preserve">CEK LAGI, CEK LAGI, CEK LAGI, , Perlu bimbingan menunjukkan pemahaman tentang besaran dengan menghitung maju sampai 100 dan mundur dari 20CEK LAGI. </v>
          </cell>
          <cell r="K36" t="str">
            <v xml:space="preserve">CEK LAGI, CEK LAGI, CEK LAGI, , Perlu bimbingan mengamati berbagai bahan, alat, dan fungsinya dalam membuat membuat prakarya. CEK LAGI. </v>
          </cell>
          <cell r="L36">
            <v>0</v>
          </cell>
          <cell r="M36" t="str">
            <v>CEK LAGI, CEK LAGI, CEK LAGI, , Perlu bimbingan Memahami unggah ungguh basa untuk memperkenalkan diri dan menanyakan sesuatu kepada orang lain</v>
          </cell>
          <cell r="N36">
            <v>0</v>
          </cell>
          <cell r="O36"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6"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6"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6"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6">
            <v>0</v>
          </cell>
          <cell r="T36"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6">
            <v>0</v>
          </cell>
          <cell r="V36">
            <v>0</v>
          </cell>
          <cell r="W36">
            <v>0</v>
          </cell>
          <cell r="X36">
            <v>0</v>
          </cell>
          <cell r="Y36">
            <v>0</v>
          </cell>
          <cell r="Z36">
            <v>0</v>
          </cell>
          <cell r="AA36">
            <v>0</v>
          </cell>
          <cell r="AB36">
            <v>0</v>
          </cell>
          <cell r="AC36">
            <v>0</v>
          </cell>
          <cell r="AD36">
            <v>0</v>
          </cell>
          <cell r="AE36">
            <v>0</v>
          </cell>
          <cell r="AF36">
            <v>0</v>
          </cell>
        </row>
        <row r="37">
          <cell r="A37">
            <v>28</v>
          </cell>
          <cell r="B37" t="str">
            <v>Dzia Ayyu Kamila Adely</v>
          </cell>
          <cell r="C37">
            <v>2995</v>
          </cell>
          <cell r="D37" t="str">
            <v>00123456816</v>
          </cell>
          <cell r="E37" t="str">
            <v/>
          </cell>
          <cell r="F37" t="str">
            <v/>
          </cell>
          <cell r="G37">
            <v>0</v>
          </cell>
          <cell r="H37" t="str">
            <v/>
          </cell>
          <cell r="I37" t="str">
            <v xml:space="preserve">CEK LAGI, CEK LAGI, CEK LAGI, , Perlu bimbingan mengenal teks cerita diri/personaltentang keberadaan keluarga CEK LAGI. </v>
          </cell>
          <cell r="J37" t="str">
            <v xml:space="preserve">CEK LAGI, CEK LAGI, CEK LAGI, , Perlu bimbingan menunjukkan pemahaman tentang besaran dengan menghitung maju sampai 100 dan mundur dari 20CEK LAGI. </v>
          </cell>
          <cell r="K37" t="str">
            <v xml:space="preserve">CEK LAGI, CEK LAGI, CEK LAGI, , Perlu bimbingan mengamati berbagai bahan, alat, dan fungsinya dalam membuat membuat prakarya. CEK LAGI. </v>
          </cell>
          <cell r="L37">
            <v>0</v>
          </cell>
          <cell r="M37" t="str">
            <v>CEK LAGI, CEK LAGI, CEK LAGI, , Perlu bimbingan Memahami unggah ungguh basa untuk memperkenalkan diri dan menanyakan sesuatu kepada orang lain</v>
          </cell>
          <cell r="N37">
            <v>0</v>
          </cell>
          <cell r="O37"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7"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7"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7"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7">
            <v>0</v>
          </cell>
          <cell r="T37"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7">
            <v>0</v>
          </cell>
          <cell r="V37">
            <v>0</v>
          </cell>
          <cell r="W37">
            <v>0</v>
          </cell>
          <cell r="X37">
            <v>0</v>
          </cell>
          <cell r="Y37">
            <v>0</v>
          </cell>
          <cell r="Z37">
            <v>0</v>
          </cell>
          <cell r="AA37">
            <v>0</v>
          </cell>
          <cell r="AB37">
            <v>0</v>
          </cell>
          <cell r="AC37">
            <v>0</v>
          </cell>
          <cell r="AD37">
            <v>0</v>
          </cell>
          <cell r="AE37">
            <v>0</v>
          </cell>
          <cell r="AF37">
            <v>0</v>
          </cell>
        </row>
        <row r="38">
          <cell r="A38">
            <v>29</v>
          </cell>
          <cell r="B38" t="str">
            <v>Fanila Puri Pauna</v>
          </cell>
          <cell r="C38">
            <v>2996</v>
          </cell>
          <cell r="D38" t="str">
            <v>00123456817</v>
          </cell>
          <cell r="E38" t="str">
            <v/>
          </cell>
          <cell r="F38" t="str">
            <v/>
          </cell>
          <cell r="G38">
            <v>0</v>
          </cell>
          <cell r="H38" t="str">
            <v/>
          </cell>
          <cell r="I38" t="str">
            <v xml:space="preserve">CEK LAGI, CEK LAGI, CEK LAGI, , Perlu bimbingan mengenal teks cerita diri/personaltentang keberadaan keluarga CEK LAGI. </v>
          </cell>
          <cell r="J38" t="str">
            <v xml:space="preserve">CEK LAGI, CEK LAGI, CEK LAGI, , Perlu bimbingan menunjukkan pemahaman tentang besaran dengan menghitung maju sampai 100 dan mundur dari 20CEK LAGI. </v>
          </cell>
          <cell r="K38" t="str">
            <v xml:space="preserve">CEK LAGI, CEK LAGI, CEK LAGI, , Perlu bimbingan mengamati berbagai bahan, alat, dan fungsinya dalam membuat membuat prakarya. CEK LAGI. </v>
          </cell>
          <cell r="L38">
            <v>0</v>
          </cell>
          <cell r="M38" t="str">
            <v>CEK LAGI, CEK LAGI, CEK LAGI, , Perlu bimbingan Memahami unggah ungguh basa untuk memperkenalkan diri dan menanyakan sesuatu kepada orang lain</v>
          </cell>
          <cell r="N38">
            <v>0</v>
          </cell>
          <cell r="O38"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8"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8"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8"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8">
            <v>0</v>
          </cell>
          <cell r="T38"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8">
            <v>0</v>
          </cell>
          <cell r="V38">
            <v>0</v>
          </cell>
          <cell r="W38">
            <v>0</v>
          </cell>
          <cell r="X38">
            <v>0</v>
          </cell>
          <cell r="Y38">
            <v>0</v>
          </cell>
          <cell r="Z38">
            <v>0</v>
          </cell>
          <cell r="AA38">
            <v>0</v>
          </cell>
          <cell r="AB38">
            <v>0</v>
          </cell>
          <cell r="AC38">
            <v>0</v>
          </cell>
          <cell r="AD38">
            <v>0</v>
          </cell>
          <cell r="AE38">
            <v>0</v>
          </cell>
          <cell r="AF38">
            <v>0</v>
          </cell>
        </row>
        <row r="39">
          <cell r="A39">
            <v>30</v>
          </cell>
          <cell r="B39" t="str">
            <v>Ibnu Danar Nur Ihsan</v>
          </cell>
          <cell r="C39">
            <v>2997</v>
          </cell>
          <cell r="D39" t="str">
            <v>00123456818</v>
          </cell>
          <cell r="E39" t="str">
            <v/>
          </cell>
          <cell r="F39" t="str">
            <v/>
          </cell>
          <cell r="G39">
            <v>0</v>
          </cell>
          <cell r="H39" t="str">
            <v/>
          </cell>
          <cell r="I39" t="str">
            <v xml:space="preserve">CEK LAGI, CEK LAGI, CEK LAGI, , Perlu bimbingan mengenal teks cerita diri/personaltentang keberadaan keluarga CEK LAGI. </v>
          </cell>
          <cell r="J39" t="str">
            <v xml:space="preserve">CEK LAGI, CEK LAGI, CEK LAGI, , Perlu bimbingan menunjukkan pemahaman tentang besaran dengan menghitung maju sampai 100 dan mundur dari 20CEK LAGI. </v>
          </cell>
          <cell r="K39" t="str">
            <v xml:space="preserve">CEK LAGI, CEK LAGI, CEK LAGI, , Perlu bimbingan mengamati berbagai bahan, alat, dan fungsinya dalam membuat membuat prakarya. CEK LAGI. </v>
          </cell>
          <cell r="L39">
            <v>0</v>
          </cell>
          <cell r="M39" t="str">
            <v>CEK LAGI, CEK LAGI, CEK LAGI, , Perlu bimbingan Memahami unggah ungguh basa untuk memperkenalkan diri dan menanyakan sesuatu kepada orang lain</v>
          </cell>
          <cell r="N39">
            <v>0</v>
          </cell>
          <cell r="O39"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39"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39"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39"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39">
            <v>0</v>
          </cell>
          <cell r="T39"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39">
            <v>0</v>
          </cell>
          <cell r="V39">
            <v>0</v>
          </cell>
          <cell r="W39">
            <v>0</v>
          </cell>
          <cell r="X39">
            <v>0</v>
          </cell>
          <cell r="Y39">
            <v>0</v>
          </cell>
          <cell r="Z39">
            <v>0</v>
          </cell>
          <cell r="AA39">
            <v>0</v>
          </cell>
          <cell r="AB39">
            <v>0</v>
          </cell>
          <cell r="AC39">
            <v>0</v>
          </cell>
          <cell r="AD39">
            <v>0</v>
          </cell>
          <cell r="AE39">
            <v>0</v>
          </cell>
          <cell r="AF39">
            <v>0</v>
          </cell>
        </row>
        <row r="40">
          <cell r="A40">
            <v>31</v>
          </cell>
          <cell r="B40" t="str">
            <v>Faja Denanda</v>
          </cell>
          <cell r="C40">
            <v>3036</v>
          </cell>
          <cell r="D40" t="str">
            <v>00123456819</v>
          </cell>
          <cell r="E40" t="str">
            <v/>
          </cell>
          <cell r="F40" t="str">
            <v/>
          </cell>
          <cell r="G40">
            <v>0</v>
          </cell>
          <cell r="H40" t="str">
            <v/>
          </cell>
          <cell r="I40" t="str">
            <v xml:space="preserve">CEK LAGI, CEK LAGI, CEK LAGI, , Perlu bimbingan mengenal teks cerita diri/personaltentang keberadaan keluarga CEK LAGI. </v>
          </cell>
          <cell r="J40" t="str">
            <v xml:space="preserve">CEK LAGI, CEK LAGI, CEK LAGI, , Perlu bimbingan menunjukkan pemahaman tentang besaran dengan menghitung maju sampai 100 dan mundur dari 20CEK LAGI. </v>
          </cell>
          <cell r="K40" t="str">
            <v xml:space="preserve">CEK LAGI, CEK LAGI, CEK LAGI, , Perlu bimbingan mengamati berbagai bahan, alat, dan fungsinya dalam membuat membuat prakarya. CEK LAGI. </v>
          </cell>
          <cell r="L40">
            <v>0</v>
          </cell>
          <cell r="M40" t="str">
            <v>CEK LAGI, CEK LAGI, CEK LAGI, , Perlu bimbingan Memahami unggah ungguh basa untuk memperkenalkan diri dan menanyakan sesuatu kepada orang lain</v>
          </cell>
          <cell r="N40">
            <v>0</v>
          </cell>
          <cell r="O40"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40"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40"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40"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40">
            <v>0</v>
          </cell>
          <cell r="T40"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40">
            <v>0</v>
          </cell>
          <cell r="V40">
            <v>0</v>
          </cell>
          <cell r="W40">
            <v>0</v>
          </cell>
          <cell r="X40">
            <v>0</v>
          </cell>
          <cell r="Y40">
            <v>0</v>
          </cell>
          <cell r="Z40">
            <v>0</v>
          </cell>
          <cell r="AA40">
            <v>0</v>
          </cell>
          <cell r="AB40">
            <v>0</v>
          </cell>
          <cell r="AC40">
            <v>0</v>
          </cell>
          <cell r="AD40">
            <v>0</v>
          </cell>
          <cell r="AE40">
            <v>0</v>
          </cell>
          <cell r="AF40">
            <v>0</v>
          </cell>
        </row>
        <row r="41">
          <cell r="A41">
            <v>32</v>
          </cell>
          <cell r="B41" t="str">
            <v>Albert theomarvel</v>
          </cell>
          <cell r="C41">
            <v>3037</v>
          </cell>
          <cell r="D41" t="str">
            <v>00123456820</v>
          </cell>
          <cell r="E41" t="str">
            <v/>
          </cell>
          <cell r="F41" t="str">
            <v/>
          </cell>
          <cell r="G41">
            <v>0</v>
          </cell>
          <cell r="H41" t="str">
            <v/>
          </cell>
          <cell r="I41" t="str">
            <v xml:space="preserve">CEK LAGI, CEK LAGI, CEK LAGI, , Perlu bimbingan mengenal teks cerita diri/personaltentang keberadaan keluarga CEK LAGI. </v>
          </cell>
          <cell r="J41" t="str">
            <v xml:space="preserve">CEK LAGI, CEK LAGI, CEK LAGI, , Perlu bimbingan menunjukkan pemahaman tentang besaran dengan menghitung maju sampai 100 dan mundur dari 20CEK LAGI. </v>
          </cell>
          <cell r="K41" t="str">
            <v xml:space="preserve">CEK LAGI, CEK LAGI, CEK LAGI, , Perlu bimbingan mengamati berbagai bahan, alat, dan fungsinya dalam membuat membuat prakarya. CEK LAGI. </v>
          </cell>
          <cell r="L41">
            <v>0</v>
          </cell>
          <cell r="M41" t="str">
            <v>CEK LAGI, CEK LAGI, CEK LAGI, , Perlu bimbingan Memahami unggah ungguh basa untuk memperkenalkan diri dan menanyakan sesuatu kepada orang lain</v>
          </cell>
          <cell r="N41">
            <v>0</v>
          </cell>
          <cell r="O41" t="str">
            <v>Sangat mahir dalam mengamati dan menceritakan perilaku di sekitar rumah dan sekolah, Sangat mahir dalam melaksanakan kewajiban sebagai warga, Sangat mahir dalam bekerja sama dengan teman dalam keberagaman, Sangat mahir dalam mengelompokkan kesamaan identitas suku bangsa, Sangat mahir dalam memetakan keberagaman sumber daya alam.</v>
          </cell>
          <cell r="P41"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Q41" t="str">
            <v xml:space="preserve">Sangat mahir dalam mengurai sebuah bilangan asli sampai dengan 99 sebagai hasil penjumlahan atau pengurangan dua buah bilangan asli lainnya dengan berbagai kemungkinan jawaban, Sangat mahir dalam membentuk dan menggambarbangun baru dari bangun-bangundatar atau pola bangun datar yangsudah ada. , Sangat mahir dalam mengelompokkan teman sekelas berdasarkan tinggi badannya, Sangat mahir dalam mengemukakan kembali dengan kalimat sendiri dan memecahkan masalah yang berkaitan dengan penjumlahan dan pengurangan terkait dengan aktivitas sehari-hari serta memeriksa kebenarannya, Sangat mahir dalam melakukan pengubinan daribangun datar sederhana tertentu. </v>
          </cell>
          <cell r="R41" t="str">
            <v>Sangat mahir dalam mengamati dan menceritakan perilaku di sekitar rumah dan sekolah, , Sangat mahir dalam melaksanakan kewajiban sebagai warga, , Sangat mahir dalam bekerja sama dengan teman dalam keberagaman, , Sangat mahir dalam mengelompokkan kesamaan identitas suku bangsa, , Sangat mahir dalam memetakan keberagaman sumber daya alam.</v>
          </cell>
          <cell r="S41">
            <v>0</v>
          </cell>
          <cell r="T41" t="str">
            <v>Sangat mahir dalam  Menirukan dan menyalin teks diskriptif tentang anggota tubuh dan pancaindera, Sangat mahir dalam Menceritakan dongeng hewan, melantunkan tembang dolanan,dan melakukan permainan tradisional, Sangat mahir dalam Menceriterakan wayang punakawan dan silsilah keluarga, Sangat mahir dalam  Menggunakan unggah  ungguh basa untuk  memperkenallkan diri dan menanyakan sesuatu kepada orang lain.</v>
          </cell>
          <cell r="U41">
            <v>0</v>
          </cell>
          <cell r="V41">
            <v>0</v>
          </cell>
          <cell r="W41">
            <v>0</v>
          </cell>
          <cell r="X41">
            <v>0</v>
          </cell>
          <cell r="Y41">
            <v>0</v>
          </cell>
          <cell r="Z41">
            <v>0</v>
          </cell>
          <cell r="AA41">
            <v>0</v>
          </cell>
          <cell r="AB41">
            <v>0</v>
          </cell>
          <cell r="AC41">
            <v>0</v>
          </cell>
          <cell r="AD41">
            <v>0</v>
          </cell>
          <cell r="AE41">
            <v>0</v>
          </cell>
          <cell r="AF41">
            <v>0</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16">
          <cell r="BK16">
            <v>73</v>
          </cell>
        </row>
      </sheetData>
      <sheetData sheetId="25">
        <row r="16">
          <cell r="BZ16">
            <v>76</v>
          </cell>
        </row>
      </sheetData>
      <sheetData sheetId="26">
        <row r="11">
          <cell r="C11">
            <v>85</v>
          </cell>
        </row>
      </sheetData>
      <sheetData sheetId="27">
        <row r="16">
          <cell r="BK16">
            <v>82.5</v>
          </cell>
        </row>
      </sheetData>
      <sheetData sheetId="28" refreshError="1"/>
      <sheetData sheetId="29" refreshError="1"/>
      <sheetData sheetId="30" refreshError="1"/>
      <sheetData sheetId="31" refreshError="1"/>
      <sheetData sheetId="3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KKM"/>
      <sheetName val="SISWA"/>
      <sheetName val="KI-1"/>
      <sheetName val="KI-2"/>
      <sheetName val="KI-3"/>
      <sheetName val="KI-4"/>
      <sheetName val="K-pkn"/>
      <sheetName val="P-pkn"/>
      <sheetName val="RAPOT"/>
      <sheetName val="LEGER"/>
      <sheetName val="fisik"/>
      <sheetName val="saran"/>
      <sheetName val="ekskul"/>
      <sheetName val="penget"/>
      <sheetName val="ketramp"/>
      <sheetName val="uts"/>
      <sheetName val="ukk"/>
      <sheetName val="absen"/>
      <sheetName val="P-BI"/>
      <sheetName val="P-MAT"/>
      <sheetName val="P-SBDP"/>
      <sheetName val="P-BJAWA"/>
      <sheetName val="P-PJOK"/>
      <sheetName val="P-AG"/>
      <sheetName val="K-BI"/>
      <sheetName val="K-MAT"/>
      <sheetName val="K-SBDP"/>
      <sheetName val="K-BJAWA"/>
      <sheetName val="K-PJOK"/>
      <sheetName val="K-AG"/>
      <sheetName val="KDKI-4"/>
      <sheetName val="KDKI-3"/>
      <sheetName val="P-IPA"/>
      <sheetName val="K-IPA"/>
      <sheetName val="P-IPS"/>
      <sheetName val="K-IPS"/>
      <sheetName val="rbaru"/>
      <sheetName val="lbaru"/>
    </sheetNames>
    <sheetDataSet>
      <sheetData sheetId="0">
        <row r="6">
          <cell r="M6">
            <v>0</v>
          </cell>
        </row>
      </sheetData>
      <sheetData sheetId="1">
        <row r="13">
          <cell r="B13" t="str">
            <v>Bahasa Indonesia</v>
          </cell>
        </row>
      </sheetData>
      <sheetData sheetId="2">
        <row r="5">
          <cell r="B5" t="str">
            <v>Adinda Melliza</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row r="7">
          <cell r="J7">
            <v>72</v>
          </cell>
        </row>
        <row r="8">
          <cell r="J8">
            <v>73.666666666666671</v>
          </cell>
        </row>
        <row r="9">
          <cell r="J9">
            <v>71.333333333333329</v>
          </cell>
        </row>
        <row r="10">
          <cell r="J10">
            <v>76.666666666666671</v>
          </cell>
        </row>
        <row r="11">
          <cell r="J11">
            <v>80.666666666666671</v>
          </cell>
        </row>
        <row r="12">
          <cell r="J12">
            <v>72</v>
          </cell>
        </row>
        <row r="13">
          <cell r="J13">
            <v>72.333333333333329</v>
          </cell>
        </row>
        <row r="14">
          <cell r="J14">
            <v>80</v>
          </cell>
        </row>
        <row r="15">
          <cell r="J15">
            <v>78</v>
          </cell>
        </row>
        <row r="16">
          <cell r="J16">
            <v>70.666666666666671</v>
          </cell>
        </row>
        <row r="17">
          <cell r="J17">
            <v>80.666666666666671</v>
          </cell>
        </row>
        <row r="18">
          <cell r="J18">
            <v>78.666666666666671</v>
          </cell>
        </row>
        <row r="19">
          <cell r="J19">
            <v>72.333333333333329</v>
          </cell>
        </row>
        <row r="20">
          <cell r="J20">
            <v>75.333333333333329</v>
          </cell>
        </row>
        <row r="21">
          <cell r="J21">
            <v>73</v>
          </cell>
        </row>
        <row r="22">
          <cell r="J22">
            <v>72.333333333333329</v>
          </cell>
        </row>
        <row r="23">
          <cell r="J23">
            <v>71</v>
          </cell>
        </row>
        <row r="24">
          <cell r="J24">
            <v>74.333333333333329</v>
          </cell>
        </row>
        <row r="25">
          <cell r="J25">
            <v>77.666666666666671</v>
          </cell>
        </row>
        <row r="26">
          <cell r="J26">
            <v>72</v>
          </cell>
        </row>
        <row r="27">
          <cell r="J27">
            <v>81</v>
          </cell>
        </row>
        <row r="28">
          <cell r="J28">
            <v>77</v>
          </cell>
        </row>
        <row r="29">
          <cell r="J29">
            <v>81</v>
          </cell>
        </row>
        <row r="30">
          <cell r="J30">
            <v>78.333333333333329</v>
          </cell>
        </row>
        <row r="31">
          <cell r="J31">
            <v>68.666666666666671</v>
          </cell>
        </row>
        <row r="32">
          <cell r="J32">
            <v>75</v>
          </cell>
        </row>
        <row r="33">
          <cell r="J33">
            <v>76.333333333333329</v>
          </cell>
        </row>
        <row r="34">
          <cell r="J34">
            <v>73</v>
          </cell>
        </row>
        <row r="35">
          <cell r="J35" t="str">
            <v/>
          </cell>
        </row>
        <row r="36">
          <cell r="J36" t="str">
            <v/>
          </cell>
        </row>
        <row r="37">
          <cell r="J37" t="str">
            <v/>
          </cell>
        </row>
        <row r="38">
          <cell r="J38" t="str">
            <v/>
          </cell>
        </row>
        <row r="39">
          <cell r="J39" t="str">
            <v/>
          </cell>
        </row>
        <row r="40">
          <cell r="J40" t="str">
            <v/>
          </cell>
        </row>
        <row r="41">
          <cell r="J41" t="str">
            <v/>
          </cell>
        </row>
        <row r="46">
          <cell r="J46" t="str">
            <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13">
          <cell r="A13">
            <v>4.0999999999999996</v>
          </cell>
        </row>
      </sheetData>
      <sheetData sheetId="32">
        <row r="13">
          <cell r="A13">
            <v>3.1</v>
          </cell>
        </row>
      </sheetData>
      <sheetData sheetId="33"/>
      <sheetData sheetId="34"/>
      <sheetData sheetId="35"/>
      <sheetData sheetId="36"/>
      <sheetData sheetId="37"/>
      <sheetData sheetId="3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1.xml"/><Relationship Id="rId1" Type="http://schemas.openxmlformats.org/officeDocument/2006/relationships/printerSettings" Target="../printerSettings/printerSettings10.bin"/><Relationship Id="rId4" Type="http://schemas.openxmlformats.org/officeDocument/2006/relationships/ctrlProp" Target="../ctrlProps/ctrlProp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1.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4.xml"/><Relationship Id="rId1" Type="http://schemas.openxmlformats.org/officeDocument/2006/relationships/printerSettings" Target="../printerSettings/printerSettings22.bin"/><Relationship Id="rId4" Type="http://schemas.openxmlformats.org/officeDocument/2006/relationships/ctrlProp" Target="../ctrlProps/ctrlProp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C000"/>
  </sheetPr>
  <dimension ref="A1:XFD37"/>
  <sheetViews>
    <sheetView showRowColHeaders="0" showZeros="0" zoomScale="80" zoomScaleNormal="80" workbookViewId="0"/>
  </sheetViews>
  <sheetFormatPr defaultColWidth="0" defaultRowHeight="15" customHeight="1" zeroHeight="1"/>
  <cols>
    <col min="1" max="1" width="1.42578125" style="4" customWidth="1"/>
    <col min="2" max="2" width="9.140625" style="4" customWidth="1"/>
    <col min="3" max="3" width="6.140625" style="4" customWidth="1"/>
    <col min="4" max="4" width="10.7109375" style="4" customWidth="1"/>
    <col min="5" max="5" width="4.7109375" style="4" customWidth="1"/>
    <col min="6" max="11" width="4.5703125" style="4" customWidth="1"/>
    <col min="12" max="12" width="3.140625" style="4" customWidth="1"/>
    <col min="13" max="13" width="5.28515625" style="4" customWidth="1"/>
    <col min="14" max="25" width="5.140625" style="4" customWidth="1"/>
    <col min="26" max="26" width="3.85546875" style="4" customWidth="1"/>
    <col min="27" max="29" width="9.140625" style="4" customWidth="1"/>
    <col min="30" max="30" width="2.140625" style="4" customWidth="1"/>
    <col min="31" max="16384" width="9.140625" style="4" hidden="1"/>
  </cols>
  <sheetData>
    <row r="1" spans="1:30" ht="15" customHeight="1" thickBot="1">
      <c r="A1" s="126"/>
      <c r="B1" s="127"/>
      <c r="C1" s="127"/>
      <c r="D1" s="128"/>
      <c r="E1" s="127"/>
      <c r="F1" s="127"/>
      <c r="G1" s="127"/>
      <c r="H1" s="127"/>
      <c r="I1" s="127"/>
      <c r="J1" s="127"/>
      <c r="K1" s="127"/>
      <c r="L1" s="127"/>
      <c r="M1" s="127"/>
      <c r="N1" s="127"/>
      <c r="O1" s="127"/>
      <c r="P1" s="127"/>
      <c r="Q1" s="127"/>
      <c r="R1" s="127"/>
      <c r="S1" s="127"/>
      <c r="T1" s="127"/>
      <c r="U1" s="127"/>
      <c r="V1" s="127"/>
      <c r="W1" s="127"/>
      <c r="X1" s="127"/>
      <c r="Y1" s="127"/>
      <c r="Z1" s="127"/>
      <c r="AA1" s="130"/>
      <c r="AB1" s="127"/>
      <c r="AC1" s="128"/>
      <c r="AD1" s="129"/>
    </row>
    <row r="2" spans="1:30" ht="15" customHeight="1">
      <c r="A2" s="131"/>
      <c r="B2" s="799" t="s">
        <v>32</v>
      </c>
      <c r="C2" s="799"/>
      <c r="D2" s="800"/>
      <c r="E2" s="132"/>
      <c r="F2" s="132"/>
      <c r="G2" s="132"/>
      <c r="H2" s="801" t="s">
        <v>198</v>
      </c>
      <c r="I2" s="802"/>
      <c r="J2" s="802"/>
      <c r="K2" s="802"/>
      <c r="L2" s="802"/>
      <c r="M2" s="802"/>
      <c r="N2" s="802"/>
      <c r="O2" s="802"/>
      <c r="P2" s="802"/>
      <c r="Q2" s="802"/>
      <c r="R2" s="802"/>
      <c r="S2" s="802"/>
      <c r="T2" s="802"/>
      <c r="U2" s="802"/>
      <c r="V2" s="802"/>
      <c r="W2" s="803"/>
      <c r="X2" s="132"/>
      <c r="Y2" s="132"/>
      <c r="Z2" s="132"/>
      <c r="AA2" s="807" t="s">
        <v>33</v>
      </c>
      <c r="AB2" s="808"/>
      <c r="AC2" s="809"/>
      <c r="AD2" s="129"/>
    </row>
    <row r="3" spans="1:30" ht="15" customHeight="1">
      <c r="A3" s="131"/>
      <c r="B3" s="799"/>
      <c r="C3" s="799"/>
      <c r="D3" s="800"/>
      <c r="E3" s="133"/>
      <c r="F3" s="133"/>
      <c r="G3" s="133"/>
      <c r="H3" s="804"/>
      <c r="I3" s="805"/>
      <c r="J3" s="805"/>
      <c r="K3" s="805"/>
      <c r="L3" s="805"/>
      <c r="M3" s="805"/>
      <c r="N3" s="805"/>
      <c r="O3" s="805"/>
      <c r="P3" s="805"/>
      <c r="Q3" s="805"/>
      <c r="R3" s="805"/>
      <c r="S3" s="805"/>
      <c r="T3" s="805"/>
      <c r="U3" s="805"/>
      <c r="V3" s="805"/>
      <c r="W3" s="806"/>
      <c r="X3" s="133"/>
      <c r="Y3" s="133"/>
      <c r="Z3" s="133"/>
      <c r="AA3" s="810"/>
      <c r="AB3" s="811"/>
      <c r="AC3" s="812"/>
      <c r="AD3" s="129"/>
    </row>
    <row r="4" spans="1:30" ht="15" customHeight="1">
      <c r="A4" s="131"/>
      <c r="B4" s="799"/>
      <c r="C4" s="799"/>
      <c r="D4" s="800"/>
      <c r="E4" s="134"/>
      <c r="F4" s="134"/>
      <c r="G4" s="134"/>
      <c r="H4" s="804"/>
      <c r="I4" s="805"/>
      <c r="J4" s="805"/>
      <c r="K4" s="805"/>
      <c r="L4" s="805"/>
      <c r="M4" s="805"/>
      <c r="N4" s="805"/>
      <c r="O4" s="805"/>
      <c r="P4" s="805"/>
      <c r="Q4" s="805"/>
      <c r="R4" s="805"/>
      <c r="S4" s="805"/>
      <c r="T4" s="805"/>
      <c r="U4" s="805"/>
      <c r="V4" s="805"/>
      <c r="W4" s="806"/>
      <c r="X4" s="134"/>
      <c r="Y4" s="134"/>
      <c r="Z4" s="134"/>
      <c r="AA4" s="810"/>
      <c r="AB4" s="811"/>
      <c r="AC4" s="812"/>
      <c r="AD4" s="129"/>
    </row>
    <row r="5" spans="1:30" ht="15" customHeight="1" thickBot="1">
      <c r="A5" s="131"/>
      <c r="B5" s="799"/>
      <c r="C5" s="799"/>
      <c r="D5" s="800"/>
      <c r="E5" s="135"/>
      <c r="F5" s="135"/>
      <c r="G5" s="135"/>
      <c r="H5" s="813"/>
      <c r="I5" s="814"/>
      <c r="J5" s="814"/>
      <c r="K5" s="814"/>
      <c r="L5" s="814"/>
      <c r="M5" s="814"/>
      <c r="N5" s="814"/>
      <c r="O5" s="814"/>
      <c r="P5" s="814"/>
      <c r="Q5" s="814"/>
      <c r="R5" s="814"/>
      <c r="S5" s="814"/>
      <c r="T5" s="814"/>
      <c r="U5" s="814"/>
      <c r="V5" s="814"/>
      <c r="W5" s="815"/>
      <c r="X5" s="135"/>
      <c r="Y5" s="135"/>
      <c r="Z5" s="135"/>
      <c r="AA5" s="810"/>
      <c r="AB5" s="811"/>
      <c r="AC5" s="812"/>
      <c r="AD5" s="129"/>
    </row>
    <row r="6" spans="1:30" ht="15" customHeight="1" thickTop="1">
      <c r="A6" s="131"/>
      <c r="B6" s="94"/>
      <c r="C6" s="94"/>
      <c r="D6" s="95"/>
      <c r="E6" s="96"/>
      <c r="F6" s="96"/>
      <c r="G6" s="96"/>
      <c r="H6" s="96"/>
      <c r="I6" s="96"/>
      <c r="J6" s="96"/>
      <c r="K6" s="96"/>
      <c r="L6" s="96"/>
      <c r="M6" s="96"/>
      <c r="N6" s="96"/>
      <c r="O6" s="96"/>
      <c r="P6" s="96"/>
      <c r="Q6" s="96"/>
      <c r="R6" s="96"/>
      <c r="S6" s="96"/>
      <c r="T6" s="96"/>
      <c r="U6" s="96"/>
      <c r="V6" s="96"/>
      <c r="W6" s="96"/>
      <c r="X6" s="96"/>
      <c r="Y6" s="96"/>
      <c r="Z6" s="96"/>
      <c r="AA6" s="97"/>
      <c r="AB6" s="94"/>
      <c r="AC6" s="95"/>
      <c r="AD6" s="129"/>
    </row>
    <row r="7" spans="1:30" ht="15" customHeight="1">
      <c r="A7" s="131"/>
      <c r="B7" s="136"/>
      <c r="C7" s="136"/>
      <c r="D7" s="137"/>
      <c r="E7" s="96"/>
      <c r="F7" s="106" t="s">
        <v>34</v>
      </c>
      <c r="G7" s="106"/>
      <c r="H7" s="107"/>
      <c r="I7" s="108"/>
      <c r="J7" s="108"/>
      <c r="K7" s="108"/>
      <c r="L7" s="109" t="s">
        <v>35</v>
      </c>
      <c r="M7" s="816" t="s">
        <v>645</v>
      </c>
      <c r="N7" s="817"/>
      <c r="O7" s="817"/>
      <c r="P7" s="817"/>
      <c r="Q7" s="817"/>
      <c r="R7" s="817"/>
      <c r="S7" s="817"/>
      <c r="T7" s="817"/>
      <c r="U7" s="817"/>
      <c r="V7" s="817"/>
      <c r="W7" s="818"/>
      <c r="X7" s="96"/>
      <c r="Y7" s="96"/>
      <c r="Z7" s="96"/>
      <c r="AA7" s="97"/>
      <c r="AB7" s="94"/>
      <c r="AC7" s="95"/>
      <c r="AD7" s="129"/>
    </row>
    <row r="8" spans="1:30" ht="15" customHeight="1">
      <c r="A8" s="131"/>
      <c r="B8" s="136"/>
      <c r="C8" s="136"/>
      <c r="D8" s="137"/>
      <c r="E8" s="96"/>
      <c r="F8" s="106" t="s">
        <v>497</v>
      </c>
      <c r="G8" s="106"/>
      <c r="H8" s="107"/>
      <c r="I8" s="108"/>
      <c r="J8" s="108"/>
      <c r="K8" s="108"/>
      <c r="L8" s="109" t="s">
        <v>35</v>
      </c>
      <c r="M8" s="842" t="s">
        <v>915</v>
      </c>
      <c r="N8" s="843"/>
      <c r="O8" s="843"/>
      <c r="P8" s="843"/>
      <c r="Q8" s="843"/>
      <c r="R8" s="843"/>
      <c r="S8" s="843"/>
      <c r="T8" s="843"/>
      <c r="U8" s="843"/>
      <c r="V8" s="843"/>
      <c r="W8" s="844"/>
      <c r="X8" s="96"/>
      <c r="Y8" s="96"/>
      <c r="Z8" s="96"/>
      <c r="AA8" s="97"/>
      <c r="AB8" s="94"/>
      <c r="AC8" s="95"/>
      <c r="AD8" s="129"/>
    </row>
    <row r="9" spans="1:30" ht="15" customHeight="1">
      <c r="A9" s="131"/>
      <c r="B9" s="94"/>
      <c r="C9" s="94"/>
      <c r="D9" s="95"/>
      <c r="E9" s="96"/>
      <c r="F9" s="107"/>
      <c r="G9" s="107"/>
      <c r="H9" s="107"/>
      <c r="I9" s="108"/>
      <c r="J9" s="108"/>
      <c r="K9" s="108"/>
      <c r="L9" s="109"/>
      <c r="M9" s="845"/>
      <c r="N9" s="846"/>
      <c r="O9" s="846"/>
      <c r="P9" s="846"/>
      <c r="Q9" s="846"/>
      <c r="R9" s="846"/>
      <c r="S9" s="846"/>
      <c r="T9" s="846"/>
      <c r="U9" s="846"/>
      <c r="V9" s="846"/>
      <c r="W9" s="847"/>
      <c r="X9" s="96"/>
      <c r="Y9" s="96"/>
      <c r="Z9" s="96"/>
      <c r="AA9" s="97"/>
      <c r="AB9" s="94"/>
      <c r="AC9" s="95"/>
      <c r="AD9" s="129"/>
    </row>
    <row r="10" spans="1:30" ht="15" customHeight="1">
      <c r="A10" s="131"/>
      <c r="B10" s="99"/>
      <c r="C10" s="99"/>
      <c r="D10" s="100"/>
      <c r="E10" s="96"/>
      <c r="F10" s="107"/>
      <c r="G10" s="107" t="s">
        <v>407</v>
      </c>
      <c r="H10" s="107"/>
      <c r="I10" s="108"/>
      <c r="J10" s="108"/>
      <c r="K10" s="108"/>
      <c r="L10" s="109" t="s">
        <v>35</v>
      </c>
      <c r="M10" s="849" t="s">
        <v>646</v>
      </c>
      <c r="N10" s="850"/>
      <c r="O10" s="850"/>
      <c r="P10" s="850"/>
      <c r="Q10" s="850"/>
      <c r="R10" s="850"/>
      <c r="S10" s="850"/>
      <c r="T10" s="850"/>
      <c r="U10" s="850"/>
      <c r="V10" s="107"/>
      <c r="W10" s="107"/>
      <c r="X10" s="96"/>
      <c r="Y10" s="96"/>
      <c r="Z10" s="96"/>
      <c r="AA10" s="97"/>
      <c r="AB10" s="94"/>
      <c r="AC10" s="95"/>
      <c r="AD10" s="129"/>
    </row>
    <row r="11" spans="1:30" ht="15" customHeight="1">
      <c r="A11" s="131"/>
      <c r="B11" s="99"/>
      <c r="C11" s="99"/>
      <c r="D11" s="100"/>
      <c r="E11" s="96"/>
      <c r="F11" s="107"/>
      <c r="G11" s="107" t="s">
        <v>315</v>
      </c>
      <c r="H11" s="107"/>
      <c r="I11" s="108"/>
      <c r="J11" s="108"/>
      <c r="K11" s="108"/>
      <c r="L11" s="109" t="s">
        <v>35</v>
      </c>
      <c r="M11" s="849" t="s">
        <v>647</v>
      </c>
      <c r="N11" s="850"/>
      <c r="O11" s="850"/>
      <c r="P11" s="850"/>
      <c r="Q11" s="850"/>
      <c r="R11" s="850"/>
      <c r="S11" s="851"/>
      <c r="T11" s="851"/>
      <c r="U11" s="851"/>
      <c r="V11" s="107"/>
      <c r="W11" s="107"/>
      <c r="X11" s="96"/>
      <c r="Y11" s="96"/>
      <c r="Z11" s="96"/>
      <c r="AA11" s="97"/>
      <c r="AB11" s="94"/>
      <c r="AC11" s="95"/>
      <c r="AD11" s="129"/>
    </row>
    <row r="12" spans="1:30" ht="15" customHeight="1">
      <c r="A12" s="131"/>
      <c r="B12" s="99"/>
      <c r="C12" s="99"/>
      <c r="D12" s="100"/>
      <c r="E12" s="96"/>
      <c r="F12" s="107"/>
      <c r="G12" s="107" t="s">
        <v>437</v>
      </c>
      <c r="H12" s="107"/>
      <c r="I12" s="108"/>
      <c r="J12" s="108"/>
      <c r="K12" s="108"/>
      <c r="L12" s="109" t="s">
        <v>35</v>
      </c>
      <c r="M12" s="852">
        <v>55672</v>
      </c>
      <c r="N12" s="853"/>
      <c r="O12" s="853"/>
      <c r="P12" s="854"/>
      <c r="Q12" s="648" t="s">
        <v>438</v>
      </c>
      <c r="R12" s="649"/>
      <c r="S12" s="850">
        <v>87839204772</v>
      </c>
      <c r="T12" s="850"/>
      <c r="U12" s="850"/>
      <c r="V12" s="850"/>
      <c r="W12" s="850"/>
      <c r="X12" s="96"/>
      <c r="Y12" s="96"/>
      <c r="Z12" s="96"/>
      <c r="AA12" s="97"/>
      <c r="AB12" s="94"/>
      <c r="AC12" s="95"/>
      <c r="AD12" s="129"/>
    </row>
    <row r="13" spans="1:30" ht="15" customHeight="1">
      <c r="A13" s="131"/>
      <c r="B13" s="99"/>
      <c r="C13" s="99"/>
      <c r="D13" s="100"/>
      <c r="E13" s="96"/>
      <c r="F13" s="228" t="s">
        <v>44</v>
      </c>
      <c r="G13" s="228"/>
      <c r="H13" s="228"/>
      <c r="I13" s="96"/>
      <c r="J13" s="96"/>
      <c r="K13" s="96"/>
      <c r="L13" s="229" t="s">
        <v>35</v>
      </c>
      <c r="M13" s="828" t="s">
        <v>648</v>
      </c>
      <c r="N13" s="828"/>
      <c r="O13" s="828"/>
      <c r="P13" s="828"/>
      <c r="Q13" s="828"/>
      <c r="R13" s="828"/>
      <c r="S13" s="828"/>
      <c r="T13" s="828"/>
      <c r="U13" s="828"/>
      <c r="V13" s="828"/>
      <c r="W13" s="828"/>
      <c r="X13" s="96"/>
      <c r="Y13" s="96"/>
      <c r="Z13" s="96"/>
      <c r="AA13" s="97"/>
      <c r="AB13" s="94"/>
      <c r="AC13" s="95"/>
      <c r="AD13" s="129"/>
    </row>
    <row r="14" spans="1:30" ht="15" customHeight="1">
      <c r="A14" s="131"/>
      <c r="B14" s="101"/>
      <c r="C14" s="101"/>
      <c r="D14" s="102"/>
      <c r="E14" s="96"/>
      <c r="F14" s="228" t="s">
        <v>45</v>
      </c>
      <c r="G14" s="228"/>
      <c r="H14" s="228"/>
      <c r="I14" s="96"/>
      <c r="J14" s="96"/>
      <c r="K14" s="96"/>
      <c r="L14" s="229" t="s">
        <v>35</v>
      </c>
      <c r="M14" s="828" t="s">
        <v>649</v>
      </c>
      <c r="N14" s="828"/>
      <c r="O14" s="828"/>
      <c r="P14" s="828"/>
      <c r="Q14" s="828"/>
      <c r="R14" s="828"/>
      <c r="S14" s="828"/>
      <c r="T14" s="828"/>
      <c r="U14" s="828"/>
      <c r="V14" s="828"/>
      <c r="W14" s="828"/>
      <c r="X14" s="96"/>
      <c r="Y14" s="96"/>
      <c r="Z14" s="96"/>
      <c r="AA14" s="97"/>
      <c r="AB14" s="94"/>
      <c r="AC14" s="95"/>
      <c r="AD14" s="129"/>
    </row>
    <row r="15" spans="1:30" ht="15" customHeight="1">
      <c r="A15" s="131"/>
      <c r="B15" s="99"/>
      <c r="C15" s="99"/>
      <c r="D15" s="100"/>
      <c r="E15" s="96"/>
      <c r="F15" s="228" t="s">
        <v>46</v>
      </c>
      <c r="G15" s="228"/>
      <c r="H15" s="228"/>
      <c r="I15" s="96"/>
      <c r="J15" s="96"/>
      <c r="K15" s="96"/>
      <c r="L15" s="229" t="s">
        <v>35</v>
      </c>
      <c r="M15" s="829" t="s">
        <v>47</v>
      </c>
      <c r="N15" s="829"/>
      <c r="O15" s="829"/>
      <c r="P15" s="829"/>
      <c r="Q15" s="829"/>
      <c r="R15" s="829"/>
      <c r="S15" s="829"/>
      <c r="T15" s="829"/>
      <c r="U15" s="829"/>
      <c r="V15" s="829"/>
      <c r="W15" s="829"/>
      <c r="X15" s="96"/>
      <c r="Y15" s="96"/>
      <c r="Z15" s="96"/>
      <c r="AA15" s="97"/>
      <c r="AB15" s="94"/>
      <c r="AC15" s="95"/>
      <c r="AD15" s="129"/>
    </row>
    <row r="16" spans="1:30" ht="15" customHeight="1">
      <c r="A16" s="131"/>
      <c r="B16" s="99"/>
      <c r="C16" s="99"/>
      <c r="D16" s="100"/>
      <c r="E16" s="96"/>
      <c r="F16" s="228" t="s">
        <v>48</v>
      </c>
      <c r="G16" s="228"/>
      <c r="H16" s="228"/>
      <c r="I16" s="96"/>
      <c r="J16" s="96"/>
      <c r="K16" s="96"/>
      <c r="L16" s="229" t="s">
        <v>35</v>
      </c>
      <c r="M16" s="829" t="s">
        <v>49</v>
      </c>
      <c r="N16" s="829"/>
      <c r="O16" s="829"/>
      <c r="P16" s="829"/>
      <c r="Q16" s="829"/>
      <c r="R16" s="829"/>
      <c r="S16" s="829"/>
      <c r="T16" s="829"/>
      <c r="U16" s="829"/>
      <c r="V16" s="829"/>
      <c r="W16" s="829"/>
      <c r="X16" s="96"/>
      <c r="Y16" s="96"/>
      <c r="Z16" s="96"/>
      <c r="AA16" s="97"/>
      <c r="AB16" s="94"/>
      <c r="AC16" s="95"/>
      <c r="AD16" s="129"/>
    </row>
    <row r="17" spans="1:30" ht="15" customHeight="1">
      <c r="A17" s="131"/>
      <c r="B17" s="99"/>
      <c r="C17" s="99"/>
      <c r="D17" s="100"/>
      <c r="E17" s="96"/>
      <c r="F17" s="228"/>
      <c r="G17" s="228" t="s">
        <v>441</v>
      </c>
      <c r="H17" s="228"/>
      <c r="I17" s="96"/>
      <c r="J17" s="96"/>
      <c r="K17" s="96"/>
      <c r="L17" s="229" t="s">
        <v>35</v>
      </c>
      <c r="M17" s="837"/>
      <c r="N17" s="837"/>
      <c r="O17" s="837"/>
      <c r="P17" s="837"/>
      <c r="Q17" s="837"/>
      <c r="R17" s="837"/>
      <c r="S17" s="837"/>
      <c r="T17" s="837"/>
      <c r="U17" s="837"/>
      <c r="V17" s="837"/>
      <c r="W17" s="837"/>
      <c r="X17" s="96"/>
      <c r="Y17" s="96"/>
      <c r="Z17" s="96"/>
      <c r="AA17" s="97"/>
      <c r="AB17" s="94"/>
      <c r="AC17" s="95"/>
      <c r="AD17" s="129"/>
    </row>
    <row r="18" spans="1:30" ht="15" customHeight="1">
      <c r="A18" s="131"/>
      <c r="B18" s="99"/>
      <c r="C18" s="99"/>
      <c r="D18" s="100"/>
      <c r="E18" s="96"/>
      <c r="F18" s="228"/>
      <c r="G18" s="228" t="s">
        <v>442</v>
      </c>
      <c r="H18" s="228"/>
      <c r="I18" s="96"/>
      <c r="J18" s="96"/>
      <c r="K18" s="96"/>
      <c r="L18" s="229" t="s">
        <v>35</v>
      </c>
      <c r="M18" s="837"/>
      <c r="N18" s="837"/>
      <c r="O18" s="837"/>
      <c r="P18" s="837"/>
      <c r="Q18" s="837"/>
      <c r="R18" s="837"/>
      <c r="S18" s="837"/>
      <c r="T18" s="837"/>
      <c r="U18" s="837"/>
      <c r="V18" s="837"/>
      <c r="W18" s="837"/>
      <c r="X18" s="96"/>
      <c r="Y18" s="96"/>
      <c r="Z18" s="96"/>
      <c r="AA18" s="97"/>
      <c r="AB18" s="94"/>
      <c r="AC18" s="95"/>
      <c r="AD18" s="129"/>
    </row>
    <row r="19" spans="1:30" ht="15" customHeight="1">
      <c r="A19" s="131"/>
      <c r="B19" s="101"/>
      <c r="C19" s="101"/>
      <c r="D19" s="102"/>
      <c r="E19" s="96"/>
      <c r="F19" s="228"/>
      <c r="G19" s="228"/>
      <c r="H19" s="228"/>
      <c r="I19" s="96"/>
      <c r="J19" s="96"/>
      <c r="K19" s="96"/>
      <c r="L19" s="229"/>
      <c r="M19" s="228"/>
      <c r="N19" s="228"/>
      <c r="O19" s="228"/>
      <c r="P19" s="228"/>
      <c r="Q19" s="228"/>
      <c r="R19" s="228"/>
      <c r="S19" s="228"/>
      <c r="T19" s="228"/>
      <c r="U19" s="228"/>
      <c r="V19" s="228"/>
      <c r="W19" s="228"/>
      <c r="X19" s="96"/>
      <c r="Y19" s="96"/>
      <c r="Z19" s="96"/>
      <c r="AA19" s="97"/>
      <c r="AB19" s="94"/>
      <c r="AC19" s="95"/>
      <c r="AD19" s="129"/>
    </row>
    <row r="20" spans="1:30" ht="15" customHeight="1">
      <c r="A20" s="131"/>
      <c r="B20" s="99"/>
      <c r="C20" s="99"/>
      <c r="D20" s="100"/>
      <c r="E20" s="96"/>
      <c r="F20" s="106" t="s">
        <v>36</v>
      </c>
      <c r="G20" s="106"/>
      <c r="H20" s="107"/>
      <c r="I20" s="108"/>
      <c r="J20" s="108"/>
      <c r="K20" s="108"/>
      <c r="L20" s="109" t="s">
        <v>35</v>
      </c>
      <c r="M20" s="321"/>
      <c r="N20" s="848" t="s">
        <v>537</v>
      </c>
      <c r="O20" s="848"/>
      <c r="P20" s="848"/>
      <c r="Q20" s="848"/>
      <c r="R20" s="848"/>
      <c r="S20" s="848"/>
      <c r="T20" s="848"/>
      <c r="U20" s="848"/>
      <c r="V20" s="848"/>
      <c r="W20" s="110"/>
      <c r="X20" s="96"/>
      <c r="Y20" s="96"/>
      <c r="Z20" s="96"/>
      <c r="AA20" s="97"/>
      <c r="AB20" s="94"/>
      <c r="AC20" s="95"/>
      <c r="AD20" s="129"/>
    </row>
    <row r="21" spans="1:30" ht="15" customHeight="1">
      <c r="A21" s="131"/>
      <c r="B21" s="99"/>
      <c r="C21" s="99"/>
      <c r="D21" s="100"/>
      <c r="E21" s="96"/>
      <c r="F21" s="106" t="s">
        <v>37</v>
      </c>
      <c r="G21" s="106"/>
      <c r="H21" s="107"/>
      <c r="I21" s="108"/>
      <c r="J21" s="108"/>
      <c r="K21" s="108"/>
      <c r="L21" s="109" t="s">
        <v>35</v>
      </c>
      <c r="M21" s="322"/>
      <c r="N21" s="830" t="s">
        <v>263</v>
      </c>
      <c r="O21" s="830"/>
      <c r="P21" s="830"/>
      <c r="Q21" s="830"/>
      <c r="R21" s="830"/>
      <c r="S21" s="830"/>
      <c r="T21" s="830"/>
      <c r="U21" s="830"/>
      <c r="V21" s="830"/>
      <c r="W21" s="831"/>
      <c r="X21" s="96"/>
      <c r="Y21" s="96"/>
      <c r="Z21" s="96"/>
      <c r="AA21" s="97"/>
      <c r="AB21" s="94"/>
      <c r="AC21" s="95"/>
      <c r="AD21" s="129"/>
    </row>
    <row r="22" spans="1:30" ht="15" customHeight="1">
      <c r="A22" s="131"/>
      <c r="B22" s="99"/>
      <c r="C22" s="99"/>
      <c r="D22" s="100"/>
      <c r="E22" s="96"/>
      <c r="F22" s="106" t="s">
        <v>38</v>
      </c>
      <c r="G22" s="106"/>
      <c r="H22" s="107"/>
      <c r="I22" s="108"/>
      <c r="J22" s="108"/>
      <c r="K22" s="108"/>
      <c r="L22" s="111" t="s">
        <v>35</v>
      </c>
      <c r="M22" s="320"/>
      <c r="N22" s="830" t="s">
        <v>650</v>
      </c>
      <c r="O22" s="830"/>
      <c r="P22" s="830"/>
      <c r="Q22" s="830"/>
      <c r="R22" s="830"/>
      <c r="S22" s="830"/>
      <c r="T22" s="830"/>
      <c r="U22" s="830"/>
      <c r="V22" s="830"/>
      <c r="W22" s="831"/>
      <c r="X22" s="103"/>
      <c r="Y22" s="96"/>
      <c r="Z22" s="96"/>
      <c r="AA22" s="97"/>
      <c r="AB22" s="94"/>
      <c r="AC22" s="95"/>
      <c r="AD22" s="129"/>
    </row>
    <row r="23" spans="1:30" ht="15" customHeight="1">
      <c r="A23" s="131"/>
      <c r="B23" s="101"/>
      <c r="C23" s="101"/>
      <c r="D23" s="102"/>
      <c r="E23" s="96"/>
      <c r="F23" s="106"/>
      <c r="G23" s="106"/>
      <c r="H23" s="107"/>
      <c r="I23" s="108"/>
      <c r="J23" s="108"/>
      <c r="K23" s="108"/>
      <c r="L23" s="111"/>
      <c r="M23" s="112"/>
      <c r="N23" s="112"/>
      <c r="O23" s="112"/>
      <c r="P23" s="112"/>
      <c r="Q23" s="112"/>
      <c r="R23" s="112"/>
      <c r="S23" s="112"/>
      <c r="T23" s="112"/>
      <c r="U23" s="112"/>
      <c r="V23" s="112"/>
      <c r="W23" s="112"/>
      <c r="X23" s="103"/>
      <c r="Y23" s="96"/>
      <c r="Z23" s="96"/>
      <c r="AA23" s="97"/>
      <c r="AB23" s="94"/>
      <c r="AC23" s="95"/>
      <c r="AD23" s="129"/>
    </row>
    <row r="24" spans="1:30" ht="15" customHeight="1">
      <c r="A24" s="131"/>
      <c r="B24" s="99"/>
      <c r="C24" s="99"/>
      <c r="D24" s="100"/>
      <c r="E24" s="96"/>
      <c r="F24" s="106" t="s">
        <v>39</v>
      </c>
      <c r="G24" s="106"/>
      <c r="H24" s="107"/>
      <c r="I24" s="108"/>
      <c r="J24" s="108"/>
      <c r="K24" s="108"/>
      <c r="L24" s="111" t="s">
        <v>35</v>
      </c>
      <c r="M24" s="320"/>
      <c r="N24" s="830" t="s">
        <v>653</v>
      </c>
      <c r="O24" s="830"/>
      <c r="P24" s="830"/>
      <c r="Q24" s="830"/>
      <c r="R24" s="830"/>
      <c r="S24" s="830"/>
      <c r="T24" s="830"/>
      <c r="U24" s="830"/>
      <c r="V24" s="830"/>
      <c r="W24" s="831"/>
      <c r="X24" s="103"/>
      <c r="Y24" s="96"/>
      <c r="Z24" s="96"/>
      <c r="AA24" s="97"/>
      <c r="AB24" s="94"/>
      <c r="AC24" s="95"/>
      <c r="AD24" s="129"/>
    </row>
    <row r="25" spans="1:30" ht="15" customHeight="1">
      <c r="A25" s="131"/>
      <c r="B25" s="99"/>
      <c r="C25" s="99"/>
      <c r="D25" s="100"/>
      <c r="E25" s="96"/>
      <c r="F25" s="838" t="s">
        <v>433</v>
      </c>
      <c r="G25" s="838"/>
      <c r="H25" s="838"/>
      <c r="I25" s="108"/>
      <c r="J25" s="108"/>
      <c r="K25" s="108"/>
      <c r="L25" s="111" t="s">
        <v>35</v>
      </c>
      <c r="M25" s="320"/>
      <c r="N25" s="832" t="s">
        <v>651</v>
      </c>
      <c r="O25" s="830"/>
      <c r="P25" s="830"/>
      <c r="Q25" s="830"/>
      <c r="R25" s="830"/>
      <c r="S25" s="830"/>
      <c r="T25" s="830"/>
      <c r="U25" s="830"/>
      <c r="V25" s="830"/>
      <c r="W25" s="831"/>
      <c r="X25" s="103"/>
      <c r="Y25" s="96"/>
      <c r="Z25" s="96"/>
      <c r="AA25" s="97"/>
      <c r="AB25" s="94"/>
      <c r="AC25" s="95"/>
      <c r="AD25" s="129"/>
    </row>
    <row r="26" spans="1:30" ht="15" customHeight="1">
      <c r="A26" s="131"/>
      <c r="B26" s="99"/>
      <c r="C26" s="99"/>
      <c r="D26" s="100"/>
      <c r="E26" s="96"/>
      <c r="F26" s="106"/>
      <c r="G26" s="106"/>
      <c r="H26" s="107"/>
      <c r="I26" s="108"/>
      <c r="J26" s="108"/>
      <c r="K26" s="108"/>
      <c r="L26" s="111"/>
      <c r="M26" s="144"/>
      <c r="N26" s="113"/>
      <c r="O26" s="113"/>
      <c r="P26" s="113"/>
      <c r="Q26" s="113"/>
      <c r="R26" s="113"/>
      <c r="S26" s="113"/>
      <c r="T26" s="113"/>
      <c r="U26" s="113"/>
      <c r="V26" s="113"/>
      <c r="W26" s="113"/>
      <c r="X26" s="103"/>
      <c r="Y26" s="96"/>
      <c r="Z26" s="96"/>
      <c r="AA26" s="97"/>
      <c r="AB26" s="94"/>
      <c r="AC26" s="95"/>
      <c r="AD26" s="129"/>
    </row>
    <row r="27" spans="1:30" ht="15" customHeight="1">
      <c r="A27" s="131"/>
      <c r="B27" s="104"/>
      <c r="C27" s="104"/>
      <c r="D27" s="105"/>
      <c r="E27" s="96"/>
      <c r="F27" s="106" t="s">
        <v>40</v>
      </c>
      <c r="G27" s="106"/>
      <c r="H27" s="107"/>
      <c r="I27" s="108"/>
      <c r="J27" s="108"/>
      <c r="K27" s="108"/>
      <c r="L27" s="111" t="s">
        <v>35</v>
      </c>
      <c r="M27" s="320"/>
      <c r="N27" s="830" t="s">
        <v>652</v>
      </c>
      <c r="O27" s="830"/>
      <c r="P27" s="830"/>
      <c r="Q27" s="830"/>
      <c r="R27" s="830"/>
      <c r="S27" s="830"/>
      <c r="T27" s="830"/>
      <c r="U27" s="830"/>
      <c r="V27" s="830"/>
      <c r="W27" s="831"/>
      <c r="X27" s="96"/>
      <c r="Y27" s="96"/>
      <c r="Z27" s="96"/>
      <c r="AA27" s="138"/>
      <c r="AB27" s="139"/>
      <c r="AC27" s="140"/>
      <c r="AD27" s="129"/>
    </row>
    <row r="28" spans="1:30" ht="15" customHeight="1">
      <c r="A28" s="131"/>
      <c r="B28" s="141"/>
      <c r="C28" s="141"/>
      <c r="D28" s="142"/>
      <c r="E28" s="96"/>
      <c r="F28" s="838" t="s">
        <v>433</v>
      </c>
      <c r="G28" s="838"/>
      <c r="H28" s="838"/>
      <c r="I28" s="108"/>
      <c r="J28" s="108"/>
      <c r="K28" s="108"/>
      <c r="L28" s="111" t="s">
        <v>35</v>
      </c>
      <c r="M28" s="320"/>
      <c r="N28" s="830">
        <v>954033</v>
      </c>
      <c r="O28" s="830"/>
      <c r="P28" s="830"/>
      <c r="Q28" s="830"/>
      <c r="R28" s="830"/>
      <c r="S28" s="830"/>
      <c r="T28" s="830"/>
      <c r="U28" s="830"/>
      <c r="V28" s="830"/>
      <c r="W28" s="831"/>
      <c r="X28" s="96"/>
      <c r="Y28" s="96"/>
      <c r="Z28" s="96"/>
      <c r="AA28" s="138"/>
      <c r="AB28" s="139"/>
      <c r="AC28" s="140"/>
      <c r="AD28" s="129"/>
    </row>
    <row r="29" spans="1:30" ht="15" customHeight="1">
      <c r="A29" s="131"/>
      <c r="B29" s="141"/>
      <c r="C29" s="141"/>
      <c r="D29" s="142"/>
      <c r="E29" s="96"/>
      <c r="F29" s="107"/>
      <c r="G29" s="114"/>
      <c r="H29" s="114"/>
      <c r="I29" s="114"/>
      <c r="J29" s="114"/>
      <c r="K29" s="114"/>
      <c r="L29" s="114"/>
      <c r="M29" s="145"/>
      <c r="N29" s="115"/>
      <c r="O29" s="115"/>
      <c r="P29" s="115"/>
      <c r="Q29" s="115"/>
      <c r="R29" s="115"/>
      <c r="S29" s="115"/>
      <c r="T29" s="115"/>
      <c r="U29" s="115"/>
      <c r="V29" s="115"/>
      <c r="W29" s="115"/>
      <c r="X29" s="96"/>
      <c r="Y29" s="96"/>
      <c r="Z29" s="96"/>
      <c r="AA29" s="138"/>
      <c r="AB29" s="139"/>
      <c r="AC29" s="140"/>
      <c r="AD29" s="129"/>
    </row>
    <row r="30" spans="1:30" ht="15" customHeight="1">
      <c r="A30" s="131"/>
      <c r="B30" s="104"/>
      <c r="C30" s="104"/>
      <c r="D30" s="105"/>
      <c r="E30" s="96"/>
      <c r="F30" s="106" t="s">
        <v>439</v>
      </c>
      <c r="G30" s="116"/>
      <c r="H30" s="116"/>
      <c r="I30" s="116"/>
      <c r="J30" s="116"/>
      <c r="K30" s="116"/>
      <c r="L30" s="117" t="s">
        <v>35</v>
      </c>
      <c r="M30" s="319"/>
      <c r="N30" s="822" t="s">
        <v>911</v>
      </c>
      <c r="O30" s="823"/>
      <c r="P30" s="823"/>
      <c r="Q30" s="823"/>
      <c r="R30" s="823"/>
      <c r="S30" s="823"/>
      <c r="T30" s="823"/>
      <c r="U30" s="823"/>
      <c r="V30" s="823"/>
      <c r="W30" s="824"/>
      <c r="X30" s="96"/>
      <c r="Y30" s="96"/>
      <c r="Z30" s="96"/>
      <c r="AA30" s="138"/>
      <c r="AB30" s="139"/>
      <c r="AC30" s="140"/>
      <c r="AD30" s="129"/>
    </row>
    <row r="31" spans="1:30" ht="15" customHeight="1">
      <c r="A31" s="131"/>
      <c r="B31" s="104"/>
      <c r="C31" s="104"/>
      <c r="D31" s="105"/>
      <c r="E31" s="96"/>
      <c r="F31" s="709" t="s">
        <v>440</v>
      </c>
      <c r="G31" s="96"/>
      <c r="H31" s="96"/>
      <c r="I31" s="96"/>
      <c r="J31" s="96"/>
      <c r="K31" s="96"/>
      <c r="L31" s="98"/>
      <c r="M31" s="96"/>
      <c r="N31" s="836"/>
      <c r="O31" s="836"/>
      <c r="P31" s="836"/>
      <c r="Q31" s="836"/>
      <c r="R31" s="836"/>
      <c r="S31" s="836"/>
      <c r="T31" s="836"/>
      <c r="U31" s="836"/>
      <c r="V31" s="836"/>
      <c r="W31" s="836"/>
      <c r="X31" s="96"/>
      <c r="Y31" s="96"/>
      <c r="Z31" s="96"/>
      <c r="AA31" s="138"/>
      <c r="AB31" s="139"/>
      <c r="AC31" s="140"/>
      <c r="AD31" s="129"/>
    </row>
    <row r="32" spans="1:30" ht="15" customHeight="1">
      <c r="A32" s="131"/>
      <c r="B32" s="833" t="s">
        <v>41</v>
      </c>
      <c r="C32" s="834"/>
      <c r="D32" s="835"/>
      <c r="E32" s="839" t="s">
        <v>471</v>
      </c>
      <c r="F32" s="840"/>
      <c r="G32" s="840"/>
      <c r="H32" s="840"/>
      <c r="I32" s="840"/>
      <c r="J32" s="840"/>
      <c r="K32" s="840"/>
      <c r="L32" s="840"/>
      <c r="M32" s="840"/>
      <c r="N32" s="840"/>
      <c r="O32" s="840"/>
      <c r="P32" s="840"/>
      <c r="Q32" s="840"/>
      <c r="R32" s="840"/>
      <c r="S32" s="840"/>
      <c r="T32" s="840"/>
      <c r="U32" s="840"/>
      <c r="V32" s="840"/>
      <c r="W32" s="840"/>
      <c r="X32" s="840"/>
      <c r="Y32" s="840"/>
      <c r="Z32" s="841"/>
      <c r="AA32" s="138"/>
      <c r="AB32" s="139"/>
      <c r="AC32" s="140"/>
      <c r="AD32" s="129"/>
    </row>
    <row r="33" spans="1:16384" ht="15" customHeight="1">
      <c r="A33" s="131"/>
      <c r="B33" s="819" t="s">
        <v>42</v>
      </c>
      <c r="C33" s="820"/>
      <c r="D33" s="821"/>
      <c r="E33" s="825" t="s">
        <v>472</v>
      </c>
      <c r="F33" s="826"/>
      <c r="G33" s="826"/>
      <c r="H33" s="826"/>
      <c r="I33" s="826"/>
      <c r="J33" s="826"/>
      <c r="K33" s="826"/>
      <c r="L33" s="826"/>
      <c r="M33" s="826"/>
      <c r="N33" s="826"/>
      <c r="O33" s="826"/>
      <c r="P33" s="826"/>
      <c r="Q33" s="826"/>
      <c r="R33" s="826"/>
      <c r="S33" s="826"/>
      <c r="T33" s="826"/>
      <c r="U33" s="826"/>
      <c r="V33" s="826"/>
      <c r="W33" s="826"/>
      <c r="X33" s="826"/>
      <c r="Y33" s="826"/>
      <c r="Z33" s="827"/>
      <c r="AA33" s="138"/>
      <c r="AB33" s="139"/>
      <c r="AC33" s="140"/>
      <c r="AD33" s="129"/>
    </row>
    <row r="34" spans="1:16384" ht="15" customHeight="1">
      <c r="A34" s="131"/>
      <c r="B34" s="104" t="s">
        <v>43</v>
      </c>
      <c r="C34" s="104"/>
      <c r="D34" s="105"/>
      <c r="E34" s="825"/>
      <c r="F34" s="826"/>
      <c r="G34" s="826"/>
      <c r="H34" s="826"/>
      <c r="I34" s="826"/>
      <c r="J34" s="826"/>
      <c r="K34" s="826"/>
      <c r="L34" s="826"/>
      <c r="M34" s="826"/>
      <c r="N34" s="826"/>
      <c r="O34" s="826"/>
      <c r="P34" s="826"/>
      <c r="Q34" s="826"/>
      <c r="R34" s="826"/>
      <c r="S34" s="826"/>
      <c r="T34" s="826"/>
      <c r="U34" s="826"/>
      <c r="V34" s="826"/>
      <c r="W34" s="826"/>
      <c r="X34" s="826"/>
      <c r="Y34" s="826"/>
      <c r="Z34" s="827"/>
      <c r="AA34" s="138"/>
      <c r="AB34" s="139"/>
      <c r="AC34" s="140"/>
      <c r="AD34" s="129"/>
    </row>
    <row r="35" spans="1:16384" ht="15" customHeight="1">
      <c r="A35" s="131"/>
      <c r="B35" s="104"/>
      <c r="C35" s="104"/>
      <c r="D35" s="105"/>
      <c r="E35" s="825"/>
      <c r="F35" s="826"/>
      <c r="G35" s="826"/>
      <c r="H35" s="826"/>
      <c r="I35" s="826"/>
      <c r="J35" s="826"/>
      <c r="K35" s="826"/>
      <c r="L35" s="826"/>
      <c r="M35" s="826"/>
      <c r="N35" s="826"/>
      <c r="O35" s="826"/>
      <c r="P35" s="826"/>
      <c r="Q35" s="826"/>
      <c r="R35" s="826"/>
      <c r="S35" s="826"/>
      <c r="T35" s="826"/>
      <c r="U35" s="826"/>
      <c r="V35" s="826"/>
      <c r="W35" s="826"/>
      <c r="X35" s="826"/>
      <c r="Y35" s="826"/>
      <c r="Z35" s="827"/>
      <c r="AA35" s="138"/>
      <c r="AB35" s="139"/>
      <c r="AC35" s="140"/>
      <c r="AD35" s="129"/>
    </row>
    <row r="36" spans="1:16384" ht="15" customHeight="1">
      <c r="A36" s="131"/>
      <c r="B36" s="130"/>
      <c r="C36" s="127"/>
      <c r="D36" s="127"/>
      <c r="E36" s="127"/>
      <c r="F36" s="127"/>
      <c r="G36" s="127"/>
      <c r="H36" s="127"/>
      <c r="I36" s="127"/>
      <c r="J36" s="127"/>
      <c r="K36" s="127"/>
      <c r="L36" s="127"/>
      <c r="M36" s="127"/>
      <c r="N36" s="127"/>
      <c r="O36" s="127"/>
      <c r="P36" s="127"/>
      <c r="Q36" s="127"/>
      <c r="R36" s="127"/>
      <c r="S36" s="127"/>
      <c r="T36" s="127"/>
      <c r="U36" s="127"/>
      <c r="V36" s="127"/>
      <c r="W36" s="127"/>
      <c r="X36" s="127"/>
      <c r="Y36" s="127"/>
      <c r="Z36" s="127"/>
      <c r="AA36" s="127"/>
      <c r="AB36" s="127"/>
      <c r="AC36" s="128"/>
      <c r="AD36" s="227"/>
      <c r="AE36" s="226"/>
      <c r="AF36" s="143"/>
      <c r="AG36" s="143"/>
      <c r="AH36" s="143"/>
      <c r="AI36" s="143"/>
      <c r="AJ36" s="143"/>
      <c r="AK36" s="143"/>
      <c r="AL36" s="143"/>
      <c r="AM36" s="143"/>
      <c r="AN36" s="143"/>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3"/>
      <c r="BK36" s="143"/>
      <c r="BL36" s="143"/>
      <c r="BM36" s="143"/>
      <c r="BN36" s="143"/>
      <c r="BO36" s="143"/>
      <c r="BP36" s="143"/>
      <c r="BQ36" s="143"/>
      <c r="BR36" s="143"/>
      <c r="BS36" s="143"/>
      <c r="BT36" s="143"/>
      <c r="BU36" s="143"/>
      <c r="BV36" s="143"/>
      <c r="BW36" s="143"/>
      <c r="BX36" s="143"/>
      <c r="BY36" s="143"/>
      <c r="BZ36" s="143"/>
      <c r="CA36" s="143"/>
      <c r="CB36" s="143"/>
      <c r="CC36" s="143"/>
      <c r="CD36" s="143"/>
      <c r="CE36" s="143"/>
      <c r="CF36" s="143"/>
      <c r="CG36" s="143"/>
      <c r="CH36" s="143"/>
      <c r="CI36" s="143"/>
      <c r="CJ36" s="143"/>
      <c r="CK36" s="143"/>
      <c r="CL36" s="143"/>
      <c r="CM36" s="143"/>
      <c r="CN36" s="143"/>
      <c r="CO36" s="143"/>
      <c r="CP36" s="143"/>
      <c r="CQ36" s="143"/>
      <c r="CR36" s="143"/>
      <c r="CS36" s="143"/>
      <c r="CT36" s="143"/>
      <c r="CU36" s="143"/>
      <c r="CV36" s="143"/>
      <c r="CW36" s="143"/>
      <c r="CX36" s="143"/>
      <c r="CY36" s="143"/>
      <c r="CZ36" s="143"/>
      <c r="DA36" s="143"/>
      <c r="DB36" s="143"/>
      <c r="DC36" s="143"/>
      <c r="DD36" s="143"/>
      <c r="DE36" s="143"/>
      <c r="DF36" s="143"/>
      <c r="DG36" s="143"/>
      <c r="DH36" s="143"/>
      <c r="DI36" s="143"/>
      <c r="DJ36" s="143"/>
      <c r="DK36" s="143"/>
      <c r="DL36" s="143"/>
      <c r="DM36" s="143"/>
      <c r="DN36" s="143"/>
      <c r="DO36" s="143"/>
      <c r="DP36" s="143"/>
      <c r="DQ36" s="143"/>
      <c r="DR36" s="143"/>
      <c r="DS36" s="143"/>
      <c r="DT36" s="143"/>
      <c r="DU36" s="143"/>
      <c r="DV36" s="143"/>
      <c r="DW36" s="143"/>
      <c r="DX36" s="143"/>
      <c r="DY36" s="143"/>
      <c r="DZ36" s="143"/>
      <c r="EA36" s="143"/>
      <c r="EB36" s="143"/>
      <c r="EC36" s="143"/>
      <c r="ED36" s="143"/>
      <c r="EE36" s="143"/>
      <c r="EF36" s="143"/>
      <c r="EG36" s="143"/>
      <c r="EH36" s="143"/>
      <c r="EI36" s="143"/>
      <c r="EJ36" s="143"/>
      <c r="EK36" s="143"/>
      <c r="EL36" s="143"/>
      <c r="EM36" s="143"/>
      <c r="EN36" s="143"/>
      <c r="EO36" s="143"/>
      <c r="EP36" s="143"/>
      <c r="EQ36" s="143"/>
      <c r="ER36" s="143"/>
      <c r="ES36" s="143"/>
      <c r="ET36" s="143"/>
      <c r="EU36" s="143"/>
      <c r="EV36" s="143"/>
      <c r="EW36" s="143"/>
      <c r="EX36" s="143"/>
      <c r="EY36" s="143"/>
      <c r="EZ36" s="143"/>
      <c r="FA36" s="143"/>
      <c r="FB36" s="143"/>
      <c r="FC36" s="143"/>
      <c r="FD36" s="143"/>
      <c r="FE36" s="143"/>
      <c r="FF36" s="143"/>
      <c r="FG36" s="143"/>
      <c r="FH36" s="143"/>
      <c r="FI36" s="143"/>
      <c r="FJ36" s="143"/>
      <c r="FK36" s="143"/>
      <c r="FL36" s="143"/>
      <c r="FM36" s="143"/>
      <c r="FN36" s="143"/>
      <c r="FO36" s="143"/>
      <c r="FP36" s="143"/>
      <c r="FQ36" s="143"/>
      <c r="FR36" s="143"/>
      <c r="FS36" s="143"/>
      <c r="FT36" s="143"/>
      <c r="FU36" s="143"/>
      <c r="FV36" s="143"/>
      <c r="FW36" s="143"/>
      <c r="FX36" s="143"/>
      <c r="FY36" s="143"/>
      <c r="FZ36" s="143"/>
      <c r="GA36" s="143"/>
      <c r="GB36" s="143"/>
      <c r="GC36" s="143"/>
      <c r="GD36" s="143"/>
      <c r="GE36" s="143"/>
      <c r="GF36" s="143"/>
      <c r="GG36" s="143"/>
      <c r="GH36" s="143"/>
      <c r="GI36" s="143"/>
      <c r="GJ36" s="143"/>
      <c r="GK36" s="143"/>
      <c r="GL36" s="143"/>
      <c r="GM36" s="143"/>
      <c r="GN36" s="143"/>
      <c r="GO36" s="143"/>
      <c r="GP36" s="143"/>
      <c r="GQ36" s="143"/>
      <c r="GR36" s="143"/>
      <c r="GS36" s="143"/>
      <c r="GT36" s="143"/>
      <c r="GU36" s="143"/>
      <c r="GV36" s="143"/>
      <c r="GW36" s="143"/>
      <c r="GX36" s="143"/>
      <c r="GY36" s="143"/>
      <c r="GZ36" s="143"/>
      <c r="HA36" s="143"/>
      <c r="HB36" s="143"/>
      <c r="HC36" s="143"/>
      <c r="HD36" s="143"/>
      <c r="HE36" s="143"/>
      <c r="HF36" s="143"/>
      <c r="HG36" s="143"/>
      <c r="HH36" s="143"/>
      <c r="HI36" s="143"/>
      <c r="HJ36" s="143"/>
      <c r="HK36" s="143"/>
      <c r="HL36" s="143"/>
      <c r="HM36" s="143"/>
      <c r="HN36" s="143"/>
      <c r="HO36" s="143"/>
      <c r="HP36" s="143"/>
      <c r="HQ36" s="143"/>
      <c r="HR36" s="143"/>
      <c r="HS36" s="143"/>
      <c r="HT36" s="143"/>
      <c r="HU36" s="143"/>
      <c r="HV36" s="143"/>
      <c r="HW36" s="143"/>
      <c r="HX36" s="143"/>
      <c r="HY36" s="143"/>
      <c r="HZ36" s="143"/>
      <c r="IA36" s="143"/>
      <c r="IB36" s="143"/>
      <c r="IC36" s="143"/>
      <c r="ID36" s="143"/>
      <c r="IE36" s="143"/>
      <c r="IF36" s="143"/>
      <c r="IG36" s="143"/>
      <c r="IH36" s="143"/>
      <c r="II36" s="143"/>
      <c r="IJ36" s="143"/>
      <c r="IK36" s="143"/>
      <c r="IL36" s="143"/>
      <c r="IM36" s="143"/>
      <c r="IN36" s="143"/>
      <c r="IO36" s="143"/>
      <c r="IP36" s="143"/>
      <c r="IQ36" s="143"/>
      <c r="IR36" s="143"/>
      <c r="IS36" s="143"/>
      <c r="IT36" s="143"/>
      <c r="IU36" s="143"/>
      <c r="IV36" s="143"/>
      <c r="IW36" s="143"/>
      <c r="IX36" s="143"/>
      <c r="IY36" s="143"/>
      <c r="IZ36" s="143"/>
      <c r="JA36" s="143"/>
      <c r="JB36" s="143"/>
      <c r="JC36" s="143"/>
      <c r="JD36" s="143"/>
      <c r="JE36" s="143"/>
      <c r="JF36" s="143"/>
      <c r="JG36" s="143"/>
      <c r="JH36" s="143"/>
      <c r="JI36" s="143"/>
      <c r="JJ36" s="143"/>
      <c r="JK36" s="143"/>
      <c r="JL36" s="143"/>
      <c r="JM36" s="143"/>
      <c r="JN36" s="143"/>
      <c r="JO36" s="143"/>
      <c r="JP36" s="143"/>
      <c r="JQ36" s="143"/>
      <c r="JR36" s="143"/>
      <c r="JS36" s="143"/>
      <c r="JT36" s="143"/>
      <c r="JU36" s="143"/>
      <c r="JV36" s="143"/>
      <c r="JW36" s="143"/>
      <c r="JX36" s="143"/>
      <c r="JY36" s="143"/>
      <c r="JZ36" s="143"/>
      <c r="KA36" s="143"/>
      <c r="KB36" s="143"/>
      <c r="KC36" s="143"/>
      <c r="KD36" s="143"/>
      <c r="KE36" s="143"/>
      <c r="KF36" s="143"/>
      <c r="KG36" s="143"/>
      <c r="KH36" s="143"/>
      <c r="KI36" s="143"/>
      <c r="KJ36" s="143"/>
      <c r="KK36" s="143"/>
      <c r="KL36" s="143"/>
      <c r="KM36" s="143"/>
      <c r="KN36" s="143"/>
      <c r="KO36" s="143"/>
      <c r="KP36" s="143"/>
      <c r="KQ36" s="143"/>
      <c r="KR36" s="143"/>
      <c r="KS36" s="143"/>
      <c r="KT36" s="143"/>
      <c r="KU36" s="143"/>
      <c r="KV36" s="143"/>
      <c r="KW36" s="143"/>
      <c r="KX36" s="143"/>
      <c r="KY36" s="143"/>
      <c r="KZ36" s="143"/>
      <c r="LA36" s="143"/>
      <c r="LB36" s="143"/>
      <c r="LC36" s="143"/>
      <c r="LD36" s="143"/>
      <c r="LE36" s="143"/>
      <c r="LF36" s="143"/>
      <c r="LG36" s="143"/>
      <c r="LH36" s="143"/>
      <c r="LI36" s="143"/>
      <c r="LJ36" s="143"/>
      <c r="LK36" s="143"/>
      <c r="LL36" s="143"/>
      <c r="LM36" s="143"/>
      <c r="LN36" s="143"/>
      <c r="LO36" s="143"/>
      <c r="LP36" s="143"/>
      <c r="LQ36" s="143"/>
      <c r="LR36" s="143"/>
      <c r="LS36" s="143"/>
      <c r="LT36" s="143"/>
      <c r="LU36" s="143"/>
      <c r="LV36" s="143"/>
      <c r="LW36" s="143"/>
      <c r="LX36" s="143"/>
      <c r="LY36" s="143"/>
      <c r="LZ36" s="143"/>
      <c r="MA36" s="143"/>
      <c r="MB36" s="143"/>
      <c r="MC36" s="143"/>
      <c r="MD36" s="143"/>
      <c r="ME36" s="143"/>
      <c r="MF36" s="143"/>
      <c r="MG36" s="143"/>
      <c r="MH36" s="143"/>
      <c r="MI36" s="143"/>
      <c r="MJ36" s="143"/>
      <c r="MK36" s="143"/>
      <c r="ML36" s="143"/>
      <c r="MM36" s="143"/>
      <c r="MN36" s="143"/>
      <c r="MO36" s="143"/>
      <c r="MP36" s="143"/>
      <c r="MQ36" s="143"/>
      <c r="MR36" s="143"/>
      <c r="MS36" s="143"/>
      <c r="MT36" s="143"/>
      <c r="MU36" s="143"/>
      <c r="MV36" s="143"/>
      <c r="MW36" s="143"/>
      <c r="MX36" s="143"/>
      <c r="MY36" s="143"/>
      <c r="MZ36" s="143"/>
      <c r="NA36" s="143"/>
      <c r="NB36" s="143"/>
      <c r="NC36" s="143"/>
      <c r="ND36" s="143"/>
      <c r="NE36" s="143"/>
      <c r="NF36" s="143"/>
      <c r="NG36" s="143"/>
      <c r="NH36" s="143"/>
      <c r="NI36" s="143"/>
      <c r="NJ36" s="143"/>
      <c r="NK36" s="143"/>
      <c r="NL36" s="143"/>
      <c r="NM36" s="143"/>
      <c r="NN36" s="143"/>
      <c r="NO36" s="143"/>
      <c r="NP36" s="143"/>
      <c r="NQ36" s="143"/>
      <c r="NR36" s="143"/>
      <c r="NS36" s="143"/>
      <c r="NT36" s="143"/>
      <c r="NU36" s="143"/>
      <c r="NV36" s="143"/>
      <c r="NW36" s="143"/>
      <c r="NX36" s="143"/>
      <c r="NY36" s="143"/>
      <c r="NZ36" s="143"/>
      <c r="OA36" s="143"/>
      <c r="OB36" s="143"/>
      <c r="OC36" s="143"/>
      <c r="OD36" s="143"/>
      <c r="OE36" s="143"/>
      <c r="OF36" s="143"/>
      <c r="OG36" s="143"/>
      <c r="OH36" s="143"/>
      <c r="OI36" s="143"/>
      <c r="OJ36" s="143"/>
      <c r="OK36" s="143"/>
      <c r="OL36" s="143"/>
      <c r="OM36" s="143"/>
      <c r="ON36" s="143"/>
      <c r="OO36" s="143"/>
      <c r="OP36" s="143"/>
      <c r="OQ36" s="143"/>
      <c r="OR36" s="143"/>
      <c r="OS36" s="143"/>
      <c r="OT36" s="143"/>
      <c r="OU36" s="143"/>
      <c r="OV36" s="143"/>
      <c r="OW36" s="143"/>
      <c r="OX36" s="143"/>
      <c r="OY36" s="143"/>
      <c r="OZ36" s="143"/>
      <c r="PA36" s="143"/>
      <c r="PB36" s="143"/>
      <c r="PC36" s="143"/>
      <c r="PD36" s="143"/>
      <c r="PE36" s="143"/>
      <c r="PF36" s="143"/>
      <c r="PG36" s="143"/>
      <c r="PH36" s="143"/>
      <c r="PI36" s="143"/>
      <c r="PJ36" s="143"/>
      <c r="PK36" s="143"/>
      <c r="PL36" s="143"/>
      <c r="PM36" s="143"/>
      <c r="PN36" s="143"/>
      <c r="PO36" s="143"/>
      <c r="PP36" s="143"/>
      <c r="PQ36" s="143"/>
      <c r="PR36" s="143"/>
      <c r="PS36" s="143"/>
      <c r="PT36" s="143"/>
      <c r="PU36" s="143"/>
      <c r="PV36" s="143"/>
      <c r="PW36" s="143"/>
      <c r="PX36" s="143"/>
      <c r="PY36" s="143"/>
      <c r="PZ36" s="143"/>
      <c r="QA36" s="143"/>
      <c r="QB36" s="143"/>
      <c r="QC36" s="143"/>
      <c r="QD36" s="143"/>
      <c r="QE36" s="143"/>
      <c r="QF36" s="143"/>
      <c r="QG36" s="143"/>
      <c r="QH36" s="143"/>
      <c r="QI36" s="143"/>
      <c r="QJ36" s="143"/>
      <c r="QK36" s="143"/>
      <c r="QL36" s="143"/>
      <c r="QM36" s="143"/>
      <c r="QN36" s="143"/>
      <c r="QO36" s="143"/>
      <c r="QP36" s="143"/>
      <c r="QQ36" s="143"/>
      <c r="QR36" s="143"/>
      <c r="QS36" s="143"/>
      <c r="QT36" s="143"/>
      <c r="QU36" s="143"/>
      <c r="QV36" s="143"/>
      <c r="QW36" s="143"/>
      <c r="QX36" s="143"/>
      <c r="QY36" s="143"/>
      <c r="QZ36" s="143"/>
      <c r="RA36" s="143"/>
      <c r="RB36" s="143"/>
      <c r="RC36" s="143"/>
      <c r="RD36" s="143"/>
      <c r="RE36" s="143"/>
      <c r="RF36" s="143"/>
      <c r="RG36" s="143"/>
      <c r="RH36" s="143"/>
      <c r="RI36" s="143"/>
      <c r="RJ36" s="143"/>
      <c r="RK36" s="143"/>
      <c r="RL36" s="143"/>
      <c r="RM36" s="143"/>
      <c r="RN36" s="143"/>
      <c r="RO36" s="143"/>
      <c r="RP36" s="143"/>
      <c r="RQ36" s="143"/>
      <c r="RR36" s="143"/>
      <c r="RS36" s="143"/>
      <c r="RT36" s="143"/>
      <c r="RU36" s="143"/>
      <c r="RV36" s="143"/>
      <c r="RW36" s="143"/>
      <c r="RX36" s="143"/>
      <c r="RY36" s="143"/>
      <c r="RZ36" s="143"/>
      <c r="SA36" s="143"/>
      <c r="SB36" s="143"/>
      <c r="SC36" s="143"/>
      <c r="SD36" s="143"/>
      <c r="SE36" s="143"/>
      <c r="SF36" s="143"/>
      <c r="SG36" s="143"/>
      <c r="SH36" s="143"/>
      <c r="SI36" s="143"/>
      <c r="SJ36" s="143"/>
      <c r="SK36" s="143"/>
      <c r="SL36" s="143"/>
      <c r="SM36" s="143"/>
      <c r="SN36" s="143"/>
      <c r="SO36" s="143"/>
      <c r="SP36" s="143"/>
      <c r="SQ36" s="143"/>
      <c r="SR36" s="143"/>
      <c r="SS36" s="143"/>
      <c r="ST36" s="143"/>
      <c r="SU36" s="143"/>
      <c r="SV36" s="143"/>
      <c r="SW36" s="143"/>
      <c r="SX36" s="143"/>
      <c r="SY36" s="143"/>
      <c r="SZ36" s="143"/>
      <c r="TA36" s="143"/>
      <c r="TB36" s="143"/>
      <c r="TC36" s="143"/>
      <c r="TD36" s="143"/>
      <c r="TE36" s="143"/>
      <c r="TF36" s="143"/>
      <c r="TG36" s="143"/>
      <c r="TH36" s="143"/>
      <c r="TI36" s="143"/>
      <c r="TJ36" s="143"/>
      <c r="TK36" s="143"/>
      <c r="TL36" s="143"/>
      <c r="TM36" s="143"/>
      <c r="TN36" s="143"/>
      <c r="TO36" s="143"/>
      <c r="TP36" s="143"/>
      <c r="TQ36" s="143"/>
      <c r="TR36" s="143"/>
      <c r="TS36" s="143"/>
      <c r="TT36" s="143"/>
      <c r="TU36" s="143"/>
      <c r="TV36" s="143"/>
      <c r="TW36" s="143"/>
      <c r="TX36" s="143"/>
      <c r="TY36" s="143"/>
      <c r="TZ36" s="143"/>
      <c r="UA36" s="143"/>
      <c r="UB36" s="143"/>
      <c r="UC36" s="143"/>
      <c r="UD36" s="143"/>
      <c r="UE36" s="143"/>
      <c r="UF36" s="143"/>
      <c r="UG36" s="143"/>
      <c r="UH36" s="143"/>
      <c r="UI36" s="143"/>
      <c r="UJ36" s="143"/>
      <c r="UK36" s="143"/>
      <c r="UL36" s="143"/>
      <c r="UM36" s="143"/>
      <c r="UN36" s="143"/>
      <c r="UO36" s="143"/>
      <c r="UP36" s="143"/>
      <c r="UQ36" s="143"/>
      <c r="UR36" s="143"/>
      <c r="US36" s="143"/>
      <c r="UT36" s="143"/>
      <c r="UU36" s="143"/>
      <c r="UV36" s="143"/>
      <c r="UW36" s="143"/>
      <c r="UX36" s="143"/>
      <c r="UY36" s="143"/>
      <c r="UZ36" s="143"/>
      <c r="VA36" s="143"/>
      <c r="VB36" s="143"/>
      <c r="VC36" s="143"/>
      <c r="VD36" s="143"/>
      <c r="VE36" s="143"/>
      <c r="VF36" s="143"/>
      <c r="VG36" s="143"/>
      <c r="VH36" s="143"/>
      <c r="VI36" s="143"/>
      <c r="VJ36" s="143"/>
      <c r="VK36" s="143"/>
      <c r="VL36" s="143"/>
      <c r="VM36" s="143"/>
      <c r="VN36" s="143"/>
      <c r="VO36" s="143"/>
      <c r="VP36" s="143"/>
      <c r="VQ36" s="143"/>
      <c r="VR36" s="143"/>
      <c r="VS36" s="143"/>
      <c r="VT36" s="143"/>
      <c r="VU36" s="143"/>
      <c r="VV36" s="143"/>
      <c r="VW36" s="143"/>
      <c r="VX36" s="143"/>
      <c r="VY36" s="143"/>
      <c r="VZ36" s="143"/>
      <c r="WA36" s="143"/>
      <c r="WB36" s="143"/>
      <c r="WC36" s="143"/>
      <c r="WD36" s="143"/>
      <c r="WE36" s="143"/>
      <c r="WF36" s="143"/>
      <c r="WG36" s="143"/>
      <c r="WH36" s="143"/>
      <c r="WI36" s="143"/>
      <c r="WJ36" s="143"/>
      <c r="WK36" s="143"/>
      <c r="WL36" s="143"/>
      <c r="WM36" s="143"/>
      <c r="WN36" s="143"/>
      <c r="WO36" s="143"/>
      <c r="WP36" s="143"/>
      <c r="WQ36" s="143"/>
      <c r="WR36" s="143"/>
      <c r="WS36" s="143"/>
      <c r="WT36" s="143"/>
      <c r="WU36" s="143"/>
      <c r="WV36" s="143"/>
      <c r="WW36" s="143"/>
      <c r="WX36" s="143"/>
      <c r="WY36" s="143"/>
      <c r="WZ36" s="143"/>
      <c r="XA36" s="143"/>
      <c r="XB36" s="143"/>
      <c r="XC36" s="143"/>
      <c r="XD36" s="143"/>
      <c r="XE36" s="143"/>
      <c r="XF36" s="143"/>
      <c r="XG36" s="143"/>
      <c r="XH36" s="143"/>
      <c r="XI36" s="143"/>
      <c r="XJ36" s="143"/>
      <c r="XK36" s="143"/>
      <c r="XL36" s="143"/>
      <c r="XM36" s="143"/>
      <c r="XN36" s="143"/>
      <c r="XO36" s="143"/>
      <c r="XP36" s="143"/>
      <c r="XQ36" s="143"/>
      <c r="XR36" s="143"/>
      <c r="XS36" s="143"/>
      <c r="XT36" s="143"/>
      <c r="XU36" s="143"/>
      <c r="XV36" s="143"/>
      <c r="XW36" s="143"/>
      <c r="XX36" s="143"/>
      <c r="XY36" s="143"/>
      <c r="XZ36" s="143"/>
      <c r="YA36" s="143"/>
      <c r="YB36" s="143"/>
      <c r="YC36" s="143"/>
      <c r="YD36" s="143"/>
      <c r="YE36" s="143"/>
      <c r="YF36" s="143"/>
      <c r="YG36" s="143"/>
      <c r="YH36" s="143"/>
      <c r="YI36" s="143"/>
      <c r="YJ36" s="143"/>
      <c r="YK36" s="143"/>
      <c r="YL36" s="143"/>
      <c r="YM36" s="143"/>
      <c r="YN36" s="143"/>
      <c r="YO36" s="143"/>
      <c r="YP36" s="143"/>
      <c r="YQ36" s="143"/>
      <c r="YR36" s="143"/>
      <c r="YS36" s="143"/>
      <c r="YT36" s="143"/>
      <c r="YU36" s="143"/>
      <c r="YV36" s="143"/>
      <c r="YW36" s="143"/>
      <c r="YX36" s="143"/>
      <c r="YY36" s="143"/>
      <c r="YZ36" s="143"/>
      <c r="ZA36" s="143"/>
      <c r="ZB36" s="143"/>
      <c r="ZC36" s="143"/>
      <c r="ZD36" s="143"/>
      <c r="ZE36" s="143"/>
      <c r="ZF36" s="143"/>
      <c r="ZG36" s="143"/>
      <c r="ZH36" s="143"/>
      <c r="ZI36" s="143"/>
      <c r="ZJ36" s="143"/>
      <c r="ZK36" s="143"/>
      <c r="ZL36" s="143"/>
      <c r="ZM36" s="143"/>
      <c r="ZN36" s="143"/>
      <c r="ZO36" s="143"/>
      <c r="ZP36" s="143"/>
      <c r="ZQ36" s="143"/>
      <c r="ZR36" s="143"/>
      <c r="ZS36" s="143"/>
      <c r="ZT36" s="143"/>
      <c r="ZU36" s="143"/>
      <c r="ZV36" s="143"/>
      <c r="ZW36" s="143"/>
      <c r="ZX36" s="143"/>
      <c r="ZY36" s="143"/>
      <c r="ZZ36" s="143"/>
      <c r="AAA36" s="143"/>
      <c r="AAB36" s="143"/>
      <c r="AAC36" s="143"/>
      <c r="AAD36" s="143"/>
      <c r="AAE36" s="143"/>
      <c r="AAF36" s="143"/>
      <c r="AAG36" s="143"/>
      <c r="AAH36" s="143"/>
      <c r="AAI36" s="143"/>
      <c r="AAJ36" s="143"/>
      <c r="AAK36" s="143"/>
      <c r="AAL36" s="143"/>
      <c r="AAM36" s="143"/>
      <c r="AAN36" s="143"/>
      <c r="AAO36" s="143"/>
      <c r="AAP36" s="143"/>
      <c r="AAQ36" s="143"/>
      <c r="AAR36" s="143"/>
      <c r="AAS36" s="143"/>
      <c r="AAT36" s="143"/>
      <c r="AAU36" s="143"/>
      <c r="AAV36" s="143"/>
      <c r="AAW36" s="143"/>
      <c r="AAX36" s="143"/>
      <c r="AAY36" s="143"/>
      <c r="AAZ36" s="143"/>
      <c r="ABA36" s="143"/>
      <c r="ABB36" s="143"/>
      <c r="ABC36" s="143"/>
      <c r="ABD36" s="143"/>
      <c r="ABE36" s="143"/>
      <c r="ABF36" s="143"/>
      <c r="ABG36" s="143"/>
      <c r="ABH36" s="143"/>
      <c r="ABI36" s="143"/>
      <c r="ABJ36" s="143"/>
      <c r="ABK36" s="143"/>
      <c r="ABL36" s="143"/>
      <c r="ABM36" s="143"/>
      <c r="ABN36" s="143"/>
      <c r="ABO36" s="143"/>
      <c r="ABP36" s="143"/>
      <c r="ABQ36" s="143"/>
      <c r="ABR36" s="143"/>
      <c r="ABS36" s="143"/>
      <c r="ABT36" s="143"/>
      <c r="ABU36" s="143"/>
      <c r="ABV36" s="143"/>
      <c r="ABW36" s="143"/>
      <c r="ABX36" s="143"/>
      <c r="ABY36" s="143"/>
      <c r="ABZ36" s="143"/>
      <c r="ACA36" s="143"/>
      <c r="ACB36" s="143"/>
      <c r="ACC36" s="143"/>
      <c r="ACD36" s="143"/>
      <c r="ACE36" s="143"/>
      <c r="ACF36" s="143"/>
      <c r="ACG36" s="143"/>
      <c r="ACH36" s="143"/>
      <c r="ACI36" s="143"/>
      <c r="ACJ36" s="143"/>
      <c r="ACK36" s="143"/>
      <c r="ACL36" s="143"/>
      <c r="ACM36" s="143"/>
      <c r="ACN36" s="143"/>
      <c r="ACO36" s="143"/>
      <c r="ACP36" s="143"/>
      <c r="ACQ36" s="143"/>
      <c r="ACR36" s="143"/>
      <c r="ACS36" s="143"/>
      <c r="ACT36" s="143"/>
      <c r="ACU36" s="143"/>
      <c r="ACV36" s="143"/>
      <c r="ACW36" s="143"/>
      <c r="ACX36" s="143"/>
      <c r="ACY36" s="143"/>
      <c r="ACZ36" s="143"/>
      <c r="ADA36" s="143"/>
      <c r="ADB36" s="143"/>
      <c r="ADC36" s="143"/>
      <c r="ADD36" s="143"/>
      <c r="ADE36" s="143"/>
      <c r="ADF36" s="143"/>
      <c r="ADG36" s="143"/>
      <c r="ADH36" s="143"/>
      <c r="ADI36" s="143"/>
      <c r="ADJ36" s="143"/>
      <c r="ADK36" s="143"/>
      <c r="ADL36" s="143"/>
      <c r="ADM36" s="143"/>
      <c r="ADN36" s="143"/>
      <c r="ADO36" s="143"/>
      <c r="ADP36" s="143"/>
      <c r="ADQ36" s="143"/>
      <c r="ADR36" s="143"/>
      <c r="ADS36" s="143"/>
      <c r="ADT36" s="143"/>
      <c r="ADU36" s="143"/>
      <c r="ADV36" s="143"/>
      <c r="ADW36" s="143"/>
      <c r="ADX36" s="143"/>
      <c r="ADY36" s="143"/>
      <c r="ADZ36" s="143"/>
      <c r="AEA36" s="143"/>
      <c r="AEB36" s="143"/>
      <c r="AEC36" s="143"/>
      <c r="AED36" s="143"/>
      <c r="AEE36" s="143"/>
      <c r="AEF36" s="143"/>
      <c r="AEG36" s="143"/>
      <c r="AEH36" s="143"/>
      <c r="AEI36" s="143"/>
      <c r="AEJ36" s="143"/>
      <c r="AEK36" s="143"/>
      <c r="AEL36" s="143"/>
      <c r="AEM36" s="143"/>
      <c r="AEN36" s="143"/>
      <c r="AEO36" s="143"/>
      <c r="AEP36" s="143"/>
      <c r="AEQ36" s="143"/>
      <c r="AER36" s="143"/>
      <c r="AES36" s="143"/>
      <c r="AET36" s="143"/>
      <c r="AEU36" s="143"/>
      <c r="AEV36" s="143"/>
      <c r="AEW36" s="143"/>
      <c r="AEX36" s="143"/>
      <c r="AEY36" s="143"/>
      <c r="AEZ36" s="143"/>
      <c r="AFA36" s="143"/>
      <c r="AFB36" s="143"/>
      <c r="AFC36" s="143"/>
      <c r="AFD36" s="143"/>
      <c r="AFE36" s="143"/>
      <c r="AFF36" s="143"/>
      <c r="AFG36" s="143"/>
      <c r="AFH36" s="143"/>
      <c r="AFI36" s="143"/>
      <c r="AFJ36" s="143"/>
      <c r="AFK36" s="143"/>
      <c r="AFL36" s="143"/>
      <c r="AFM36" s="143"/>
      <c r="AFN36" s="143"/>
      <c r="AFO36" s="143"/>
      <c r="AFP36" s="143"/>
      <c r="AFQ36" s="143"/>
      <c r="AFR36" s="143"/>
      <c r="AFS36" s="143"/>
      <c r="AFT36" s="143"/>
      <c r="AFU36" s="143"/>
      <c r="AFV36" s="143"/>
      <c r="AFW36" s="143"/>
      <c r="AFX36" s="143"/>
      <c r="AFY36" s="143"/>
      <c r="AFZ36" s="143"/>
      <c r="AGA36" s="143"/>
      <c r="AGB36" s="143"/>
      <c r="AGC36" s="143"/>
      <c r="AGD36" s="143"/>
      <c r="AGE36" s="143"/>
      <c r="AGF36" s="143"/>
      <c r="AGG36" s="143"/>
      <c r="AGH36" s="143"/>
      <c r="AGI36" s="143"/>
      <c r="AGJ36" s="143"/>
      <c r="AGK36" s="143"/>
      <c r="AGL36" s="143"/>
      <c r="AGM36" s="143"/>
      <c r="AGN36" s="143"/>
      <c r="AGO36" s="143"/>
      <c r="AGP36" s="143"/>
      <c r="AGQ36" s="143"/>
      <c r="AGR36" s="143"/>
      <c r="AGS36" s="143"/>
      <c r="AGT36" s="143"/>
      <c r="AGU36" s="143"/>
      <c r="AGV36" s="143"/>
      <c r="AGW36" s="143"/>
      <c r="AGX36" s="143"/>
      <c r="AGY36" s="143"/>
      <c r="AGZ36" s="143"/>
      <c r="AHA36" s="143"/>
      <c r="AHB36" s="143"/>
      <c r="AHC36" s="143"/>
      <c r="AHD36" s="143"/>
      <c r="AHE36" s="143"/>
      <c r="AHF36" s="143"/>
      <c r="AHG36" s="143"/>
      <c r="AHH36" s="143"/>
      <c r="AHI36" s="143"/>
      <c r="AHJ36" s="143"/>
      <c r="AHK36" s="143"/>
      <c r="AHL36" s="143"/>
      <c r="AHM36" s="143"/>
      <c r="AHN36" s="143"/>
      <c r="AHO36" s="143"/>
      <c r="AHP36" s="143"/>
      <c r="AHQ36" s="143"/>
      <c r="AHR36" s="143"/>
      <c r="AHS36" s="143"/>
      <c r="AHT36" s="143"/>
      <c r="AHU36" s="143"/>
      <c r="AHV36" s="143"/>
      <c r="AHW36" s="143"/>
      <c r="AHX36" s="143"/>
      <c r="AHY36" s="143"/>
      <c r="AHZ36" s="143"/>
      <c r="AIA36" s="143"/>
      <c r="AIB36" s="143"/>
      <c r="AIC36" s="143"/>
      <c r="AID36" s="143"/>
      <c r="AIE36" s="143"/>
      <c r="AIF36" s="143"/>
      <c r="AIG36" s="143"/>
      <c r="AIH36" s="143"/>
      <c r="AII36" s="143"/>
      <c r="AIJ36" s="143"/>
      <c r="AIK36" s="143"/>
      <c r="AIL36" s="143"/>
      <c r="AIM36" s="143"/>
      <c r="AIN36" s="143"/>
      <c r="AIO36" s="143"/>
      <c r="AIP36" s="143"/>
      <c r="AIQ36" s="143"/>
      <c r="AIR36" s="143"/>
      <c r="AIS36" s="143"/>
      <c r="AIT36" s="143"/>
      <c r="AIU36" s="143"/>
      <c r="AIV36" s="143"/>
      <c r="AIW36" s="143"/>
      <c r="AIX36" s="143"/>
      <c r="AIY36" s="143"/>
      <c r="AIZ36" s="143"/>
      <c r="AJA36" s="143"/>
      <c r="AJB36" s="143"/>
      <c r="AJC36" s="143"/>
      <c r="AJD36" s="143"/>
      <c r="AJE36" s="143"/>
      <c r="AJF36" s="143"/>
      <c r="AJG36" s="143"/>
      <c r="AJH36" s="143"/>
      <c r="AJI36" s="143"/>
      <c r="AJJ36" s="143"/>
      <c r="AJK36" s="143"/>
      <c r="AJL36" s="143"/>
      <c r="AJM36" s="143"/>
      <c r="AJN36" s="143"/>
      <c r="AJO36" s="143"/>
      <c r="AJP36" s="143"/>
      <c r="AJQ36" s="143"/>
      <c r="AJR36" s="143"/>
      <c r="AJS36" s="143"/>
      <c r="AJT36" s="143"/>
      <c r="AJU36" s="143"/>
      <c r="AJV36" s="143"/>
      <c r="AJW36" s="143"/>
      <c r="AJX36" s="143"/>
      <c r="AJY36" s="143"/>
      <c r="AJZ36" s="143"/>
      <c r="AKA36" s="143"/>
      <c r="AKB36" s="143"/>
      <c r="AKC36" s="143"/>
      <c r="AKD36" s="143"/>
      <c r="AKE36" s="143"/>
      <c r="AKF36" s="143"/>
      <c r="AKG36" s="143"/>
      <c r="AKH36" s="143"/>
      <c r="AKI36" s="143"/>
      <c r="AKJ36" s="143"/>
      <c r="AKK36" s="143"/>
      <c r="AKL36" s="143"/>
      <c r="AKM36" s="143"/>
      <c r="AKN36" s="143"/>
      <c r="AKO36" s="143"/>
      <c r="AKP36" s="143"/>
      <c r="AKQ36" s="143"/>
      <c r="AKR36" s="143"/>
      <c r="AKS36" s="143"/>
      <c r="AKT36" s="143"/>
      <c r="AKU36" s="143"/>
      <c r="AKV36" s="143"/>
      <c r="AKW36" s="143"/>
      <c r="AKX36" s="143"/>
      <c r="AKY36" s="143"/>
      <c r="AKZ36" s="143"/>
      <c r="ALA36" s="143"/>
      <c r="ALB36" s="143"/>
      <c r="ALC36" s="143"/>
      <c r="ALD36" s="143"/>
      <c r="ALE36" s="143"/>
      <c r="ALF36" s="143"/>
      <c r="ALG36" s="143"/>
      <c r="ALH36" s="143"/>
      <c r="ALI36" s="143"/>
      <c r="ALJ36" s="143"/>
      <c r="ALK36" s="143"/>
      <c r="ALL36" s="143"/>
      <c r="ALM36" s="143"/>
      <c r="ALN36" s="143"/>
      <c r="ALO36" s="143"/>
      <c r="ALP36" s="143"/>
      <c r="ALQ36" s="143"/>
      <c r="ALR36" s="143"/>
      <c r="ALS36" s="143"/>
      <c r="ALT36" s="143"/>
      <c r="ALU36" s="143"/>
      <c r="ALV36" s="143"/>
      <c r="ALW36" s="143"/>
      <c r="ALX36" s="143"/>
      <c r="ALY36" s="143"/>
      <c r="ALZ36" s="143"/>
      <c r="AMA36" s="143"/>
      <c r="AMB36" s="143"/>
      <c r="AMC36" s="143"/>
      <c r="AMD36" s="143"/>
      <c r="AME36" s="143"/>
      <c r="AMF36" s="143"/>
      <c r="AMG36" s="143"/>
      <c r="AMH36" s="143"/>
      <c r="AMI36" s="143"/>
      <c r="AMJ36" s="143"/>
      <c r="AMK36" s="143"/>
      <c r="AML36" s="143"/>
      <c r="AMM36" s="143"/>
      <c r="AMN36" s="143"/>
      <c r="AMO36" s="143"/>
      <c r="AMP36" s="143"/>
      <c r="AMQ36" s="143"/>
      <c r="AMR36" s="143"/>
      <c r="AMS36" s="143"/>
      <c r="AMT36" s="143"/>
      <c r="AMU36" s="143"/>
      <c r="AMV36" s="143"/>
      <c r="AMW36" s="143"/>
      <c r="AMX36" s="143"/>
      <c r="AMY36" s="143"/>
      <c r="AMZ36" s="143"/>
      <c r="ANA36" s="143"/>
      <c r="ANB36" s="143"/>
      <c r="ANC36" s="143"/>
      <c r="AND36" s="143"/>
      <c r="ANE36" s="143"/>
      <c r="ANF36" s="143"/>
      <c r="ANG36" s="143"/>
      <c r="ANH36" s="143"/>
      <c r="ANI36" s="143"/>
      <c r="ANJ36" s="143"/>
      <c r="ANK36" s="143"/>
      <c r="ANL36" s="143"/>
      <c r="ANM36" s="143"/>
      <c r="ANN36" s="143"/>
      <c r="ANO36" s="143"/>
      <c r="ANP36" s="143"/>
      <c r="ANQ36" s="143"/>
      <c r="ANR36" s="143"/>
      <c r="ANS36" s="143"/>
      <c r="ANT36" s="143"/>
      <c r="ANU36" s="143"/>
      <c r="ANV36" s="143"/>
      <c r="ANW36" s="143"/>
      <c r="ANX36" s="143"/>
      <c r="ANY36" s="143"/>
      <c r="ANZ36" s="143"/>
      <c r="AOA36" s="143"/>
      <c r="AOB36" s="143"/>
      <c r="AOC36" s="143"/>
      <c r="AOD36" s="143"/>
      <c r="AOE36" s="143"/>
      <c r="AOF36" s="143"/>
      <c r="AOG36" s="143"/>
      <c r="AOH36" s="143"/>
      <c r="AOI36" s="143"/>
      <c r="AOJ36" s="143"/>
      <c r="AOK36" s="143"/>
      <c r="AOL36" s="143"/>
      <c r="AOM36" s="143"/>
      <c r="AON36" s="143"/>
      <c r="AOO36" s="143"/>
      <c r="AOP36" s="143"/>
      <c r="AOQ36" s="143"/>
      <c r="AOR36" s="143"/>
      <c r="AOS36" s="143"/>
      <c r="AOT36" s="143"/>
      <c r="AOU36" s="143"/>
      <c r="AOV36" s="143"/>
      <c r="AOW36" s="143"/>
      <c r="AOX36" s="143"/>
      <c r="AOY36" s="143"/>
      <c r="AOZ36" s="143"/>
      <c r="APA36" s="143"/>
      <c r="APB36" s="143"/>
      <c r="APC36" s="143"/>
      <c r="APD36" s="143"/>
      <c r="APE36" s="143"/>
      <c r="APF36" s="143"/>
      <c r="APG36" s="143"/>
      <c r="APH36" s="143"/>
      <c r="API36" s="143"/>
      <c r="APJ36" s="143"/>
      <c r="APK36" s="143"/>
      <c r="APL36" s="143"/>
      <c r="APM36" s="143"/>
      <c r="APN36" s="143"/>
      <c r="APO36" s="143"/>
      <c r="APP36" s="143"/>
      <c r="APQ36" s="143"/>
      <c r="APR36" s="143"/>
      <c r="APS36" s="143"/>
      <c r="APT36" s="143"/>
      <c r="APU36" s="143"/>
      <c r="APV36" s="143"/>
      <c r="APW36" s="143"/>
      <c r="APX36" s="143"/>
      <c r="APY36" s="143"/>
      <c r="APZ36" s="143"/>
      <c r="AQA36" s="143"/>
      <c r="AQB36" s="143"/>
      <c r="AQC36" s="143"/>
      <c r="AQD36" s="143"/>
      <c r="AQE36" s="143"/>
      <c r="AQF36" s="143"/>
      <c r="AQG36" s="143"/>
      <c r="AQH36" s="143"/>
      <c r="AQI36" s="143"/>
      <c r="AQJ36" s="143"/>
      <c r="AQK36" s="143"/>
      <c r="AQL36" s="143"/>
      <c r="AQM36" s="143"/>
      <c r="AQN36" s="143"/>
      <c r="AQO36" s="143"/>
      <c r="AQP36" s="143"/>
      <c r="AQQ36" s="143"/>
      <c r="AQR36" s="143"/>
      <c r="AQS36" s="143"/>
      <c r="AQT36" s="143"/>
      <c r="AQU36" s="143"/>
      <c r="AQV36" s="143"/>
      <c r="AQW36" s="143"/>
      <c r="AQX36" s="143"/>
      <c r="AQY36" s="143"/>
      <c r="AQZ36" s="143"/>
      <c r="ARA36" s="143"/>
      <c r="ARB36" s="143"/>
      <c r="ARC36" s="143"/>
      <c r="ARD36" s="143"/>
      <c r="ARE36" s="143"/>
      <c r="ARF36" s="143"/>
      <c r="ARG36" s="143"/>
      <c r="ARH36" s="143"/>
      <c r="ARI36" s="143"/>
      <c r="ARJ36" s="143"/>
      <c r="ARK36" s="143"/>
      <c r="ARL36" s="143"/>
      <c r="ARM36" s="143"/>
      <c r="ARN36" s="143"/>
      <c r="ARO36" s="143"/>
      <c r="ARP36" s="143"/>
      <c r="ARQ36" s="143"/>
      <c r="ARR36" s="143"/>
      <c r="ARS36" s="143"/>
      <c r="ART36" s="143"/>
      <c r="ARU36" s="143"/>
      <c r="ARV36" s="143"/>
      <c r="ARW36" s="143"/>
      <c r="ARX36" s="143"/>
      <c r="ARY36" s="143"/>
      <c r="ARZ36" s="143"/>
      <c r="ASA36" s="143"/>
      <c r="ASB36" s="143"/>
      <c r="ASC36" s="143"/>
      <c r="ASD36" s="143"/>
      <c r="ASE36" s="143"/>
      <c r="ASF36" s="143"/>
      <c r="ASG36" s="143"/>
      <c r="ASH36" s="143"/>
      <c r="ASI36" s="143"/>
      <c r="ASJ36" s="143"/>
      <c r="ASK36" s="143"/>
      <c r="ASL36" s="143"/>
      <c r="ASM36" s="143"/>
      <c r="ASN36" s="143"/>
      <c r="ASO36" s="143"/>
      <c r="ASP36" s="143"/>
      <c r="ASQ36" s="143"/>
      <c r="ASR36" s="143"/>
      <c r="ASS36" s="143"/>
      <c r="AST36" s="143"/>
      <c r="ASU36" s="143"/>
      <c r="ASV36" s="143"/>
      <c r="ASW36" s="143"/>
      <c r="ASX36" s="143"/>
      <c r="ASY36" s="143"/>
      <c r="ASZ36" s="143"/>
      <c r="ATA36" s="143"/>
      <c r="ATB36" s="143"/>
      <c r="ATC36" s="143"/>
      <c r="ATD36" s="143"/>
      <c r="ATE36" s="143"/>
      <c r="ATF36" s="143"/>
      <c r="ATG36" s="143"/>
      <c r="ATH36" s="143"/>
      <c r="ATI36" s="143"/>
      <c r="ATJ36" s="143"/>
      <c r="ATK36" s="143"/>
      <c r="ATL36" s="143"/>
      <c r="ATM36" s="143"/>
      <c r="ATN36" s="143"/>
      <c r="ATO36" s="143"/>
      <c r="ATP36" s="143"/>
      <c r="ATQ36" s="143"/>
      <c r="ATR36" s="143"/>
      <c r="ATS36" s="143"/>
      <c r="ATT36" s="143"/>
      <c r="ATU36" s="143"/>
      <c r="ATV36" s="143"/>
      <c r="ATW36" s="143"/>
      <c r="ATX36" s="143"/>
      <c r="ATY36" s="143"/>
      <c r="ATZ36" s="143"/>
      <c r="AUA36" s="143"/>
      <c r="AUB36" s="143"/>
      <c r="AUC36" s="143"/>
      <c r="AUD36" s="143"/>
      <c r="AUE36" s="143"/>
      <c r="AUF36" s="143"/>
      <c r="AUG36" s="143"/>
      <c r="AUH36" s="143"/>
      <c r="AUI36" s="143"/>
      <c r="AUJ36" s="143"/>
      <c r="AUK36" s="143"/>
      <c r="AUL36" s="143"/>
      <c r="AUM36" s="143"/>
      <c r="AUN36" s="143"/>
      <c r="AUO36" s="143"/>
      <c r="AUP36" s="143"/>
      <c r="AUQ36" s="143"/>
      <c r="AUR36" s="143"/>
      <c r="AUS36" s="143"/>
      <c r="AUT36" s="143"/>
      <c r="AUU36" s="143"/>
      <c r="AUV36" s="143"/>
      <c r="AUW36" s="143"/>
      <c r="AUX36" s="143"/>
      <c r="AUY36" s="143"/>
      <c r="AUZ36" s="143"/>
      <c r="AVA36" s="143"/>
      <c r="AVB36" s="143"/>
      <c r="AVC36" s="143"/>
      <c r="AVD36" s="143"/>
      <c r="AVE36" s="143"/>
      <c r="AVF36" s="143"/>
      <c r="AVG36" s="143"/>
      <c r="AVH36" s="143"/>
      <c r="AVI36" s="143"/>
      <c r="AVJ36" s="143"/>
      <c r="AVK36" s="143"/>
      <c r="AVL36" s="143"/>
      <c r="AVM36" s="143"/>
      <c r="AVN36" s="143"/>
      <c r="AVO36" s="143"/>
      <c r="AVP36" s="143"/>
      <c r="AVQ36" s="143"/>
      <c r="AVR36" s="143"/>
      <c r="AVS36" s="143"/>
      <c r="AVT36" s="143"/>
      <c r="AVU36" s="143"/>
      <c r="AVV36" s="143"/>
      <c r="AVW36" s="143"/>
      <c r="AVX36" s="143"/>
      <c r="AVY36" s="143"/>
      <c r="AVZ36" s="143"/>
      <c r="AWA36" s="143"/>
      <c r="AWB36" s="143"/>
      <c r="AWC36" s="143"/>
      <c r="AWD36" s="143"/>
      <c r="AWE36" s="143"/>
      <c r="AWF36" s="143"/>
      <c r="AWG36" s="143"/>
      <c r="AWH36" s="143"/>
      <c r="AWI36" s="143"/>
      <c r="AWJ36" s="143"/>
      <c r="AWK36" s="143"/>
      <c r="AWL36" s="143"/>
      <c r="AWM36" s="143"/>
      <c r="AWN36" s="143"/>
      <c r="AWO36" s="143"/>
      <c r="AWP36" s="143"/>
      <c r="AWQ36" s="143"/>
      <c r="AWR36" s="143"/>
      <c r="AWS36" s="143"/>
      <c r="AWT36" s="143"/>
      <c r="AWU36" s="143"/>
      <c r="AWV36" s="143"/>
      <c r="AWW36" s="143"/>
      <c r="AWX36" s="143"/>
      <c r="AWY36" s="143"/>
      <c r="AWZ36" s="143"/>
      <c r="AXA36" s="143"/>
      <c r="AXB36" s="143"/>
      <c r="AXC36" s="143"/>
      <c r="AXD36" s="143"/>
      <c r="AXE36" s="143"/>
      <c r="AXF36" s="143"/>
      <c r="AXG36" s="143"/>
      <c r="AXH36" s="143"/>
      <c r="AXI36" s="143"/>
      <c r="AXJ36" s="143"/>
      <c r="AXK36" s="143"/>
      <c r="AXL36" s="143"/>
      <c r="AXM36" s="143"/>
      <c r="AXN36" s="143"/>
      <c r="AXO36" s="143"/>
      <c r="AXP36" s="143"/>
      <c r="AXQ36" s="143"/>
      <c r="AXR36" s="143"/>
      <c r="AXS36" s="143"/>
      <c r="AXT36" s="143"/>
      <c r="AXU36" s="143"/>
      <c r="AXV36" s="143"/>
      <c r="AXW36" s="143"/>
      <c r="AXX36" s="143"/>
      <c r="AXY36" s="143"/>
      <c r="AXZ36" s="143"/>
      <c r="AYA36" s="143"/>
      <c r="AYB36" s="143"/>
      <c r="AYC36" s="143"/>
      <c r="AYD36" s="143"/>
      <c r="AYE36" s="143"/>
      <c r="AYF36" s="143"/>
      <c r="AYG36" s="143"/>
      <c r="AYH36" s="143"/>
      <c r="AYI36" s="143"/>
      <c r="AYJ36" s="143"/>
      <c r="AYK36" s="143"/>
      <c r="AYL36" s="143"/>
      <c r="AYM36" s="143"/>
      <c r="AYN36" s="143"/>
      <c r="AYO36" s="143"/>
      <c r="AYP36" s="143"/>
      <c r="AYQ36" s="143"/>
      <c r="AYR36" s="143"/>
      <c r="AYS36" s="143"/>
      <c r="AYT36" s="143"/>
      <c r="AYU36" s="143"/>
      <c r="AYV36" s="143"/>
      <c r="AYW36" s="143"/>
      <c r="AYX36" s="143"/>
      <c r="AYY36" s="143"/>
      <c r="AYZ36" s="143"/>
      <c r="AZA36" s="143"/>
      <c r="AZB36" s="143"/>
      <c r="AZC36" s="143"/>
      <c r="AZD36" s="143"/>
      <c r="AZE36" s="143"/>
      <c r="AZF36" s="143"/>
      <c r="AZG36" s="143"/>
      <c r="AZH36" s="143"/>
      <c r="AZI36" s="143"/>
      <c r="AZJ36" s="143"/>
      <c r="AZK36" s="143"/>
      <c r="AZL36" s="143"/>
      <c r="AZM36" s="143"/>
      <c r="AZN36" s="143"/>
      <c r="AZO36" s="143"/>
      <c r="AZP36" s="143"/>
      <c r="AZQ36" s="143"/>
      <c r="AZR36" s="143"/>
      <c r="AZS36" s="143"/>
      <c r="AZT36" s="143"/>
      <c r="AZU36" s="143"/>
      <c r="AZV36" s="143"/>
      <c r="AZW36" s="143"/>
      <c r="AZX36" s="143"/>
      <c r="AZY36" s="143"/>
      <c r="AZZ36" s="143"/>
      <c r="BAA36" s="143"/>
      <c r="BAB36" s="143"/>
      <c r="BAC36" s="143"/>
      <c r="BAD36" s="143"/>
      <c r="BAE36" s="143"/>
      <c r="BAF36" s="143"/>
      <c r="BAG36" s="143"/>
      <c r="BAH36" s="143"/>
      <c r="BAI36" s="143"/>
      <c r="BAJ36" s="143"/>
      <c r="BAK36" s="143"/>
      <c r="BAL36" s="143"/>
      <c r="BAM36" s="143"/>
      <c r="BAN36" s="143"/>
      <c r="BAO36" s="143"/>
      <c r="BAP36" s="143"/>
      <c r="BAQ36" s="143"/>
      <c r="BAR36" s="143"/>
      <c r="BAS36" s="143"/>
      <c r="BAT36" s="143"/>
      <c r="BAU36" s="143"/>
      <c r="BAV36" s="143"/>
      <c r="BAW36" s="143"/>
      <c r="BAX36" s="143"/>
      <c r="BAY36" s="143"/>
      <c r="BAZ36" s="143"/>
      <c r="BBA36" s="143"/>
      <c r="BBB36" s="143"/>
      <c r="BBC36" s="143"/>
      <c r="BBD36" s="143"/>
      <c r="BBE36" s="143"/>
      <c r="BBF36" s="143"/>
      <c r="BBG36" s="143"/>
      <c r="BBH36" s="143"/>
      <c r="BBI36" s="143"/>
      <c r="BBJ36" s="143"/>
      <c r="BBK36" s="143"/>
      <c r="BBL36" s="143"/>
      <c r="BBM36" s="143"/>
      <c r="BBN36" s="143"/>
      <c r="BBO36" s="143"/>
      <c r="BBP36" s="143"/>
      <c r="BBQ36" s="143"/>
      <c r="BBR36" s="143"/>
      <c r="BBS36" s="143"/>
      <c r="BBT36" s="143"/>
      <c r="BBU36" s="143"/>
      <c r="BBV36" s="143"/>
      <c r="BBW36" s="143"/>
      <c r="BBX36" s="143"/>
      <c r="BBY36" s="143"/>
      <c r="BBZ36" s="143"/>
      <c r="BCA36" s="143"/>
      <c r="BCB36" s="143"/>
      <c r="BCC36" s="143"/>
      <c r="BCD36" s="143"/>
      <c r="BCE36" s="143"/>
      <c r="BCF36" s="143"/>
      <c r="BCG36" s="143"/>
      <c r="BCH36" s="143"/>
      <c r="BCI36" s="143"/>
      <c r="BCJ36" s="143"/>
      <c r="BCK36" s="143"/>
      <c r="BCL36" s="143"/>
      <c r="BCM36" s="143"/>
      <c r="BCN36" s="143"/>
      <c r="BCO36" s="143"/>
      <c r="BCP36" s="143"/>
      <c r="BCQ36" s="143"/>
      <c r="BCR36" s="143"/>
      <c r="BCS36" s="143"/>
      <c r="BCT36" s="143"/>
      <c r="BCU36" s="143"/>
      <c r="BCV36" s="143"/>
      <c r="BCW36" s="143"/>
      <c r="BCX36" s="143"/>
      <c r="BCY36" s="143"/>
      <c r="BCZ36" s="143"/>
      <c r="BDA36" s="143"/>
      <c r="BDB36" s="143"/>
      <c r="BDC36" s="143"/>
      <c r="BDD36" s="143"/>
      <c r="BDE36" s="143"/>
      <c r="BDF36" s="143"/>
      <c r="BDG36" s="143"/>
      <c r="BDH36" s="143"/>
      <c r="BDI36" s="143"/>
      <c r="BDJ36" s="143"/>
      <c r="BDK36" s="143"/>
      <c r="BDL36" s="143"/>
      <c r="BDM36" s="143"/>
      <c r="BDN36" s="143"/>
      <c r="BDO36" s="143"/>
      <c r="BDP36" s="143"/>
      <c r="BDQ36" s="143"/>
      <c r="BDR36" s="143"/>
      <c r="BDS36" s="143"/>
      <c r="BDT36" s="143"/>
      <c r="BDU36" s="143"/>
      <c r="BDV36" s="143"/>
      <c r="BDW36" s="143"/>
      <c r="BDX36" s="143"/>
      <c r="BDY36" s="143"/>
      <c r="BDZ36" s="143"/>
      <c r="BEA36" s="143"/>
      <c r="BEB36" s="143"/>
      <c r="BEC36" s="143"/>
      <c r="BED36" s="143"/>
      <c r="BEE36" s="143"/>
      <c r="BEF36" s="143"/>
      <c r="BEG36" s="143"/>
      <c r="BEH36" s="143"/>
      <c r="BEI36" s="143"/>
      <c r="BEJ36" s="143"/>
      <c r="BEK36" s="143"/>
      <c r="BEL36" s="143"/>
      <c r="BEM36" s="143"/>
      <c r="BEN36" s="143"/>
      <c r="BEO36" s="143"/>
      <c r="BEP36" s="143"/>
      <c r="BEQ36" s="143"/>
      <c r="BER36" s="143"/>
      <c r="BES36" s="143"/>
      <c r="BET36" s="143"/>
      <c r="BEU36" s="143"/>
      <c r="BEV36" s="143"/>
      <c r="BEW36" s="143"/>
      <c r="BEX36" s="143"/>
      <c r="BEY36" s="143"/>
      <c r="BEZ36" s="143"/>
      <c r="BFA36" s="143"/>
      <c r="BFB36" s="143"/>
      <c r="BFC36" s="143"/>
      <c r="BFD36" s="143"/>
      <c r="BFE36" s="143"/>
      <c r="BFF36" s="143"/>
      <c r="BFG36" s="143"/>
      <c r="BFH36" s="143"/>
      <c r="BFI36" s="143"/>
      <c r="BFJ36" s="143"/>
      <c r="BFK36" s="143"/>
      <c r="BFL36" s="143"/>
      <c r="BFM36" s="143"/>
      <c r="BFN36" s="143"/>
      <c r="BFO36" s="143"/>
      <c r="BFP36" s="143"/>
      <c r="BFQ36" s="143"/>
      <c r="BFR36" s="143"/>
      <c r="BFS36" s="143"/>
      <c r="BFT36" s="143"/>
      <c r="BFU36" s="143"/>
      <c r="BFV36" s="143"/>
      <c r="BFW36" s="143"/>
      <c r="BFX36" s="143"/>
      <c r="BFY36" s="143"/>
      <c r="BFZ36" s="143"/>
      <c r="BGA36" s="143"/>
      <c r="BGB36" s="143"/>
      <c r="BGC36" s="143"/>
      <c r="BGD36" s="143"/>
      <c r="BGE36" s="143"/>
      <c r="BGF36" s="143"/>
      <c r="BGG36" s="143"/>
      <c r="BGH36" s="143"/>
      <c r="BGI36" s="143"/>
      <c r="BGJ36" s="143"/>
      <c r="BGK36" s="143"/>
      <c r="BGL36" s="143"/>
      <c r="BGM36" s="143"/>
      <c r="BGN36" s="143"/>
      <c r="BGO36" s="143"/>
      <c r="BGP36" s="143"/>
      <c r="BGQ36" s="143"/>
      <c r="BGR36" s="143"/>
      <c r="BGS36" s="143"/>
      <c r="BGT36" s="143"/>
      <c r="BGU36" s="143"/>
      <c r="BGV36" s="143"/>
      <c r="BGW36" s="143"/>
      <c r="BGX36" s="143"/>
      <c r="BGY36" s="143"/>
      <c r="BGZ36" s="143"/>
      <c r="BHA36" s="143"/>
      <c r="BHB36" s="143"/>
      <c r="BHC36" s="143"/>
      <c r="BHD36" s="143"/>
      <c r="BHE36" s="143"/>
      <c r="BHF36" s="143"/>
      <c r="BHG36" s="143"/>
      <c r="BHH36" s="143"/>
      <c r="BHI36" s="143"/>
      <c r="BHJ36" s="143"/>
      <c r="BHK36" s="143"/>
      <c r="BHL36" s="143"/>
      <c r="BHM36" s="143"/>
      <c r="BHN36" s="143"/>
      <c r="BHO36" s="143"/>
      <c r="BHP36" s="143"/>
      <c r="BHQ36" s="143"/>
      <c r="BHR36" s="143"/>
      <c r="BHS36" s="143"/>
      <c r="BHT36" s="143"/>
      <c r="BHU36" s="143"/>
      <c r="BHV36" s="143"/>
      <c r="BHW36" s="143"/>
      <c r="BHX36" s="143"/>
      <c r="BHY36" s="143"/>
      <c r="BHZ36" s="143"/>
      <c r="BIA36" s="143"/>
      <c r="BIB36" s="143"/>
      <c r="BIC36" s="143"/>
      <c r="BID36" s="143"/>
      <c r="BIE36" s="143"/>
      <c r="BIF36" s="143"/>
      <c r="BIG36" s="143"/>
      <c r="BIH36" s="143"/>
      <c r="BII36" s="143"/>
      <c r="BIJ36" s="143"/>
      <c r="BIK36" s="143"/>
      <c r="BIL36" s="143"/>
      <c r="BIM36" s="143"/>
      <c r="BIN36" s="143"/>
      <c r="BIO36" s="143"/>
      <c r="BIP36" s="143"/>
      <c r="BIQ36" s="143"/>
      <c r="BIR36" s="143"/>
      <c r="BIS36" s="143"/>
      <c r="BIT36" s="143"/>
      <c r="BIU36" s="143"/>
      <c r="BIV36" s="143"/>
      <c r="BIW36" s="143"/>
      <c r="BIX36" s="143"/>
      <c r="BIY36" s="143"/>
      <c r="BIZ36" s="143"/>
      <c r="BJA36" s="143"/>
      <c r="BJB36" s="143"/>
      <c r="BJC36" s="143"/>
      <c r="BJD36" s="143"/>
      <c r="BJE36" s="143"/>
      <c r="BJF36" s="143"/>
      <c r="BJG36" s="143"/>
      <c r="BJH36" s="143"/>
      <c r="BJI36" s="143"/>
      <c r="BJJ36" s="143"/>
      <c r="BJK36" s="143"/>
      <c r="BJL36" s="143"/>
      <c r="BJM36" s="143"/>
      <c r="BJN36" s="143"/>
      <c r="BJO36" s="143"/>
      <c r="BJP36" s="143"/>
      <c r="BJQ36" s="143"/>
      <c r="BJR36" s="143"/>
      <c r="BJS36" s="143"/>
      <c r="BJT36" s="143"/>
      <c r="BJU36" s="143"/>
      <c r="BJV36" s="143"/>
      <c r="BJW36" s="143"/>
      <c r="BJX36" s="143"/>
      <c r="BJY36" s="143"/>
      <c r="BJZ36" s="143"/>
      <c r="BKA36" s="143"/>
      <c r="BKB36" s="143"/>
      <c r="BKC36" s="143"/>
      <c r="BKD36" s="143"/>
      <c r="BKE36" s="143"/>
      <c r="BKF36" s="143"/>
      <c r="BKG36" s="143"/>
      <c r="BKH36" s="143"/>
      <c r="BKI36" s="143"/>
      <c r="BKJ36" s="143"/>
      <c r="BKK36" s="143"/>
      <c r="BKL36" s="143"/>
      <c r="BKM36" s="143"/>
      <c r="BKN36" s="143"/>
      <c r="BKO36" s="143"/>
      <c r="BKP36" s="143"/>
      <c r="BKQ36" s="143"/>
      <c r="BKR36" s="143"/>
      <c r="BKS36" s="143"/>
      <c r="BKT36" s="143"/>
      <c r="BKU36" s="143"/>
      <c r="BKV36" s="143"/>
      <c r="BKW36" s="143"/>
      <c r="BKX36" s="143"/>
      <c r="BKY36" s="143"/>
      <c r="BKZ36" s="143"/>
      <c r="BLA36" s="143"/>
      <c r="BLB36" s="143"/>
      <c r="BLC36" s="143"/>
      <c r="BLD36" s="143"/>
      <c r="BLE36" s="143"/>
      <c r="BLF36" s="143"/>
      <c r="BLG36" s="143"/>
      <c r="BLH36" s="143"/>
      <c r="BLI36" s="143"/>
      <c r="BLJ36" s="143"/>
      <c r="BLK36" s="143"/>
      <c r="BLL36" s="143"/>
      <c r="BLM36" s="143"/>
      <c r="BLN36" s="143"/>
      <c r="BLO36" s="143"/>
      <c r="BLP36" s="143"/>
      <c r="BLQ36" s="143"/>
      <c r="BLR36" s="143"/>
      <c r="BLS36" s="143"/>
      <c r="BLT36" s="143"/>
      <c r="BLU36" s="143"/>
      <c r="BLV36" s="143"/>
      <c r="BLW36" s="143"/>
      <c r="BLX36" s="143"/>
      <c r="BLY36" s="143"/>
      <c r="BLZ36" s="143"/>
      <c r="BMA36" s="143"/>
      <c r="BMB36" s="143"/>
      <c r="BMC36" s="143"/>
      <c r="BMD36" s="143"/>
      <c r="BME36" s="143"/>
      <c r="BMF36" s="143"/>
      <c r="BMG36" s="143"/>
      <c r="BMH36" s="143"/>
      <c r="BMI36" s="143"/>
      <c r="BMJ36" s="143"/>
      <c r="BMK36" s="143"/>
      <c r="BML36" s="143"/>
      <c r="BMM36" s="143"/>
      <c r="BMN36" s="143"/>
      <c r="BMO36" s="143"/>
      <c r="BMP36" s="143"/>
      <c r="BMQ36" s="143"/>
      <c r="BMR36" s="143"/>
      <c r="BMS36" s="143"/>
      <c r="BMT36" s="143"/>
      <c r="BMU36" s="143"/>
      <c r="BMV36" s="143"/>
      <c r="BMW36" s="143"/>
      <c r="BMX36" s="143"/>
      <c r="BMY36" s="143"/>
      <c r="BMZ36" s="143"/>
      <c r="BNA36" s="143"/>
      <c r="BNB36" s="143"/>
      <c r="BNC36" s="143"/>
      <c r="BND36" s="143"/>
      <c r="BNE36" s="143"/>
      <c r="BNF36" s="143"/>
      <c r="BNG36" s="143"/>
      <c r="BNH36" s="143"/>
      <c r="BNI36" s="143"/>
      <c r="BNJ36" s="143"/>
      <c r="BNK36" s="143"/>
      <c r="BNL36" s="143"/>
      <c r="BNM36" s="143"/>
      <c r="BNN36" s="143"/>
      <c r="BNO36" s="143"/>
      <c r="BNP36" s="143"/>
      <c r="BNQ36" s="143"/>
      <c r="BNR36" s="143"/>
      <c r="BNS36" s="143"/>
      <c r="BNT36" s="143"/>
      <c r="BNU36" s="143"/>
      <c r="BNV36" s="143"/>
      <c r="BNW36" s="143"/>
      <c r="BNX36" s="143"/>
      <c r="BNY36" s="143"/>
      <c r="BNZ36" s="143"/>
      <c r="BOA36" s="143"/>
      <c r="BOB36" s="143"/>
      <c r="BOC36" s="143"/>
      <c r="BOD36" s="143"/>
      <c r="BOE36" s="143"/>
      <c r="BOF36" s="143"/>
      <c r="BOG36" s="143"/>
      <c r="BOH36" s="143"/>
      <c r="BOI36" s="143"/>
      <c r="BOJ36" s="143"/>
      <c r="BOK36" s="143"/>
      <c r="BOL36" s="143"/>
      <c r="BOM36" s="143"/>
      <c r="BON36" s="143"/>
      <c r="BOO36" s="143"/>
      <c r="BOP36" s="143"/>
      <c r="BOQ36" s="143"/>
      <c r="BOR36" s="143"/>
      <c r="BOS36" s="143"/>
      <c r="BOT36" s="143"/>
      <c r="BOU36" s="143"/>
      <c r="BOV36" s="143"/>
      <c r="BOW36" s="143"/>
      <c r="BOX36" s="143"/>
      <c r="BOY36" s="143"/>
      <c r="BOZ36" s="143"/>
      <c r="BPA36" s="143"/>
      <c r="BPB36" s="143"/>
      <c r="BPC36" s="143"/>
      <c r="BPD36" s="143"/>
      <c r="BPE36" s="143"/>
      <c r="BPF36" s="143"/>
      <c r="BPG36" s="143"/>
      <c r="BPH36" s="143"/>
      <c r="BPI36" s="143"/>
      <c r="BPJ36" s="143"/>
      <c r="BPK36" s="143"/>
      <c r="BPL36" s="143"/>
      <c r="BPM36" s="143"/>
      <c r="BPN36" s="143"/>
      <c r="BPO36" s="143"/>
      <c r="BPP36" s="143"/>
      <c r="BPQ36" s="143"/>
      <c r="BPR36" s="143"/>
      <c r="BPS36" s="143"/>
      <c r="BPT36" s="143"/>
      <c r="BPU36" s="143"/>
      <c r="BPV36" s="143"/>
      <c r="BPW36" s="143"/>
      <c r="BPX36" s="143"/>
      <c r="BPY36" s="143"/>
      <c r="BPZ36" s="143"/>
      <c r="BQA36" s="143"/>
      <c r="BQB36" s="143"/>
      <c r="BQC36" s="143"/>
      <c r="BQD36" s="143"/>
      <c r="BQE36" s="143"/>
      <c r="BQF36" s="143"/>
      <c r="BQG36" s="143"/>
      <c r="BQH36" s="143"/>
      <c r="BQI36" s="143"/>
      <c r="BQJ36" s="143"/>
      <c r="BQK36" s="143"/>
      <c r="BQL36" s="143"/>
      <c r="BQM36" s="143"/>
      <c r="BQN36" s="143"/>
      <c r="BQO36" s="143"/>
      <c r="BQP36" s="143"/>
      <c r="BQQ36" s="143"/>
      <c r="BQR36" s="143"/>
      <c r="BQS36" s="143"/>
      <c r="BQT36" s="143"/>
      <c r="BQU36" s="143"/>
      <c r="BQV36" s="143"/>
      <c r="BQW36" s="143"/>
      <c r="BQX36" s="143"/>
      <c r="BQY36" s="143"/>
      <c r="BQZ36" s="143"/>
      <c r="BRA36" s="143"/>
      <c r="BRB36" s="143"/>
      <c r="BRC36" s="143"/>
      <c r="BRD36" s="143"/>
      <c r="BRE36" s="143"/>
      <c r="BRF36" s="143"/>
      <c r="BRG36" s="143"/>
      <c r="BRH36" s="143"/>
      <c r="BRI36" s="143"/>
      <c r="BRJ36" s="143"/>
      <c r="BRK36" s="143"/>
      <c r="BRL36" s="143"/>
      <c r="BRM36" s="143"/>
      <c r="BRN36" s="143"/>
      <c r="BRO36" s="143"/>
      <c r="BRP36" s="143"/>
      <c r="BRQ36" s="143"/>
      <c r="BRR36" s="143"/>
      <c r="BRS36" s="143"/>
      <c r="BRT36" s="143"/>
      <c r="BRU36" s="143"/>
      <c r="BRV36" s="143"/>
      <c r="BRW36" s="143"/>
      <c r="BRX36" s="143"/>
      <c r="BRY36" s="143"/>
      <c r="BRZ36" s="143"/>
      <c r="BSA36" s="143"/>
      <c r="BSB36" s="143"/>
      <c r="BSC36" s="143"/>
      <c r="BSD36" s="143"/>
      <c r="BSE36" s="143"/>
      <c r="BSF36" s="143"/>
      <c r="BSG36" s="143"/>
      <c r="BSH36" s="143"/>
      <c r="BSI36" s="143"/>
      <c r="BSJ36" s="143"/>
      <c r="BSK36" s="143"/>
      <c r="BSL36" s="143"/>
      <c r="BSM36" s="143"/>
      <c r="BSN36" s="143"/>
      <c r="BSO36" s="143"/>
      <c r="BSP36" s="143"/>
      <c r="BSQ36" s="143"/>
      <c r="BSR36" s="143"/>
      <c r="BSS36" s="143"/>
      <c r="BST36" s="143"/>
      <c r="BSU36" s="143"/>
      <c r="BSV36" s="143"/>
      <c r="BSW36" s="143"/>
      <c r="BSX36" s="143"/>
      <c r="BSY36" s="143"/>
      <c r="BSZ36" s="143"/>
      <c r="BTA36" s="143"/>
      <c r="BTB36" s="143"/>
      <c r="BTC36" s="143"/>
      <c r="BTD36" s="143"/>
      <c r="BTE36" s="143"/>
      <c r="BTF36" s="143"/>
      <c r="BTG36" s="143"/>
      <c r="BTH36" s="143"/>
      <c r="BTI36" s="143"/>
      <c r="BTJ36" s="143"/>
      <c r="BTK36" s="143"/>
      <c r="BTL36" s="143"/>
      <c r="BTM36" s="143"/>
      <c r="BTN36" s="143"/>
      <c r="BTO36" s="143"/>
      <c r="BTP36" s="143"/>
      <c r="BTQ36" s="143"/>
      <c r="BTR36" s="143"/>
      <c r="BTS36" s="143"/>
      <c r="BTT36" s="143"/>
      <c r="BTU36" s="143"/>
      <c r="BTV36" s="143"/>
      <c r="BTW36" s="143"/>
      <c r="BTX36" s="143"/>
      <c r="BTY36" s="143"/>
      <c r="BTZ36" s="143"/>
      <c r="BUA36" s="143"/>
      <c r="BUB36" s="143"/>
      <c r="BUC36" s="143"/>
      <c r="BUD36" s="143"/>
      <c r="BUE36" s="143"/>
      <c r="BUF36" s="143"/>
      <c r="BUG36" s="143"/>
      <c r="BUH36" s="143"/>
      <c r="BUI36" s="143"/>
      <c r="BUJ36" s="143"/>
      <c r="BUK36" s="143"/>
      <c r="BUL36" s="143"/>
      <c r="BUM36" s="143"/>
      <c r="BUN36" s="143"/>
      <c r="BUO36" s="143"/>
      <c r="BUP36" s="143"/>
      <c r="BUQ36" s="143"/>
      <c r="BUR36" s="143"/>
      <c r="BUS36" s="143"/>
      <c r="BUT36" s="143"/>
      <c r="BUU36" s="143"/>
      <c r="BUV36" s="143"/>
      <c r="BUW36" s="143"/>
      <c r="BUX36" s="143"/>
      <c r="BUY36" s="143"/>
      <c r="BUZ36" s="143"/>
      <c r="BVA36" s="143"/>
      <c r="BVB36" s="143"/>
      <c r="BVC36" s="143"/>
      <c r="BVD36" s="143"/>
      <c r="BVE36" s="143"/>
      <c r="BVF36" s="143"/>
      <c r="BVG36" s="143"/>
      <c r="BVH36" s="143"/>
      <c r="BVI36" s="143"/>
      <c r="BVJ36" s="143"/>
      <c r="BVK36" s="143"/>
      <c r="BVL36" s="143"/>
      <c r="BVM36" s="143"/>
      <c r="BVN36" s="143"/>
      <c r="BVO36" s="143"/>
      <c r="BVP36" s="143"/>
      <c r="BVQ36" s="143"/>
      <c r="BVR36" s="143"/>
      <c r="BVS36" s="143"/>
      <c r="BVT36" s="143"/>
      <c r="BVU36" s="143"/>
      <c r="BVV36" s="143"/>
      <c r="BVW36" s="143"/>
      <c r="BVX36" s="143"/>
      <c r="BVY36" s="143"/>
      <c r="BVZ36" s="143"/>
      <c r="BWA36" s="143"/>
      <c r="BWB36" s="143"/>
      <c r="BWC36" s="143"/>
      <c r="BWD36" s="143"/>
      <c r="BWE36" s="143"/>
      <c r="BWF36" s="143"/>
      <c r="BWG36" s="143"/>
      <c r="BWH36" s="143"/>
      <c r="BWI36" s="143"/>
      <c r="BWJ36" s="143"/>
      <c r="BWK36" s="143"/>
      <c r="BWL36" s="143"/>
      <c r="BWM36" s="143"/>
      <c r="BWN36" s="143"/>
      <c r="BWO36" s="143"/>
      <c r="BWP36" s="143"/>
      <c r="BWQ36" s="143"/>
      <c r="BWR36" s="143"/>
      <c r="BWS36" s="143"/>
      <c r="BWT36" s="143"/>
      <c r="BWU36" s="143"/>
      <c r="BWV36" s="143"/>
      <c r="BWW36" s="143"/>
      <c r="BWX36" s="143"/>
      <c r="BWY36" s="143"/>
      <c r="BWZ36" s="143"/>
      <c r="BXA36" s="143"/>
      <c r="BXB36" s="143"/>
      <c r="BXC36" s="143"/>
      <c r="BXD36" s="143"/>
      <c r="BXE36" s="143"/>
      <c r="BXF36" s="143"/>
      <c r="BXG36" s="143"/>
      <c r="BXH36" s="143"/>
      <c r="BXI36" s="143"/>
      <c r="BXJ36" s="143"/>
      <c r="BXK36" s="143"/>
      <c r="BXL36" s="143"/>
      <c r="BXM36" s="143"/>
      <c r="BXN36" s="143"/>
      <c r="BXO36" s="143"/>
      <c r="BXP36" s="143"/>
      <c r="BXQ36" s="143"/>
      <c r="BXR36" s="143"/>
      <c r="BXS36" s="143"/>
      <c r="BXT36" s="143"/>
      <c r="BXU36" s="143"/>
      <c r="BXV36" s="143"/>
      <c r="BXW36" s="143"/>
      <c r="BXX36" s="143"/>
      <c r="BXY36" s="143"/>
      <c r="BXZ36" s="143"/>
      <c r="BYA36" s="143"/>
      <c r="BYB36" s="143"/>
      <c r="BYC36" s="143"/>
      <c r="BYD36" s="143"/>
      <c r="BYE36" s="143"/>
      <c r="BYF36" s="143"/>
      <c r="BYG36" s="143"/>
      <c r="BYH36" s="143"/>
      <c r="BYI36" s="143"/>
      <c r="BYJ36" s="143"/>
      <c r="BYK36" s="143"/>
      <c r="BYL36" s="143"/>
      <c r="BYM36" s="143"/>
      <c r="BYN36" s="143"/>
      <c r="BYO36" s="143"/>
      <c r="BYP36" s="143"/>
      <c r="BYQ36" s="143"/>
      <c r="BYR36" s="143"/>
      <c r="BYS36" s="143"/>
      <c r="BYT36" s="143"/>
      <c r="BYU36" s="143"/>
      <c r="BYV36" s="143"/>
      <c r="BYW36" s="143"/>
      <c r="BYX36" s="143"/>
      <c r="BYY36" s="143"/>
      <c r="BYZ36" s="143"/>
      <c r="BZA36" s="143"/>
      <c r="BZB36" s="143"/>
      <c r="BZC36" s="143"/>
      <c r="BZD36" s="143"/>
      <c r="BZE36" s="143"/>
      <c r="BZF36" s="143"/>
      <c r="BZG36" s="143"/>
      <c r="BZH36" s="143"/>
      <c r="BZI36" s="143"/>
      <c r="BZJ36" s="143"/>
      <c r="BZK36" s="143"/>
      <c r="BZL36" s="143"/>
      <c r="BZM36" s="143"/>
      <c r="BZN36" s="143"/>
      <c r="BZO36" s="143"/>
      <c r="BZP36" s="143"/>
      <c r="BZQ36" s="143"/>
      <c r="BZR36" s="143"/>
      <c r="BZS36" s="143"/>
      <c r="BZT36" s="143"/>
      <c r="BZU36" s="143"/>
      <c r="BZV36" s="143"/>
      <c r="BZW36" s="143"/>
      <c r="BZX36" s="143"/>
      <c r="BZY36" s="143"/>
      <c r="BZZ36" s="143"/>
      <c r="CAA36" s="143"/>
      <c r="CAB36" s="143"/>
      <c r="CAC36" s="143"/>
      <c r="CAD36" s="143"/>
      <c r="CAE36" s="143"/>
      <c r="CAF36" s="143"/>
      <c r="CAG36" s="143"/>
      <c r="CAH36" s="143"/>
      <c r="CAI36" s="143"/>
      <c r="CAJ36" s="143"/>
      <c r="CAK36" s="143"/>
      <c r="CAL36" s="143"/>
      <c r="CAM36" s="143"/>
      <c r="CAN36" s="143"/>
      <c r="CAO36" s="143"/>
      <c r="CAP36" s="143"/>
      <c r="CAQ36" s="143"/>
      <c r="CAR36" s="143"/>
      <c r="CAS36" s="143"/>
      <c r="CAT36" s="143"/>
      <c r="CAU36" s="143"/>
      <c r="CAV36" s="143"/>
      <c r="CAW36" s="143"/>
      <c r="CAX36" s="143"/>
      <c r="CAY36" s="143"/>
      <c r="CAZ36" s="143"/>
      <c r="CBA36" s="143"/>
      <c r="CBB36" s="143"/>
      <c r="CBC36" s="143"/>
      <c r="CBD36" s="143"/>
      <c r="CBE36" s="143"/>
      <c r="CBF36" s="143"/>
      <c r="CBG36" s="143"/>
      <c r="CBH36" s="143"/>
      <c r="CBI36" s="143"/>
      <c r="CBJ36" s="143"/>
      <c r="CBK36" s="143"/>
      <c r="CBL36" s="143"/>
      <c r="CBM36" s="143"/>
      <c r="CBN36" s="143"/>
      <c r="CBO36" s="143"/>
      <c r="CBP36" s="143"/>
      <c r="CBQ36" s="143"/>
      <c r="CBR36" s="143"/>
      <c r="CBS36" s="143"/>
      <c r="CBT36" s="143"/>
      <c r="CBU36" s="143"/>
      <c r="CBV36" s="143"/>
      <c r="CBW36" s="143"/>
      <c r="CBX36" s="143"/>
      <c r="CBY36" s="143"/>
      <c r="CBZ36" s="143"/>
      <c r="CCA36" s="143"/>
      <c r="CCB36" s="143"/>
      <c r="CCC36" s="143"/>
      <c r="CCD36" s="143"/>
      <c r="CCE36" s="143"/>
      <c r="CCF36" s="143"/>
      <c r="CCG36" s="143"/>
      <c r="CCH36" s="143"/>
      <c r="CCI36" s="143"/>
      <c r="CCJ36" s="143"/>
      <c r="CCK36" s="143"/>
      <c r="CCL36" s="143"/>
      <c r="CCM36" s="143"/>
      <c r="CCN36" s="143"/>
      <c r="CCO36" s="143"/>
      <c r="CCP36" s="143"/>
      <c r="CCQ36" s="143"/>
      <c r="CCR36" s="143"/>
      <c r="CCS36" s="143"/>
      <c r="CCT36" s="143"/>
      <c r="CCU36" s="143"/>
      <c r="CCV36" s="143"/>
      <c r="CCW36" s="143"/>
      <c r="CCX36" s="143"/>
      <c r="CCY36" s="143"/>
      <c r="CCZ36" s="143"/>
      <c r="CDA36" s="143"/>
      <c r="CDB36" s="143"/>
      <c r="CDC36" s="143"/>
      <c r="CDD36" s="143"/>
      <c r="CDE36" s="143"/>
      <c r="CDF36" s="143"/>
      <c r="CDG36" s="143"/>
      <c r="CDH36" s="143"/>
      <c r="CDI36" s="143"/>
      <c r="CDJ36" s="143"/>
      <c r="CDK36" s="143"/>
      <c r="CDL36" s="143"/>
      <c r="CDM36" s="143"/>
      <c r="CDN36" s="143"/>
      <c r="CDO36" s="143"/>
      <c r="CDP36" s="143"/>
      <c r="CDQ36" s="143"/>
      <c r="CDR36" s="143"/>
      <c r="CDS36" s="143"/>
      <c r="CDT36" s="143"/>
      <c r="CDU36" s="143"/>
      <c r="CDV36" s="143"/>
      <c r="CDW36" s="143"/>
      <c r="CDX36" s="143"/>
      <c r="CDY36" s="143"/>
      <c r="CDZ36" s="143"/>
      <c r="CEA36" s="143"/>
      <c r="CEB36" s="143"/>
      <c r="CEC36" s="143"/>
      <c r="CED36" s="143"/>
      <c r="CEE36" s="143"/>
      <c r="CEF36" s="143"/>
      <c r="CEG36" s="143"/>
      <c r="CEH36" s="143"/>
      <c r="CEI36" s="143"/>
      <c r="CEJ36" s="143"/>
      <c r="CEK36" s="143"/>
      <c r="CEL36" s="143"/>
      <c r="CEM36" s="143"/>
      <c r="CEN36" s="143"/>
      <c r="CEO36" s="143"/>
      <c r="CEP36" s="143"/>
      <c r="CEQ36" s="143"/>
      <c r="CER36" s="143"/>
      <c r="CES36" s="143"/>
      <c r="CET36" s="143"/>
      <c r="CEU36" s="143"/>
      <c r="CEV36" s="143"/>
      <c r="CEW36" s="143"/>
      <c r="CEX36" s="143"/>
      <c r="CEY36" s="143"/>
      <c r="CEZ36" s="143"/>
      <c r="CFA36" s="143"/>
      <c r="CFB36" s="143"/>
      <c r="CFC36" s="143"/>
      <c r="CFD36" s="143"/>
      <c r="CFE36" s="143"/>
      <c r="CFF36" s="143"/>
      <c r="CFG36" s="143"/>
      <c r="CFH36" s="143"/>
      <c r="CFI36" s="143"/>
      <c r="CFJ36" s="143"/>
      <c r="CFK36" s="143"/>
      <c r="CFL36" s="143"/>
      <c r="CFM36" s="143"/>
      <c r="CFN36" s="143"/>
      <c r="CFO36" s="143"/>
      <c r="CFP36" s="143"/>
      <c r="CFQ36" s="143"/>
      <c r="CFR36" s="143"/>
      <c r="CFS36" s="143"/>
      <c r="CFT36" s="143"/>
      <c r="CFU36" s="143"/>
      <c r="CFV36" s="143"/>
      <c r="CFW36" s="143"/>
      <c r="CFX36" s="143"/>
      <c r="CFY36" s="143"/>
      <c r="CFZ36" s="143"/>
      <c r="CGA36" s="143"/>
      <c r="CGB36" s="143"/>
      <c r="CGC36" s="143"/>
      <c r="CGD36" s="143"/>
      <c r="CGE36" s="143"/>
      <c r="CGF36" s="143"/>
      <c r="CGG36" s="143"/>
      <c r="CGH36" s="143"/>
      <c r="CGI36" s="143"/>
      <c r="CGJ36" s="143"/>
      <c r="CGK36" s="143"/>
      <c r="CGL36" s="143"/>
      <c r="CGM36" s="143"/>
      <c r="CGN36" s="143"/>
      <c r="CGO36" s="143"/>
      <c r="CGP36" s="143"/>
      <c r="CGQ36" s="143"/>
      <c r="CGR36" s="143"/>
      <c r="CGS36" s="143"/>
      <c r="CGT36" s="143"/>
      <c r="CGU36" s="143"/>
      <c r="CGV36" s="143"/>
      <c r="CGW36" s="143"/>
      <c r="CGX36" s="143"/>
      <c r="CGY36" s="143"/>
      <c r="CGZ36" s="143"/>
      <c r="CHA36" s="143"/>
      <c r="CHB36" s="143"/>
      <c r="CHC36" s="143"/>
      <c r="CHD36" s="143"/>
      <c r="CHE36" s="143"/>
      <c r="CHF36" s="143"/>
      <c r="CHG36" s="143"/>
      <c r="CHH36" s="143"/>
      <c r="CHI36" s="143"/>
      <c r="CHJ36" s="143"/>
      <c r="CHK36" s="143"/>
      <c r="CHL36" s="143"/>
      <c r="CHM36" s="143"/>
      <c r="CHN36" s="143"/>
      <c r="CHO36" s="143"/>
      <c r="CHP36" s="143"/>
      <c r="CHQ36" s="143"/>
      <c r="CHR36" s="143"/>
      <c r="CHS36" s="143"/>
      <c r="CHT36" s="143"/>
      <c r="CHU36" s="143"/>
      <c r="CHV36" s="143"/>
      <c r="CHW36" s="143"/>
      <c r="CHX36" s="143"/>
      <c r="CHY36" s="143"/>
      <c r="CHZ36" s="143"/>
      <c r="CIA36" s="143"/>
      <c r="CIB36" s="143"/>
      <c r="CIC36" s="143"/>
      <c r="CID36" s="143"/>
      <c r="CIE36" s="143"/>
      <c r="CIF36" s="143"/>
      <c r="CIG36" s="143"/>
      <c r="CIH36" s="143"/>
      <c r="CII36" s="143"/>
      <c r="CIJ36" s="143"/>
      <c r="CIK36" s="143"/>
      <c r="CIL36" s="143"/>
      <c r="CIM36" s="143"/>
      <c r="CIN36" s="143"/>
      <c r="CIO36" s="143"/>
      <c r="CIP36" s="143"/>
      <c r="CIQ36" s="143"/>
      <c r="CIR36" s="143"/>
      <c r="CIS36" s="143"/>
      <c r="CIT36" s="143"/>
      <c r="CIU36" s="143"/>
      <c r="CIV36" s="143"/>
      <c r="CIW36" s="143"/>
      <c r="CIX36" s="143"/>
      <c r="CIY36" s="143"/>
      <c r="CIZ36" s="143"/>
      <c r="CJA36" s="143"/>
      <c r="CJB36" s="143"/>
      <c r="CJC36" s="143"/>
      <c r="CJD36" s="143"/>
      <c r="CJE36" s="143"/>
      <c r="CJF36" s="143"/>
      <c r="CJG36" s="143"/>
      <c r="CJH36" s="143"/>
      <c r="CJI36" s="143"/>
      <c r="CJJ36" s="143"/>
      <c r="CJK36" s="143"/>
      <c r="CJL36" s="143"/>
      <c r="CJM36" s="143"/>
      <c r="CJN36" s="143"/>
      <c r="CJO36" s="143"/>
      <c r="CJP36" s="143"/>
      <c r="CJQ36" s="143"/>
      <c r="CJR36" s="143"/>
      <c r="CJS36" s="143"/>
      <c r="CJT36" s="143"/>
      <c r="CJU36" s="143"/>
      <c r="CJV36" s="143"/>
      <c r="CJW36" s="143"/>
      <c r="CJX36" s="143"/>
      <c r="CJY36" s="143"/>
      <c r="CJZ36" s="143"/>
      <c r="CKA36" s="143"/>
      <c r="CKB36" s="143"/>
      <c r="CKC36" s="143"/>
      <c r="CKD36" s="143"/>
      <c r="CKE36" s="143"/>
      <c r="CKF36" s="143"/>
      <c r="CKG36" s="143"/>
      <c r="CKH36" s="143"/>
      <c r="CKI36" s="143"/>
      <c r="CKJ36" s="143"/>
      <c r="CKK36" s="143"/>
      <c r="CKL36" s="143"/>
      <c r="CKM36" s="143"/>
      <c r="CKN36" s="143"/>
      <c r="CKO36" s="143"/>
      <c r="CKP36" s="143"/>
      <c r="CKQ36" s="143"/>
      <c r="CKR36" s="143"/>
      <c r="CKS36" s="143"/>
      <c r="CKT36" s="143"/>
      <c r="CKU36" s="143"/>
      <c r="CKV36" s="143"/>
      <c r="CKW36" s="143"/>
      <c r="CKX36" s="143"/>
      <c r="CKY36" s="143"/>
      <c r="CKZ36" s="143"/>
      <c r="CLA36" s="143"/>
      <c r="CLB36" s="143"/>
      <c r="CLC36" s="143"/>
      <c r="CLD36" s="143"/>
      <c r="CLE36" s="143"/>
      <c r="CLF36" s="143"/>
      <c r="CLG36" s="143"/>
      <c r="CLH36" s="143"/>
      <c r="CLI36" s="143"/>
      <c r="CLJ36" s="143"/>
      <c r="CLK36" s="143"/>
      <c r="CLL36" s="143"/>
      <c r="CLM36" s="143"/>
      <c r="CLN36" s="143"/>
      <c r="CLO36" s="143"/>
      <c r="CLP36" s="143"/>
      <c r="CLQ36" s="143"/>
      <c r="CLR36" s="143"/>
      <c r="CLS36" s="143"/>
      <c r="CLT36" s="143"/>
      <c r="CLU36" s="143"/>
      <c r="CLV36" s="143"/>
      <c r="CLW36" s="143"/>
      <c r="CLX36" s="143"/>
      <c r="CLY36" s="143"/>
      <c r="CLZ36" s="143"/>
      <c r="CMA36" s="143"/>
      <c r="CMB36" s="143"/>
      <c r="CMC36" s="143"/>
      <c r="CMD36" s="143"/>
      <c r="CME36" s="143"/>
      <c r="CMF36" s="143"/>
      <c r="CMG36" s="143"/>
      <c r="CMH36" s="143"/>
      <c r="CMI36" s="143"/>
      <c r="CMJ36" s="143"/>
      <c r="CMK36" s="143"/>
      <c r="CML36" s="143"/>
      <c r="CMM36" s="143"/>
      <c r="CMN36" s="143"/>
      <c r="CMO36" s="143"/>
      <c r="CMP36" s="143"/>
      <c r="CMQ36" s="143"/>
      <c r="CMR36" s="143"/>
      <c r="CMS36" s="143"/>
      <c r="CMT36" s="143"/>
      <c r="CMU36" s="143"/>
      <c r="CMV36" s="143"/>
      <c r="CMW36" s="143"/>
      <c r="CMX36" s="143"/>
      <c r="CMY36" s="143"/>
      <c r="CMZ36" s="143"/>
      <c r="CNA36" s="143"/>
      <c r="CNB36" s="143"/>
      <c r="CNC36" s="143"/>
      <c r="CND36" s="143"/>
      <c r="CNE36" s="143"/>
      <c r="CNF36" s="143"/>
      <c r="CNG36" s="143"/>
      <c r="CNH36" s="143"/>
      <c r="CNI36" s="143"/>
      <c r="CNJ36" s="143"/>
      <c r="CNK36" s="143"/>
      <c r="CNL36" s="143"/>
      <c r="CNM36" s="143"/>
      <c r="CNN36" s="143"/>
      <c r="CNO36" s="143"/>
      <c r="CNP36" s="143"/>
      <c r="CNQ36" s="143"/>
      <c r="CNR36" s="143"/>
      <c r="CNS36" s="143"/>
      <c r="CNT36" s="143"/>
      <c r="CNU36" s="143"/>
      <c r="CNV36" s="143"/>
      <c r="CNW36" s="143"/>
      <c r="CNX36" s="143"/>
      <c r="CNY36" s="143"/>
      <c r="CNZ36" s="143"/>
      <c r="COA36" s="143"/>
      <c r="COB36" s="143"/>
      <c r="COC36" s="143"/>
      <c r="COD36" s="143"/>
      <c r="COE36" s="143"/>
      <c r="COF36" s="143"/>
      <c r="COG36" s="143"/>
      <c r="COH36" s="143"/>
      <c r="COI36" s="143"/>
      <c r="COJ36" s="143"/>
      <c r="COK36" s="143"/>
      <c r="COL36" s="143"/>
      <c r="COM36" s="143"/>
      <c r="CON36" s="143"/>
      <c r="COO36" s="143"/>
      <c r="COP36" s="143"/>
      <c r="COQ36" s="143"/>
      <c r="COR36" s="143"/>
      <c r="COS36" s="143"/>
      <c r="COT36" s="143"/>
      <c r="COU36" s="143"/>
      <c r="COV36" s="143"/>
      <c r="COW36" s="143"/>
      <c r="COX36" s="143"/>
      <c r="COY36" s="143"/>
      <c r="COZ36" s="143"/>
      <c r="CPA36" s="143"/>
      <c r="CPB36" s="143"/>
      <c r="CPC36" s="143"/>
      <c r="CPD36" s="143"/>
      <c r="CPE36" s="143"/>
      <c r="CPF36" s="143"/>
      <c r="CPG36" s="143"/>
      <c r="CPH36" s="143"/>
      <c r="CPI36" s="143"/>
      <c r="CPJ36" s="143"/>
      <c r="CPK36" s="143"/>
      <c r="CPL36" s="143"/>
      <c r="CPM36" s="143"/>
      <c r="CPN36" s="143"/>
      <c r="CPO36" s="143"/>
      <c r="CPP36" s="143"/>
      <c r="CPQ36" s="143"/>
      <c r="CPR36" s="143"/>
      <c r="CPS36" s="143"/>
      <c r="CPT36" s="143"/>
      <c r="CPU36" s="143"/>
      <c r="CPV36" s="143"/>
      <c r="CPW36" s="143"/>
      <c r="CPX36" s="143"/>
      <c r="CPY36" s="143"/>
      <c r="CPZ36" s="143"/>
      <c r="CQA36" s="143"/>
      <c r="CQB36" s="143"/>
      <c r="CQC36" s="143"/>
      <c r="CQD36" s="143"/>
      <c r="CQE36" s="143"/>
      <c r="CQF36" s="143"/>
      <c r="CQG36" s="143"/>
      <c r="CQH36" s="143"/>
      <c r="CQI36" s="143"/>
      <c r="CQJ36" s="143"/>
      <c r="CQK36" s="143"/>
      <c r="CQL36" s="143"/>
      <c r="CQM36" s="143"/>
      <c r="CQN36" s="143"/>
      <c r="CQO36" s="143"/>
      <c r="CQP36" s="143"/>
      <c r="CQQ36" s="143"/>
      <c r="CQR36" s="143"/>
      <c r="CQS36" s="143"/>
      <c r="CQT36" s="143"/>
      <c r="CQU36" s="143"/>
      <c r="CQV36" s="143"/>
      <c r="CQW36" s="143"/>
      <c r="CQX36" s="143"/>
      <c r="CQY36" s="143"/>
      <c r="CQZ36" s="143"/>
      <c r="CRA36" s="143"/>
      <c r="CRB36" s="143"/>
      <c r="CRC36" s="143"/>
      <c r="CRD36" s="143"/>
      <c r="CRE36" s="143"/>
      <c r="CRF36" s="143"/>
      <c r="CRG36" s="143"/>
      <c r="CRH36" s="143"/>
      <c r="CRI36" s="143"/>
      <c r="CRJ36" s="143"/>
      <c r="CRK36" s="143"/>
      <c r="CRL36" s="143"/>
      <c r="CRM36" s="143"/>
      <c r="CRN36" s="143"/>
      <c r="CRO36" s="143"/>
      <c r="CRP36" s="143"/>
      <c r="CRQ36" s="143"/>
      <c r="CRR36" s="143"/>
      <c r="CRS36" s="143"/>
      <c r="CRT36" s="143"/>
      <c r="CRU36" s="143"/>
      <c r="CRV36" s="143"/>
      <c r="CRW36" s="143"/>
      <c r="CRX36" s="143"/>
      <c r="CRY36" s="143"/>
      <c r="CRZ36" s="143"/>
      <c r="CSA36" s="143"/>
      <c r="CSB36" s="143"/>
      <c r="CSC36" s="143"/>
      <c r="CSD36" s="143"/>
      <c r="CSE36" s="143"/>
      <c r="CSF36" s="143"/>
      <c r="CSG36" s="143"/>
      <c r="CSH36" s="143"/>
      <c r="CSI36" s="143"/>
      <c r="CSJ36" s="143"/>
      <c r="CSK36" s="143"/>
      <c r="CSL36" s="143"/>
      <c r="CSM36" s="143"/>
      <c r="CSN36" s="143"/>
      <c r="CSO36" s="143"/>
      <c r="CSP36" s="143"/>
      <c r="CSQ36" s="143"/>
      <c r="CSR36" s="143"/>
      <c r="CSS36" s="143"/>
      <c r="CST36" s="143"/>
      <c r="CSU36" s="143"/>
      <c r="CSV36" s="143"/>
      <c r="CSW36" s="143"/>
      <c r="CSX36" s="143"/>
      <c r="CSY36" s="143"/>
      <c r="CSZ36" s="143"/>
      <c r="CTA36" s="143"/>
      <c r="CTB36" s="143"/>
      <c r="CTC36" s="143"/>
      <c r="CTD36" s="143"/>
      <c r="CTE36" s="143"/>
      <c r="CTF36" s="143"/>
      <c r="CTG36" s="143"/>
      <c r="CTH36" s="143"/>
      <c r="CTI36" s="143"/>
      <c r="CTJ36" s="143"/>
      <c r="CTK36" s="143"/>
      <c r="CTL36" s="143"/>
      <c r="CTM36" s="143"/>
      <c r="CTN36" s="143"/>
      <c r="CTO36" s="143"/>
      <c r="CTP36" s="143"/>
      <c r="CTQ36" s="143"/>
      <c r="CTR36" s="143"/>
      <c r="CTS36" s="143"/>
      <c r="CTT36" s="143"/>
      <c r="CTU36" s="143"/>
      <c r="CTV36" s="143"/>
      <c r="CTW36" s="143"/>
      <c r="CTX36" s="143"/>
      <c r="CTY36" s="143"/>
      <c r="CTZ36" s="143"/>
      <c r="CUA36" s="143"/>
      <c r="CUB36" s="143"/>
      <c r="CUC36" s="143"/>
      <c r="CUD36" s="143"/>
      <c r="CUE36" s="143"/>
      <c r="CUF36" s="143"/>
      <c r="CUG36" s="143"/>
      <c r="CUH36" s="143"/>
      <c r="CUI36" s="143"/>
      <c r="CUJ36" s="143"/>
      <c r="CUK36" s="143"/>
      <c r="CUL36" s="143"/>
      <c r="CUM36" s="143"/>
      <c r="CUN36" s="143"/>
      <c r="CUO36" s="143"/>
      <c r="CUP36" s="143"/>
      <c r="CUQ36" s="143"/>
      <c r="CUR36" s="143"/>
      <c r="CUS36" s="143"/>
      <c r="CUT36" s="143"/>
      <c r="CUU36" s="143"/>
      <c r="CUV36" s="143"/>
      <c r="CUW36" s="143"/>
      <c r="CUX36" s="143"/>
      <c r="CUY36" s="143"/>
      <c r="CUZ36" s="143"/>
      <c r="CVA36" s="143"/>
      <c r="CVB36" s="143"/>
      <c r="CVC36" s="143"/>
      <c r="CVD36" s="143"/>
      <c r="CVE36" s="143"/>
      <c r="CVF36" s="143"/>
      <c r="CVG36" s="143"/>
      <c r="CVH36" s="143"/>
      <c r="CVI36" s="143"/>
      <c r="CVJ36" s="143"/>
      <c r="CVK36" s="143"/>
      <c r="CVL36" s="143"/>
      <c r="CVM36" s="143"/>
      <c r="CVN36" s="143"/>
      <c r="CVO36" s="143"/>
      <c r="CVP36" s="143"/>
      <c r="CVQ36" s="143"/>
      <c r="CVR36" s="143"/>
      <c r="CVS36" s="143"/>
      <c r="CVT36" s="143"/>
      <c r="CVU36" s="143"/>
      <c r="CVV36" s="143"/>
      <c r="CVW36" s="143"/>
      <c r="CVX36" s="143"/>
      <c r="CVY36" s="143"/>
      <c r="CVZ36" s="143"/>
      <c r="CWA36" s="143"/>
      <c r="CWB36" s="143"/>
      <c r="CWC36" s="143"/>
      <c r="CWD36" s="143"/>
      <c r="CWE36" s="143"/>
      <c r="CWF36" s="143"/>
      <c r="CWG36" s="143"/>
      <c r="CWH36" s="143"/>
      <c r="CWI36" s="143"/>
      <c r="CWJ36" s="143"/>
      <c r="CWK36" s="143"/>
      <c r="CWL36" s="143"/>
      <c r="CWM36" s="143"/>
      <c r="CWN36" s="143"/>
      <c r="CWO36" s="143"/>
      <c r="CWP36" s="143"/>
      <c r="CWQ36" s="143"/>
      <c r="CWR36" s="143"/>
      <c r="CWS36" s="143"/>
      <c r="CWT36" s="143"/>
      <c r="CWU36" s="143"/>
      <c r="CWV36" s="143"/>
      <c r="CWW36" s="143"/>
      <c r="CWX36" s="143"/>
      <c r="CWY36" s="143"/>
      <c r="CWZ36" s="143"/>
      <c r="CXA36" s="143"/>
      <c r="CXB36" s="143"/>
      <c r="CXC36" s="143"/>
      <c r="CXD36" s="143"/>
      <c r="CXE36" s="143"/>
      <c r="CXF36" s="143"/>
      <c r="CXG36" s="143"/>
      <c r="CXH36" s="143"/>
      <c r="CXI36" s="143"/>
      <c r="CXJ36" s="143"/>
      <c r="CXK36" s="143"/>
      <c r="CXL36" s="143"/>
      <c r="CXM36" s="143"/>
      <c r="CXN36" s="143"/>
      <c r="CXO36" s="143"/>
      <c r="CXP36" s="143"/>
      <c r="CXQ36" s="143"/>
      <c r="CXR36" s="143"/>
      <c r="CXS36" s="143"/>
      <c r="CXT36" s="143"/>
      <c r="CXU36" s="143"/>
      <c r="CXV36" s="143"/>
      <c r="CXW36" s="143"/>
      <c r="CXX36" s="143"/>
      <c r="CXY36" s="143"/>
      <c r="CXZ36" s="143"/>
      <c r="CYA36" s="143"/>
      <c r="CYB36" s="143"/>
      <c r="CYC36" s="143"/>
      <c r="CYD36" s="143"/>
      <c r="CYE36" s="143"/>
      <c r="CYF36" s="143"/>
      <c r="CYG36" s="143"/>
      <c r="CYH36" s="143"/>
      <c r="CYI36" s="143"/>
      <c r="CYJ36" s="143"/>
      <c r="CYK36" s="143"/>
      <c r="CYL36" s="143"/>
      <c r="CYM36" s="143"/>
      <c r="CYN36" s="143"/>
      <c r="CYO36" s="143"/>
      <c r="CYP36" s="143"/>
      <c r="CYQ36" s="143"/>
      <c r="CYR36" s="143"/>
      <c r="CYS36" s="143"/>
      <c r="CYT36" s="143"/>
      <c r="CYU36" s="143"/>
      <c r="CYV36" s="143"/>
      <c r="CYW36" s="143"/>
      <c r="CYX36" s="143"/>
      <c r="CYY36" s="143"/>
      <c r="CYZ36" s="143"/>
      <c r="CZA36" s="143"/>
      <c r="CZB36" s="143"/>
      <c r="CZC36" s="143"/>
      <c r="CZD36" s="143"/>
      <c r="CZE36" s="143"/>
      <c r="CZF36" s="143"/>
      <c r="CZG36" s="143"/>
      <c r="CZH36" s="143"/>
      <c r="CZI36" s="143"/>
      <c r="CZJ36" s="143"/>
      <c r="CZK36" s="143"/>
      <c r="CZL36" s="143"/>
      <c r="CZM36" s="143"/>
      <c r="CZN36" s="143"/>
      <c r="CZO36" s="143"/>
      <c r="CZP36" s="143"/>
      <c r="CZQ36" s="143"/>
      <c r="CZR36" s="143"/>
      <c r="CZS36" s="143"/>
      <c r="CZT36" s="143"/>
      <c r="CZU36" s="143"/>
      <c r="CZV36" s="143"/>
      <c r="CZW36" s="143"/>
      <c r="CZX36" s="143"/>
      <c r="CZY36" s="143"/>
      <c r="CZZ36" s="143"/>
      <c r="DAA36" s="143"/>
      <c r="DAB36" s="143"/>
      <c r="DAC36" s="143"/>
      <c r="DAD36" s="143"/>
      <c r="DAE36" s="143"/>
      <c r="DAF36" s="143"/>
      <c r="DAG36" s="143"/>
      <c r="DAH36" s="143"/>
      <c r="DAI36" s="143"/>
      <c r="DAJ36" s="143"/>
      <c r="DAK36" s="143"/>
      <c r="DAL36" s="143"/>
      <c r="DAM36" s="143"/>
      <c r="DAN36" s="143"/>
      <c r="DAO36" s="143"/>
      <c r="DAP36" s="143"/>
      <c r="DAQ36" s="143"/>
      <c r="DAR36" s="143"/>
      <c r="DAS36" s="143"/>
      <c r="DAT36" s="143"/>
      <c r="DAU36" s="143"/>
      <c r="DAV36" s="143"/>
      <c r="DAW36" s="143"/>
      <c r="DAX36" s="143"/>
      <c r="DAY36" s="143"/>
      <c r="DAZ36" s="143"/>
      <c r="DBA36" s="143"/>
      <c r="DBB36" s="143"/>
      <c r="DBC36" s="143"/>
      <c r="DBD36" s="143"/>
      <c r="DBE36" s="143"/>
      <c r="DBF36" s="143"/>
      <c r="DBG36" s="143"/>
      <c r="DBH36" s="143"/>
      <c r="DBI36" s="143"/>
      <c r="DBJ36" s="143"/>
      <c r="DBK36" s="143"/>
      <c r="DBL36" s="143"/>
      <c r="DBM36" s="143"/>
      <c r="DBN36" s="143"/>
      <c r="DBO36" s="143"/>
      <c r="DBP36" s="143"/>
      <c r="DBQ36" s="143"/>
      <c r="DBR36" s="143"/>
      <c r="DBS36" s="143"/>
      <c r="DBT36" s="143"/>
      <c r="DBU36" s="143"/>
      <c r="DBV36" s="143"/>
      <c r="DBW36" s="143"/>
      <c r="DBX36" s="143"/>
      <c r="DBY36" s="143"/>
      <c r="DBZ36" s="143"/>
      <c r="DCA36" s="143"/>
      <c r="DCB36" s="143"/>
      <c r="DCC36" s="143"/>
      <c r="DCD36" s="143"/>
      <c r="DCE36" s="143"/>
      <c r="DCF36" s="143"/>
      <c r="DCG36" s="143"/>
      <c r="DCH36" s="143"/>
      <c r="DCI36" s="143"/>
      <c r="DCJ36" s="143"/>
      <c r="DCK36" s="143"/>
      <c r="DCL36" s="143"/>
      <c r="DCM36" s="143"/>
      <c r="DCN36" s="143"/>
      <c r="DCO36" s="143"/>
      <c r="DCP36" s="143"/>
      <c r="DCQ36" s="143"/>
      <c r="DCR36" s="143"/>
      <c r="DCS36" s="143"/>
      <c r="DCT36" s="143"/>
      <c r="DCU36" s="143"/>
      <c r="DCV36" s="143"/>
      <c r="DCW36" s="143"/>
      <c r="DCX36" s="143"/>
      <c r="DCY36" s="143"/>
      <c r="DCZ36" s="143"/>
      <c r="DDA36" s="143"/>
      <c r="DDB36" s="143"/>
      <c r="DDC36" s="143"/>
      <c r="DDD36" s="143"/>
      <c r="DDE36" s="143"/>
      <c r="DDF36" s="143"/>
      <c r="DDG36" s="143"/>
      <c r="DDH36" s="143"/>
      <c r="DDI36" s="143"/>
      <c r="DDJ36" s="143"/>
      <c r="DDK36" s="143"/>
      <c r="DDL36" s="143"/>
      <c r="DDM36" s="143"/>
      <c r="DDN36" s="143"/>
      <c r="DDO36" s="143"/>
      <c r="DDP36" s="143"/>
      <c r="DDQ36" s="143"/>
      <c r="DDR36" s="143"/>
      <c r="DDS36" s="143"/>
      <c r="DDT36" s="143"/>
      <c r="DDU36" s="143"/>
      <c r="DDV36" s="143"/>
      <c r="DDW36" s="143"/>
      <c r="DDX36" s="143"/>
      <c r="DDY36" s="143"/>
      <c r="DDZ36" s="143"/>
      <c r="DEA36" s="143"/>
      <c r="DEB36" s="143"/>
      <c r="DEC36" s="143"/>
      <c r="DED36" s="143"/>
      <c r="DEE36" s="143"/>
      <c r="DEF36" s="143"/>
      <c r="DEG36" s="143"/>
      <c r="DEH36" s="143"/>
      <c r="DEI36" s="143"/>
      <c r="DEJ36" s="143"/>
      <c r="DEK36" s="143"/>
      <c r="DEL36" s="143"/>
      <c r="DEM36" s="143"/>
      <c r="DEN36" s="143"/>
      <c r="DEO36" s="143"/>
      <c r="DEP36" s="143"/>
      <c r="DEQ36" s="143"/>
      <c r="DER36" s="143"/>
      <c r="DES36" s="143"/>
      <c r="DET36" s="143"/>
      <c r="DEU36" s="143"/>
      <c r="DEV36" s="143"/>
      <c r="DEW36" s="143"/>
      <c r="DEX36" s="143"/>
      <c r="DEY36" s="143"/>
      <c r="DEZ36" s="143"/>
      <c r="DFA36" s="143"/>
      <c r="DFB36" s="143"/>
      <c r="DFC36" s="143"/>
      <c r="DFD36" s="143"/>
      <c r="DFE36" s="143"/>
      <c r="DFF36" s="143"/>
      <c r="DFG36" s="143"/>
      <c r="DFH36" s="143"/>
      <c r="DFI36" s="143"/>
      <c r="DFJ36" s="143"/>
      <c r="DFK36" s="143"/>
      <c r="DFL36" s="143"/>
      <c r="DFM36" s="143"/>
      <c r="DFN36" s="143"/>
      <c r="DFO36" s="143"/>
      <c r="DFP36" s="143"/>
      <c r="DFQ36" s="143"/>
      <c r="DFR36" s="143"/>
      <c r="DFS36" s="143"/>
      <c r="DFT36" s="143"/>
      <c r="DFU36" s="143"/>
      <c r="DFV36" s="143"/>
      <c r="DFW36" s="143"/>
      <c r="DFX36" s="143"/>
      <c r="DFY36" s="143"/>
      <c r="DFZ36" s="143"/>
      <c r="DGA36" s="143"/>
      <c r="DGB36" s="143"/>
      <c r="DGC36" s="143"/>
      <c r="DGD36" s="143"/>
      <c r="DGE36" s="143"/>
      <c r="DGF36" s="143"/>
      <c r="DGG36" s="143"/>
      <c r="DGH36" s="143"/>
      <c r="DGI36" s="143"/>
      <c r="DGJ36" s="143"/>
      <c r="DGK36" s="143"/>
      <c r="DGL36" s="143"/>
      <c r="DGM36" s="143"/>
      <c r="DGN36" s="143"/>
      <c r="DGO36" s="143"/>
      <c r="DGP36" s="143"/>
      <c r="DGQ36" s="143"/>
      <c r="DGR36" s="143"/>
      <c r="DGS36" s="143"/>
      <c r="DGT36" s="143"/>
      <c r="DGU36" s="143"/>
      <c r="DGV36" s="143"/>
      <c r="DGW36" s="143"/>
      <c r="DGX36" s="143"/>
      <c r="DGY36" s="143"/>
      <c r="DGZ36" s="143"/>
      <c r="DHA36" s="143"/>
      <c r="DHB36" s="143"/>
      <c r="DHC36" s="143"/>
      <c r="DHD36" s="143"/>
      <c r="DHE36" s="143"/>
      <c r="DHF36" s="143"/>
      <c r="DHG36" s="143"/>
      <c r="DHH36" s="143"/>
      <c r="DHI36" s="143"/>
      <c r="DHJ36" s="143"/>
      <c r="DHK36" s="143"/>
      <c r="DHL36" s="143"/>
      <c r="DHM36" s="143"/>
      <c r="DHN36" s="143"/>
      <c r="DHO36" s="143"/>
      <c r="DHP36" s="143"/>
      <c r="DHQ36" s="143"/>
      <c r="DHR36" s="143"/>
      <c r="DHS36" s="143"/>
      <c r="DHT36" s="143"/>
      <c r="DHU36" s="143"/>
      <c r="DHV36" s="143"/>
      <c r="DHW36" s="143"/>
      <c r="DHX36" s="143"/>
      <c r="DHY36" s="143"/>
      <c r="DHZ36" s="143"/>
      <c r="DIA36" s="143"/>
      <c r="DIB36" s="143"/>
      <c r="DIC36" s="143"/>
      <c r="DID36" s="143"/>
      <c r="DIE36" s="143"/>
      <c r="DIF36" s="143"/>
      <c r="DIG36" s="143"/>
      <c r="DIH36" s="143"/>
      <c r="DII36" s="143"/>
      <c r="DIJ36" s="143"/>
      <c r="DIK36" s="143"/>
      <c r="DIL36" s="143"/>
      <c r="DIM36" s="143"/>
      <c r="DIN36" s="143"/>
      <c r="DIO36" s="143"/>
      <c r="DIP36" s="143"/>
      <c r="DIQ36" s="143"/>
      <c r="DIR36" s="143"/>
      <c r="DIS36" s="143"/>
      <c r="DIT36" s="143"/>
      <c r="DIU36" s="143"/>
      <c r="DIV36" s="143"/>
      <c r="DIW36" s="143"/>
      <c r="DIX36" s="143"/>
      <c r="DIY36" s="143"/>
      <c r="DIZ36" s="143"/>
      <c r="DJA36" s="143"/>
      <c r="DJB36" s="143"/>
      <c r="DJC36" s="143"/>
      <c r="DJD36" s="143"/>
      <c r="DJE36" s="143"/>
      <c r="DJF36" s="143"/>
      <c r="DJG36" s="143"/>
      <c r="DJH36" s="143"/>
      <c r="DJI36" s="143"/>
      <c r="DJJ36" s="143"/>
      <c r="DJK36" s="143"/>
      <c r="DJL36" s="143"/>
      <c r="DJM36" s="143"/>
      <c r="DJN36" s="143"/>
      <c r="DJO36" s="143"/>
      <c r="DJP36" s="143"/>
      <c r="DJQ36" s="143"/>
      <c r="DJR36" s="143"/>
      <c r="DJS36" s="143"/>
      <c r="DJT36" s="143"/>
      <c r="DJU36" s="143"/>
      <c r="DJV36" s="143"/>
      <c r="DJW36" s="143"/>
      <c r="DJX36" s="143"/>
      <c r="DJY36" s="143"/>
      <c r="DJZ36" s="143"/>
      <c r="DKA36" s="143"/>
      <c r="DKB36" s="143"/>
      <c r="DKC36" s="143"/>
      <c r="DKD36" s="143"/>
      <c r="DKE36" s="143"/>
      <c r="DKF36" s="143"/>
      <c r="DKG36" s="143"/>
      <c r="DKH36" s="143"/>
      <c r="DKI36" s="143"/>
      <c r="DKJ36" s="143"/>
      <c r="DKK36" s="143"/>
      <c r="DKL36" s="143"/>
      <c r="DKM36" s="143"/>
      <c r="DKN36" s="143"/>
      <c r="DKO36" s="143"/>
      <c r="DKP36" s="143"/>
      <c r="DKQ36" s="143"/>
      <c r="DKR36" s="143"/>
      <c r="DKS36" s="143"/>
      <c r="DKT36" s="143"/>
      <c r="DKU36" s="143"/>
      <c r="DKV36" s="143"/>
      <c r="DKW36" s="143"/>
      <c r="DKX36" s="143"/>
      <c r="DKY36" s="143"/>
      <c r="DKZ36" s="143"/>
      <c r="DLA36" s="143"/>
      <c r="DLB36" s="143"/>
      <c r="DLC36" s="143"/>
      <c r="DLD36" s="143"/>
      <c r="DLE36" s="143"/>
      <c r="DLF36" s="143"/>
      <c r="DLG36" s="143"/>
      <c r="DLH36" s="143"/>
      <c r="DLI36" s="143"/>
      <c r="DLJ36" s="143"/>
      <c r="DLK36" s="143"/>
      <c r="DLL36" s="143"/>
      <c r="DLM36" s="143"/>
      <c r="DLN36" s="143"/>
      <c r="DLO36" s="143"/>
      <c r="DLP36" s="143"/>
      <c r="DLQ36" s="143"/>
      <c r="DLR36" s="143"/>
      <c r="DLS36" s="143"/>
      <c r="DLT36" s="143"/>
      <c r="DLU36" s="143"/>
      <c r="DLV36" s="143"/>
      <c r="DLW36" s="143"/>
      <c r="DLX36" s="143"/>
      <c r="DLY36" s="143"/>
      <c r="DLZ36" s="143"/>
      <c r="DMA36" s="143"/>
      <c r="DMB36" s="143"/>
      <c r="DMC36" s="143"/>
      <c r="DMD36" s="143"/>
      <c r="DME36" s="143"/>
      <c r="DMF36" s="143"/>
      <c r="DMG36" s="143"/>
      <c r="DMH36" s="143"/>
      <c r="DMI36" s="143"/>
      <c r="DMJ36" s="143"/>
      <c r="DMK36" s="143"/>
      <c r="DML36" s="143"/>
      <c r="DMM36" s="143"/>
      <c r="DMN36" s="143"/>
      <c r="DMO36" s="143"/>
      <c r="DMP36" s="143"/>
      <c r="DMQ36" s="143"/>
      <c r="DMR36" s="143"/>
      <c r="DMS36" s="143"/>
      <c r="DMT36" s="143"/>
      <c r="DMU36" s="143"/>
      <c r="DMV36" s="143"/>
      <c r="DMW36" s="143"/>
      <c r="DMX36" s="143"/>
      <c r="DMY36" s="143"/>
      <c r="DMZ36" s="143"/>
      <c r="DNA36" s="143"/>
      <c r="DNB36" s="143"/>
      <c r="DNC36" s="143"/>
      <c r="DND36" s="143"/>
      <c r="DNE36" s="143"/>
      <c r="DNF36" s="143"/>
      <c r="DNG36" s="143"/>
      <c r="DNH36" s="143"/>
      <c r="DNI36" s="143"/>
      <c r="DNJ36" s="143"/>
      <c r="DNK36" s="143"/>
      <c r="DNL36" s="143"/>
      <c r="DNM36" s="143"/>
      <c r="DNN36" s="143"/>
      <c r="DNO36" s="143"/>
      <c r="DNP36" s="143"/>
      <c r="DNQ36" s="143"/>
      <c r="DNR36" s="143"/>
      <c r="DNS36" s="143"/>
      <c r="DNT36" s="143"/>
      <c r="DNU36" s="143"/>
      <c r="DNV36" s="143"/>
      <c r="DNW36" s="143"/>
      <c r="DNX36" s="143"/>
      <c r="DNY36" s="143"/>
      <c r="DNZ36" s="143"/>
      <c r="DOA36" s="143"/>
      <c r="DOB36" s="143"/>
      <c r="DOC36" s="143"/>
      <c r="DOD36" s="143"/>
      <c r="DOE36" s="143"/>
      <c r="DOF36" s="143"/>
      <c r="DOG36" s="143"/>
      <c r="DOH36" s="143"/>
      <c r="DOI36" s="143"/>
      <c r="DOJ36" s="143"/>
      <c r="DOK36" s="143"/>
      <c r="DOL36" s="143"/>
      <c r="DOM36" s="143"/>
      <c r="DON36" s="143"/>
      <c r="DOO36" s="143"/>
      <c r="DOP36" s="143"/>
      <c r="DOQ36" s="143"/>
      <c r="DOR36" s="143"/>
      <c r="DOS36" s="143"/>
      <c r="DOT36" s="143"/>
      <c r="DOU36" s="143"/>
      <c r="DOV36" s="143"/>
      <c r="DOW36" s="143"/>
      <c r="DOX36" s="143"/>
      <c r="DOY36" s="143"/>
      <c r="DOZ36" s="143"/>
      <c r="DPA36" s="143"/>
      <c r="DPB36" s="143"/>
      <c r="DPC36" s="143"/>
      <c r="DPD36" s="143"/>
      <c r="DPE36" s="143"/>
      <c r="DPF36" s="143"/>
      <c r="DPG36" s="143"/>
      <c r="DPH36" s="143"/>
      <c r="DPI36" s="143"/>
      <c r="DPJ36" s="143"/>
      <c r="DPK36" s="143"/>
      <c r="DPL36" s="143"/>
      <c r="DPM36" s="143"/>
      <c r="DPN36" s="143"/>
      <c r="DPO36" s="143"/>
      <c r="DPP36" s="143"/>
      <c r="DPQ36" s="143"/>
      <c r="DPR36" s="143"/>
      <c r="DPS36" s="143"/>
      <c r="DPT36" s="143"/>
      <c r="DPU36" s="143"/>
      <c r="DPV36" s="143"/>
      <c r="DPW36" s="143"/>
      <c r="DPX36" s="143"/>
      <c r="DPY36" s="143"/>
      <c r="DPZ36" s="143"/>
      <c r="DQA36" s="143"/>
      <c r="DQB36" s="143"/>
      <c r="DQC36" s="143"/>
      <c r="DQD36" s="143"/>
      <c r="DQE36" s="143"/>
      <c r="DQF36" s="143"/>
      <c r="DQG36" s="143"/>
      <c r="DQH36" s="143"/>
      <c r="DQI36" s="143"/>
      <c r="DQJ36" s="143"/>
      <c r="DQK36" s="143"/>
      <c r="DQL36" s="143"/>
      <c r="DQM36" s="143"/>
      <c r="DQN36" s="143"/>
      <c r="DQO36" s="143"/>
      <c r="DQP36" s="143"/>
      <c r="DQQ36" s="143"/>
      <c r="DQR36" s="143"/>
      <c r="DQS36" s="143"/>
      <c r="DQT36" s="143"/>
      <c r="DQU36" s="143"/>
      <c r="DQV36" s="143"/>
      <c r="DQW36" s="143"/>
      <c r="DQX36" s="143"/>
      <c r="DQY36" s="143"/>
      <c r="DQZ36" s="143"/>
      <c r="DRA36" s="143"/>
      <c r="DRB36" s="143"/>
      <c r="DRC36" s="143"/>
      <c r="DRD36" s="143"/>
      <c r="DRE36" s="143"/>
      <c r="DRF36" s="143"/>
      <c r="DRG36" s="143"/>
      <c r="DRH36" s="143"/>
      <c r="DRI36" s="143"/>
      <c r="DRJ36" s="143"/>
      <c r="DRK36" s="143"/>
      <c r="DRL36" s="143"/>
      <c r="DRM36" s="143"/>
      <c r="DRN36" s="143"/>
      <c r="DRO36" s="143"/>
      <c r="DRP36" s="143"/>
      <c r="DRQ36" s="143"/>
      <c r="DRR36" s="143"/>
      <c r="DRS36" s="143"/>
      <c r="DRT36" s="143"/>
      <c r="DRU36" s="143"/>
      <c r="DRV36" s="143"/>
      <c r="DRW36" s="143"/>
      <c r="DRX36" s="143"/>
      <c r="DRY36" s="143"/>
      <c r="DRZ36" s="143"/>
      <c r="DSA36" s="143"/>
      <c r="DSB36" s="143"/>
      <c r="DSC36" s="143"/>
      <c r="DSD36" s="143"/>
      <c r="DSE36" s="143"/>
      <c r="DSF36" s="143"/>
      <c r="DSG36" s="143"/>
      <c r="DSH36" s="143"/>
      <c r="DSI36" s="143"/>
      <c r="DSJ36" s="143"/>
      <c r="DSK36" s="143"/>
      <c r="DSL36" s="143"/>
      <c r="DSM36" s="143"/>
      <c r="DSN36" s="143"/>
      <c r="DSO36" s="143"/>
      <c r="DSP36" s="143"/>
      <c r="DSQ36" s="143"/>
      <c r="DSR36" s="143"/>
      <c r="DSS36" s="143"/>
      <c r="DST36" s="143"/>
      <c r="DSU36" s="143"/>
      <c r="DSV36" s="143"/>
      <c r="DSW36" s="143"/>
      <c r="DSX36" s="143"/>
      <c r="DSY36" s="143"/>
      <c r="DSZ36" s="143"/>
      <c r="DTA36" s="143"/>
      <c r="DTB36" s="143"/>
      <c r="DTC36" s="143"/>
      <c r="DTD36" s="143"/>
      <c r="DTE36" s="143"/>
      <c r="DTF36" s="143"/>
      <c r="DTG36" s="143"/>
      <c r="DTH36" s="143"/>
      <c r="DTI36" s="143"/>
      <c r="DTJ36" s="143"/>
      <c r="DTK36" s="143"/>
      <c r="DTL36" s="143"/>
      <c r="DTM36" s="143"/>
      <c r="DTN36" s="143"/>
      <c r="DTO36" s="143"/>
      <c r="DTP36" s="143"/>
      <c r="DTQ36" s="143"/>
      <c r="DTR36" s="143"/>
      <c r="DTS36" s="143"/>
      <c r="DTT36" s="143"/>
      <c r="DTU36" s="143"/>
      <c r="DTV36" s="143"/>
      <c r="DTW36" s="143"/>
      <c r="DTX36" s="143"/>
      <c r="DTY36" s="143"/>
      <c r="DTZ36" s="143"/>
      <c r="DUA36" s="143"/>
      <c r="DUB36" s="143"/>
      <c r="DUC36" s="143"/>
      <c r="DUD36" s="143"/>
      <c r="DUE36" s="143"/>
      <c r="DUF36" s="143"/>
      <c r="DUG36" s="143"/>
      <c r="DUH36" s="143"/>
      <c r="DUI36" s="143"/>
      <c r="DUJ36" s="143"/>
      <c r="DUK36" s="143"/>
      <c r="DUL36" s="143"/>
      <c r="DUM36" s="143"/>
      <c r="DUN36" s="143"/>
      <c r="DUO36" s="143"/>
      <c r="DUP36" s="143"/>
      <c r="DUQ36" s="143"/>
      <c r="DUR36" s="143"/>
      <c r="DUS36" s="143"/>
      <c r="DUT36" s="143"/>
      <c r="DUU36" s="143"/>
      <c r="DUV36" s="143"/>
      <c r="DUW36" s="143"/>
      <c r="DUX36" s="143"/>
      <c r="DUY36" s="143"/>
      <c r="DUZ36" s="143"/>
      <c r="DVA36" s="143"/>
      <c r="DVB36" s="143"/>
      <c r="DVC36" s="143"/>
      <c r="DVD36" s="143"/>
      <c r="DVE36" s="143"/>
      <c r="DVF36" s="143"/>
      <c r="DVG36" s="143"/>
      <c r="DVH36" s="143"/>
      <c r="DVI36" s="143"/>
      <c r="DVJ36" s="143"/>
      <c r="DVK36" s="143"/>
      <c r="DVL36" s="143"/>
      <c r="DVM36" s="143"/>
      <c r="DVN36" s="143"/>
      <c r="DVO36" s="143"/>
      <c r="DVP36" s="143"/>
      <c r="DVQ36" s="143"/>
      <c r="DVR36" s="143"/>
      <c r="DVS36" s="143"/>
      <c r="DVT36" s="143"/>
      <c r="DVU36" s="143"/>
      <c r="DVV36" s="143"/>
      <c r="DVW36" s="143"/>
      <c r="DVX36" s="143"/>
      <c r="DVY36" s="143"/>
      <c r="DVZ36" s="143"/>
      <c r="DWA36" s="143"/>
      <c r="DWB36" s="143"/>
      <c r="DWC36" s="143"/>
      <c r="DWD36" s="143"/>
      <c r="DWE36" s="143"/>
      <c r="DWF36" s="143"/>
      <c r="DWG36" s="143"/>
      <c r="DWH36" s="143"/>
      <c r="DWI36" s="143"/>
      <c r="DWJ36" s="143"/>
      <c r="DWK36" s="143"/>
      <c r="DWL36" s="143"/>
      <c r="DWM36" s="143"/>
      <c r="DWN36" s="143"/>
      <c r="DWO36" s="143"/>
      <c r="DWP36" s="143"/>
      <c r="DWQ36" s="143"/>
      <c r="DWR36" s="143"/>
      <c r="DWS36" s="143"/>
      <c r="DWT36" s="143"/>
      <c r="DWU36" s="143"/>
      <c r="DWV36" s="143"/>
      <c r="DWW36" s="143"/>
      <c r="DWX36" s="143"/>
      <c r="DWY36" s="143"/>
      <c r="DWZ36" s="143"/>
      <c r="DXA36" s="143"/>
      <c r="DXB36" s="143"/>
      <c r="DXC36" s="143"/>
      <c r="DXD36" s="143"/>
      <c r="DXE36" s="143"/>
      <c r="DXF36" s="143"/>
      <c r="DXG36" s="143"/>
      <c r="DXH36" s="143"/>
      <c r="DXI36" s="143"/>
      <c r="DXJ36" s="143"/>
      <c r="DXK36" s="143"/>
      <c r="DXL36" s="143"/>
      <c r="DXM36" s="143"/>
      <c r="DXN36" s="143"/>
      <c r="DXO36" s="143"/>
      <c r="DXP36" s="143"/>
      <c r="DXQ36" s="143"/>
      <c r="DXR36" s="143"/>
      <c r="DXS36" s="143"/>
      <c r="DXT36" s="143"/>
      <c r="DXU36" s="143"/>
      <c r="DXV36" s="143"/>
      <c r="DXW36" s="143"/>
      <c r="DXX36" s="143"/>
      <c r="DXY36" s="143"/>
      <c r="DXZ36" s="143"/>
      <c r="DYA36" s="143"/>
      <c r="DYB36" s="143"/>
      <c r="DYC36" s="143"/>
      <c r="DYD36" s="143"/>
      <c r="DYE36" s="143"/>
      <c r="DYF36" s="143"/>
      <c r="DYG36" s="143"/>
      <c r="DYH36" s="143"/>
      <c r="DYI36" s="143"/>
      <c r="DYJ36" s="143"/>
      <c r="DYK36" s="143"/>
      <c r="DYL36" s="143"/>
      <c r="DYM36" s="143"/>
      <c r="DYN36" s="143"/>
      <c r="DYO36" s="143"/>
      <c r="DYP36" s="143"/>
      <c r="DYQ36" s="143"/>
      <c r="DYR36" s="143"/>
      <c r="DYS36" s="143"/>
      <c r="DYT36" s="143"/>
      <c r="DYU36" s="143"/>
      <c r="DYV36" s="143"/>
      <c r="DYW36" s="143"/>
      <c r="DYX36" s="143"/>
      <c r="DYY36" s="143"/>
      <c r="DYZ36" s="143"/>
      <c r="DZA36" s="143"/>
      <c r="DZB36" s="143"/>
      <c r="DZC36" s="143"/>
      <c r="DZD36" s="143"/>
      <c r="DZE36" s="143"/>
      <c r="DZF36" s="143"/>
      <c r="DZG36" s="143"/>
      <c r="DZH36" s="143"/>
      <c r="DZI36" s="143"/>
      <c r="DZJ36" s="143"/>
      <c r="DZK36" s="143"/>
      <c r="DZL36" s="143"/>
      <c r="DZM36" s="143"/>
      <c r="DZN36" s="143"/>
      <c r="DZO36" s="143"/>
      <c r="DZP36" s="143"/>
      <c r="DZQ36" s="143"/>
      <c r="DZR36" s="143"/>
      <c r="DZS36" s="143"/>
      <c r="DZT36" s="143"/>
      <c r="DZU36" s="143"/>
      <c r="DZV36" s="143"/>
      <c r="DZW36" s="143"/>
      <c r="DZX36" s="143"/>
      <c r="DZY36" s="143"/>
      <c r="DZZ36" s="143"/>
      <c r="EAA36" s="143"/>
      <c r="EAB36" s="143"/>
      <c r="EAC36" s="143"/>
      <c r="EAD36" s="143"/>
      <c r="EAE36" s="143"/>
      <c r="EAF36" s="143"/>
      <c r="EAG36" s="143"/>
      <c r="EAH36" s="143"/>
      <c r="EAI36" s="143"/>
      <c r="EAJ36" s="143"/>
      <c r="EAK36" s="143"/>
      <c r="EAL36" s="143"/>
      <c r="EAM36" s="143"/>
      <c r="EAN36" s="143"/>
      <c r="EAO36" s="143"/>
      <c r="EAP36" s="143"/>
      <c r="EAQ36" s="143"/>
      <c r="EAR36" s="143"/>
      <c r="EAS36" s="143"/>
      <c r="EAT36" s="143"/>
      <c r="EAU36" s="143"/>
      <c r="EAV36" s="143"/>
      <c r="EAW36" s="143"/>
      <c r="EAX36" s="143"/>
      <c r="EAY36" s="143"/>
      <c r="EAZ36" s="143"/>
      <c r="EBA36" s="143"/>
      <c r="EBB36" s="143"/>
      <c r="EBC36" s="143"/>
      <c r="EBD36" s="143"/>
      <c r="EBE36" s="143"/>
      <c r="EBF36" s="143"/>
      <c r="EBG36" s="143"/>
      <c r="EBH36" s="143"/>
      <c r="EBI36" s="143"/>
      <c r="EBJ36" s="143"/>
      <c r="EBK36" s="143"/>
      <c r="EBL36" s="143"/>
      <c r="EBM36" s="143"/>
      <c r="EBN36" s="143"/>
      <c r="EBO36" s="143"/>
      <c r="EBP36" s="143"/>
      <c r="EBQ36" s="143"/>
      <c r="EBR36" s="143"/>
      <c r="EBS36" s="143"/>
      <c r="EBT36" s="143"/>
      <c r="EBU36" s="143"/>
      <c r="EBV36" s="143"/>
      <c r="EBW36" s="143"/>
      <c r="EBX36" s="143"/>
      <c r="EBY36" s="143"/>
      <c r="EBZ36" s="143"/>
      <c r="ECA36" s="143"/>
      <c r="ECB36" s="143"/>
      <c r="ECC36" s="143"/>
      <c r="ECD36" s="143"/>
      <c r="ECE36" s="143"/>
      <c r="ECF36" s="143"/>
      <c r="ECG36" s="143"/>
      <c r="ECH36" s="143"/>
      <c r="ECI36" s="143"/>
      <c r="ECJ36" s="143"/>
      <c r="ECK36" s="143"/>
      <c r="ECL36" s="143"/>
      <c r="ECM36" s="143"/>
      <c r="ECN36" s="143"/>
      <c r="ECO36" s="143"/>
      <c r="ECP36" s="143"/>
      <c r="ECQ36" s="143"/>
      <c r="ECR36" s="143"/>
      <c r="ECS36" s="143"/>
      <c r="ECT36" s="143"/>
      <c r="ECU36" s="143"/>
      <c r="ECV36" s="143"/>
      <c r="ECW36" s="143"/>
      <c r="ECX36" s="143"/>
      <c r="ECY36" s="143"/>
      <c r="ECZ36" s="143"/>
      <c r="EDA36" s="143"/>
      <c r="EDB36" s="143"/>
      <c r="EDC36" s="143"/>
      <c r="EDD36" s="143"/>
      <c r="EDE36" s="143"/>
      <c r="EDF36" s="143"/>
      <c r="EDG36" s="143"/>
      <c r="EDH36" s="143"/>
      <c r="EDI36" s="143"/>
      <c r="EDJ36" s="143"/>
      <c r="EDK36" s="143"/>
      <c r="EDL36" s="143"/>
      <c r="EDM36" s="143"/>
      <c r="EDN36" s="143"/>
      <c r="EDO36" s="143"/>
      <c r="EDP36" s="143"/>
      <c r="EDQ36" s="143"/>
      <c r="EDR36" s="143"/>
      <c r="EDS36" s="143"/>
      <c r="EDT36" s="143"/>
      <c r="EDU36" s="143"/>
      <c r="EDV36" s="143"/>
      <c r="EDW36" s="143"/>
      <c r="EDX36" s="143"/>
      <c r="EDY36" s="143"/>
      <c r="EDZ36" s="143"/>
      <c r="EEA36" s="143"/>
      <c r="EEB36" s="143"/>
      <c r="EEC36" s="143"/>
      <c r="EED36" s="143"/>
      <c r="EEE36" s="143"/>
      <c r="EEF36" s="143"/>
      <c r="EEG36" s="143"/>
      <c r="EEH36" s="143"/>
      <c r="EEI36" s="143"/>
      <c r="EEJ36" s="143"/>
      <c r="EEK36" s="143"/>
      <c r="EEL36" s="143"/>
      <c r="EEM36" s="143"/>
      <c r="EEN36" s="143"/>
      <c r="EEO36" s="143"/>
      <c r="EEP36" s="143"/>
      <c r="EEQ36" s="143"/>
      <c r="EER36" s="143"/>
      <c r="EES36" s="143"/>
      <c r="EET36" s="143"/>
      <c r="EEU36" s="143"/>
      <c r="EEV36" s="143"/>
      <c r="EEW36" s="143"/>
      <c r="EEX36" s="143"/>
      <c r="EEY36" s="143"/>
      <c r="EEZ36" s="143"/>
      <c r="EFA36" s="143"/>
      <c r="EFB36" s="143"/>
      <c r="EFC36" s="143"/>
      <c r="EFD36" s="143"/>
      <c r="EFE36" s="143"/>
      <c r="EFF36" s="143"/>
      <c r="EFG36" s="143"/>
      <c r="EFH36" s="143"/>
      <c r="EFI36" s="143"/>
      <c r="EFJ36" s="143"/>
      <c r="EFK36" s="143"/>
      <c r="EFL36" s="143"/>
      <c r="EFM36" s="143"/>
      <c r="EFN36" s="143"/>
      <c r="EFO36" s="143"/>
      <c r="EFP36" s="143"/>
      <c r="EFQ36" s="143"/>
      <c r="EFR36" s="143"/>
      <c r="EFS36" s="143"/>
      <c r="EFT36" s="143"/>
      <c r="EFU36" s="143"/>
      <c r="EFV36" s="143"/>
      <c r="EFW36" s="143"/>
      <c r="EFX36" s="143"/>
      <c r="EFY36" s="143"/>
      <c r="EFZ36" s="143"/>
      <c r="EGA36" s="143"/>
      <c r="EGB36" s="143"/>
      <c r="EGC36" s="143"/>
      <c r="EGD36" s="143"/>
      <c r="EGE36" s="143"/>
      <c r="EGF36" s="143"/>
      <c r="EGG36" s="143"/>
      <c r="EGH36" s="143"/>
      <c r="EGI36" s="143"/>
      <c r="EGJ36" s="143"/>
      <c r="EGK36" s="143"/>
      <c r="EGL36" s="143"/>
      <c r="EGM36" s="143"/>
      <c r="EGN36" s="143"/>
      <c r="EGO36" s="143"/>
      <c r="EGP36" s="143"/>
      <c r="EGQ36" s="143"/>
      <c r="EGR36" s="143"/>
      <c r="EGS36" s="143"/>
      <c r="EGT36" s="143"/>
      <c r="EGU36" s="143"/>
      <c r="EGV36" s="143"/>
      <c r="EGW36" s="143"/>
      <c r="EGX36" s="143"/>
      <c r="EGY36" s="143"/>
      <c r="EGZ36" s="143"/>
      <c r="EHA36" s="143"/>
      <c r="EHB36" s="143"/>
      <c r="EHC36" s="143"/>
      <c r="EHD36" s="143"/>
      <c r="EHE36" s="143"/>
      <c r="EHF36" s="143"/>
      <c r="EHG36" s="143"/>
      <c r="EHH36" s="143"/>
      <c r="EHI36" s="143"/>
      <c r="EHJ36" s="143"/>
      <c r="EHK36" s="143"/>
      <c r="EHL36" s="143"/>
      <c r="EHM36" s="143"/>
      <c r="EHN36" s="143"/>
      <c r="EHO36" s="143"/>
      <c r="EHP36" s="143"/>
      <c r="EHQ36" s="143"/>
      <c r="EHR36" s="143"/>
      <c r="EHS36" s="143"/>
      <c r="EHT36" s="143"/>
      <c r="EHU36" s="143"/>
      <c r="EHV36" s="143"/>
      <c r="EHW36" s="143"/>
      <c r="EHX36" s="143"/>
      <c r="EHY36" s="143"/>
      <c r="EHZ36" s="143"/>
      <c r="EIA36" s="143"/>
      <c r="EIB36" s="143"/>
      <c r="EIC36" s="143"/>
      <c r="EID36" s="143"/>
      <c r="EIE36" s="143"/>
      <c r="EIF36" s="143"/>
      <c r="EIG36" s="143"/>
      <c r="EIH36" s="143"/>
      <c r="EII36" s="143"/>
      <c r="EIJ36" s="143"/>
      <c r="EIK36" s="143"/>
      <c r="EIL36" s="143"/>
      <c r="EIM36" s="143"/>
      <c r="EIN36" s="143"/>
      <c r="EIO36" s="143"/>
      <c r="EIP36" s="143"/>
      <c r="EIQ36" s="143"/>
      <c r="EIR36" s="143"/>
      <c r="EIS36" s="143"/>
      <c r="EIT36" s="143"/>
      <c r="EIU36" s="143"/>
      <c r="EIV36" s="143"/>
      <c r="EIW36" s="143"/>
      <c r="EIX36" s="143"/>
      <c r="EIY36" s="143"/>
      <c r="EIZ36" s="143"/>
      <c r="EJA36" s="143"/>
      <c r="EJB36" s="143"/>
      <c r="EJC36" s="143"/>
      <c r="EJD36" s="143"/>
      <c r="EJE36" s="143"/>
      <c r="EJF36" s="143"/>
      <c r="EJG36" s="143"/>
      <c r="EJH36" s="143"/>
      <c r="EJI36" s="143"/>
      <c r="EJJ36" s="143"/>
      <c r="EJK36" s="143"/>
      <c r="EJL36" s="143"/>
      <c r="EJM36" s="143"/>
      <c r="EJN36" s="143"/>
      <c r="EJO36" s="143"/>
      <c r="EJP36" s="143"/>
      <c r="EJQ36" s="143"/>
      <c r="EJR36" s="143"/>
      <c r="EJS36" s="143"/>
      <c r="EJT36" s="143"/>
      <c r="EJU36" s="143"/>
      <c r="EJV36" s="143"/>
      <c r="EJW36" s="143"/>
      <c r="EJX36" s="143"/>
      <c r="EJY36" s="143"/>
      <c r="EJZ36" s="143"/>
      <c r="EKA36" s="143"/>
      <c r="EKB36" s="143"/>
      <c r="EKC36" s="143"/>
      <c r="EKD36" s="143"/>
      <c r="EKE36" s="143"/>
      <c r="EKF36" s="143"/>
      <c r="EKG36" s="143"/>
      <c r="EKH36" s="143"/>
      <c r="EKI36" s="143"/>
      <c r="EKJ36" s="143"/>
      <c r="EKK36" s="143"/>
      <c r="EKL36" s="143"/>
      <c r="EKM36" s="143"/>
      <c r="EKN36" s="143"/>
      <c r="EKO36" s="143"/>
      <c r="EKP36" s="143"/>
      <c r="EKQ36" s="143"/>
      <c r="EKR36" s="143"/>
      <c r="EKS36" s="143"/>
      <c r="EKT36" s="143"/>
      <c r="EKU36" s="143"/>
      <c r="EKV36" s="143"/>
      <c r="EKW36" s="143"/>
      <c r="EKX36" s="143"/>
      <c r="EKY36" s="143"/>
      <c r="EKZ36" s="143"/>
      <c r="ELA36" s="143"/>
      <c r="ELB36" s="143"/>
      <c r="ELC36" s="143"/>
      <c r="ELD36" s="143"/>
      <c r="ELE36" s="143"/>
      <c r="ELF36" s="143"/>
      <c r="ELG36" s="143"/>
      <c r="ELH36" s="143"/>
      <c r="ELI36" s="143"/>
      <c r="ELJ36" s="143"/>
      <c r="ELK36" s="143"/>
      <c r="ELL36" s="143"/>
      <c r="ELM36" s="143"/>
      <c r="ELN36" s="143"/>
      <c r="ELO36" s="143"/>
      <c r="ELP36" s="143"/>
      <c r="ELQ36" s="143"/>
      <c r="ELR36" s="143"/>
      <c r="ELS36" s="143"/>
      <c r="ELT36" s="143"/>
      <c r="ELU36" s="143"/>
      <c r="ELV36" s="143"/>
      <c r="ELW36" s="143"/>
      <c r="ELX36" s="143"/>
      <c r="ELY36" s="143"/>
      <c r="ELZ36" s="143"/>
      <c r="EMA36" s="143"/>
      <c r="EMB36" s="143"/>
      <c r="EMC36" s="143"/>
      <c r="EMD36" s="143"/>
      <c r="EME36" s="143"/>
      <c r="EMF36" s="143"/>
      <c r="EMG36" s="143"/>
      <c r="EMH36" s="143"/>
      <c r="EMI36" s="143"/>
      <c r="EMJ36" s="143"/>
      <c r="EMK36" s="143"/>
      <c r="EML36" s="143"/>
      <c r="EMM36" s="143"/>
      <c r="EMN36" s="143"/>
      <c r="EMO36" s="143"/>
      <c r="EMP36" s="143"/>
      <c r="EMQ36" s="143"/>
      <c r="EMR36" s="143"/>
      <c r="EMS36" s="143"/>
      <c r="EMT36" s="143"/>
      <c r="EMU36" s="143"/>
      <c r="EMV36" s="143"/>
      <c r="EMW36" s="143"/>
      <c r="EMX36" s="143"/>
      <c r="EMY36" s="143"/>
      <c r="EMZ36" s="143"/>
      <c r="ENA36" s="143"/>
      <c r="ENB36" s="143"/>
      <c r="ENC36" s="143"/>
      <c r="END36" s="143"/>
      <c r="ENE36" s="143"/>
      <c r="ENF36" s="143"/>
      <c r="ENG36" s="143"/>
      <c r="ENH36" s="143"/>
      <c r="ENI36" s="143"/>
      <c r="ENJ36" s="143"/>
      <c r="ENK36" s="143"/>
      <c r="ENL36" s="143"/>
      <c r="ENM36" s="143"/>
      <c r="ENN36" s="143"/>
      <c r="ENO36" s="143"/>
      <c r="ENP36" s="143"/>
      <c r="ENQ36" s="143"/>
      <c r="ENR36" s="143"/>
      <c r="ENS36" s="143"/>
      <c r="ENT36" s="143"/>
      <c r="ENU36" s="143"/>
      <c r="ENV36" s="143"/>
      <c r="ENW36" s="143"/>
      <c r="ENX36" s="143"/>
      <c r="ENY36" s="143"/>
      <c r="ENZ36" s="143"/>
      <c r="EOA36" s="143"/>
      <c r="EOB36" s="143"/>
      <c r="EOC36" s="143"/>
      <c r="EOD36" s="143"/>
      <c r="EOE36" s="143"/>
      <c r="EOF36" s="143"/>
      <c r="EOG36" s="143"/>
      <c r="EOH36" s="143"/>
      <c r="EOI36" s="143"/>
      <c r="EOJ36" s="143"/>
      <c r="EOK36" s="143"/>
      <c r="EOL36" s="143"/>
      <c r="EOM36" s="143"/>
      <c r="EON36" s="143"/>
      <c r="EOO36" s="143"/>
      <c r="EOP36" s="143"/>
      <c r="EOQ36" s="143"/>
      <c r="EOR36" s="143"/>
      <c r="EOS36" s="143"/>
      <c r="EOT36" s="143"/>
      <c r="EOU36" s="143"/>
      <c r="EOV36" s="143"/>
      <c r="EOW36" s="143"/>
      <c r="EOX36" s="143"/>
      <c r="EOY36" s="143"/>
      <c r="EOZ36" s="143"/>
      <c r="EPA36" s="143"/>
      <c r="EPB36" s="143"/>
      <c r="EPC36" s="143"/>
      <c r="EPD36" s="143"/>
      <c r="EPE36" s="143"/>
      <c r="EPF36" s="143"/>
      <c r="EPG36" s="143"/>
      <c r="EPH36" s="143"/>
      <c r="EPI36" s="143"/>
      <c r="EPJ36" s="143"/>
      <c r="EPK36" s="143"/>
      <c r="EPL36" s="143"/>
      <c r="EPM36" s="143"/>
      <c r="EPN36" s="143"/>
      <c r="EPO36" s="143"/>
      <c r="EPP36" s="143"/>
      <c r="EPQ36" s="143"/>
      <c r="EPR36" s="143"/>
      <c r="EPS36" s="143"/>
      <c r="EPT36" s="143"/>
      <c r="EPU36" s="143"/>
      <c r="EPV36" s="143"/>
      <c r="EPW36" s="143"/>
      <c r="EPX36" s="143"/>
      <c r="EPY36" s="143"/>
      <c r="EPZ36" s="143"/>
      <c r="EQA36" s="143"/>
      <c r="EQB36" s="143"/>
      <c r="EQC36" s="143"/>
      <c r="EQD36" s="143"/>
      <c r="EQE36" s="143"/>
      <c r="EQF36" s="143"/>
      <c r="EQG36" s="143"/>
      <c r="EQH36" s="143"/>
      <c r="EQI36" s="143"/>
      <c r="EQJ36" s="143"/>
      <c r="EQK36" s="143"/>
      <c r="EQL36" s="143"/>
      <c r="EQM36" s="143"/>
      <c r="EQN36" s="143"/>
      <c r="EQO36" s="143"/>
      <c r="EQP36" s="143"/>
      <c r="EQQ36" s="143"/>
      <c r="EQR36" s="143"/>
      <c r="EQS36" s="143"/>
      <c r="EQT36" s="143"/>
      <c r="EQU36" s="143"/>
      <c r="EQV36" s="143"/>
      <c r="EQW36" s="143"/>
      <c r="EQX36" s="143"/>
      <c r="EQY36" s="143"/>
      <c r="EQZ36" s="143"/>
      <c r="ERA36" s="143"/>
      <c r="ERB36" s="143"/>
      <c r="ERC36" s="143"/>
      <c r="ERD36" s="143"/>
      <c r="ERE36" s="143"/>
      <c r="ERF36" s="143"/>
      <c r="ERG36" s="143"/>
      <c r="ERH36" s="143"/>
      <c r="ERI36" s="143"/>
      <c r="ERJ36" s="143"/>
      <c r="ERK36" s="143"/>
      <c r="ERL36" s="143"/>
      <c r="ERM36" s="143"/>
      <c r="ERN36" s="143"/>
      <c r="ERO36" s="143"/>
      <c r="ERP36" s="143"/>
      <c r="ERQ36" s="143"/>
      <c r="ERR36" s="143"/>
      <c r="ERS36" s="143"/>
      <c r="ERT36" s="143"/>
      <c r="ERU36" s="143"/>
      <c r="ERV36" s="143"/>
      <c r="ERW36" s="143"/>
      <c r="ERX36" s="143"/>
      <c r="ERY36" s="143"/>
      <c r="ERZ36" s="143"/>
      <c r="ESA36" s="143"/>
      <c r="ESB36" s="143"/>
      <c r="ESC36" s="143"/>
      <c r="ESD36" s="143"/>
      <c r="ESE36" s="143"/>
      <c r="ESF36" s="143"/>
      <c r="ESG36" s="143"/>
      <c r="ESH36" s="143"/>
      <c r="ESI36" s="143"/>
      <c r="ESJ36" s="143"/>
      <c r="ESK36" s="143"/>
      <c r="ESL36" s="143"/>
      <c r="ESM36" s="143"/>
      <c r="ESN36" s="143"/>
      <c r="ESO36" s="143"/>
      <c r="ESP36" s="143"/>
      <c r="ESQ36" s="143"/>
      <c r="ESR36" s="143"/>
      <c r="ESS36" s="143"/>
      <c r="EST36" s="143"/>
      <c r="ESU36" s="143"/>
      <c r="ESV36" s="143"/>
      <c r="ESW36" s="143"/>
      <c r="ESX36" s="143"/>
      <c r="ESY36" s="143"/>
      <c r="ESZ36" s="143"/>
      <c r="ETA36" s="143"/>
      <c r="ETB36" s="143"/>
      <c r="ETC36" s="143"/>
      <c r="ETD36" s="143"/>
      <c r="ETE36" s="143"/>
      <c r="ETF36" s="143"/>
      <c r="ETG36" s="143"/>
      <c r="ETH36" s="143"/>
      <c r="ETI36" s="143"/>
      <c r="ETJ36" s="143"/>
      <c r="ETK36" s="143"/>
      <c r="ETL36" s="143"/>
      <c r="ETM36" s="143"/>
      <c r="ETN36" s="143"/>
      <c r="ETO36" s="143"/>
      <c r="ETP36" s="143"/>
      <c r="ETQ36" s="143"/>
      <c r="ETR36" s="143"/>
      <c r="ETS36" s="143"/>
      <c r="ETT36" s="143"/>
      <c r="ETU36" s="143"/>
      <c r="ETV36" s="143"/>
      <c r="ETW36" s="143"/>
      <c r="ETX36" s="143"/>
      <c r="ETY36" s="143"/>
      <c r="ETZ36" s="143"/>
      <c r="EUA36" s="143"/>
      <c r="EUB36" s="143"/>
      <c r="EUC36" s="143"/>
      <c r="EUD36" s="143"/>
      <c r="EUE36" s="143"/>
      <c r="EUF36" s="143"/>
      <c r="EUG36" s="143"/>
      <c r="EUH36" s="143"/>
      <c r="EUI36" s="143"/>
      <c r="EUJ36" s="143"/>
      <c r="EUK36" s="143"/>
      <c r="EUL36" s="143"/>
      <c r="EUM36" s="143"/>
      <c r="EUN36" s="143"/>
      <c r="EUO36" s="143"/>
      <c r="EUP36" s="143"/>
      <c r="EUQ36" s="143"/>
      <c r="EUR36" s="143"/>
      <c r="EUS36" s="143"/>
      <c r="EUT36" s="143"/>
      <c r="EUU36" s="143"/>
      <c r="EUV36" s="143"/>
      <c r="EUW36" s="143"/>
      <c r="EUX36" s="143"/>
      <c r="EUY36" s="143"/>
      <c r="EUZ36" s="143"/>
      <c r="EVA36" s="143"/>
      <c r="EVB36" s="143"/>
      <c r="EVC36" s="143"/>
      <c r="EVD36" s="143"/>
      <c r="EVE36" s="143"/>
      <c r="EVF36" s="143"/>
      <c r="EVG36" s="143"/>
      <c r="EVH36" s="143"/>
      <c r="EVI36" s="143"/>
      <c r="EVJ36" s="143"/>
      <c r="EVK36" s="143"/>
      <c r="EVL36" s="143"/>
      <c r="EVM36" s="143"/>
      <c r="EVN36" s="143"/>
      <c r="EVO36" s="143"/>
      <c r="EVP36" s="143"/>
      <c r="EVQ36" s="143"/>
      <c r="EVR36" s="143"/>
      <c r="EVS36" s="143"/>
      <c r="EVT36" s="143"/>
      <c r="EVU36" s="143"/>
      <c r="EVV36" s="143"/>
      <c r="EVW36" s="143"/>
      <c r="EVX36" s="143"/>
      <c r="EVY36" s="143"/>
      <c r="EVZ36" s="143"/>
      <c r="EWA36" s="143"/>
      <c r="EWB36" s="143"/>
      <c r="EWC36" s="143"/>
      <c r="EWD36" s="143"/>
      <c r="EWE36" s="143"/>
      <c r="EWF36" s="143"/>
      <c r="EWG36" s="143"/>
      <c r="EWH36" s="143"/>
      <c r="EWI36" s="143"/>
      <c r="EWJ36" s="143"/>
      <c r="EWK36" s="143"/>
      <c r="EWL36" s="143"/>
      <c r="EWM36" s="143"/>
      <c r="EWN36" s="143"/>
      <c r="EWO36" s="143"/>
      <c r="EWP36" s="143"/>
      <c r="EWQ36" s="143"/>
      <c r="EWR36" s="143"/>
      <c r="EWS36" s="143"/>
      <c r="EWT36" s="143"/>
      <c r="EWU36" s="143"/>
      <c r="EWV36" s="143"/>
      <c r="EWW36" s="143"/>
      <c r="EWX36" s="143"/>
      <c r="EWY36" s="143"/>
      <c r="EWZ36" s="143"/>
      <c r="EXA36" s="143"/>
      <c r="EXB36" s="143"/>
      <c r="EXC36" s="143"/>
      <c r="EXD36" s="143"/>
      <c r="EXE36" s="143"/>
      <c r="EXF36" s="143"/>
      <c r="EXG36" s="143"/>
      <c r="EXH36" s="143"/>
      <c r="EXI36" s="143"/>
      <c r="EXJ36" s="143"/>
      <c r="EXK36" s="143"/>
      <c r="EXL36" s="143"/>
      <c r="EXM36" s="143"/>
      <c r="EXN36" s="143"/>
      <c r="EXO36" s="143"/>
      <c r="EXP36" s="143"/>
      <c r="EXQ36" s="143"/>
      <c r="EXR36" s="143"/>
      <c r="EXS36" s="143"/>
      <c r="EXT36" s="143"/>
      <c r="EXU36" s="143"/>
      <c r="EXV36" s="143"/>
      <c r="EXW36" s="143"/>
      <c r="EXX36" s="143"/>
      <c r="EXY36" s="143"/>
      <c r="EXZ36" s="143"/>
      <c r="EYA36" s="143"/>
      <c r="EYB36" s="143"/>
      <c r="EYC36" s="143"/>
      <c r="EYD36" s="143"/>
      <c r="EYE36" s="143"/>
      <c r="EYF36" s="143"/>
      <c r="EYG36" s="143"/>
      <c r="EYH36" s="143"/>
      <c r="EYI36" s="143"/>
      <c r="EYJ36" s="143"/>
      <c r="EYK36" s="143"/>
      <c r="EYL36" s="143"/>
      <c r="EYM36" s="143"/>
      <c r="EYN36" s="143"/>
      <c r="EYO36" s="143"/>
      <c r="EYP36" s="143"/>
      <c r="EYQ36" s="143"/>
      <c r="EYR36" s="143"/>
      <c r="EYS36" s="143"/>
      <c r="EYT36" s="143"/>
      <c r="EYU36" s="143"/>
      <c r="EYV36" s="143"/>
      <c r="EYW36" s="143"/>
      <c r="EYX36" s="143"/>
      <c r="EYY36" s="143"/>
      <c r="EYZ36" s="143"/>
      <c r="EZA36" s="143"/>
      <c r="EZB36" s="143"/>
      <c r="EZC36" s="143"/>
      <c r="EZD36" s="143"/>
      <c r="EZE36" s="143"/>
      <c r="EZF36" s="143"/>
      <c r="EZG36" s="143"/>
      <c r="EZH36" s="143"/>
      <c r="EZI36" s="143"/>
      <c r="EZJ36" s="143"/>
      <c r="EZK36" s="143"/>
      <c r="EZL36" s="143"/>
      <c r="EZM36" s="143"/>
      <c r="EZN36" s="143"/>
      <c r="EZO36" s="143"/>
      <c r="EZP36" s="143"/>
      <c r="EZQ36" s="143"/>
      <c r="EZR36" s="143"/>
      <c r="EZS36" s="143"/>
      <c r="EZT36" s="143"/>
      <c r="EZU36" s="143"/>
      <c r="EZV36" s="143"/>
      <c r="EZW36" s="143"/>
      <c r="EZX36" s="143"/>
      <c r="EZY36" s="143"/>
      <c r="EZZ36" s="143"/>
      <c r="FAA36" s="143"/>
      <c r="FAB36" s="143"/>
      <c r="FAC36" s="143"/>
      <c r="FAD36" s="143"/>
      <c r="FAE36" s="143"/>
      <c r="FAF36" s="143"/>
      <c r="FAG36" s="143"/>
      <c r="FAH36" s="143"/>
      <c r="FAI36" s="143"/>
      <c r="FAJ36" s="143"/>
      <c r="FAK36" s="143"/>
      <c r="FAL36" s="143"/>
      <c r="FAM36" s="143"/>
      <c r="FAN36" s="143"/>
      <c r="FAO36" s="143"/>
      <c r="FAP36" s="143"/>
      <c r="FAQ36" s="143"/>
      <c r="FAR36" s="143"/>
      <c r="FAS36" s="143"/>
      <c r="FAT36" s="143"/>
      <c r="FAU36" s="143"/>
      <c r="FAV36" s="143"/>
      <c r="FAW36" s="143"/>
      <c r="FAX36" s="143"/>
      <c r="FAY36" s="143"/>
      <c r="FAZ36" s="143"/>
      <c r="FBA36" s="143"/>
      <c r="FBB36" s="143"/>
      <c r="FBC36" s="143"/>
      <c r="FBD36" s="143"/>
      <c r="FBE36" s="143"/>
      <c r="FBF36" s="143"/>
      <c r="FBG36" s="143"/>
      <c r="FBH36" s="143"/>
      <c r="FBI36" s="143"/>
      <c r="FBJ36" s="143"/>
      <c r="FBK36" s="143"/>
      <c r="FBL36" s="143"/>
      <c r="FBM36" s="143"/>
      <c r="FBN36" s="143"/>
      <c r="FBO36" s="143"/>
      <c r="FBP36" s="143"/>
      <c r="FBQ36" s="143"/>
      <c r="FBR36" s="143"/>
      <c r="FBS36" s="143"/>
      <c r="FBT36" s="143"/>
      <c r="FBU36" s="143"/>
      <c r="FBV36" s="143"/>
      <c r="FBW36" s="143"/>
      <c r="FBX36" s="143"/>
      <c r="FBY36" s="143"/>
      <c r="FBZ36" s="143"/>
      <c r="FCA36" s="143"/>
      <c r="FCB36" s="143"/>
      <c r="FCC36" s="143"/>
      <c r="FCD36" s="143"/>
      <c r="FCE36" s="143"/>
      <c r="FCF36" s="143"/>
      <c r="FCG36" s="143"/>
      <c r="FCH36" s="143"/>
      <c r="FCI36" s="143"/>
      <c r="FCJ36" s="143"/>
      <c r="FCK36" s="143"/>
      <c r="FCL36" s="143"/>
      <c r="FCM36" s="143"/>
      <c r="FCN36" s="143"/>
      <c r="FCO36" s="143"/>
      <c r="FCP36" s="143"/>
      <c r="FCQ36" s="143"/>
      <c r="FCR36" s="143"/>
      <c r="FCS36" s="143"/>
      <c r="FCT36" s="143"/>
      <c r="FCU36" s="143"/>
      <c r="FCV36" s="143"/>
      <c r="FCW36" s="143"/>
      <c r="FCX36" s="143"/>
      <c r="FCY36" s="143"/>
      <c r="FCZ36" s="143"/>
      <c r="FDA36" s="143"/>
      <c r="FDB36" s="143"/>
      <c r="FDC36" s="143"/>
      <c r="FDD36" s="143"/>
      <c r="FDE36" s="143"/>
      <c r="FDF36" s="143"/>
      <c r="FDG36" s="143"/>
      <c r="FDH36" s="143"/>
      <c r="FDI36" s="143"/>
      <c r="FDJ36" s="143"/>
      <c r="FDK36" s="143"/>
      <c r="FDL36" s="143"/>
      <c r="FDM36" s="143"/>
      <c r="FDN36" s="143"/>
      <c r="FDO36" s="143"/>
      <c r="FDP36" s="143"/>
      <c r="FDQ36" s="143"/>
      <c r="FDR36" s="143"/>
      <c r="FDS36" s="143"/>
      <c r="FDT36" s="143"/>
      <c r="FDU36" s="143"/>
      <c r="FDV36" s="143"/>
      <c r="FDW36" s="143"/>
      <c r="FDX36" s="143"/>
      <c r="FDY36" s="143"/>
      <c r="FDZ36" s="143"/>
      <c r="FEA36" s="143"/>
      <c r="FEB36" s="143"/>
      <c r="FEC36" s="143"/>
      <c r="FED36" s="143"/>
      <c r="FEE36" s="143"/>
      <c r="FEF36" s="143"/>
      <c r="FEG36" s="143"/>
      <c r="FEH36" s="143"/>
      <c r="FEI36" s="143"/>
      <c r="FEJ36" s="143"/>
      <c r="FEK36" s="143"/>
      <c r="FEL36" s="143"/>
      <c r="FEM36" s="143"/>
      <c r="FEN36" s="143"/>
      <c r="FEO36" s="143"/>
      <c r="FEP36" s="143"/>
      <c r="FEQ36" s="143"/>
      <c r="FER36" s="143"/>
      <c r="FES36" s="143"/>
      <c r="FET36" s="143"/>
      <c r="FEU36" s="143"/>
      <c r="FEV36" s="143"/>
      <c r="FEW36" s="143"/>
      <c r="FEX36" s="143"/>
      <c r="FEY36" s="143"/>
      <c r="FEZ36" s="143"/>
      <c r="FFA36" s="143"/>
      <c r="FFB36" s="143"/>
      <c r="FFC36" s="143"/>
      <c r="FFD36" s="143"/>
      <c r="FFE36" s="143"/>
      <c r="FFF36" s="143"/>
      <c r="FFG36" s="143"/>
      <c r="FFH36" s="143"/>
      <c r="FFI36" s="143"/>
      <c r="FFJ36" s="143"/>
      <c r="FFK36" s="143"/>
      <c r="FFL36" s="143"/>
      <c r="FFM36" s="143"/>
      <c r="FFN36" s="143"/>
      <c r="FFO36" s="143"/>
      <c r="FFP36" s="143"/>
      <c r="FFQ36" s="143"/>
      <c r="FFR36" s="143"/>
      <c r="FFS36" s="143"/>
      <c r="FFT36" s="143"/>
      <c r="FFU36" s="143"/>
      <c r="FFV36" s="143"/>
      <c r="FFW36" s="143"/>
      <c r="FFX36" s="143"/>
      <c r="FFY36" s="143"/>
      <c r="FFZ36" s="143"/>
      <c r="FGA36" s="143"/>
      <c r="FGB36" s="143"/>
      <c r="FGC36" s="143"/>
      <c r="FGD36" s="143"/>
      <c r="FGE36" s="143"/>
      <c r="FGF36" s="143"/>
      <c r="FGG36" s="143"/>
      <c r="FGH36" s="143"/>
      <c r="FGI36" s="143"/>
      <c r="FGJ36" s="143"/>
      <c r="FGK36" s="143"/>
      <c r="FGL36" s="143"/>
      <c r="FGM36" s="143"/>
      <c r="FGN36" s="143"/>
      <c r="FGO36" s="143"/>
      <c r="FGP36" s="143"/>
      <c r="FGQ36" s="143"/>
      <c r="FGR36" s="143"/>
      <c r="FGS36" s="143"/>
      <c r="FGT36" s="143"/>
      <c r="FGU36" s="143"/>
      <c r="FGV36" s="143"/>
      <c r="FGW36" s="143"/>
      <c r="FGX36" s="143"/>
      <c r="FGY36" s="143"/>
      <c r="FGZ36" s="143"/>
      <c r="FHA36" s="143"/>
      <c r="FHB36" s="143"/>
      <c r="FHC36" s="143"/>
      <c r="FHD36" s="143"/>
      <c r="FHE36" s="143"/>
      <c r="FHF36" s="143"/>
      <c r="FHG36" s="143"/>
      <c r="FHH36" s="143"/>
      <c r="FHI36" s="143"/>
      <c r="FHJ36" s="143"/>
      <c r="FHK36" s="143"/>
      <c r="FHL36" s="143"/>
      <c r="FHM36" s="143"/>
      <c r="FHN36" s="143"/>
      <c r="FHO36" s="143"/>
      <c r="FHP36" s="143"/>
      <c r="FHQ36" s="143"/>
      <c r="FHR36" s="143"/>
      <c r="FHS36" s="143"/>
      <c r="FHT36" s="143"/>
      <c r="FHU36" s="143"/>
      <c r="FHV36" s="143"/>
      <c r="FHW36" s="143"/>
      <c r="FHX36" s="143"/>
      <c r="FHY36" s="143"/>
      <c r="FHZ36" s="143"/>
      <c r="FIA36" s="143"/>
      <c r="FIB36" s="143"/>
      <c r="FIC36" s="143"/>
      <c r="FID36" s="143"/>
      <c r="FIE36" s="143"/>
      <c r="FIF36" s="143"/>
      <c r="FIG36" s="143"/>
      <c r="FIH36" s="143"/>
      <c r="FII36" s="143"/>
      <c r="FIJ36" s="143"/>
      <c r="FIK36" s="143"/>
      <c r="FIL36" s="143"/>
      <c r="FIM36" s="143"/>
      <c r="FIN36" s="143"/>
      <c r="FIO36" s="143"/>
      <c r="FIP36" s="143"/>
      <c r="FIQ36" s="143"/>
      <c r="FIR36" s="143"/>
      <c r="FIS36" s="143"/>
      <c r="FIT36" s="143"/>
      <c r="FIU36" s="143"/>
      <c r="FIV36" s="143"/>
      <c r="FIW36" s="143"/>
      <c r="FIX36" s="143"/>
      <c r="FIY36" s="143"/>
      <c r="FIZ36" s="143"/>
      <c r="FJA36" s="143"/>
      <c r="FJB36" s="143"/>
      <c r="FJC36" s="143"/>
      <c r="FJD36" s="143"/>
      <c r="FJE36" s="143"/>
      <c r="FJF36" s="143"/>
      <c r="FJG36" s="143"/>
      <c r="FJH36" s="143"/>
      <c r="FJI36" s="143"/>
      <c r="FJJ36" s="143"/>
      <c r="FJK36" s="143"/>
      <c r="FJL36" s="143"/>
      <c r="FJM36" s="143"/>
      <c r="FJN36" s="143"/>
      <c r="FJO36" s="143"/>
      <c r="FJP36" s="143"/>
      <c r="FJQ36" s="143"/>
      <c r="FJR36" s="143"/>
      <c r="FJS36" s="143"/>
      <c r="FJT36" s="143"/>
      <c r="FJU36" s="143"/>
      <c r="FJV36" s="143"/>
      <c r="FJW36" s="143"/>
      <c r="FJX36" s="143"/>
      <c r="FJY36" s="143"/>
      <c r="FJZ36" s="143"/>
      <c r="FKA36" s="143"/>
      <c r="FKB36" s="143"/>
      <c r="FKC36" s="143"/>
      <c r="FKD36" s="143"/>
      <c r="FKE36" s="143"/>
      <c r="FKF36" s="143"/>
      <c r="FKG36" s="143"/>
      <c r="FKH36" s="143"/>
      <c r="FKI36" s="143"/>
      <c r="FKJ36" s="143"/>
      <c r="FKK36" s="143"/>
      <c r="FKL36" s="143"/>
      <c r="FKM36" s="143"/>
      <c r="FKN36" s="143"/>
      <c r="FKO36" s="143"/>
      <c r="FKP36" s="143"/>
      <c r="FKQ36" s="143"/>
      <c r="FKR36" s="143"/>
      <c r="FKS36" s="143"/>
      <c r="FKT36" s="143"/>
      <c r="FKU36" s="143"/>
      <c r="FKV36" s="143"/>
      <c r="FKW36" s="143"/>
      <c r="FKX36" s="143"/>
      <c r="FKY36" s="143"/>
      <c r="FKZ36" s="143"/>
      <c r="FLA36" s="143"/>
      <c r="FLB36" s="143"/>
      <c r="FLC36" s="143"/>
      <c r="FLD36" s="143"/>
      <c r="FLE36" s="143"/>
      <c r="FLF36" s="143"/>
      <c r="FLG36" s="143"/>
      <c r="FLH36" s="143"/>
      <c r="FLI36" s="143"/>
      <c r="FLJ36" s="143"/>
      <c r="FLK36" s="143"/>
      <c r="FLL36" s="143"/>
      <c r="FLM36" s="143"/>
      <c r="FLN36" s="143"/>
      <c r="FLO36" s="143"/>
      <c r="FLP36" s="143"/>
      <c r="FLQ36" s="143"/>
      <c r="FLR36" s="143"/>
      <c r="FLS36" s="143"/>
      <c r="FLT36" s="143"/>
      <c r="FLU36" s="143"/>
      <c r="FLV36" s="143"/>
      <c r="FLW36" s="143"/>
      <c r="FLX36" s="143"/>
      <c r="FLY36" s="143"/>
      <c r="FLZ36" s="143"/>
      <c r="FMA36" s="143"/>
      <c r="FMB36" s="143"/>
      <c r="FMC36" s="143"/>
      <c r="FMD36" s="143"/>
      <c r="FME36" s="143"/>
      <c r="FMF36" s="143"/>
      <c r="FMG36" s="143"/>
      <c r="FMH36" s="143"/>
      <c r="FMI36" s="143"/>
      <c r="FMJ36" s="143"/>
      <c r="FMK36" s="143"/>
      <c r="FML36" s="143"/>
      <c r="FMM36" s="143"/>
      <c r="FMN36" s="143"/>
      <c r="FMO36" s="143"/>
      <c r="FMP36" s="143"/>
      <c r="FMQ36" s="143"/>
      <c r="FMR36" s="143"/>
      <c r="FMS36" s="143"/>
      <c r="FMT36" s="143"/>
      <c r="FMU36" s="143"/>
      <c r="FMV36" s="143"/>
      <c r="FMW36" s="143"/>
      <c r="FMX36" s="143"/>
      <c r="FMY36" s="143"/>
      <c r="FMZ36" s="143"/>
      <c r="FNA36" s="143"/>
      <c r="FNB36" s="143"/>
      <c r="FNC36" s="143"/>
      <c r="FND36" s="143"/>
      <c r="FNE36" s="143"/>
      <c r="FNF36" s="143"/>
      <c r="FNG36" s="143"/>
      <c r="FNH36" s="143"/>
      <c r="FNI36" s="143"/>
      <c r="FNJ36" s="143"/>
      <c r="FNK36" s="143"/>
      <c r="FNL36" s="143"/>
      <c r="FNM36" s="143"/>
      <c r="FNN36" s="143"/>
      <c r="FNO36" s="143"/>
      <c r="FNP36" s="143"/>
      <c r="FNQ36" s="143"/>
      <c r="FNR36" s="143"/>
      <c r="FNS36" s="143"/>
      <c r="FNT36" s="143"/>
      <c r="FNU36" s="143"/>
      <c r="FNV36" s="143"/>
      <c r="FNW36" s="143"/>
      <c r="FNX36" s="143"/>
      <c r="FNY36" s="143"/>
      <c r="FNZ36" s="143"/>
      <c r="FOA36" s="143"/>
      <c r="FOB36" s="143"/>
      <c r="FOC36" s="143"/>
      <c r="FOD36" s="143"/>
      <c r="FOE36" s="143"/>
      <c r="FOF36" s="143"/>
      <c r="FOG36" s="143"/>
      <c r="FOH36" s="143"/>
      <c r="FOI36" s="143"/>
      <c r="FOJ36" s="143"/>
      <c r="FOK36" s="143"/>
      <c r="FOL36" s="143"/>
      <c r="FOM36" s="143"/>
      <c r="FON36" s="143"/>
      <c r="FOO36" s="143"/>
      <c r="FOP36" s="143"/>
      <c r="FOQ36" s="143"/>
      <c r="FOR36" s="143"/>
      <c r="FOS36" s="143"/>
      <c r="FOT36" s="143"/>
      <c r="FOU36" s="143"/>
      <c r="FOV36" s="143"/>
      <c r="FOW36" s="143"/>
      <c r="FOX36" s="143"/>
      <c r="FOY36" s="143"/>
      <c r="FOZ36" s="143"/>
      <c r="FPA36" s="143"/>
      <c r="FPB36" s="143"/>
      <c r="FPC36" s="143"/>
      <c r="FPD36" s="143"/>
      <c r="FPE36" s="143"/>
      <c r="FPF36" s="143"/>
      <c r="FPG36" s="143"/>
      <c r="FPH36" s="143"/>
      <c r="FPI36" s="143"/>
      <c r="FPJ36" s="143"/>
      <c r="FPK36" s="143"/>
      <c r="FPL36" s="143"/>
      <c r="FPM36" s="143"/>
      <c r="FPN36" s="143"/>
      <c r="FPO36" s="143"/>
      <c r="FPP36" s="143"/>
      <c r="FPQ36" s="143"/>
      <c r="FPR36" s="143"/>
      <c r="FPS36" s="143"/>
      <c r="FPT36" s="143"/>
      <c r="FPU36" s="143"/>
      <c r="FPV36" s="143"/>
      <c r="FPW36" s="143"/>
      <c r="FPX36" s="143"/>
      <c r="FPY36" s="143"/>
      <c r="FPZ36" s="143"/>
      <c r="FQA36" s="143"/>
      <c r="FQB36" s="143"/>
      <c r="FQC36" s="143"/>
      <c r="FQD36" s="143"/>
      <c r="FQE36" s="143"/>
      <c r="FQF36" s="143"/>
      <c r="FQG36" s="143"/>
      <c r="FQH36" s="143"/>
      <c r="FQI36" s="143"/>
      <c r="FQJ36" s="143"/>
      <c r="FQK36" s="143"/>
      <c r="FQL36" s="143"/>
      <c r="FQM36" s="143"/>
      <c r="FQN36" s="143"/>
      <c r="FQO36" s="143"/>
      <c r="FQP36" s="143"/>
      <c r="FQQ36" s="143"/>
      <c r="FQR36" s="143"/>
      <c r="FQS36" s="143"/>
      <c r="FQT36" s="143"/>
      <c r="FQU36" s="143"/>
      <c r="FQV36" s="143"/>
      <c r="FQW36" s="143"/>
      <c r="FQX36" s="143"/>
      <c r="FQY36" s="143"/>
      <c r="FQZ36" s="143"/>
      <c r="FRA36" s="143"/>
      <c r="FRB36" s="143"/>
      <c r="FRC36" s="143"/>
      <c r="FRD36" s="143"/>
      <c r="FRE36" s="143"/>
      <c r="FRF36" s="143"/>
      <c r="FRG36" s="143"/>
      <c r="FRH36" s="143"/>
      <c r="FRI36" s="143"/>
      <c r="FRJ36" s="143"/>
      <c r="FRK36" s="143"/>
      <c r="FRL36" s="143"/>
      <c r="FRM36" s="143"/>
      <c r="FRN36" s="143"/>
      <c r="FRO36" s="143"/>
      <c r="FRP36" s="143"/>
      <c r="FRQ36" s="143"/>
      <c r="FRR36" s="143"/>
      <c r="FRS36" s="143"/>
      <c r="FRT36" s="143"/>
      <c r="FRU36" s="143"/>
      <c r="FRV36" s="143"/>
      <c r="FRW36" s="143"/>
      <c r="FRX36" s="143"/>
      <c r="FRY36" s="143"/>
      <c r="FRZ36" s="143"/>
      <c r="FSA36" s="143"/>
      <c r="FSB36" s="143"/>
      <c r="FSC36" s="143"/>
      <c r="FSD36" s="143"/>
      <c r="FSE36" s="143"/>
      <c r="FSF36" s="143"/>
      <c r="FSG36" s="143"/>
      <c r="FSH36" s="143"/>
      <c r="FSI36" s="143"/>
      <c r="FSJ36" s="143"/>
      <c r="FSK36" s="143"/>
      <c r="FSL36" s="143"/>
      <c r="FSM36" s="143"/>
      <c r="FSN36" s="143"/>
      <c r="FSO36" s="143"/>
      <c r="FSP36" s="143"/>
      <c r="FSQ36" s="143"/>
      <c r="FSR36" s="143"/>
      <c r="FSS36" s="143"/>
      <c r="FST36" s="143"/>
      <c r="FSU36" s="143"/>
      <c r="FSV36" s="143"/>
      <c r="FSW36" s="143"/>
      <c r="FSX36" s="143"/>
      <c r="FSY36" s="143"/>
      <c r="FSZ36" s="143"/>
      <c r="FTA36" s="143"/>
      <c r="FTB36" s="143"/>
      <c r="FTC36" s="143"/>
      <c r="FTD36" s="143"/>
      <c r="FTE36" s="143"/>
      <c r="FTF36" s="143"/>
      <c r="FTG36" s="143"/>
      <c r="FTH36" s="143"/>
      <c r="FTI36" s="143"/>
      <c r="FTJ36" s="143"/>
      <c r="FTK36" s="143"/>
      <c r="FTL36" s="143"/>
      <c r="FTM36" s="143"/>
      <c r="FTN36" s="143"/>
      <c r="FTO36" s="143"/>
      <c r="FTP36" s="143"/>
      <c r="FTQ36" s="143"/>
      <c r="FTR36" s="143"/>
      <c r="FTS36" s="143"/>
      <c r="FTT36" s="143"/>
      <c r="FTU36" s="143"/>
      <c r="FTV36" s="143"/>
      <c r="FTW36" s="143"/>
      <c r="FTX36" s="143"/>
      <c r="FTY36" s="143"/>
      <c r="FTZ36" s="143"/>
      <c r="FUA36" s="143"/>
      <c r="FUB36" s="143"/>
      <c r="FUC36" s="143"/>
      <c r="FUD36" s="143"/>
      <c r="FUE36" s="143"/>
      <c r="FUF36" s="143"/>
      <c r="FUG36" s="143"/>
      <c r="FUH36" s="143"/>
      <c r="FUI36" s="143"/>
      <c r="FUJ36" s="143"/>
      <c r="FUK36" s="143"/>
      <c r="FUL36" s="143"/>
      <c r="FUM36" s="143"/>
      <c r="FUN36" s="143"/>
      <c r="FUO36" s="143"/>
      <c r="FUP36" s="143"/>
      <c r="FUQ36" s="143"/>
      <c r="FUR36" s="143"/>
      <c r="FUS36" s="143"/>
      <c r="FUT36" s="143"/>
      <c r="FUU36" s="143"/>
      <c r="FUV36" s="143"/>
      <c r="FUW36" s="143"/>
      <c r="FUX36" s="143"/>
      <c r="FUY36" s="143"/>
      <c r="FUZ36" s="143"/>
      <c r="FVA36" s="143"/>
      <c r="FVB36" s="143"/>
      <c r="FVC36" s="143"/>
      <c r="FVD36" s="143"/>
      <c r="FVE36" s="143"/>
      <c r="FVF36" s="143"/>
      <c r="FVG36" s="143"/>
      <c r="FVH36" s="143"/>
      <c r="FVI36" s="143"/>
      <c r="FVJ36" s="143"/>
      <c r="FVK36" s="143"/>
      <c r="FVL36" s="143"/>
      <c r="FVM36" s="143"/>
      <c r="FVN36" s="143"/>
      <c r="FVO36" s="143"/>
      <c r="FVP36" s="143"/>
      <c r="FVQ36" s="143"/>
      <c r="FVR36" s="143"/>
      <c r="FVS36" s="143"/>
      <c r="FVT36" s="143"/>
      <c r="FVU36" s="143"/>
      <c r="FVV36" s="143"/>
      <c r="FVW36" s="143"/>
      <c r="FVX36" s="143"/>
      <c r="FVY36" s="143"/>
      <c r="FVZ36" s="143"/>
      <c r="FWA36" s="143"/>
      <c r="FWB36" s="143"/>
      <c r="FWC36" s="143"/>
      <c r="FWD36" s="143"/>
      <c r="FWE36" s="143"/>
      <c r="FWF36" s="143"/>
      <c r="FWG36" s="143"/>
      <c r="FWH36" s="143"/>
      <c r="FWI36" s="143"/>
      <c r="FWJ36" s="143"/>
      <c r="FWK36" s="143"/>
      <c r="FWL36" s="143"/>
      <c r="FWM36" s="143"/>
      <c r="FWN36" s="143"/>
      <c r="FWO36" s="143"/>
      <c r="FWP36" s="143"/>
      <c r="FWQ36" s="143"/>
      <c r="FWR36" s="143"/>
      <c r="FWS36" s="143"/>
      <c r="FWT36" s="143"/>
      <c r="FWU36" s="143"/>
      <c r="FWV36" s="143"/>
      <c r="FWW36" s="143"/>
      <c r="FWX36" s="143"/>
      <c r="FWY36" s="143"/>
      <c r="FWZ36" s="143"/>
      <c r="FXA36" s="143"/>
      <c r="FXB36" s="143"/>
      <c r="FXC36" s="143"/>
      <c r="FXD36" s="143"/>
      <c r="FXE36" s="143"/>
      <c r="FXF36" s="143"/>
      <c r="FXG36" s="143"/>
      <c r="FXH36" s="143"/>
      <c r="FXI36" s="143"/>
      <c r="FXJ36" s="143"/>
      <c r="FXK36" s="143"/>
      <c r="FXL36" s="143"/>
      <c r="FXM36" s="143"/>
      <c r="FXN36" s="143"/>
      <c r="FXO36" s="143"/>
      <c r="FXP36" s="143"/>
      <c r="FXQ36" s="143"/>
      <c r="FXR36" s="143"/>
      <c r="FXS36" s="143"/>
      <c r="FXT36" s="143"/>
      <c r="FXU36" s="143"/>
      <c r="FXV36" s="143"/>
      <c r="FXW36" s="143"/>
      <c r="FXX36" s="143"/>
      <c r="FXY36" s="143"/>
      <c r="FXZ36" s="143"/>
      <c r="FYA36" s="143"/>
      <c r="FYB36" s="143"/>
      <c r="FYC36" s="143"/>
      <c r="FYD36" s="143"/>
      <c r="FYE36" s="143"/>
      <c r="FYF36" s="143"/>
      <c r="FYG36" s="143"/>
      <c r="FYH36" s="143"/>
      <c r="FYI36" s="143"/>
      <c r="FYJ36" s="143"/>
      <c r="FYK36" s="143"/>
      <c r="FYL36" s="143"/>
      <c r="FYM36" s="143"/>
      <c r="FYN36" s="143"/>
      <c r="FYO36" s="143"/>
      <c r="FYP36" s="143"/>
      <c r="FYQ36" s="143"/>
      <c r="FYR36" s="143"/>
      <c r="FYS36" s="143"/>
      <c r="FYT36" s="143"/>
      <c r="FYU36" s="143"/>
      <c r="FYV36" s="143"/>
      <c r="FYW36" s="143"/>
      <c r="FYX36" s="143"/>
      <c r="FYY36" s="143"/>
      <c r="FYZ36" s="143"/>
      <c r="FZA36" s="143"/>
      <c r="FZB36" s="143"/>
      <c r="FZC36" s="143"/>
      <c r="FZD36" s="143"/>
      <c r="FZE36" s="143"/>
      <c r="FZF36" s="143"/>
      <c r="FZG36" s="143"/>
      <c r="FZH36" s="143"/>
      <c r="FZI36" s="143"/>
      <c r="FZJ36" s="143"/>
      <c r="FZK36" s="143"/>
      <c r="FZL36" s="143"/>
      <c r="FZM36" s="143"/>
      <c r="FZN36" s="143"/>
      <c r="FZO36" s="143"/>
      <c r="FZP36" s="143"/>
      <c r="FZQ36" s="143"/>
      <c r="FZR36" s="143"/>
      <c r="FZS36" s="143"/>
      <c r="FZT36" s="143"/>
      <c r="FZU36" s="143"/>
      <c r="FZV36" s="143"/>
      <c r="FZW36" s="143"/>
      <c r="FZX36" s="143"/>
      <c r="FZY36" s="143"/>
      <c r="FZZ36" s="143"/>
      <c r="GAA36" s="143"/>
      <c r="GAB36" s="143"/>
      <c r="GAC36" s="143"/>
      <c r="GAD36" s="143"/>
      <c r="GAE36" s="143"/>
      <c r="GAF36" s="143"/>
      <c r="GAG36" s="143"/>
      <c r="GAH36" s="143"/>
      <c r="GAI36" s="143"/>
      <c r="GAJ36" s="143"/>
      <c r="GAK36" s="143"/>
      <c r="GAL36" s="143"/>
      <c r="GAM36" s="143"/>
      <c r="GAN36" s="143"/>
      <c r="GAO36" s="143"/>
      <c r="GAP36" s="143"/>
      <c r="GAQ36" s="143"/>
      <c r="GAR36" s="143"/>
      <c r="GAS36" s="143"/>
      <c r="GAT36" s="143"/>
      <c r="GAU36" s="143"/>
      <c r="GAV36" s="143"/>
      <c r="GAW36" s="143"/>
      <c r="GAX36" s="143"/>
      <c r="GAY36" s="143"/>
      <c r="GAZ36" s="143"/>
      <c r="GBA36" s="143"/>
      <c r="GBB36" s="143"/>
      <c r="GBC36" s="143"/>
      <c r="GBD36" s="143"/>
      <c r="GBE36" s="143"/>
      <c r="GBF36" s="143"/>
      <c r="GBG36" s="143"/>
      <c r="GBH36" s="143"/>
      <c r="GBI36" s="143"/>
      <c r="GBJ36" s="143"/>
      <c r="GBK36" s="143"/>
      <c r="GBL36" s="143"/>
      <c r="GBM36" s="143"/>
      <c r="GBN36" s="143"/>
      <c r="GBO36" s="143"/>
      <c r="GBP36" s="143"/>
      <c r="GBQ36" s="143"/>
      <c r="GBR36" s="143"/>
      <c r="GBS36" s="143"/>
      <c r="GBT36" s="143"/>
      <c r="GBU36" s="143"/>
      <c r="GBV36" s="143"/>
      <c r="GBW36" s="143"/>
      <c r="GBX36" s="143"/>
      <c r="GBY36" s="143"/>
      <c r="GBZ36" s="143"/>
      <c r="GCA36" s="143"/>
      <c r="GCB36" s="143"/>
      <c r="GCC36" s="143"/>
      <c r="GCD36" s="143"/>
      <c r="GCE36" s="143"/>
      <c r="GCF36" s="143"/>
      <c r="GCG36" s="143"/>
      <c r="GCH36" s="143"/>
      <c r="GCI36" s="143"/>
      <c r="GCJ36" s="143"/>
      <c r="GCK36" s="143"/>
      <c r="GCL36" s="143"/>
      <c r="GCM36" s="143"/>
      <c r="GCN36" s="143"/>
      <c r="GCO36" s="143"/>
      <c r="GCP36" s="143"/>
      <c r="GCQ36" s="143"/>
      <c r="GCR36" s="143"/>
      <c r="GCS36" s="143"/>
      <c r="GCT36" s="143"/>
      <c r="GCU36" s="143"/>
      <c r="GCV36" s="143"/>
      <c r="GCW36" s="143"/>
      <c r="GCX36" s="143"/>
      <c r="GCY36" s="143"/>
      <c r="GCZ36" s="143"/>
      <c r="GDA36" s="143"/>
      <c r="GDB36" s="143"/>
      <c r="GDC36" s="143"/>
      <c r="GDD36" s="143"/>
      <c r="GDE36" s="143"/>
      <c r="GDF36" s="143"/>
      <c r="GDG36" s="143"/>
      <c r="GDH36" s="143"/>
      <c r="GDI36" s="143"/>
      <c r="GDJ36" s="143"/>
      <c r="GDK36" s="143"/>
      <c r="GDL36" s="143"/>
      <c r="GDM36" s="143"/>
      <c r="GDN36" s="143"/>
      <c r="GDO36" s="143"/>
      <c r="GDP36" s="143"/>
      <c r="GDQ36" s="143"/>
      <c r="GDR36" s="143"/>
      <c r="GDS36" s="143"/>
      <c r="GDT36" s="143"/>
      <c r="GDU36" s="143"/>
      <c r="GDV36" s="143"/>
      <c r="GDW36" s="143"/>
      <c r="GDX36" s="143"/>
      <c r="GDY36" s="143"/>
      <c r="GDZ36" s="143"/>
      <c r="GEA36" s="143"/>
      <c r="GEB36" s="143"/>
      <c r="GEC36" s="143"/>
      <c r="GED36" s="143"/>
      <c r="GEE36" s="143"/>
      <c r="GEF36" s="143"/>
      <c r="GEG36" s="143"/>
      <c r="GEH36" s="143"/>
      <c r="GEI36" s="143"/>
      <c r="GEJ36" s="143"/>
      <c r="GEK36" s="143"/>
      <c r="GEL36" s="143"/>
      <c r="GEM36" s="143"/>
      <c r="GEN36" s="143"/>
      <c r="GEO36" s="143"/>
      <c r="GEP36" s="143"/>
      <c r="GEQ36" s="143"/>
      <c r="GER36" s="143"/>
      <c r="GES36" s="143"/>
      <c r="GET36" s="143"/>
      <c r="GEU36" s="143"/>
      <c r="GEV36" s="143"/>
      <c r="GEW36" s="143"/>
      <c r="GEX36" s="143"/>
      <c r="GEY36" s="143"/>
      <c r="GEZ36" s="143"/>
      <c r="GFA36" s="143"/>
      <c r="GFB36" s="143"/>
      <c r="GFC36" s="143"/>
      <c r="GFD36" s="143"/>
      <c r="GFE36" s="143"/>
      <c r="GFF36" s="143"/>
      <c r="GFG36" s="143"/>
      <c r="GFH36" s="143"/>
      <c r="GFI36" s="143"/>
      <c r="GFJ36" s="143"/>
      <c r="GFK36" s="143"/>
      <c r="GFL36" s="143"/>
      <c r="GFM36" s="143"/>
      <c r="GFN36" s="143"/>
      <c r="GFO36" s="143"/>
      <c r="GFP36" s="143"/>
      <c r="GFQ36" s="143"/>
      <c r="GFR36" s="143"/>
      <c r="GFS36" s="143"/>
      <c r="GFT36" s="143"/>
      <c r="GFU36" s="143"/>
      <c r="GFV36" s="143"/>
      <c r="GFW36" s="143"/>
      <c r="GFX36" s="143"/>
      <c r="GFY36" s="143"/>
      <c r="GFZ36" s="143"/>
      <c r="GGA36" s="143"/>
      <c r="GGB36" s="143"/>
      <c r="GGC36" s="143"/>
      <c r="GGD36" s="143"/>
      <c r="GGE36" s="143"/>
      <c r="GGF36" s="143"/>
      <c r="GGG36" s="143"/>
      <c r="GGH36" s="143"/>
      <c r="GGI36" s="143"/>
      <c r="GGJ36" s="143"/>
      <c r="GGK36" s="143"/>
      <c r="GGL36" s="143"/>
      <c r="GGM36" s="143"/>
      <c r="GGN36" s="143"/>
      <c r="GGO36" s="143"/>
      <c r="GGP36" s="143"/>
      <c r="GGQ36" s="143"/>
      <c r="GGR36" s="143"/>
      <c r="GGS36" s="143"/>
      <c r="GGT36" s="143"/>
      <c r="GGU36" s="143"/>
      <c r="GGV36" s="143"/>
      <c r="GGW36" s="143"/>
      <c r="GGX36" s="143"/>
      <c r="GGY36" s="143"/>
      <c r="GGZ36" s="143"/>
      <c r="GHA36" s="143"/>
      <c r="GHB36" s="143"/>
      <c r="GHC36" s="143"/>
      <c r="GHD36" s="143"/>
      <c r="GHE36" s="143"/>
      <c r="GHF36" s="143"/>
      <c r="GHG36" s="143"/>
      <c r="GHH36" s="143"/>
      <c r="GHI36" s="143"/>
      <c r="GHJ36" s="143"/>
      <c r="GHK36" s="143"/>
      <c r="GHL36" s="143"/>
      <c r="GHM36" s="143"/>
      <c r="GHN36" s="143"/>
      <c r="GHO36" s="143"/>
      <c r="GHP36" s="143"/>
      <c r="GHQ36" s="143"/>
      <c r="GHR36" s="143"/>
      <c r="GHS36" s="143"/>
      <c r="GHT36" s="143"/>
      <c r="GHU36" s="143"/>
      <c r="GHV36" s="143"/>
      <c r="GHW36" s="143"/>
      <c r="GHX36" s="143"/>
      <c r="GHY36" s="143"/>
      <c r="GHZ36" s="143"/>
      <c r="GIA36" s="143"/>
      <c r="GIB36" s="143"/>
      <c r="GIC36" s="143"/>
      <c r="GID36" s="143"/>
      <c r="GIE36" s="143"/>
      <c r="GIF36" s="143"/>
      <c r="GIG36" s="143"/>
      <c r="GIH36" s="143"/>
      <c r="GII36" s="143"/>
      <c r="GIJ36" s="143"/>
      <c r="GIK36" s="143"/>
      <c r="GIL36" s="143"/>
      <c r="GIM36" s="143"/>
      <c r="GIN36" s="143"/>
      <c r="GIO36" s="143"/>
      <c r="GIP36" s="143"/>
      <c r="GIQ36" s="143"/>
      <c r="GIR36" s="143"/>
      <c r="GIS36" s="143"/>
      <c r="GIT36" s="143"/>
      <c r="GIU36" s="143"/>
      <c r="GIV36" s="143"/>
      <c r="GIW36" s="143"/>
      <c r="GIX36" s="143"/>
      <c r="GIY36" s="143"/>
      <c r="GIZ36" s="143"/>
      <c r="GJA36" s="143"/>
      <c r="GJB36" s="143"/>
      <c r="GJC36" s="143"/>
      <c r="GJD36" s="143"/>
      <c r="GJE36" s="143"/>
      <c r="GJF36" s="143"/>
      <c r="GJG36" s="143"/>
      <c r="GJH36" s="143"/>
      <c r="GJI36" s="143"/>
      <c r="GJJ36" s="143"/>
      <c r="GJK36" s="143"/>
      <c r="GJL36" s="143"/>
      <c r="GJM36" s="143"/>
      <c r="GJN36" s="143"/>
      <c r="GJO36" s="143"/>
      <c r="GJP36" s="143"/>
      <c r="GJQ36" s="143"/>
      <c r="GJR36" s="143"/>
      <c r="GJS36" s="143"/>
      <c r="GJT36" s="143"/>
      <c r="GJU36" s="143"/>
      <c r="GJV36" s="143"/>
      <c r="GJW36" s="143"/>
      <c r="GJX36" s="143"/>
      <c r="GJY36" s="143"/>
      <c r="GJZ36" s="143"/>
      <c r="GKA36" s="143"/>
      <c r="GKB36" s="143"/>
      <c r="GKC36" s="143"/>
      <c r="GKD36" s="143"/>
      <c r="GKE36" s="143"/>
      <c r="GKF36" s="143"/>
      <c r="GKG36" s="143"/>
      <c r="GKH36" s="143"/>
      <c r="GKI36" s="143"/>
      <c r="GKJ36" s="143"/>
      <c r="GKK36" s="143"/>
      <c r="GKL36" s="143"/>
      <c r="GKM36" s="143"/>
      <c r="GKN36" s="143"/>
      <c r="GKO36" s="143"/>
      <c r="GKP36" s="143"/>
      <c r="GKQ36" s="143"/>
      <c r="GKR36" s="143"/>
      <c r="GKS36" s="143"/>
      <c r="GKT36" s="143"/>
      <c r="GKU36" s="143"/>
      <c r="GKV36" s="143"/>
      <c r="GKW36" s="143"/>
      <c r="GKX36" s="143"/>
      <c r="GKY36" s="143"/>
      <c r="GKZ36" s="143"/>
      <c r="GLA36" s="143"/>
      <c r="GLB36" s="143"/>
      <c r="GLC36" s="143"/>
      <c r="GLD36" s="143"/>
      <c r="GLE36" s="143"/>
      <c r="GLF36" s="143"/>
      <c r="GLG36" s="143"/>
      <c r="GLH36" s="143"/>
      <c r="GLI36" s="143"/>
      <c r="GLJ36" s="143"/>
      <c r="GLK36" s="143"/>
      <c r="GLL36" s="143"/>
      <c r="GLM36" s="143"/>
      <c r="GLN36" s="143"/>
      <c r="GLO36" s="143"/>
      <c r="GLP36" s="143"/>
      <c r="GLQ36" s="143"/>
      <c r="GLR36" s="143"/>
      <c r="GLS36" s="143"/>
      <c r="GLT36" s="143"/>
      <c r="GLU36" s="143"/>
      <c r="GLV36" s="143"/>
      <c r="GLW36" s="143"/>
      <c r="GLX36" s="143"/>
      <c r="GLY36" s="143"/>
      <c r="GLZ36" s="143"/>
      <c r="GMA36" s="143"/>
      <c r="GMB36" s="143"/>
      <c r="GMC36" s="143"/>
      <c r="GMD36" s="143"/>
      <c r="GME36" s="143"/>
      <c r="GMF36" s="143"/>
      <c r="GMG36" s="143"/>
      <c r="GMH36" s="143"/>
      <c r="GMI36" s="143"/>
      <c r="GMJ36" s="143"/>
      <c r="GMK36" s="143"/>
      <c r="GML36" s="143"/>
      <c r="GMM36" s="143"/>
      <c r="GMN36" s="143"/>
      <c r="GMO36" s="143"/>
      <c r="GMP36" s="143"/>
      <c r="GMQ36" s="143"/>
      <c r="GMR36" s="143"/>
      <c r="GMS36" s="143"/>
      <c r="GMT36" s="143"/>
      <c r="GMU36" s="143"/>
      <c r="GMV36" s="143"/>
      <c r="GMW36" s="143"/>
      <c r="GMX36" s="143"/>
      <c r="GMY36" s="143"/>
      <c r="GMZ36" s="143"/>
      <c r="GNA36" s="143"/>
      <c r="GNB36" s="143"/>
      <c r="GNC36" s="143"/>
      <c r="GND36" s="143"/>
      <c r="GNE36" s="143"/>
      <c r="GNF36" s="143"/>
      <c r="GNG36" s="143"/>
      <c r="GNH36" s="143"/>
      <c r="GNI36" s="143"/>
      <c r="GNJ36" s="143"/>
      <c r="GNK36" s="143"/>
      <c r="GNL36" s="143"/>
      <c r="GNM36" s="143"/>
      <c r="GNN36" s="143"/>
      <c r="GNO36" s="143"/>
      <c r="GNP36" s="143"/>
      <c r="GNQ36" s="143"/>
      <c r="GNR36" s="143"/>
      <c r="GNS36" s="143"/>
      <c r="GNT36" s="143"/>
      <c r="GNU36" s="143"/>
      <c r="GNV36" s="143"/>
      <c r="GNW36" s="143"/>
      <c r="GNX36" s="143"/>
      <c r="GNY36" s="143"/>
      <c r="GNZ36" s="143"/>
      <c r="GOA36" s="143"/>
      <c r="GOB36" s="143"/>
      <c r="GOC36" s="143"/>
      <c r="GOD36" s="143"/>
      <c r="GOE36" s="143"/>
      <c r="GOF36" s="143"/>
      <c r="GOG36" s="143"/>
      <c r="GOH36" s="143"/>
      <c r="GOI36" s="143"/>
      <c r="GOJ36" s="143"/>
      <c r="GOK36" s="143"/>
      <c r="GOL36" s="143"/>
      <c r="GOM36" s="143"/>
      <c r="GON36" s="143"/>
      <c r="GOO36" s="143"/>
      <c r="GOP36" s="143"/>
      <c r="GOQ36" s="143"/>
      <c r="GOR36" s="143"/>
      <c r="GOS36" s="143"/>
      <c r="GOT36" s="143"/>
      <c r="GOU36" s="143"/>
      <c r="GOV36" s="143"/>
      <c r="GOW36" s="143"/>
      <c r="GOX36" s="143"/>
      <c r="GOY36" s="143"/>
      <c r="GOZ36" s="143"/>
      <c r="GPA36" s="143"/>
      <c r="GPB36" s="143"/>
      <c r="GPC36" s="143"/>
      <c r="GPD36" s="143"/>
      <c r="GPE36" s="143"/>
      <c r="GPF36" s="143"/>
      <c r="GPG36" s="143"/>
      <c r="GPH36" s="143"/>
      <c r="GPI36" s="143"/>
      <c r="GPJ36" s="143"/>
      <c r="GPK36" s="143"/>
      <c r="GPL36" s="143"/>
      <c r="GPM36" s="143"/>
      <c r="GPN36" s="143"/>
      <c r="GPO36" s="143"/>
      <c r="GPP36" s="143"/>
      <c r="GPQ36" s="143"/>
      <c r="GPR36" s="143"/>
      <c r="GPS36" s="143"/>
      <c r="GPT36" s="143"/>
      <c r="GPU36" s="143"/>
      <c r="GPV36" s="143"/>
      <c r="GPW36" s="143"/>
      <c r="GPX36" s="143"/>
      <c r="GPY36" s="143"/>
      <c r="GPZ36" s="143"/>
      <c r="GQA36" s="143"/>
      <c r="GQB36" s="143"/>
      <c r="GQC36" s="143"/>
      <c r="GQD36" s="143"/>
      <c r="GQE36" s="143"/>
      <c r="GQF36" s="143"/>
      <c r="GQG36" s="143"/>
      <c r="GQH36" s="143"/>
      <c r="GQI36" s="143"/>
      <c r="GQJ36" s="143"/>
      <c r="GQK36" s="143"/>
      <c r="GQL36" s="143"/>
      <c r="GQM36" s="143"/>
      <c r="GQN36" s="143"/>
      <c r="GQO36" s="143"/>
      <c r="GQP36" s="143"/>
      <c r="GQQ36" s="143"/>
      <c r="GQR36" s="143"/>
      <c r="GQS36" s="143"/>
      <c r="GQT36" s="143"/>
      <c r="GQU36" s="143"/>
      <c r="GQV36" s="143"/>
      <c r="GQW36" s="143"/>
      <c r="GQX36" s="143"/>
      <c r="GQY36" s="143"/>
      <c r="GQZ36" s="143"/>
      <c r="GRA36" s="143"/>
      <c r="GRB36" s="143"/>
      <c r="GRC36" s="143"/>
      <c r="GRD36" s="143"/>
      <c r="GRE36" s="143"/>
      <c r="GRF36" s="143"/>
      <c r="GRG36" s="143"/>
      <c r="GRH36" s="143"/>
      <c r="GRI36" s="143"/>
      <c r="GRJ36" s="143"/>
      <c r="GRK36" s="143"/>
      <c r="GRL36" s="143"/>
      <c r="GRM36" s="143"/>
      <c r="GRN36" s="143"/>
      <c r="GRO36" s="143"/>
      <c r="GRP36" s="143"/>
      <c r="GRQ36" s="143"/>
      <c r="GRR36" s="143"/>
      <c r="GRS36" s="143"/>
      <c r="GRT36" s="143"/>
      <c r="GRU36" s="143"/>
      <c r="GRV36" s="143"/>
      <c r="GRW36" s="143"/>
      <c r="GRX36" s="143"/>
      <c r="GRY36" s="143"/>
      <c r="GRZ36" s="143"/>
      <c r="GSA36" s="143"/>
      <c r="GSB36" s="143"/>
      <c r="GSC36" s="143"/>
      <c r="GSD36" s="143"/>
      <c r="GSE36" s="143"/>
      <c r="GSF36" s="143"/>
      <c r="GSG36" s="143"/>
      <c r="GSH36" s="143"/>
      <c r="GSI36" s="143"/>
      <c r="GSJ36" s="143"/>
      <c r="GSK36" s="143"/>
      <c r="GSL36" s="143"/>
      <c r="GSM36" s="143"/>
      <c r="GSN36" s="143"/>
      <c r="GSO36" s="143"/>
      <c r="GSP36" s="143"/>
      <c r="GSQ36" s="143"/>
      <c r="GSR36" s="143"/>
      <c r="GSS36" s="143"/>
      <c r="GST36" s="143"/>
      <c r="GSU36" s="143"/>
      <c r="GSV36" s="143"/>
      <c r="GSW36" s="143"/>
      <c r="GSX36" s="143"/>
      <c r="GSY36" s="143"/>
      <c r="GSZ36" s="143"/>
      <c r="GTA36" s="143"/>
      <c r="GTB36" s="143"/>
      <c r="GTC36" s="143"/>
      <c r="GTD36" s="143"/>
      <c r="GTE36" s="143"/>
      <c r="GTF36" s="143"/>
      <c r="GTG36" s="143"/>
      <c r="GTH36" s="143"/>
      <c r="GTI36" s="143"/>
      <c r="GTJ36" s="143"/>
      <c r="GTK36" s="143"/>
      <c r="GTL36" s="143"/>
      <c r="GTM36" s="143"/>
      <c r="GTN36" s="143"/>
      <c r="GTO36" s="143"/>
      <c r="GTP36" s="143"/>
      <c r="GTQ36" s="143"/>
      <c r="GTR36" s="143"/>
      <c r="GTS36" s="143"/>
      <c r="GTT36" s="143"/>
      <c r="GTU36" s="143"/>
      <c r="GTV36" s="143"/>
      <c r="GTW36" s="143"/>
      <c r="GTX36" s="143"/>
      <c r="GTY36" s="143"/>
      <c r="GTZ36" s="143"/>
      <c r="GUA36" s="143"/>
      <c r="GUB36" s="143"/>
      <c r="GUC36" s="143"/>
      <c r="GUD36" s="143"/>
      <c r="GUE36" s="143"/>
      <c r="GUF36" s="143"/>
      <c r="GUG36" s="143"/>
      <c r="GUH36" s="143"/>
      <c r="GUI36" s="143"/>
      <c r="GUJ36" s="143"/>
      <c r="GUK36" s="143"/>
      <c r="GUL36" s="143"/>
      <c r="GUM36" s="143"/>
      <c r="GUN36" s="143"/>
      <c r="GUO36" s="143"/>
      <c r="GUP36" s="143"/>
      <c r="GUQ36" s="143"/>
      <c r="GUR36" s="143"/>
      <c r="GUS36" s="143"/>
      <c r="GUT36" s="143"/>
      <c r="GUU36" s="143"/>
      <c r="GUV36" s="143"/>
      <c r="GUW36" s="143"/>
      <c r="GUX36" s="143"/>
      <c r="GUY36" s="143"/>
      <c r="GUZ36" s="143"/>
      <c r="GVA36" s="143"/>
      <c r="GVB36" s="143"/>
      <c r="GVC36" s="143"/>
      <c r="GVD36" s="143"/>
      <c r="GVE36" s="143"/>
      <c r="GVF36" s="143"/>
      <c r="GVG36" s="143"/>
      <c r="GVH36" s="143"/>
      <c r="GVI36" s="143"/>
      <c r="GVJ36" s="143"/>
      <c r="GVK36" s="143"/>
      <c r="GVL36" s="143"/>
      <c r="GVM36" s="143"/>
      <c r="GVN36" s="143"/>
      <c r="GVO36" s="143"/>
      <c r="GVP36" s="143"/>
      <c r="GVQ36" s="143"/>
      <c r="GVR36" s="143"/>
      <c r="GVS36" s="143"/>
      <c r="GVT36" s="143"/>
      <c r="GVU36" s="143"/>
      <c r="GVV36" s="143"/>
      <c r="GVW36" s="143"/>
      <c r="GVX36" s="143"/>
      <c r="GVY36" s="143"/>
      <c r="GVZ36" s="143"/>
      <c r="GWA36" s="143"/>
      <c r="GWB36" s="143"/>
      <c r="GWC36" s="143"/>
      <c r="GWD36" s="143"/>
      <c r="GWE36" s="143"/>
      <c r="GWF36" s="143"/>
      <c r="GWG36" s="143"/>
      <c r="GWH36" s="143"/>
      <c r="GWI36" s="143"/>
      <c r="GWJ36" s="143"/>
      <c r="GWK36" s="143"/>
      <c r="GWL36" s="143"/>
      <c r="GWM36" s="143"/>
      <c r="GWN36" s="143"/>
      <c r="GWO36" s="143"/>
      <c r="GWP36" s="143"/>
      <c r="GWQ36" s="143"/>
      <c r="GWR36" s="143"/>
      <c r="GWS36" s="143"/>
      <c r="GWT36" s="143"/>
      <c r="GWU36" s="143"/>
      <c r="GWV36" s="143"/>
      <c r="GWW36" s="143"/>
      <c r="GWX36" s="143"/>
      <c r="GWY36" s="143"/>
      <c r="GWZ36" s="143"/>
      <c r="GXA36" s="143"/>
      <c r="GXB36" s="143"/>
      <c r="GXC36" s="143"/>
      <c r="GXD36" s="143"/>
      <c r="GXE36" s="143"/>
      <c r="GXF36" s="143"/>
      <c r="GXG36" s="143"/>
      <c r="GXH36" s="143"/>
      <c r="GXI36" s="143"/>
      <c r="GXJ36" s="143"/>
      <c r="GXK36" s="143"/>
      <c r="GXL36" s="143"/>
      <c r="GXM36" s="143"/>
      <c r="GXN36" s="143"/>
      <c r="GXO36" s="143"/>
      <c r="GXP36" s="143"/>
      <c r="GXQ36" s="143"/>
      <c r="GXR36" s="143"/>
      <c r="GXS36" s="143"/>
      <c r="GXT36" s="143"/>
      <c r="GXU36" s="143"/>
      <c r="GXV36" s="143"/>
      <c r="GXW36" s="143"/>
      <c r="GXX36" s="143"/>
      <c r="GXY36" s="143"/>
      <c r="GXZ36" s="143"/>
      <c r="GYA36" s="143"/>
      <c r="GYB36" s="143"/>
      <c r="GYC36" s="143"/>
      <c r="GYD36" s="143"/>
      <c r="GYE36" s="143"/>
      <c r="GYF36" s="143"/>
      <c r="GYG36" s="143"/>
      <c r="GYH36" s="143"/>
      <c r="GYI36" s="143"/>
      <c r="GYJ36" s="143"/>
      <c r="GYK36" s="143"/>
      <c r="GYL36" s="143"/>
      <c r="GYM36" s="143"/>
      <c r="GYN36" s="143"/>
      <c r="GYO36" s="143"/>
      <c r="GYP36" s="143"/>
      <c r="GYQ36" s="143"/>
      <c r="GYR36" s="143"/>
      <c r="GYS36" s="143"/>
      <c r="GYT36" s="143"/>
      <c r="GYU36" s="143"/>
      <c r="GYV36" s="143"/>
      <c r="GYW36" s="143"/>
      <c r="GYX36" s="143"/>
      <c r="GYY36" s="143"/>
      <c r="GYZ36" s="143"/>
      <c r="GZA36" s="143"/>
      <c r="GZB36" s="143"/>
      <c r="GZC36" s="143"/>
      <c r="GZD36" s="143"/>
      <c r="GZE36" s="143"/>
      <c r="GZF36" s="143"/>
      <c r="GZG36" s="143"/>
      <c r="GZH36" s="143"/>
      <c r="GZI36" s="143"/>
      <c r="GZJ36" s="143"/>
      <c r="GZK36" s="143"/>
      <c r="GZL36" s="143"/>
      <c r="GZM36" s="143"/>
      <c r="GZN36" s="143"/>
      <c r="GZO36" s="143"/>
      <c r="GZP36" s="143"/>
      <c r="GZQ36" s="143"/>
      <c r="GZR36" s="143"/>
      <c r="GZS36" s="143"/>
      <c r="GZT36" s="143"/>
      <c r="GZU36" s="143"/>
      <c r="GZV36" s="143"/>
      <c r="GZW36" s="143"/>
      <c r="GZX36" s="143"/>
      <c r="GZY36" s="143"/>
      <c r="GZZ36" s="143"/>
      <c r="HAA36" s="143"/>
      <c r="HAB36" s="143"/>
      <c r="HAC36" s="143"/>
      <c r="HAD36" s="143"/>
      <c r="HAE36" s="143"/>
      <c r="HAF36" s="143"/>
      <c r="HAG36" s="143"/>
      <c r="HAH36" s="143"/>
      <c r="HAI36" s="143"/>
      <c r="HAJ36" s="143"/>
      <c r="HAK36" s="143"/>
      <c r="HAL36" s="143"/>
      <c r="HAM36" s="143"/>
      <c r="HAN36" s="143"/>
      <c r="HAO36" s="143"/>
      <c r="HAP36" s="143"/>
      <c r="HAQ36" s="143"/>
      <c r="HAR36" s="143"/>
      <c r="HAS36" s="143"/>
      <c r="HAT36" s="143"/>
      <c r="HAU36" s="143"/>
      <c r="HAV36" s="143"/>
      <c r="HAW36" s="143"/>
      <c r="HAX36" s="143"/>
      <c r="HAY36" s="143"/>
      <c r="HAZ36" s="143"/>
      <c r="HBA36" s="143"/>
      <c r="HBB36" s="143"/>
      <c r="HBC36" s="143"/>
      <c r="HBD36" s="143"/>
      <c r="HBE36" s="143"/>
      <c r="HBF36" s="143"/>
      <c r="HBG36" s="143"/>
      <c r="HBH36" s="143"/>
      <c r="HBI36" s="143"/>
      <c r="HBJ36" s="143"/>
      <c r="HBK36" s="143"/>
      <c r="HBL36" s="143"/>
      <c r="HBM36" s="143"/>
      <c r="HBN36" s="143"/>
      <c r="HBO36" s="143"/>
      <c r="HBP36" s="143"/>
      <c r="HBQ36" s="143"/>
      <c r="HBR36" s="143"/>
      <c r="HBS36" s="143"/>
      <c r="HBT36" s="143"/>
      <c r="HBU36" s="143"/>
      <c r="HBV36" s="143"/>
      <c r="HBW36" s="143"/>
      <c r="HBX36" s="143"/>
      <c r="HBY36" s="143"/>
      <c r="HBZ36" s="143"/>
      <c r="HCA36" s="143"/>
      <c r="HCB36" s="143"/>
      <c r="HCC36" s="143"/>
      <c r="HCD36" s="143"/>
      <c r="HCE36" s="143"/>
      <c r="HCF36" s="143"/>
      <c r="HCG36" s="143"/>
      <c r="HCH36" s="143"/>
      <c r="HCI36" s="143"/>
      <c r="HCJ36" s="143"/>
      <c r="HCK36" s="143"/>
      <c r="HCL36" s="143"/>
      <c r="HCM36" s="143"/>
      <c r="HCN36" s="143"/>
      <c r="HCO36" s="143"/>
      <c r="HCP36" s="143"/>
      <c r="HCQ36" s="143"/>
      <c r="HCR36" s="143"/>
      <c r="HCS36" s="143"/>
      <c r="HCT36" s="143"/>
      <c r="HCU36" s="143"/>
      <c r="HCV36" s="143"/>
      <c r="HCW36" s="143"/>
      <c r="HCX36" s="143"/>
      <c r="HCY36" s="143"/>
      <c r="HCZ36" s="143"/>
      <c r="HDA36" s="143"/>
      <c r="HDB36" s="143"/>
      <c r="HDC36" s="143"/>
      <c r="HDD36" s="143"/>
      <c r="HDE36" s="143"/>
      <c r="HDF36" s="143"/>
      <c r="HDG36" s="143"/>
      <c r="HDH36" s="143"/>
      <c r="HDI36" s="143"/>
      <c r="HDJ36" s="143"/>
      <c r="HDK36" s="143"/>
      <c r="HDL36" s="143"/>
      <c r="HDM36" s="143"/>
      <c r="HDN36" s="143"/>
      <c r="HDO36" s="143"/>
      <c r="HDP36" s="143"/>
      <c r="HDQ36" s="143"/>
      <c r="HDR36" s="143"/>
      <c r="HDS36" s="143"/>
      <c r="HDT36" s="143"/>
      <c r="HDU36" s="143"/>
      <c r="HDV36" s="143"/>
      <c r="HDW36" s="143"/>
      <c r="HDX36" s="143"/>
      <c r="HDY36" s="143"/>
      <c r="HDZ36" s="143"/>
      <c r="HEA36" s="143"/>
      <c r="HEB36" s="143"/>
      <c r="HEC36" s="143"/>
      <c r="HED36" s="143"/>
      <c r="HEE36" s="143"/>
      <c r="HEF36" s="143"/>
      <c r="HEG36" s="143"/>
      <c r="HEH36" s="143"/>
      <c r="HEI36" s="143"/>
      <c r="HEJ36" s="143"/>
      <c r="HEK36" s="143"/>
      <c r="HEL36" s="143"/>
      <c r="HEM36" s="143"/>
      <c r="HEN36" s="143"/>
      <c r="HEO36" s="143"/>
      <c r="HEP36" s="143"/>
      <c r="HEQ36" s="143"/>
      <c r="HER36" s="143"/>
      <c r="HES36" s="143"/>
      <c r="HET36" s="143"/>
      <c r="HEU36" s="143"/>
      <c r="HEV36" s="143"/>
      <c r="HEW36" s="143"/>
      <c r="HEX36" s="143"/>
      <c r="HEY36" s="143"/>
      <c r="HEZ36" s="143"/>
      <c r="HFA36" s="143"/>
      <c r="HFB36" s="143"/>
      <c r="HFC36" s="143"/>
      <c r="HFD36" s="143"/>
      <c r="HFE36" s="143"/>
      <c r="HFF36" s="143"/>
      <c r="HFG36" s="143"/>
      <c r="HFH36" s="143"/>
      <c r="HFI36" s="143"/>
      <c r="HFJ36" s="143"/>
      <c r="HFK36" s="143"/>
      <c r="HFL36" s="143"/>
      <c r="HFM36" s="143"/>
      <c r="HFN36" s="143"/>
      <c r="HFO36" s="143"/>
      <c r="HFP36" s="143"/>
      <c r="HFQ36" s="143"/>
      <c r="HFR36" s="143"/>
      <c r="HFS36" s="143"/>
      <c r="HFT36" s="143"/>
      <c r="HFU36" s="143"/>
      <c r="HFV36" s="143"/>
      <c r="HFW36" s="143"/>
      <c r="HFX36" s="143"/>
      <c r="HFY36" s="143"/>
      <c r="HFZ36" s="143"/>
      <c r="HGA36" s="143"/>
      <c r="HGB36" s="143"/>
      <c r="HGC36" s="143"/>
      <c r="HGD36" s="143"/>
      <c r="HGE36" s="143"/>
      <c r="HGF36" s="143"/>
      <c r="HGG36" s="143"/>
      <c r="HGH36" s="143"/>
      <c r="HGI36" s="143"/>
      <c r="HGJ36" s="143"/>
      <c r="HGK36" s="143"/>
      <c r="HGL36" s="143"/>
      <c r="HGM36" s="143"/>
      <c r="HGN36" s="143"/>
      <c r="HGO36" s="143"/>
      <c r="HGP36" s="143"/>
      <c r="HGQ36" s="143"/>
      <c r="HGR36" s="143"/>
      <c r="HGS36" s="143"/>
      <c r="HGT36" s="143"/>
      <c r="HGU36" s="143"/>
      <c r="HGV36" s="143"/>
      <c r="HGW36" s="143"/>
      <c r="HGX36" s="143"/>
      <c r="HGY36" s="143"/>
      <c r="HGZ36" s="143"/>
      <c r="HHA36" s="143"/>
      <c r="HHB36" s="143"/>
      <c r="HHC36" s="143"/>
      <c r="HHD36" s="143"/>
      <c r="HHE36" s="143"/>
      <c r="HHF36" s="143"/>
      <c r="HHG36" s="143"/>
      <c r="HHH36" s="143"/>
      <c r="HHI36" s="143"/>
      <c r="HHJ36" s="143"/>
      <c r="HHK36" s="143"/>
      <c r="HHL36" s="143"/>
      <c r="HHM36" s="143"/>
      <c r="HHN36" s="143"/>
      <c r="HHO36" s="143"/>
      <c r="HHP36" s="143"/>
      <c r="HHQ36" s="143"/>
      <c r="HHR36" s="143"/>
      <c r="HHS36" s="143"/>
      <c r="HHT36" s="143"/>
      <c r="HHU36" s="143"/>
      <c r="HHV36" s="143"/>
      <c r="HHW36" s="143"/>
      <c r="HHX36" s="143"/>
      <c r="HHY36" s="143"/>
      <c r="HHZ36" s="143"/>
      <c r="HIA36" s="143"/>
      <c r="HIB36" s="143"/>
      <c r="HIC36" s="143"/>
      <c r="HID36" s="143"/>
      <c r="HIE36" s="143"/>
      <c r="HIF36" s="143"/>
      <c r="HIG36" s="143"/>
      <c r="HIH36" s="143"/>
      <c r="HII36" s="143"/>
      <c r="HIJ36" s="143"/>
      <c r="HIK36" s="143"/>
      <c r="HIL36" s="143"/>
      <c r="HIM36" s="143"/>
      <c r="HIN36" s="143"/>
      <c r="HIO36" s="143"/>
      <c r="HIP36" s="143"/>
      <c r="HIQ36" s="143"/>
      <c r="HIR36" s="143"/>
      <c r="HIS36" s="143"/>
      <c r="HIT36" s="143"/>
      <c r="HIU36" s="143"/>
      <c r="HIV36" s="143"/>
      <c r="HIW36" s="143"/>
      <c r="HIX36" s="143"/>
      <c r="HIY36" s="143"/>
      <c r="HIZ36" s="143"/>
      <c r="HJA36" s="143"/>
      <c r="HJB36" s="143"/>
      <c r="HJC36" s="143"/>
      <c r="HJD36" s="143"/>
      <c r="HJE36" s="143"/>
      <c r="HJF36" s="143"/>
      <c r="HJG36" s="143"/>
      <c r="HJH36" s="143"/>
      <c r="HJI36" s="143"/>
      <c r="HJJ36" s="143"/>
      <c r="HJK36" s="143"/>
      <c r="HJL36" s="143"/>
      <c r="HJM36" s="143"/>
      <c r="HJN36" s="143"/>
      <c r="HJO36" s="143"/>
      <c r="HJP36" s="143"/>
      <c r="HJQ36" s="143"/>
      <c r="HJR36" s="143"/>
      <c r="HJS36" s="143"/>
      <c r="HJT36" s="143"/>
      <c r="HJU36" s="143"/>
      <c r="HJV36" s="143"/>
      <c r="HJW36" s="143"/>
      <c r="HJX36" s="143"/>
      <c r="HJY36" s="143"/>
      <c r="HJZ36" s="143"/>
      <c r="HKA36" s="143"/>
      <c r="HKB36" s="143"/>
      <c r="HKC36" s="143"/>
      <c r="HKD36" s="143"/>
      <c r="HKE36" s="143"/>
      <c r="HKF36" s="143"/>
      <c r="HKG36" s="143"/>
      <c r="HKH36" s="143"/>
      <c r="HKI36" s="143"/>
      <c r="HKJ36" s="143"/>
      <c r="HKK36" s="143"/>
      <c r="HKL36" s="143"/>
      <c r="HKM36" s="143"/>
      <c r="HKN36" s="143"/>
      <c r="HKO36" s="143"/>
      <c r="HKP36" s="143"/>
      <c r="HKQ36" s="143"/>
      <c r="HKR36" s="143"/>
      <c r="HKS36" s="143"/>
      <c r="HKT36" s="143"/>
      <c r="HKU36" s="143"/>
      <c r="HKV36" s="143"/>
      <c r="HKW36" s="143"/>
      <c r="HKX36" s="143"/>
      <c r="HKY36" s="143"/>
      <c r="HKZ36" s="143"/>
      <c r="HLA36" s="143"/>
      <c r="HLB36" s="143"/>
      <c r="HLC36" s="143"/>
      <c r="HLD36" s="143"/>
      <c r="HLE36" s="143"/>
      <c r="HLF36" s="143"/>
      <c r="HLG36" s="143"/>
      <c r="HLH36" s="143"/>
      <c r="HLI36" s="143"/>
      <c r="HLJ36" s="143"/>
      <c r="HLK36" s="143"/>
      <c r="HLL36" s="143"/>
      <c r="HLM36" s="143"/>
      <c r="HLN36" s="143"/>
      <c r="HLO36" s="143"/>
      <c r="HLP36" s="143"/>
      <c r="HLQ36" s="143"/>
      <c r="HLR36" s="143"/>
      <c r="HLS36" s="143"/>
      <c r="HLT36" s="143"/>
      <c r="HLU36" s="143"/>
      <c r="HLV36" s="143"/>
      <c r="HLW36" s="143"/>
      <c r="HLX36" s="143"/>
      <c r="HLY36" s="143"/>
      <c r="HLZ36" s="143"/>
      <c r="HMA36" s="143"/>
      <c r="HMB36" s="143"/>
      <c r="HMC36" s="143"/>
      <c r="HMD36" s="143"/>
      <c r="HME36" s="143"/>
      <c r="HMF36" s="143"/>
      <c r="HMG36" s="143"/>
      <c r="HMH36" s="143"/>
      <c r="HMI36" s="143"/>
      <c r="HMJ36" s="143"/>
      <c r="HMK36" s="143"/>
      <c r="HML36" s="143"/>
      <c r="HMM36" s="143"/>
      <c r="HMN36" s="143"/>
      <c r="HMO36" s="143"/>
      <c r="HMP36" s="143"/>
      <c r="HMQ36" s="143"/>
      <c r="HMR36" s="143"/>
      <c r="HMS36" s="143"/>
      <c r="HMT36" s="143"/>
      <c r="HMU36" s="143"/>
      <c r="HMV36" s="143"/>
      <c r="HMW36" s="143"/>
      <c r="HMX36" s="143"/>
      <c r="HMY36" s="143"/>
      <c r="HMZ36" s="143"/>
      <c r="HNA36" s="143"/>
      <c r="HNB36" s="143"/>
      <c r="HNC36" s="143"/>
      <c r="HND36" s="143"/>
      <c r="HNE36" s="143"/>
      <c r="HNF36" s="143"/>
      <c r="HNG36" s="143"/>
      <c r="HNH36" s="143"/>
      <c r="HNI36" s="143"/>
      <c r="HNJ36" s="143"/>
      <c r="HNK36" s="143"/>
      <c r="HNL36" s="143"/>
      <c r="HNM36" s="143"/>
      <c r="HNN36" s="143"/>
      <c r="HNO36" s="143"/>
      <c r="HNP36" s="143"/>
      <c r="HNQ36" s="143"/>
      <c r="HNR36" s="143"/>
      <c r="HNS36" s="143"/>
      <c r="HNT36" s="143"/>
      <c r="HNU36" s="143"/>
      <c r="HNV36" s="143"/>
      <c r="HNW36" s="143"/>
      <c r="HNX36" s="143"/>
      <c r="HNY36" s="143"/>
      <c r="HNZ36" s="143"/>
      <c r="HOA36" s="143"/>
      <c r="HOB36" s="143"/>
      <c r="HOC36" s="143"/>
      <c r="HOD36" s="143"/>
      <c r="HOE36" s="143"/>
      <c r="HOF36" s="143"/>
      <c r="HOG36" s="143"/>
      <c r="HOH36" s="143"/>
      <c r="HOI36" s="143"/>
      <c r="HOJ36" s="143"/>
      <c r="HOK36" s="143"/>
      <c r="HOL36" s="143"/>
      <c r="HOM36" s="143"/>
      <c r="HON36" s="143"/>
      <c r="HOO36" s="143"/>
      <c r="HOP36" s="143"/>
      <c r="HOQ36" s="143"/>
      <c r="HOR36" s="143"/>
      <c r="HOS36" s="143"/>
      <c r="HOT36" s="143"/>
      <c r="HOU36" s="143"/>
      <c r="HOV36" s="143"/>
      <c r="HOW36" s="143"/>
      <c r="HOX36" s="143"/>
      <c r="HOY36" s="143"/>
      <c r="HOZ36" s="143"/>
      <c r="HPA36" s="143"/>
      <c r="HPB36" s="143"/>
      <c r="HPC36" s="143"/>
      <c r="HPD36" s="143"/>
      <c r="HPE36" s="143"/>
      <c r="HPF36" s="143"/>
      <c r="HPG36" s="143"/>
      <c r="HPH36" s="143"/>
      <c r="HPI36" s="143"/>
      <c r="HPJ36" s="143"/>
      <c r="HPK36" s="143"/>
      <c r="HPL36" s="143"/>
      <c r="HPM36" s="143"/>
      <c r="HPN36" s="143"/>
      <c r="HPO36" s="143"/>
      <c r="HPP36" s="143"/>
      <c r="HPQ36" s="143"/>
      <c r="HPR36" s="143"/>
      <c r="HPS36" s="143"/>
      <c r="HPT36" s="143"/>
      <c r="HPU36" s="143"/>
      <c r="HPV36" s="143"/>
      <c r="HPW36" s="143"/>
      <c r="HPX36" s="143"/>
      <c r="HPY36" s="143"/>
      <c r="HPZ36" s="143"/>
      <c r="HQA36" s="143"/>
      <c r="HQB36" s="143"/>
      <c r="HQC36" s="143"/>
      <c r="HQD36" s="143"/>
      <c r="HQE36" s="143"/>
      <c r="HQF36" s="143"/>
      <c r="HQG36" s="143"/>
      <c r="HQH36" s="143"/>
      <c r="HQI36" s="143"/>
      <c r="HQJ36" s="143"/>
      <c r="HQK36" s="143"/>
      <c r="HQL36" s="143"/>
      <c r="HQM36" s="143"/>
      <c r="HQN36" s="143"/>
      <c r="HQO36" s="143"/>
      <c r="HQP36" s="143"/>
      <c r="HQQ36" s="143"/>
      <c r="HQR36" s="143"/>
      <c r="HQS36" s="143"/>
      <c r="HQT36" s="143"/>
      <c r="HQU36" s="143"/>
      <c r="HQV36" s="143"/>
      <c r="HQW36" s="143"/>
      <c r="HQX36" s="143"/>
      <c r="HQY36" s="143"/>
      <c r="HQZ36" s="143"/>
      <c r="HRA36" s="143"/>
      <c r="HRB36" s="143"/>
      <c r="HRC36" s="143"/>
      <c r="HRD36" s="143"/>
      <c r="HRE36" s="143"/>
      <c r="HRF36" s="143"/>
      <c r="HRG36" s="143"/>
      <c r="HRH36" s="143"/>
      <c r="HRI36" s="143"/>
      <c r="HRJ36" s="143"/>
      <c r="HRK36" s="143"/>
      <c r="HRL36" s="143"/>
      <c r="HRM36" s="143"/>
      <c r="HRN36" s="143"/>
      <c r="HRO36" s="143"/>
      <c r="HRP36" s="143"/>
      <c r="HRQ36" s="143"/>
      <c r="HRR36" s="143"/>
      <c r="HRS36" s="143"/>
      <c r="HRT36" s="143"/>
      <c r="HRU36" s="143"/>
      <c r="HRV36" s="143"/>
      <c r="HRW36" s="143"/>
      <c r="HRX36" s="143"/>
      <c r="HRY36" s="143"/>
      <c r="HRZ36" s="143"/>
      <c r="HSA36" s="143"/>
      <c r="HSB36" s="143"/>
      <c r="HSC36" s="143"/>
      <c r="HSD36" s="143"/>
      <c r="HSE36" s="143"/>
      <c r="HSF36" s="143"/>
      <c r="HSG36" s="143"/>
      <c r="HSH36" s="143"/>
      <c r="HSI36" s="143"/>
      <c r="HSJ36" s="143"/>
      <c r="HSK36" s="143"/>
      <c r="HSL36" s="143"/>
      <c r="HSM36" s="143"/>
      <c r="HSN36" s="143"/>
      <c r="HSO36" s="143"/>
      <c r="HSP36" s="143"/>
      <c r="HSQ36" s="143"/>
      <c r="HSR36" s="143"/>
      <c r="HSS36" s="143"/>
      <c r="HST36" s="143"/>
      <c r="HSU36" s="143"/>
      <c r="HSV36" s="143"/>
      <c r="HSW36" s="143"/>
      <c r="HSX36" s="143"/>
      <c r="HSY36" s="143"/>
      <c r="HSZ36" s="143"/>
      <c r="HTA36" s="143"/>
      <c r="HTB36" s="143"/>
      <c r="HTC36" s="143"/>
      <c r="HTD36" s="143"/>
      <c r="HTE36" s="143"/>
      <c r="HTF36" s="143"/>
      <c r="HTG36" s="143"/>
      <c r="HTH36" s="143"/>
      <c r="HTI36" s="143"/>
      <c r="HTJ36" s="143"/>
      <c r="HTK36" s="143"/>
      <c r="HTL36" s="143"/>
      <c r="HTM36" s="143"/>
      <c r="HTN36" s="143"/>
      <c r="HTO36" s="143"/>
      <c r="HTP36" s="143"/>
      <c r="HTQ36" s="143"/>
      <c r="HTR36" s="143"/>
      <c r="HTS36" s="143"/>
      <c r="HTT36" s="143"/>
      <c r="HTU36" s="143"/>
      <c r="HTV36" s="143"/>
      <c r="HTW36" s="143"/>
      <c r="HTX36" s="143"/>
      <c r="HTY36" s="143"/>
      <c r="HTZ36" s="143"/>
      <c r="HUA36" s="143"/>
      <c r="HUB36" s="143"/>
      <c r="HUC36" s="143"/>
      <c r="HUD36" s="143"/>
      <c r="HUE36" s="143"/>
      <c r="HUF36" s="143"/>
      <c r="HUG36" s="143"/>
      <c r="HUH36" s="143"/>
      <c r="HUI36" s="143"/>
      <c r="HUJ36" s="143"/>
      <c r="HUK36" s="143"/>
      <c r="HUL36" s="143"/>
      <c r="HUM36" s="143"/>
      <c r="HUN36" s="143"/>
      <c r="HUO36" s="143"/>
      <c r="HUP36" s="143"/>
      <c r="HUQ36" s="143"/>
      <c r="HUR36" s="143"/>
      <c r="HUS36" s="143"/>
      <c r="HUT36" s="143"/>
      <c r="HUU36" s="143"/>
      <c r="HUV36" s="143"/>
      <c r="HUW36" s="143"/>
      <c r="HUX36" s="143"/>
      <c r="HUY36" s="143"/>
      <c r="HUZ36" s="143"/>
      <c r="HVA36" s="143"/>
      <c r="HVB36" s="143"/>
      <c r="HVC36" s="143"/>
      <c r="HVD36" s="143"/>
      <c r="HVE36" s="143"/>
      <c r="HVF36" s="143"/>
      <c r="HVG36" s="143"/>
      <c r="HVH36" s="143"/>
      <c r="HVI36" s="143"/>
      <c r="HVJ36" s="143"/>
      <c r="HVK36" s="143"/>
      <c r="HVL36" s="143"/>
      <c r="HVM36" s="143"/>
      <c r="HVN36" s="143"/>
      <c r="HVO36" s="143"/>
      <c r="HVP36" s="143"/>
      <c r="HVQ36" s="143"/>
      <c r="HVR36" s="143"/>
      <c r="HVS36" s="143"/>
      <c r="HVT36" s="143"/>
      <c r="HVU36" s="143"/>
      <c r="HVV36" s="143"/>
      <c r="HVW36" s="143"/>
      <c r="HVX36" s="143"/>
      <c r="HVY36" s="143"/>
      <c r="HVZ36" s="143"/>
      <c r="HWA36" s="143"/>
      <c r="HWB36" s="143"/>
      <c r="HWC36" s="143"/>
      <c r="HWD36" s="143"/>
      <c r="HWE36" s="143"/>
      <c r="HWF36" s="143"/>
      <c r="HWG36" s="143"/>
      <c r="HWH36" s="143"/>
      <c r="HWI36" s="143"/>
      <c r="HWJ36" s="143"/>
      <c r="HWK36" s="143"/>
      <c r="HWL36" s="143"/>
      <c r="HWM36" s="143"/>
      <c r="HWN36" s="143"/>
      <c r="HWO36" s="143"/>
      <c r="HWP36" s="143"/>
      <c r="HWQ36" s="143"/>
      <c r="HWR36" s="143"/>
      <c r="HWS36" s="143"/>
      <c r="HWT36" s="143"/>
      <c r="HWU36" s="143"/>
      <c r="HWV36" s="143"/>
      <c r="HWW36" s="143"/>
      <c r="HWX36" s="143"/>
      <c r="HWY36" s="143"/>
      <c r="HWZ36" s="143"/>
      <c r="HXA36" s="143"/>
      <c r="HXB36" s="143"/>
      <c r="HXC36" s="143"/>
      <c r="HXD36" s="143"/>
      <c r="HXE36" s="143"/>
      <c r="HXF36" s="143"/>
      <c r="HXG36" s="143"/>
      <c r="HXH36" s="143"/>
      <c r="HXI36" s="143"/>
      <c r="HXJ36" s="143"/>
      <c r="HXK36" s="143"/>
      <c r="HXL36" s="143"/>
      <c r="HXM36" s="143"/>
      <c r="HXN36" s="143"/>
      <c r="HXO36" s="143"/>
      <c r="HXP36" s="143"/>
      <c r="HXQ36" s="143"/>
      <c r="HXR36" s="143"/>
      <c r="HXS36" s="143"/>
      <c r="HXT36" s="143"/>
      <c r="HXU36" s="143"/>
      <c r="HXV36" s="143"/>
      <c r="HXW36" s="143"/>
      <c r="HXX36" s="143"/>
      <c r="HXY36" s="143"/>
      <c r="HXZ36" s="143"/>
      <c r="HYA36" s="143"/>
      <c r="HYB36" s="143"/>
      <c r="HYC36" s="143"/>
      <c r="HYD36" s="143"/>
      <c r="HYE36" s="143"/>
      <c r="HYF36" s="143"/>
      <c r="HYG36" s="143"/>
      <c r="HYH36" s="143"/>
      <c r="HYI36" s="143"/>
      <c r="HYJ36" s="143"/>
      <c r="HYK36" s="143"/>
      <c r="HYL36" s="143"/>
      <c r="HYM36" s="143"/>
      <c r="HYN36" s="143"/>
      <c r="HYO36" s="143"/>
      <c r="HYP36" s="143"/>
      <c r="HYQ36" s="143"/>
      <c r="HYR36" s="143"/>
      <c r="HYS36" s="143"/>
      <c r="HYT36" s="143"/>
      <c r="HYU36" s="143"/>
      <c r="HYV36" s="143"/>
      <c r="HYW36" s="143"/>
      <c r="HYX36" s="143"/>
      <c r="HYY36" s="143"/>
      <c r="HYZ36" s="143"/>
      <c r="HZA36" s="143"/>
      <c r="HZB36" s="143"/>
      <c r="HZC36" s="143"/>
      <c r="HZD36" s="143"/>
      <c r="HZE36" s="143"/>
      <c r="HZF36" s="143"/>
      <c r="HZG36" s="143"/>
      <c r="HZH36" s="143"/>
      <c r="HZI36" s="143"/>
      <c r="HZJ36" s="143"/>
      <c r="HZK36" s="143"/>
      <c r="HZL36" s="143"/>
      <c r="HZM36" s="143"/>
      <c r="HZN36" s="143"/>
      <c r="HZO36" s="143"/>
      <c r="HZP36" s="143"/>
      <c r="HZQ36" s="143"/>
      <c r="HZR36" s="143"/>
      <c r="HZS36" s="143"/>
      <c r="HZT36" s="143"/>
      <c r="HZU36" s="143"/>
      <c r="HZV36" s="143"/>
      <c r="HZW36" s="143"/>
      <c r="HZX36" s="143"/>
      <c r="HZY36" s="143"/>
      <c r="HZZ36" s="143"/>
      <c r="IAA36" s="143"/>
      <c r="IAB36" s="143"/>
      <c r="IAC36" s="143"/>
      <c r="IAD36" s="143"/>
      <c r="IAE36" s="143"/>
      <c r="IAF36" s="143"/>
      <c r="IAG36" s="143"/>
      <c r="IAH36" s="143"/>
      <c r="IAI36" s="143"/>
      <c r="IAJ36" s="143"/>
      <c r="IAK36" s="143"/>
      <c r="IAL36" s="143"/>
      <c r="IAM36" s="143"/>
      <c r="IAN36" s="143"/>
      <c r="IAO36" s="143"/>
      <c r="IAP36" s="143"/>
      <c r="IAQ36" s="143"/>
      <c r="IAR36" s="143"/>
      <c r="IAS36" s="143"/>
      <c r="IAT36" s="143"/>
      <c r="IAU36" s="143"/>
      <c r="IAV36" s="143"/>
      <c r="IAW36" s="143"/>
      <c r="IAX36" s="143"/>
      <c r="IAY36" s="143"/>
      <c r="IAZ36" s="143"/>
      <c r="IBA36" s="143"/>
      <c r="IBB36" s="143"/>
      <c r="IBC36" s="143"/>
      <c r="IBD36" s="143"/>
      <c r="IBE36" s="143"/>
      <c r="IBF36" s="143"/>
      <c r="IBG36" s="143"/>
      <c r="IBH36" s="143"/>
      <c r="IBI36" s="143"/>
      <c r="IBJ36" s="143"/>
      <c r="IBK36" s="143"/>
      <c r="IBL36" s="143"/>
      <c r="IBM36" s="143"/>
      <c r="IBN36" s="143"/>
      <c r="IBO36" s="143"/>
      <c r="IBP36" s="143"/>
      <c r="IBQ36" s="143"/>
      <c r="IBR36" s="143"/>
      <c r="IBS36" s="143"/>
      <c r="IBT36" s="143"/>
      <c r="IBU36" s="143"/>
      <c r="IBV36" s="143"/>
      <c r="IBW36" s="143"/>
      <c r="IBX36" s="143"/>
      <c r="IBY36" s="143"/>
      <c r="IBZ36" s="143"/>
      <c r="ICA36" s="143"/>
      <c r="ICB36" s="143"/>
      <c r="ICC36" s="143"/>
      <c r="ICD36" s="143"/>
      <c r="ICE36" s="143"/>
      <c r="ICF36" s="143"/>
      <c r="ICG36" s="143"/>
      <c r="ICH36" s="143"/>
      <c r="ICI36" s="143"/>
      <c r="ICJ36" s="143"/>
      <c r="ICK36" s="143"/>
      <c r="ICL36" s="143"/>
      <c r="ICM36" s="143"/>
      <c r="ICN36" s="143"/>
      <c r="ICO36" s="143"/>
      <c r="ICP36" s="143"/>
      <c r="ICQ36" s="143"/>
      <c r="ICR36" s="143"/>
      <c r="ICS36" s="143"/>
      <c r="ICT36" s="143"/>
      <c r="ICU36" s="143"/>
      <c r="ICV36" s="143"/>
      <c r="ICW36" s="143"/>
      <c r="ICX36" s="143"/>
      <c r="ICY36" s="143"/>
      <c r="ICZ36" s="143"/>
      <c r="IDA36" s="143"/>
      <c r="IDB36" s="143"/>
      <c r="IDC36" s="143"/>
      <c r="IDD36" s="143"/>
      <c r="IDE36" s="143"/>
      <c r="IDF36" s="143"/>
      <c r="IDG36" s="143"/>
      <c r="IDH36" s="143"/>
      <c r="IDI36" s="143"/>
      <c r="IDJ36" s="143"/>
      <c r="IDK36" s="143"/>
      <c r="IDL36" s="143"/>
      <c r="IDM36" s="143"/>
      <c r="IDN36" s="143"/>
      <c r="IDO36" s="143"/>
      <c r="IDP36" s="143"/>
      <c r="IDQ36" s="143"/>
      <c r="IDR36" s="143"/>
      <c r="IDS36" s="143"/>
      <c r="IDT36" s="143"/>
      <c r="IDU36" s="143"/>
      <c r="IDV36" s="143"/>
      <c r="IDW36" s="143"/>
      <c r="IDX36" s="143"/>
      <c r="IDY36" s="143"/>
      <c r="IDZ36" s="143"/>
      <c r="IEA36" s="143"/>
      <c r="IEB36" s="143"/>
      <c r="IEC36" s="143"/>
      <c r="IED36" s="143"/>
      <c r="IEE36" s="143"/>
      <c r="IEF36" s="143"/>
      <c r="IEG36" s="143"/>
      <c r="IEH36" s="143"/>
      <c r="IEI36" s="143"/>
      <c r="IEJ36" s="143"/>
      <c r="IEK36" s="143"/>
      <c r="IEL36" s="143"/>
      <c r="IEM36" s="143"/>
      <c r="IEN36" s="143"/>
      <c r="IEO36" s="143"/>
      <c r="IEP36" s="143"/>
      <c r="IEQ36" s="143"/>
      <c r="IER36" s="143"/>
      <c r="IES36" s="143"/>
      <c r="IET36" s="143"/>
      <c r="IEU36" s="143"/>
      <c r="IEV36" s="143"/>
      <c r="IEW36" s="143"/>
      <c r="IEX36" s="143"/>
      <c r="IEY36" s="143"/>
      <c r="IEZ36" s="143"/>
      <c r="IFA36" s="143"/>
      <c r="IFB36" s="143"/>
      <c r="IFC36" s="143"/>
      <c r="IFD36" s="143"/>
      <c r="IFE36" s="143"/>
      <c r="IFF36" s="143"/>
      <c r="IFG36" s="143"/>
      <c r="IFH36" s="143"/>
      <c r="IFI36" s="143"/>
      <c r="IFJ36" s="143"/>
      <c r="IFK36" s="143"/>
      <c r="IFL36" s="143"/>
      <c r="IFM36" s="143"/>
      <c r="IFN36" s="143"/>
      <c r="IFO36" s="143"/>
      <c r="IFP36" s="143"/>
      <c r="IFQ36" s="143"/>
      <c r="IFR36" s="143"/>
      <c r="IFS36" s="143"/>
      <c r="IFT36" s="143"/>
      <c r="IFU36" s="143"/>
      <c r="IFV36" s="143"/>
      <c r="IFW36" s="143"/>
      <c r="IFX36" s="143"/>
      <c r="IFY36" s="143"/>
      <c r="IFZ36" s="143"/>
      <c r="IGA36" s="143"/>
      <c r="IGB36" s="143"/>
      <c r="IGC36" s="143"/>
      <c r="IGD36" s="143"/>
      <c r="IGE36" s="143"/>
      <c r="IGF36" s="143"/>
      <c r="IGG36" s="143"/>
      <c r="IGH36" s="143"/>
      <c r="IGI36" s="143"/>
      <c r="IGJ36" s="143"/>
      <c r="IGK36" s="143"/>
      <c r="IGL36" s="143"/>
      <c r="IGM36" s="143"/>
      <c r="IGN36" s="143"/>
      <c r="IGO36" s="143"/>
      <c r="IGP36" s="143"/>
      <c r="IGQ36" s="143"/>
      <c r="IGR36" s="143"/>
      <c r="IGS36" s="143"/>
      <c r="IGT36" s="143"/>
      <c r="IGU36" s="143"/>
      <c r="IGV36" s="143"/>
      <c r="IGW36" s="143"/>
      <c r="IGX36" s="143"/>
      <c r="IGY36" s="143"/>
      <c r="IGZ36" s="143"/>
      <c r="IHA36" s="143"/>
      <c r="IHB36" s="143"/>
      <c r="IHC36" s="143"/>
      <c r="IHD36" s="143"/>
      <c r="IHE36" s="143"/>
      <c r="IHF36" s="143"/>
      <c r="IHG36" s="143"/>
      <c r="IHH36" s="143"/>
      <c r="IHI36" s="143"/>
      <c r="IHJ36" s="143"/>
      <c r="IHK36" s="143"/>
      <c r="IHL36" s="143"/>
      <c r="IHM36" s="143"/>
      <c r="IHN36" s="143"/>
      <c r="IHO36" s="143"/>
      <c r="IHP36" s="143"/>
      <c r="IHQ36" s="143"/>
      <c r="IHR36" s="143"/>
      <c r="IHS36" s="143"/>
      <c r="IHT36" s="143"/>
      <c r="IHU36" s="143"/>
      <c r="IHV36" s="143"/>
      <c r="IHW36" s="143"/>
      <c r="IHX36" s="143"/>
      <c r="IHY36" s="143"/>
      <c r="IHZ36" s="143"/>
      <c r="IIA36" s="143"/>
      <c r="IIB36" s="143"/>
      <c r="IIC36" s="143"/>
      <c r="IID36" s="143"/>
      <c r="IIE36" s="143"/>
      <c r="IIF36" s="143"/>
      <c r="IIG36" s="143"/>
      <c r="IIH36" s="143"/>
      <c r="III36" s="143"/>
      <c r="IIJ36" s="143"/>
      <c r="IIK36" s="143"/>
      <c r="IIL36" s="143"/>
      <c r="IIM36" s="143"/>
      <c r="IIN36" s="143"/>
      <c r="IIO36" s="143"/>
      <c r="IIP36" s="143"/>
      <c r="IIQ36" s="143"/>
      <c r="IIR36" s="143"/>
      <c r="IIS36" s="143"/>
      <c r="IIT36" s="143"/>
      <c r="IIU36" s="143"/>
      <c r="IIV36" s="143"/>
      <c r="IIW36" s="143"/>
      <c r="IIX36" s="143"/>
      <c r="IIY36" s="143"/>
      <c r="IIZ36" s="143"/>
      <c r="IJA36" s="143"/>
      <c r="IJB36" s="143"/>
      <c r="IJC36" s="143"/>
      <c r="IJD36" s="143"/>
      <c r="IJE36" s="143"/>
      <c r="IJF36" s="143"/>
      <c r="IJG36" s="143"/>
      <c r="IJH36" s="143"/>
      <c r="IJI36" s="143"/>
      <c r="IJJ36" s="143"/>
      <c r="IJK36" s="143"/>
      <c r="IJL36" s="143"/>
      <c r="IJM36" s="143"/>
      <c r="IJN36" s="143"/>
      <c r="IJO36" s="143"/>
      <c r="IJP36" s="143"/>
      <c r="IJQ36" s="143"/>
      <c r="IJR36" s="143"/>
      <c r="IJS36" s="143"/>
      <c r="IJT36" s="143"/>
      <c r="IJU36" s="143"/>
      <c r="IJV36" s="143"/>
      <c r="IJW36" s="143"/>
      <c r="IJX36" s="143"/>
      <c r="IJY36" s="143"/>
      <c r="IJZ36" s="143"/>
      <c r="IKA36" s="143"/>
      <c r="IKB36" s="143"/>
      <c r="IKC36" s="143"/>
      <c r="IKD36" s="143"/>
      <c r="IKE36" s="143"/>
      <c r="IKF36" s="143"/>
      <c r="IKG36" s="143"/>
      <c r="IKH36" s="143"/>
      <c r="IKI36" s="143"/>
      <c r="IKJ36" s="143"/>
      <c r="IKK36" s="143"/>
      <c r="IKL36" s="143"/>
      <c r="IKM36" s="143"/>
      <c r="IKN36" s="143"/>
      <c r="IKO36" s="143"/>
      <c r="IKP36" s="143"/>
      <c r="IKQ36" s="143"/>
      <c r="IKR36" s="143"/>
      <c r="IKS36" s="143"/>
      <c r="IKT36" s="143"/>
      <c r="IKU36" s="143"/>
      <c r="IKV36" s="143"/>
      <c r="IKW36" s="143"/>
      <c r="IKX36" s="143"/>
      <c r="IKY36" s="143"/>
      <c r="IKZ36" s="143"/>
      <c r="ILA36" s="143"/>
      <c r="ILB36" s="143"/>
      <c r="ILC36" s="143"/>
      <c r="ILD36" s="143"/>
      <c r="ILE36" s="143"/>
      <c r="ILF36" s="143"/>
      <c r="ILG36" s="143"/>
      <c r="ILH36" s="143"/>
      <c r="ILI36" s="143"/>
      <c r="ILJ36" s="143"/>
      <c r="ILK36" s="143"/>
      <c r="ILL36" s="143"/>
      <c r="ILM36" s="143"/>
      <c r="ILN36" s="143"/>
      <c r="ILO36" s="143"/>
      <c r="ILP36" s="143"/>
      <c r="ILQ36" s="143"/>
      <c r="ILR36" s="143"/>
      <c r="ILS36" s="143"/>
      <c r="ILT36" s="143"/>
      <c r="ILU36" s="143"/>
      <c r="ILV36" s="143"/>
      <c r="ILW36" s="143"/>
      <c r="ILX36" s="143"/>
      <c r="ILY36" s="143"/>
      <c r="ILZ36" s="143"/>
      <c r="IMA36" s="143"/>
      <c r="IMB36" s="143"/>
      <c r="IMC36" s="143"/>
      <c r="IMD36" s="143"/>
      <c r="IME36" s="143"/>
      <c r="IMF36" s="143"/>
      <c r="IMG36" s="143"/>
      <c r="IMH36" s="143"/>
      <c r="IMI36" s="143"/>
      <c r="IMJ36" s="143"/>
      <c r="IMK36" s="143"/>
      <c r="IML36" s="143"/>
      <c r="IMM36" s="143"/>
      <c r="IMN36" s="143"/>
      <c r="IMO36" s="143"/>
      <c r="IMP36" s="143"/>
      <c r="IMQ36" s="143"/>
      <c r="IMR36" s="143"/>
      <c r="IMS36" s="143"/>
      <c r="IMT36" s="143"/>
      <c r="IMU36" s="143"/>
      <c r="IMV36" s="143"/>
      <c r="IMW36" s="143"/>
      <c r="IMX36" s="143"/>
      <c r="IMY36" s="143"/>
      <c r="IMZ36" s="143"/>
      <c r="INA36" s="143"/>
      <c r="INB36" s="143"/>
      <c r="INC36" s="143"/>
      <c r="IND36" s="143"/>
      <c r="INE36" s="143"/>
      <c r="INF36" s="143"/>
      <c r="ING36" s="143"/>
      <c r="INH36" s="143"/>
      <c r="INI36" s="143"/>
      <c r="INJ36" s="143"/>
      <c r="INK36" s="143"/>
      <c r="INL36" s="143"/>
      <c r="INM36" s="143"/>
      <c r="INN36" s="143"/>
      <c r="INO36" s="143"/>
      <c r="INP36" s="143"/>
      <c r="INQ36" s="143"/>
      <c r="INR36" s="143"/>
      <c r="INS36" s="143"/>
      <c r="INT36" s="143"/>
      <c r="INU36" s="143"/>
      <c r="INV36" s="143"/>
      <c r="INW36" s="143"/>
      <c r="INX36" s="143"/>
      <c r="INY36" s="143"/>
      <c r="INZ36" s="143"/>
      <c r="IOA36" s="143"/>
      <c r="IOB36" s="143"/>
      <c r="IOC36" s="143"/>
      <c r="IOD36" s="143"/>
      <c r="IOE36" s="143"/>
      <c r="IOF36" s="143"/>
      <c r="IOG36" s="143"/>
      <c r="IOH36" s="143"/>
      <c r="IOI36" s="143"/>
      <c r="IOJ36" s="143"/>
      <c r="IOK36" s="143"/>
      <c r="IOL36" s="143"/>
      <c r="IOM36" s="143"/>
      <c r="ION36" s="143"/>
      <c r="IOO36" s="143"/>
      <c r="IOP36" s="143"/>
      <c r="IOQ36" s="143"/>
      <c r="IOR36" s="143"/>
      <c r="IOS36" s="143"/>
      <c r="IOT36" s="143"/>
      <c r="IOU36" s="143"/>
      <c r="IOV36" s="143"/>
      <c r="IOW36" s="143"/>
      <c r="IOX36" s="143"/>
      <c r="IOY36" s="143"/>
      <c r="IOZ36" s="143"/>
      <c r="IPA36" s="143"/>
      <c r="IPB36" s="143"/>
      <c r="IPC36" s="143"/>
      <c r="IPD36" s="143"/>
      <c r="IPE36" s="143"/>
      <c r="IPF36" s="143"/>
      <c r="IPG36" s="143"/>
      <c r="IPH36" s="143"/>
      <c r="IPI36" s="143"/>
      <c r="IPJ36" s="143"/>
      <c r="IPK36" s="143"/>
      <c r="IPL36" s="143"/>
      <c r="IPM36" s="143"/>
      <c r="IPN36" s="143"/>
      <c r="IPO36" s="143"/>
      <c r="IPP36" s="143"/>
      <c r="IPQ36" s="143"/>
      <c r="IPR36" s="143"/>
      <c r="IPS36" s="143"/>
      <c r="IPT36" s="143"/>
      <c r="IPU36" s="143"/>
      <c r="IPV36" s="143"/>
      <c r="IPW36" s="143"/>
      <c r="IPX36" s="143"/>
      <c r="IPY36" s="143"/>
      <c r="IPZ36" s="143"/>
      <c r="IQA36" s="143"/>
      <c r="IQB36" s="143"/>
      <c r="IQC36" s="143"/>
      <c r="IQD36" s="143"/>
      <c r="IQE36" s="143"/>
      <c r="IQF36" s="143"/>
      <c r="IQG36" s="143"/>
      <c r="IQH36" s="143"/>
      <c r="IQI36" s="143"/>
      <c r="IQJ36" s="143"/>
      <c r="IQK36" s="143"/>
      <c r="IQL36" s="143"/>
      <c r="IQM36" s="143"/>
      <c r="IQN36" s="143"/>
      <c r="IQO36" s="143"/>
      <c r="IQP36" s="143"/>
      <c r="IQQ36" s="143"/>
      <c r="IQR36" s="143"/>
      <c r="IQS36" s="143"/>
      <c r="IQT36" s="143"/>
      <c r="IQU36" s="143"/>
      <c r="IQV36" s="143"/>
      <c r="IQW36" s="143"/>
      <c r="IQX36" s="143"/>
      <c r="IQY36" s="143"/>
      <c r="IQZ36" s="143"/>
      <c r="IRA36" s="143"/>
      <c r="IRB36" s="143"/>
      <c r="IRC36" s="143"/>
      <c r="IRD36" s="143"/>
      <c r="IRE36" s="143"/>
      <c r="IRF36" s="143"/>
      <c r="IRG36" s="143"/>
      <c r="IRH36" s="143"/>
      <c r="IRI36" s="143"/>
      <c r="IRJ36" s="143"/>
      <c r="IRK36" s="143"/>
      <c r="IRL36" s="143"/>
      <c r="IRM36" s="143"/>
      <c r="IRN36" s="143"/>
      <c r="IRO36" s="143"/>
      <c r="IRP36" s="143"/>
      <c r="IRQ36" s="143"/>
      <c r="IRR36" s="143"/>
      <c r="IRS36" s="143"/>
      <c r="IRT36" s="143"/>
      <c r="IRU36" s="143"/>
      <c r="IRV36" s="143"/>
      <c r="IRW36" s="143"/>
      <c r="IRX36" s="143"/>
      <c r="IRY36" s="143"/>
      <c r="IRZ36" s="143"/>
      <c r="ISA36" s="143"/>
      <c r="ISB36" s="143"/>
      <c r="ISC36" s="143"/>
      <c r="ISD36" s="143"/>
      <c r="ISE36" s="143"/>
      <c r="ISF36" s="143"/>
      <c r="ISG36" s="143"/>
      <c r="ISH36" s="143"/>
      <c r="ISI36" s="143"/>
      <c r="ISJ36" s="143"/>
      <c r="ISK36" s="143"/>
      <c r="ISL36" s="143"/>
      <c r="ISM36" s="143"/>
      <c r="ISN36" s="143"/>
      <c r="ISO36" s="143"/>
      <c r="ISP36" s="143"/>
      <c r="ISQ36" s="143"/>
      <c r="ISR36" s="143"/>
      <c r="ISS36" s="143"/>
      <c r="IST36" s="143"/>
      <c r="ISU36" s="143"/>
      <c r="ISV36" s="143"/>
      <c r="ISW36" s="143"/>
      <c r="ISX36" s="143"/>
      <c r="ISY36" s="143"/>
      <c r="ISZ36" s="143"/>
      <c r="ITA36" s="143"/>
      <c r="ITB36" s="143"/>
      <c r="ITC36" s="143"/>
      <c r="ITD36" s="143"/>
      <c r="ITE36" s="143"/>
      <c r="ITF36" s="143"/>
      <c r="ITG36" s="143"/>
      <c r="ITH36" s="143"/>
      <c r="ITI36" s="143"/>
      <c r="ITJ36" s="143"/>
      <c r="ITK36" s="143"/>
      <c r="ITL36" s="143"/>
      <c r="ITM36" s="143"/>
      <c r="ITN36" s="143"/>
      <c r="ITO36" s="143"/>
      <c r="ITP36" s="143"/>
      <c r="ITQ36" s="143"/>
      <c r="ITR36" s="143"/>
      <c r="ITS36" s="143"/>
      <c r="ITT36" s="143"/>
      <c r="ITU36" s="143"/>
      <c r="ITV36" s="143"/>
      <c r="ITW36" s="143"/>
      <c r="ITX36" s="143"/>
      <c r="ITY36" s="143"/>
      <c r="ITZ36" s="143"/>
      <c r="IUA36" s="143"/>
      <c r="IUB36" s="143"/>
      <c r="IUC36" s="143"/>
      <c r="IUD36" s="143"/>
      <c r="IUE36" s="143"/>
      <c r="IUF36" s="143"/>
      <c r="IUG36" s="143"/>
      <c r="IUH36" s="143"/>
      <c r="IUI36" s="143"/>
      <c r="IUJ36" s="143"/>
      <c r="IUK36" s="143"/>
      <c r="IUL36" s="143"/>
      <c r="IUM36" s="143"/>
      <c r="IUN36" s="143"/>
      <c r="IUO36" s="143"/>
      <c r="IUP36" s="143"/>
      <c r="IUQ36" s="143"/>
      <c r="IUR36" s="143"/>
      <c r="IUS36" s="143"/>
      <c r="IUT36" s="143"/>
      <c r="IUU36" s="143"/>
      <c r="IUV36" s="143"/>
      <c r="IUW36" s="143"/>
      <c r="IUX36" s="143"/>
      <c r="IUY36" s="143"/>
      <c r="IUZ36" s="143"/>
      <c r="IVA36" s="143"/>
      <c r="IVB36" s="143"/>
      <c r="IVC36" s="143"/>
      <c r="IVD36" s="143"/>
      <c r="IVE36" s="143"/>
      <c r="IVF36" s="143"/>
      <c r="IVG36" s="143"/>
      <c r="IVH36" s="143"/>
      <c r="IVI36" s="143"/>
      <c r="IVJ36" s="143"/>
      <c r="IVK36" s="143"/>
      <c r="IVL36" s="143"/>
      <c r="IVM36" s="143"/>
      <c r="IVN36" s="143"/>
      <c r="IVO36" s="143"/>
      <c r="IVP36" s="143"/>
      <c r="IVQ36" s="143"/>
      <c r="IVR36" s="143"/>
      <c r="IVS36" s="143"/>
      <c r="IVT36" s="143"/>
      <c r="IVU36" s="143"/>
      <c r="IVV36" s="143"/>
      <c r="IVW36" s="143"/>
      <c r="IVX36" s="143"/>
      <c r="IVY36" s="143"/>
      <c r="IVZ36" s="143"/>
      <c r="IWA36" s="143"/>
      <c r="IWB36" s="143"/>
      <c r="IWC36" s="143"/>
      <c r="IWD36" s="143"/>
      <c r="IWE36" s="143"/>
      <c r="IWF36" s="143"/>
      <c r="IWG36" s="143"/>
      <c r="IWH36" s="143"/>
      <c r="IWI36" s="143"/>
      <c r="IWJ36" s="143"/>
      <c r="IWK36" s="143"/>
      <c r="IWL36" s="143"/>
      <c r="IWM36" s="143"/>
      <c r="IWN36" s="143"/>
      <c r="IWO36" s="143"/>
      <c r="IWP36" s="143"/>
      <c r="IWQ36" s="143"/>
      <c r="IWR36" s="143"/>
      <c r="IWS36" s="143"/>
      <c r="IWT36" s="143"/>
      <c r="IWU36" s="143"/>
      <c r="IWV36" s="143"/>
      <c r="IWW36" s="143"/>
      <c r="IWX36" s="143"/>
      <c r="IWY36" s="143"/>
      <c r="IWZ36" s="143"/>
      <c r="IXA36" s="143"/>
      <c r="IXB36" s="143"/>
      <c r="IXC36" s="143"/>
      <c r="IXD36" s="143"/>
      <c r="IXE36" s="143"/>
      <c r="IXF36" s="143"/>
      <c r="IXG36" s="143"/>
      <c r="IXH36" s="143"/>
      <c r="IXI36" s="143"/>
      <c r="IXJ36" s="143"/>
      <c r="IXK36" s="143"/>
      <c r="IXL36" s="143"/>
      <c r="IXM36" s="143"/>
      <c r="IXN36" s="143"/>
      <c r="IXO36" s="143"/>
      <c r="IXP36" s="143"/>
      <c r="IXQ36" s="143"/>
      <c r="IXR36" s="143"/>
      <c r="IXS36" s="143"/>
      <c r="IXT36" s="143"/>
      <c r="IXU36" s="143"/>
      <c r="IXV36" s="143"/>
      <c r="IXW36" s="143"/>
      <c r="IXX36" s="143"/>
      <c r="IXY36" s="143"/>
      <c r="IXZ36" s="143"/>
      <c r="IYA36" s="143"/>
      <c r="IYB36" s="143"/>
      <c r="IYC36" s="143"/>
      <c r="IYD36" s="143"/>
      <c r="IYE36" s="143"/>
      <c r="IYF36" s="143"/>
      <c r="IYG36" s="143"/>
      <c r="IYH36" s="143"/>
      <c r="IYI36" s="143"/>
      <c r="IYJ36" s="143"/>
      <c r="IYK36" s="143"/>
      <c r="IYL36" s="143"/>
      <c r="IYM36" s="143"/>
      <c r="IYN36" s="143"/>
      <c r="IYO36" s="143"/>
      <c r="IYP36" s="143"/>
      <c r="IYQ36" s="143"/>
      <c r="IYR36" s="143"/>
      <c r="IYS36" s="143"/>
      <c r="IYT36" s="143"/>
      <c r="IYU36" s="143"/>
      <c r="IYV36" s="143"/>
      <c r="IYW36" s="143"/>
      <c r="IYX36" s="143"/>
      <c r="IYY36" s="143"/>
      <c r="IYZ36" s="143"/>
      <c r="IZA36" s="143"/>
      <c r="IZB36" s="143"/>
      <c r="IZC36" s="143"/>
      <c r="IZD36" s="143"/>
      <c r="IZE36" s="143"/>
      <c r="IZF36" s="143"/>
      <c r="IZG36" s="143"/>
      <c r="IZH36" s="143"/>
      <c r="IZI36" s="143"/>
      <c r="IZJ36" s="143"/>
      <c r="IZK36" s="143"/>
      <c r="IZL36" s="143"/>
      <c r="IZM36" s="143"/>
      <c r="IZN36" s="143"/>
      <c r="IZO36" s="143"/>
      <c r="IZP36" s="143"/>
      <c r="IZQ36" s="143"/>
      <c r="IZR36" s="143"/>
      <c r="IZS36" s="143"/>
      <c r="IZT36" s="143"/>
      <c r="IZU36" s="143"/>
      <c r="IZV36" s="143"/>
      <c r="IZW36" s="143"/>
      <c r="IZX36" s="143"/>
      <c r="IZY36" s="143"/>
      <c r="IZZ36" s="143"/>
      <c r="JAA36" s="143"/>
      <c r="JAB36" s="143"/>
      <c r="JAC36" s="143"/>
      <c r="JAD36" s="143"/>
      <c r="JAE36" s="143"/>
      <c r="JAF36" s="143"/>
      <c r="JAG36" s="143"/>
      <c r="JAH36" s="143"/>
      <c r="JAI36" s="143"/>
      <c r="JAJ36" s="143"/>
      <c r="JAK36" s="143"/>
      <c r="JAL36" s="143"/>
      <c r="JAM36" s="143"/>
      <c r="JAN36" s="143"/>
      <c r="JAO36" s="143"/>
      <c r="JAP36" s="143"/>
      <c r="JAQ36" s="143"/>
      <c r="JAR36" s="143"/>
      <c r="JAS36" s="143"/>
      <c r="JAT36" s="143"/>
      <c r="JAU36" s="143"/>
      <c r="JAV36" s="143"/>
      <c r="JAW36" s="143"/>
      <c r="JAX36" s="143"/>
      <c r="JAY36" s="143"/>
      <c r="JAZ36" s="143"/>
      <c r="JBA36" s="143"/>
      <c r="JBB36" s="143"/>
      <c r="JBC36" s="143"/>
      <c r="JBD36" s="143"/>
      <c r="JBE36" s="143"/>
      <c r="JBF36" s="143"/>
      <c r="JBG36" s="143"/>
      <c r="JBH36" s="143"/>
      <c r="JBI36" s="143"/>
      <c r="JBJ36" s="143"/>
      <c r="JBK36" s="143"/>
      <c r="JBL36" s="143"/>
      <c r="JBM36" s="143"/>
      <c r="JBN36" s="143"/>
      <c r="JBO36" s="143"/>
      <c r="JBP36" s="143"/>
      <c r="JBQ36" s="143"/>
      <c r="JBR36" s="143"/>
      <c r="JBS36" s="143"/>
      <c r="JBT36" s="143"/>
      <c r="JBU36" s="143"/>
      <c r="JBV36" s="143"/>
      <c r="JBW36" s="143"/>
      <c r="JBX36" s="143"/>
      <c r="JBY36" s="143"/>
      <c r="JBZ36" s="143"/>
      <c r="JCA36" s="143"/>
      <c r="JCB36" s="143"/>
      <c r="JCC36" s="143"/>
      <c r="JCD36" s="143"/>
      <c r="JCE36" s="143"/>
      <c r="JCF36" s="143"/>
      <c r="JCG36" s="143"/>
      <c r="JCH36" s="143"/>
      <c r="JCI36" s="143"/>
      <c r="JCJ36" s="143"/>
      <c r="JCK36" s="143"/>
      <c r="JCL36" s="143"/>
      <c r="JCM36" s="143"/>
      <c r="JCN36" s="143"/>
      <c r="JCO36" s="143"/>
      <c r="JCP36" s="143"/>
      <c r="JCQ36" s="143"/>
      <c r="JCR36" s="143"/>
      <c r="JCS36" s="143"/>
      <c r="JCT36" s="143"/>
      <c r="JCU36" s="143"/>
      <c r="JCV36" s="143"/>
      <c r="JCW36" s="143"/>
      <c r="JCX36" s="143"/>
      <c r="JCY36" s="143"/>
      <c r="JCZ36" s="143"/>
      <c r="JDA36" s="143"/>
      <c r="JDB36" s="143"/>
      <c r="JDC36" s="143"/>
      <c r="JDD36" s="143"/>
      <c r="JDE36" s="143"/>
      <c r="JDF36" s="143"/>
      <c r="JDG36" s="143"/>
      <c r="JDH36" s="143"/>
      <c r="JDI36" s="143"/>
      <c r="JDJ36" s="143"/>
      <c r="JDK36" s="143"/>
      <c r="JDL36" s="143"/>
      <c r="JDM36" s="143"/>
      <c r="JDN36" s="143"/>
      <c r="JDO36" s="143"/>
      <c r="JDP36" s="143"/>
      <c r="JDQ36" s="143"/>
      <c r="JDR36" s="143"/>
      <c r="JDS36" s="143"/>
      <c r="JDT36" s="143"/>
      <c r="JDU36" s="143"/>
      <c r="JDV36" s="143"/>
      <c r="JDW36" s="143"/>
      <c r="JDX36" s="143"/>
      <c r="JDY36" s="143"/>
      <c r="JDZ36" s="143"/>
      <c r="JEA36" s="143"/>
      <c r="JEB36" s="143"/>
      <c r="JEC36" s="143"/>
      <c r="JED36" s="143"/>
      <c r="JEE36" s="143"/>
      <c r="JEF36" s="143"/>
      <c r="JEG36" s="143"/>
      <c r="JEH36" s="143"/>
      <c r="JEI36" s="143"/>
      <c r="JEJ36" s="143"/>
      <c r="JEK36" s="143"/>
      <c r="JEL36" s="143"/>
      <c r="JEM36" s="143"/>
      <c r="JEN36" s="143"/>
      <c r="JEO36" s="143"/>
      <c r="JEP36" s="143"/>
      <c r="JEQ36" s="143"/>
      <c r="JER36" s="143"/>
      <c r="JES36" s="143"/>
      <c r="JET36" s="143"/>
      <c r="JEU36" s="143"/>
      <c r="JEV36" s="143"/>
      <c r="JEW36" s="143"/>
      <c r="JEX36" s="143"/>
      <c r="JEY36" s="143"/>
      <c r="JEZ36" s="143"/>
      <c r="JFA36" s="143"/>
      <c r="JFB36" s="143"/>
      <c r="JFC36" s="143"/>
      <c r="JFD36" s="143"/>
      <c r="JFE36" s="143"/>
      <c r="JFF36" s="143"/>
      <c r="JFG36" s="143"/>
      <c r="JFH36" s="143"/>
      <c r="JFI36" s="143"/>
      <c r="JFJ36" s="143"/>
      <c r="JFK36" s="143"/>
      <c r="JFL36" s="143"/>
      <c r="JFM36" s="143"/>
      <c r="JFN36" s="143"/>
      <c r="JFO36" s="143"/>
      <c r="JFP36" s="143"/>
      <c r="JFQ36" s="143"/>
      <c r="JFR36" s="143"/>
      <c r="JFS36" s="143"/>
      <c r="JFT36" s="143"/>
      <c r="JFU36" s="143"/>
      <c r="JFV36" s="143"/>
      <c r="JFW36" s="143"/>
      <c r="JFX36" s="143"/>
      <c r="JFY36" s="143"/>
      <c r="JFZ36" s="143"/>
      <c r="JGA36" s="143"/>
      <c r="JGB36" s="143"/>
      <c r="JGC36" s="143"/>
      <c r="JGD36" s="143"/>
      <c r="JGE36" s="143"/>
      <c r="JGF36" s="143"/>
      <c r="JGG36" s="143"/>
      <c r="JGH36" s="143"/>
      <c r="JGI36" s="143"/>
      <c r="JGJ36" s="143"/>
      <c r="JGK36" s="143"/>
      <c r="JGL36" s="143"/>
      <c r="JGM36" s="143"/>
      <c r="JGN36" s="143"/>
      <c r="JGO36" s="143"/>
      <c r="JGP36" s="143"/>
      <c r="JGQ36" s="143"/>
      <c r="JGR36" s="143"/>
      <c r="JGS36" s="143"/>
      <c r="JGT36" s="143"/>
      <c r="JGU36" s="143"/>
      <c r="JGV36" s="143"/>
      <c r="JGW36" s="143"/>
      <c r="JGX36" s="143"/>
      <c r="JGY36" s="143"/>
      <c r="JGZ36" s="143"/>
      <c r="JHA36" s="143"/>
      <c r="JHB36" s="143"/>
      <c r="JHC36" s="143"/>
      <c r="JHD36" s="143"/>
      <c r="JHE36" s="143"/>
      <c r="JHF36" s="143"/>
      <c r="JHG36" s="143"/>
      <c r="JHH36" s="143"/>
      <c r="JHI36" s="143"/>
      <c r="JHJ36" s="143"/>
      <c r="JHK36" s="143"/>
      <c r="JHL36" s="143"/>
      <c r="JHM36" s="143"/>
      <c r="JHN36" s="143"/>
      <c r="JHO36" s="143"/>
      <c r="JHP36" s="143"/>
      <c r="JHQ36" s="143"/>
      <c r="JHR36" s="143"/>
      <c r="JHS36" s="143"/>
      <c r="JHT36" s="143"/>
      <c r="JHU36" s="143"/>
      <c r="JHV36" s="143"/>
      <c r="JHW36" s="143"/>
      <c r="JHX36" s="143"/>
      <c r="JHY36" s="143"/>
      <c r="JHZ36" s="143"/>
      <c r="JIA36" s="143"/>
      <c r="JIB36" s="143"/>
      <c r="JIC36" s="143"/>
      <c r="JID36" s="143"/>
      <c r="JIE36" s="143"/>
      <c r="JIF36" s="143"/>
      <c r="JIG36" s="143"/>
      <c r="JIH36" s="143"/>
      <c r="JII36" s="143"/>
      <c r="JIJ36" s="143"/>
      <c r="JIK36" s="143"/>
      <c r="JIL36" s="143"/>
      <c r="JIM36" s="143"/>
      <c r="JIN36" s="143"/>
      <c r="JIO36" s="143"/>
      <c r="JIP36" s="143"/>
      <c r="JIQ36" s="143"/>
      <c r="JIR36" s="143"/>
      <c r="JIS36" s="143"/>
      <c r="JIT36" s="143"/>
      <c r="JIU36" s="143"/>
      <c r="JIV36" s="143"/>
      <c r="JIW36" s="143"/>
      <c r="JIX36" s="143"/>
      <c r="JIY36" s="143"/>
      <c r="JIZ36" s="143"/>
      <c r="JJA36" s="143"/>
      <c r="JJB36" s="143"/>
      <c r="JJC36" s="143"/>
      <c r="JJD36" s="143"/>
      <c r="JJE36" s="143"/>
      <c r="JJF36" s="143"/>
      <c r="JJG36" s="143"/>
      <c r="JJH36" s="143"/>
      <c r="JJI36" s="143"/>
      <c r="JJJ36" s="143"/>
      <c r="JJK36" s="143"/>
      <c r="JJL36" s="143"/>
      <c r="JJM36" s="143"/>
      <c r="JJN36" s="143"/>
      <c r="JJO36" s="143"/>
      <c r="JJP36" s="143"/>
      <c r="JJQ36" s="143"/>
      <c r="JJR36" s="143"/>
      <c r="JJS36" s="143"/>
      <c r="JJT36" s="143"/>
      <c r="JJU36" s="143"/>
      <c r="JJV36" s="143"/>
      <c r="JJW36" s="143"/>
      <c r="JJX36" s="143"/>
      <c r="JJY36" s="143"/>
      <c r="JJZ36" s="143"/>
      <c r="JKA36" s="143"/>
      <c r="JKB36" s="143"/>
      <c r="JKC36" s="143"/>
      <c r="JKD36" s="143"/>
      <c r="JKE36" s="143"/>
      <c r="JKF36" s="143"/>
      <c r="JKG36" s="143"/>
      <c r="JKH36" s="143"/>
      <c r="JKI36" s="143"/>
      <c r="JKJ36" s="143"/>
      <c r="JKK36" s="143"/>
      <c r="JKL36" s="143"/>
      <c r="JKM36" s="143"/>
      <c r="JKN36" s="143"/>
      <c r="JKO36" s="143"/>
      <c r="JKP36" s="143"/>
      <c r="JKQ36" s="143"/>
      <c r="JKR36" s="143"/>
      <c r="JKS36" s="143"/>
      <c r="JKT36" s="143"/>
      <c r="JKU36" s="143"/>
      <c r="JKV36" s="143"/>
      <c r="JKW36" s="143"/>
      <c r="JKX36" s="143"/>
      <c r="JKY36" s="143"/>
      <c r="JKZ36" s="143"/>
      <c r="JLA36" s="143"/>
      <c r="JLB36" s="143"/>
      <c r="JLC36" s="143"/>
      <c r="JLD36" s="143"/>
      <c r="JLE36" s="143"/>
      <c r="JLF36" s="143"/>
      <c r="JLG36" s="143"/>
      <c r="JLH36" s="143"/>
      <c r="JLI36" s="143"/>
      <c r="JLJ36" s="143"/>
      <c r="JLK36" s="143"/>
      <c r="JLL36" s="143"/>
      <c r="JLM36" s="143"/>
      <c r="JLN36" s="143"/>
      <c r="JLO36" s="143"/>
      <c r="JLP36" s="143"/>
      <c r="JLQ36" s="143"/>
      <c r="JLR36" s="143"/>
      <c r="JLS36" s="143"/>
      <c r="JLT36" s="143"/>
      <c r="JLU36" s="143"/>
      <c r="JLV36" s="143"/>
      <c r="JLW36" s="143"/>
      <c r="JLX36" s="143"/>
      <c r="JLY36" s="143"/>
      <c r="JLZ36" s="143"/>
      <c r="JMA36" s="143"/>
      <c r="JMB36" s="143"/>
      <c r="JMC36" s="143"/>
      <c r="JMD36" s="143"/>
      <c r="JME36" s="143"/>
      <c r="JMF36" s="143"/>
      <c r="JMG36" s="143"/>
      <c r="JMH36" s="143"/>
      <c r="JMI36" s="143"/>
      <c r="JMJ36" s="143"/>
      <c r="JMK36" s="143"/>
      <c r="JML36" s="143"/>
      <c r="JMM36" s="143"/>
      <c r="JMN36" s="143"/>
      <c r="JMO36" s="143"/>
      <c r="JMP36" s="143"/>
      <c r="JMQ36" s="143"/>
      <c r="JMR36" s="143"/>
      <c r="JMS36" s="143"/>
      <c r="JMT36" s="143"/>
      <c r="JMU36" s="143"/>
      <c r="JMV36" s="143"/>
      <c r="JMW36" s="143"/>
      <c r="JMX36" s="143"/>
      <c r="JMY36" s="143"/>
      <c r="JMZ36" s="143"/>
      <c r="JNA36" s="143"/>
      <c r="JNB36" s="143"/>
      <c r="JNC36" s="143"/>
      <c r="JND36" s="143"/>
      <c r="JNE36" s="143"/>
      <c r="JNF36" s="143"/>
      <c r="JNG36" s="143"/>
      <c r="JNH36" s="143"/>
      <c r="JNI36" s="143"/>
      <c r="JNJ36" s="143"/>
      <c r="JNK36" s="143"/>
      <c r="JNL36" s="143"/>
      <c r="JNM36" s="143"/>
      <c r="JNN36" s="143"/>
      <c r="JNO36" s="143"/>
      <c r="JNP36" s="143"/>
      <c r="JNQ36" s="143"/>
      <c r="JNR36" s="143"/>
      <c r="JNS36" s="143"/>
      <c r="JNT36" s="143"/>
      <c r="JNU36" s="143"/>
      <c r="JNV36" s="143"/>
      <c r="JNW36" s="143"/>
      <c r="JNX36" s="143"/>
      <c r="JNY36" s="143"/>
      <c r="JNZ36" s="143"/>
      <c r="JOA36" s="143"/>
      <c r="JOB36" s="143"/>
      <c r="JOC36" s="143"/>
      <c r="JOD36" s="143"/>
      <c r="JOE36" s="143"/>
      <c r="JOF36" s="143"/>
      <c r="JOG36" s="143"/>
      <c r="JOH36" s="143"/>
      <c r="JOI36" s="143"/>
      <c r="JOJ36" s="143"/>
      <c r="JOK36" s="143"/>
      <c r="JOL36" s="143"/>
      <c r="JOM36" s="143"/>
      <c r="JON36" s="143"/>
      <c r="JOO36" s="143"/>
      <c r="JOP36" s="143"/>
      <c r="JOQ36" s="143"/>
      <c r="JOR36" s="143"/>
      <c r="JOS36" s="143"/>
      <c r="JOT36" s="143"/>
      <c r="JOU36" s="143"/>
      <c r="JOV36" s="143"/>
      <c r="JOW36" s="143"/>
      <c r="JOX36" s="143"/>
      <c r="JOY36" s="143"/>
      <c r="JOZ36" s="143"/>
      <c r="JPA36" s="143"/>
      <c r="JPB36" s="143"/>
      <c r="JPC36" s="143"/>
      <c r="JPD36" s="143"/>
      <c r="JPE36" s="143"/>
      <c r="JPF36" s="143"/>
      <c r="JPG36" s="143"/>
      <c r="JPH36" s="143"/>
      <c r="JPI36" s="143"/>
      <c r="JPJ36" s="143"/>
      <c r="JPK36" s="143"/>
      <c r="JPL36" s="143"/>
      <c r="JPM36" s="143"/>
      <c r="JPN36" s="143"/>
      <c r="JPO36" s="143"/>
      <c r="JPP36" s="143"/>
      <c r="JPQ36" s="143"/>
      <c r="JPR36" s="143"/>
      <c r="JPS36" s="143"/>
      <c r="JPT36" s="143"/>
      <c r="JPU36" s="143"/>
      <c r="JPV36" s="143"/>
      <c r="JPW36" s="143"/>
      <c r="JPX36" s="143"/>
      <c r="JPY36" s="143"/>
      <c r="JPZ36" s="143"/>
      <c r="JQA36" s="143"/>
      <c r="JQB36" s="143"/>
      <c r="JQC36" s="143"/>
      <c r="JQD36" s="143"/>
      <c r="JQE36" s="143"/>
      <c r="JQF36" s="143"/>
      <c r="JQG36" s="143"/>
      <c r="JQH36" s="143"/>
      <c r="JQI36" s="143"/>
      <c r="JQJ36" s="143"/>
      <c r="JQK36" s="143"/>
      <c r="JQL36" s="143"/>
      <c r="JQM36" s="143"/>
      <c r="JQN36" s="143"/>
      <c r="JQO36" s="143"/>
      <c r="JQP36" s="143"/>
      <c r="JQQ36" s="143"/>
      <c r="JQR36" s="143"/>
      <c r="JQS36" s="143"/>
      <c r="JQT36" s="143"/>
      <c r="JQU36" s="143"/>
      <c r="JQV36" s="143"/>
      <c r="JQW36" s="143"/>
      <c r="JQX36" s="143"/>
      <c r="JQY36" s="143"/>
      <c r="JQZ36" s="143"/>
      <c r="JRA36" s="143"/>
      <c r="JRB36" s="143"/>
      <c r="JRC36" s="143"/>
      <c r="JRD36" s="143"/>
      <c r="JRE36" s="143"/>
      <c r="JRF36" s="143"/>
      <c r="JRG36" s="143"/>
      <c r="JRH36" s="143"/>
      <c r="JRI36" s="143"/>
      <c r="JRJ36" s="143"/>
      <c r="JRK36" s="143"/>
      <c r="JRL36" s="143"/>
      <c r="JRM36" s="143"/>
      <c r="JRN36" s="143"/>
      <c r="JRO36" s="143"/>
      <c r="JRP36" s="143"/>
      <c r="JRQ36" s="143"/>
      <c r="JRR36" s="143"/>
      <c r="JRS36" s="143"/>
      <c r="JRT36" s="143"/>
      <c r="JRU36" s="143"/>
      <c r="JRV36" s="143"/>
      <c r="JRW36" s="143"/>
      <c r="JRX36" s="143"/>
      <c r="JRY36" s="143"/>
      <c r="JRZ36" s="143"/>
      <c r="JSA36" s="143"/>
      <c r="JSB36" s="143"/>
      <c r="JSC36" s="143"/>
      <c r="JSD36" s="143"/>
      <c r="JSE36" s="143"/>
      <c r="JSF36" s="143"/>
      <c r="JSG36" s="143"/>
      <c r="JSH36" s="143"/>
      <c r="JSI36" s="143"/>
      <c r="JSJ36" s="143"/>
      <c r="JSK36" s="143"/>
      <c r="JSL36" s="143"/>
      <c r="JSM36" s="143"/>
      <c r="JSN36" s="143"/>
      <c r="JSO36" s="143"/>
      <c r="JSP36" s="143"/>
      <c r="JSQ36" s="143"/>
      <c r="JSR36" s="143"/>
      <c r="JSS36" s="143"/>
      <c r="JST36" s="143"/>
      <c r="JSU36" s="143"/>
      <c r="JSV36" s="143"/>
      <c r="JSW36" s="143"/>
      <c r="JSX36" s="143"/>
      <c r="JSY36" s="143"/>
      <c r="JSZ36" s="143"/>
      <c r="JTA36" s="143"/>
      <c r="JTB36" s="143"/>
      <c r="JTC36" s="143"/>
      <c r="JTD36" s="143"/>
      <c r="JTE36" s="143"/>
      <c r="JTF36" s="143"/>
      <c r="JTG36" s="143"/>
      <c r="JTH36" s="143"/>
      <c r="JTI36" s="143"/>
      <c r="JTJ36" s="143"/>
      <c r="JTK36" s="143"/>
      <c r="JTL36" s="143"/>
      <c r="JTM36" s="143"/>
      <c r="JTN36" s="143"/>
      <c r="JTO36" s="143"/>
      <c r="JTP36" s="143"/>
      <c r="JTQ36" s="143"/>
      <c r="JTR36" s="143"/>
      <c r="JTS36" s="143"/>
      <c r="JTT36" s="143"/>
      <c r="JTU36" s="143"/>
      <c r="JTV36" s="143"/>
      <c r="JTW36" s="143"/>
      <c r="JTX36" s="143"/>
      <c r="JTY36" s="143"/>
      <c r="JTZ36" s="143"/>
      <c r="JUA36" s="143"/>
      <c r="JUB36" s="143"/>
      <c r="JUC36" s="143"/>
      <c r="JUD36" s="143"/>
      <c r="JUE36" s="143"/>
      <c r="JUF36" s="143"/>
      <c r="JUG36" s="143"/>
      <c r="JUH36" s="143"/>
      <c r="JUI36" s="143"/>
      <c r="JUJ36" s="143"/>
      <c r="JUK36" s="143"/>
      <c r="JUL36" s="143"/>
      <c r="JUM36" s="143"/>
      <c r="JUN36" s="143"/>
      <c r="JUO36" s="143"/>
      <c r="JUP36" s="143"/>
      <c r="JUQ36" s="143"/>
      <c r="JUR36" s="143"/>
      <c r="JUS36" s="143"/>
      <c r="JUT36" s="143"/>
      <c r="JUU36" s="143"/>
      <c r="JUV36" s="143"/>
      <c r="JUW36" s="143"/>
      <c r="JUX36" s="143"/>
      <c r="JUY36" s="143"/>
      <c r="JUZ36" s="143"/>
      <c r="JVA36" s="143"/>
      <c r="JVB36" s="143"/>
      <c r="JVC36" s="143"/>
      <c r="JVD36" s="143"/>
      <c r="JVE36" s="143"/>
      <c r="JVF36" s="143"/>
      <c r="JVG36" s="143"/>
      <c r="JVH36" s="143"/>
      <c r="JVI36" s="143"/>
      <c r="JVJ36" s="143"/>
      <c r="JVK36" s="143"/>
      <c r="JVL36" s="143"/>
      <c r="JVM36" s="143"/>
      <c r="JVN36" s="143"/>
      <c r="JVO36" s="143"/>
      <c r="JVP36" s="143"/>
      <c r="JVQ36" s="143"/>
      <c r="JVR36" s="143"/>
      <c r="JVS36" s="143"/>
      <c r="JVT36" s="143"/>
      <c r="JVU36" s="143"/>
      <c r="JVV36" s="143"/>
      <c r="JVW36" s="143"/>
      <c r="JVX36" s="143"/>
      <c r="JVY36" s="143"/>
      <c r="JVZ36" s="143"/>
      <c r="JWA36" s="143"/>
      <c r="JWB36" s="143"/>
      <c r="JWC36" s="143"/>
      <c r="JWD36" s="143"/>
      <c r="JWE36" s="143"/>
      <c r="JWF36" s="143"/>
      <c r="JWG36" s="143"/>
      <c r="JWH36" s="143"/>
      <c r="JWI36" s="143"/>
      <c r="JWJ36" s="143"/>
      <c r="JWK36" s="143"/>
      <c r="JWL36" s="143"/>
      <c r="JWM36" s="143"/>
      <c r="JWN36" s="143"/>
      <c r="JWO36" s="143"/>
      <c r="JWP36" s="143"/>
      <c r="JWQ36" s="143"/>
      <c r="JWR36" s="143"/>
      <c r="JWS36" s="143"/>
      <c r="JWT36" s="143"/>
      <c r="JWU36" s="143"/>
      <c r="JWV36" s="143"/>
      <c r="JWW36" s="143"/>
      <c r="JWX36" s="143"/>
      <c r="JWY36" s="143"/>
      <c r="JWZ36" s="143"/>
      <c r="JXA36" s="143"/>
      <c r="JXB36" s="143"/>
      <c r="JXC36" s="143"/>
      <c r="JXD36" s="143"/>
      <c r="JXE36" s="143"/>
      <c r="JXF36" s="143"/>
      <c r="JXG36" s="143"/>
      <c r="JXH36" s="143"/>
      <c r="JXI36" s="143"/>
      <c r="JXJ36" s="143"/>
      <c r="JXK36" s="143"/>
      <c r="JXL36" s="143"/>
      <c r="JXM36" s="143"/>
      <c r="JXN36" s="143"/>
      <c r="JXO36" s="143"/>
      <c r="JXP36" s="143"/>
      <c r="JXQ36" s="143"/>
      <c r="JXR36" s="143"/>
      <c r="JXS36" s="143"/>
      <c r="JXT36" s="143"/>
      <c r="JXU36" s="143"/>
      <c r="JXV36" s="143"/>
      <c r="JXW36" s="143"/>
      <c r="JXX36" s="143"/>
      <c r="JXY36" s="143"/>
      <c r="JXZ36" s="143"/>
      <c r="JYA36" s="143"/>
      <c r="JYB36" s="143"/>
      <c r="JYC36" s="143"/>
      <c r="JYD36" s="143"/>
      <c r="JYE36" s="143"/>
      <c r="JYF36" s="143"/>
      <c r="JYG36" s="143"/>
      <c r="JYH36" s="143"/>
      <c r="JYI36" s="143"/>
      <c r="JYJ36" s="143"/>
      <c r="JYK36" s="143"/>
      <c r="JYL36" s="143"/>
      <c r="JYM36" s="143"/>
      <c r="JYN36" s="143"/>
      <c r="JYO36" s="143"/>
      <c r="JYP36" s="143"/>
      <c r="JYQ36" s="143"/>
      <c r="JYR36" s="143"/>
      <c r="JYS36" s="143"/>
      <c r="JYT36" s="143"/>
      <c r="JYU36" s="143"/>
      <c r="JYV36" s="143"/>
      <c r="JYW36" s="143"/>
      <c r="JYX36" s="143"/>
      <c r="JYY36" s="143"/>
      <c r="JYZ36" s="143"/>
      <c r="JZA36" s="143"/>
      <c r="JZB36" s="143"/>
      <c r="JZC36" s="143"/>
      <c r="JZD36" s="143"/>
      <c r="JZE36" s="143"/>
      <c r="JZF36" s="143"/>
      <c r="JZG36" s="143"/>
      <c r="JZH36" s="143"/>
      <c r="JZI36" s="143"/>
      <c r="JZJ36" s="143"/>
      <c r="JZK36" s="143"/>
      <c r="JZL36" s="143"/>
      <c r="JZM36" s="143"/>
      <c r="JZN36" s="143"/>
      <c r="JZO36" s="143"/>
      <c r="JZP36" s="143"/>
      <c r="JZQ36" s="143"/>
      <c r="JZR36" s="143"/>
      <c r="JZS36" s="143"/>
      <c r="JZT36" s="143"/>
      <c r="JZU36" s="143"/>
      <c r="JZV36" s="143"/>
      <c r="JZW36" s="143"/>
      <c r="JZX36" s="143"/>
      <c r="JZY36" s="143"/>
      <c r="JZZ36" s="143"/>
      <c r="KAA36" s="143"/>
      <c r="KAB36" s="143"/>
      <c r="KAC36" s="143"/>
      <c r="KAD36" s="143"/>
      <c r="KAE36" s="143"/>
      <c r="KAF36" s="143"/>
      <c r="KAG36" s="143"/>
      <c r="KAH36" s="143"/>
      <c r="KAI36" s="143"/>
      <c r="KAJ36" s="143"/>
      <c r="KAK36" s="143"/>
      <c r="KAL36" s="143"/>
      <c r="KAM36" s="143"/>
      <c r="KAN36" s="143"/>
      <c r="KAO36" s="143"/>
      <c r="KAP36" s="143"/>
      <c r="KAQ36" s="143"/>
      <c r="KAR36" s="143"/>
      <c r="KAS36" s="143"/>
      <c r="KAT36" s="143"/>
      <c r="KAU36" s="143"/>
      <c r="KAV36" s="143"/>
      <c r="KAW36" s="143"/>
      <c r="KAX36" s="143"/>
      <c r="KAY36" s="143"/>
      <c r="KAZ36" s="143"/>
      <c r="KBA36" s="143"/>
      <c r="KBB36" s="143"/>
      <c r="KBC36" s="143"/>
      <c r="KBD36" s="143"/>
      <c r="KBE36" s="143"/>
      <c r="KBF36" s="143"/>
      <c r="KBG36" s="143"/>
      <c r="KBH36" s="143"/>
      <c r="KBI36" s="143"/>
      <c r="KBJ36" s="143"/>
      <c r="KBK36" s="143"/>
      <c r="KBL36" s="143"/>
      <c r="KBM36" s="143"/>
      <c r="KBN36" s="143"/>
      <c r="KBO36" s="143"/>
      <c r="KBP36" s="143"/>
      <c r="KBQ36" s="143"/>
      <c r="KBR36" s="143"/>
      <c r="KBS36" s="143"/>
      <c r="KBT36" s="143"/>
      <c r="KBU36" s="143"/>
      <c r="KBV36" s="143"/>
      <c r="KBW36" s="143"/>
      <c r="KBX36" s="143"/>
      <c r="KBY36" s="143"/>
      <c r="KBZ36" s="143"/>
      <c r="KCA36" s="143"/>
      <c r="KCB36" s="143"/>
      <c r="KCC36" s="143"/>
      <c r="KCD36" s="143"/>
      <c r="KCE36" s="143"/>
      <c r="KCF36" s="143"/>
      <c r="KCG36" s="143"/>
      <c r="KCH36" s="143"/>
      <c r="KCI36" s="143"/>
      <c r="KCJ36" s="143"/>
      <c r="KCK36" s="143"/>
      <c r="KCL36" s="143"/>
      <c r="KCM36" s="143"/>
      <c r="KCN36" s="143"/>
      <c r="KCO36" s="143"/>
      <c r="KCP36" s="143"/>
      <c r="KCQ36" s="143"/>
      <c r="KCR36" s="143"/>
      <c r="KCS36" s="143"/>
      <c r="KCT36" s="143"/>
      <c r="KCU36" s="143"/>
      <c r="KCV36" s="143"/>
      <c r="KCW36" s="143"/>
      <c r="KCX36" s="143"/>
      <c r="KCY36" s="143"/>
      <c r="KCZ36" s="143"/>
      <c r="KDA36" s="143"/>
      <c r="KDB36" s="143"/>
      <c r="KDC36" s="143"/>
      <c r="KDD36" s="143"/>
      <c r="KDE36" s="143"/>
      <c r="KDF36" s="143"/>
      <c r="KDG36" s="143"/>
      <c r="KDH36" s="143"/>
      <c r="KDI36" s="143"/>
      <c r="KDJ36" s="143"/>
      <c r="KDK36" s="143"/>
      <c r="KDL36" s="143"/>
      <c r="KDM36" s="143"/>
      <c r="KDN36" s="143"/>
      <c r="KDO36" s="143"/>
      <c r="KDP36" s="143"/>
      <c r="KDQ36" s="143"/>
      <c r="KDR36" s="143"/>
      <c r="KDS36" s="143"/>
      <c r="KDT36" s="143"/>
      <c r="KDU36" s="143"/>
      <c r="KDV36" s="143"/>
      <c r="KDW36" s="143"/>
      <c r="KDX36" s="143"/>
      <c r="KDY36" s="143"/>
      <c r="KDZ36" s="143"/>
      <c r="KEA36" s="143"/>
      <c r="KEB36" s="143"/>
      <c r="KEC36" s="143"/>
      <c r="KED36" s="143"/>
      <c r="KEE36" s="143"/>
      <c r="KEF36" s="143"/>
      <c r="KEG36" s="143"/>
      <c r="KEH36" s="143"/>
      <c r="KEI36" s="143"/>
      <c r="KEJ36" s="143"/>
      <c r="KEK36" s="143"/>
      <c r="KEL36" s="143"/>
      <c r="KEM36" s="143"/>
      <c r="KEN36" s="143"/>
      <c r="KEO36" s="143"/>
      <c r="KEP36" s="143"/>
      <c r="KEQ36" s="143"/>
      <c r="KER36" s="143"/>
      <c r="KES36" s="143"/>
      <c r="KET36" s="143"/>
      <c r="KEU36" s="143"/>
      <c r="KEV36" s="143"/>
      <c r="KEW36" s="143"/>
      <c r="KEX36" s="143"/>
      <c r="KEY36" s="143"/>
      <c r="KEZ36" s="143"/>
      <c r="KFA36" s="143"/>
      <c r="KFB36" s="143"/>
      <c r="KFC36" s="143"/>
      <c r="KFD36" s="143"/>
      <c r="KFE36" s="143"/>
      <c r="KFF36" s="143"/>
      <c r="KFG36" s="143"/>
      <c r="KFH36" s="143"/>
      <c r="KFI36" s="143"/>
      <c r="KFJ36" s="143"/>
      <c r="KFK36" s="143"/>
      <c r="KFL36" s="143"/>
      <c r="KFM36" s="143"/>
      <c r="KFN36" s="143"/>
      <c r="KFO36" s="143"/>
      <c r="KFP36" s="143"/>
      <c r="KFQ36" s="143"/>
      <c r="KFR36" s="143"/>
      <c r="KFS36" s="143"/>
      <c r="KFT36" s="143"/>
      <c r="KFU36" s="143"/>
      <c r="KFV36" s="143"/>
      <c r="KFW36" s="143"/>
      <c r="KFX36" s="143"/>
      <c r="KFY36" s="143"/>
      <c r="KFZ36" s="143"/>
      <c r="KGA36" s="143"/>
      <c r="KGB36" s="143"/>
      <c r="KGC36" s="143"/>
      <c r="KGD36" s="143"/>
      <c r="KGE36" s="143"/>
      <c r="KGF36" s="143"/>
      <c r="KGG36" s="143"/>
      <c r="KGH36" s="143"/>
      <c r="KGI36" s="143"/>
      <c r="KGJ36" s="143"/>
      <c r="KGK36" s="143"/>
      <c r="KGL36" s="143"/>
      <c r="KGM36" s="143"/>
      <c r="KGN36" s="143"/>
      <c r="KGO36" s="143"/>
      <c r="KGP36" s="143"/>
      <c r="KGQ36" s="143"/>
      <c r="KGR36" s="143"/>
      <c r="KGS36" s="143"/>
      <c r="KGT36" s="143"/>
      <c r="KGU36" s="143"/>
      <c r="KGV36" s="143"/>
      <c r="KGW36" s="143"/>
      <c r="KGX36" s="143"/>
      <c r="KGY36" s="143"/>
      <c r="KGZ36" s="143"/>
      <c r="KHA36" s="143"/>
      <c r="KHB36" s="143"/>
      <c r="KHC36" s="143"/>
      <c r="KHD36" s="143"/>
      <c r="KHE36" s="143"/>
      <c r="KHF36" s="143"/>
      <c r="KHG36" s="143"/>
      <c r="KHH36" s="143"/>
      <c r="KHI36" s="143"/>
      <c r="KHJ36" s="143"/>
      <c r="KHK36" s="143"/>
      <c r="KHL36" s="143"/>
      <c r="KHM36" s="143"/>
      <c r="KHN36" s="143"/>
      <c r="KHO36" s="143"/>
      <c r="KHP36" s="143"/>
      <c r="KHQ36" s="143"/>
      <c r="KHR36" s="143"/>
      <c r="KHS36" s="143"/>
      <c r="KHT36" s="143"/>
      <c r="KHU36" s="143"/>
      <c r="KHV36" s="143"/>
      <c r="KHW36" s="143"/>
      <c r="KHX36" s="143"/>
      <c r="KHY36" s="143"/>
      <c r="KHZ36" s="143"/>
      <c r="KIA36" s="143"/>
      <c r="KIB36" s="143"/>
      <c r="KIC36" s="143"/>
      <c r="KID36" s="143"/>
      <c r="KIE36" s="143"/>
      <c r="KIF36" s="143"/>
      <c r="KIG36" s="143"/>
      <c r="KIH36" s="143"/>
      <c r="KII36" s="143"/>
      <c r="KIJ36" s="143"/>
      <c r="KIK36" s="143"/>
      <c r="KIL36" s="143"/>
      <c r="KIM36" s="143"/>
      <c r="KIN36" s="143"/>
      <c r="KIO36" s="143"/>
      <c r="KIP36" s="143"/>
      <c r="KIQ36" s="143"/>
      <c r="KIR36" s="143"/>
      <c r="KIS36" s="143"/>
      <c r="KIT36" s="143"/>
      <c r="KIU36" s="143"/>
      <c r="KIV36" s="143"/>
      <c r="KIW36" s="143"/>
      <c r="KIX36" s="143"/>
      <c r="KIY36" s="143"/>
      <c r="KIZ36" s="143"/>
      <c r="KJA36" s="143"/>
      <c r="KJB36" s="143"/>
      <c r="KJC36" s="143"/>
      <c r="KJD36" s="143"/>
      <c r="KJE36" s="143"/>
      <c r="KJF36" s="143"/>
      <c r="KJG36" s="143"/>
      <c r="KJH36" s="143"/>
      <c r="KJI36" s="143"/>
      <c r="KJJ36" s="143"/>
      <c r="KJK36" s="143"/>
      <c r="KJL36" s="143"/>
      <c r="KJM36" s="143"/>
      <c r="KJN36" s="143"/>
      <c r="KJO36" s="143"/>
      <c r="KJP36" s="143"/>
      <c r="KJQ36" s="143"/>
      <c r="KJR36" s="143"/>
      <c r="KJS36" s="143"/>
      <c r="KJT36" s="143"/>
      <c r="KJU36" s="143"/>
      <c r="KJV36" s="143"/>
      <c r="KJW36" s="143"/>
      <c r="KJX36" s="143"/>
      <c r="KJY36" s="143"/>
      <c r="KJZ36" s="143"/>
      <c r="KKA36" s="143"/>
      <c r="KKB36" s="143"/>
      <c r="KKC36" s="143"/>
      <c r="KKD36" s="143"/>
      <c r="KKE36" s="143"/>
      <c r="KKF36" s="143"/>
      <c r="KKG36" s="143"/>
      <c r="KKH36" s="143"/>
      <c r="KKI36" s="143"/>
      <c r="KKJ36" s="143"/>
      <c r="KKK36" s="143"/>
      <c r="KKL36" s="143"/>
      <c r="KKM36" s="143"/>
      <c r="KKN36" s="143"/>
      <c r="KKO36" s="143"/>
      <c r="KKP36" s="143"/>
      <c r="KKQ36" s="143"/>
      <c r="KKR36" s="143"/>
      <c r="KKS36" s="143"/>
      <c r="KKT36" s="143"/>
      <c r="KKU36" s="143"/>
      <c r="KKV36" s="143"/>
      <c r="KKW36" s="143"/>
      <c r="KKX36" s="143"/>
      <c r="KKY36" s="143"/>
      <c r="KKZ36" s="143"/>
      <c r="KLA36" s="143"/>
      <c r="KLB36" s="143"/>
      <c r="KLC36" s="143"/>
      <c r="KLD36" s="143"/>
      <c r="KLE36" s="143"/>
      <c r="KLF36" s="143"/>
      <c r="KLG36" s="143"/>
      <c r="KLH36" s="143"/>
      <c r="KLI36" s="143"/>
      <c r="KLJ36" s="143"/>
      <c r="KLK36" s="143"/>
      <c r="KLL36" s="143"/>
      <c r="KLM36" s="143"/>
      <c r="KLN36" s="143"/>
      <c r="KLO36" s="143"/>
      <c r="KLP36" s="143"/>
      <c r="KLQ36" s="143"/>
      <c r="KLR36" s="143"/>
      <c r="KLS36" s="143"/>
      <c r="KLT36" s="143"/>
      <c r="KLU36" s="143"/>
      <c r="KLV36" s="143"/>
      <c r="KLW36" s="143"/>
      <c r="KLX36" s="143"/>
      <c r="KLY36" s="143"/>
      <c r="KLZ36" s="143"/>
      <c r="KMA36" s="143"/>
      <c r="KMB36" s="143"/>
      <c r="KMC36" s="143"/>
      <c r="KMD36" s="143"/>
      <c r="KME36" s="143"/>
      <c r="KMF36" s="143"/>
      <c r="KMG36" s="143"/>
      <c r="KMH36" s="143"/>
      <c r="KMI36" s="143"/>
      <c r="KMJ36" s="143"/>
      <c r="KMK36" s="143"/>
      <c r="KML36" s="143"/>
      <c r="KMM36" s="143"/>
      <c r="KMN36" s="143"/>
      <c r="KMO36" s="143"/>
      <c r="KMP36" s="143"/>
      <c r="KMQ36" s="143"/>
      <c r="KMR36" s="143"/>
      <c r="KMS36" s="143"/>
      <c r="KMT36" s="143"/>
      <c r="KMU36" s="143"/>
      <c r="KMV36" s="143"/>
      <c r="KMW36" s="143"/>
      <c r="KMX36" s="143"/>
      <c r="KMY36" s="143"/>
      <c r="KMZ36" s="143"/>
      <c r="KNA36" s="143"/>
      <c r="KNB36" s="143"/>
      <c r="KNC36" s="143"/>
      <c r="KND36" s="143"/>
      <c r="KNE36" s="143"/>
      <c r="KNF36" s="143"/>
      <c r="KNG36" s="143"/>
      <c r="KNH36" s="143"/>
      <c r="KNI36" s="143"/>
      <c r="KNJ36" s="143"/>
      <c r="KNK36" s="143"/>
      <c r="KNL36" s="143"/>
      <c r="KNM36" s="143"/>
      <c r="KNN36" s="143"/>
      <c r="KNO36" s="143"/>
      <c r="KNP36" s="143"/>
      <c r="KNQ36" s="143"/>
      <c r="KNR36" s="143"/>
      <c r="KNS36" s="143"/>
      <c r="KNT36" s="143"/>
      <c r="KNU36" s="143"/>
      <c r="KNV36" s="143"/>
      <c r="KNW36" s="143"/>
      <c r="KNX36" s="143"/>
      <c r="KNY36" s="143"/>
      <c r="KNZ36" s="143"/>
      <c r="KOA36" s="143"/>
      <c r="KOB36" s="143"/>
      <c r="KOC36" s="143"/>
      <c r="KOD36" s="143"/>
      <c r="KOE36" s="143"/>
      <c r="KOF36" s="143"/>
      <c r="KOG36" s="143"/>
      <c r="KOH36" s="143"/>
      <c r="KOI36" s="143"/>
      <c r="KOJ36" s="143"/>
      <c r="KOK36" s="143"/>
      <c r="KOL36" s="143"/>
      <c r="KOM36" s="143"/>
      <c r="KON36" s="143"/>
      <c r="KOO36" s="143"/>
      <c r="KOP36" s="143"/>
      <c r="KOQ36" s="143"/>
      <c r="KOR36" s="143"/>
      <c r="KOS36" s="143"/>
      <c r="KOT36" s="143"/>
      <c r="KOU36" s="143"/>
      <c r="KOV36" s="143"/>
      <c r="KOW36" s="143"/>
      <c r="KOX36" s="143"/>
      <c r="KOY36" s="143"/>
      <c r="KOZ36" s="143"/>
      <c r="KPA36" s="143"/>
      <c r="KPB36" s="143"/>
      <c r="KPC36" s="143"/>
      <c r="KPD36" s="143"/>
      <c r="KPE36" s="143"/>
      <c r="KPF36" s="143"/>
      <c r="KPG36" s="143"/>
      <c r="KPH36" s="143"/>
      <c r="KPI36" s="143"/>
      <c r="KPJ36" s="143"/>
      <c r="KPK36" s="143"/>
      <c r="KPL36" s="143"/>
      <c r="KPM36" s="143"/>
      <c r="KPN36" s="143"/>
      <c r="KPO36" s="143"/>
      <c r="KPP36" s="143"/>
      <c r="KPQ36" s="143"/>
      <c r="KPR36" s="143"/>
      <c r="KPS36" s="143"/>
      <c r="KPT36" s="143"/>
      <c r="KPU36" s="143"/>
      <c r="KPV36" s="143"/>
      <c r="KPW36" s="143"/>
      <c r="KPX36" s="143"/>
      <c r="KPY36" s="143"/>
      <c r="KPZ36" s="143"/>
      <c r="KQA36" s="143"/>
      <c r="KQB36" s="143"/>
      <c r="KQC36" s="143"/>
      <c r="KQD36" s="143"/>
      <c r="KQE36" s="143"/>
      <c r="KQF36" s="143"/>
      <c r="KQG36" s="143"/>
      <c r="KQH36" s="143"/>
      <c r="KQI36" s="143"/>
      <c r="KQJ36" s="143"/>
      <c r="KQK36" s="143"/>
      <c r="KQL36" s="143"/>
      <c r="KQM36" s="143"/>
      <c r="KQN36" s="143"/>
      <c r="KQO36" s="143"/>
      <c r="KQP36" s="143"/>
      <c r="KQQ36" s="143"/>
      <c r="KQR36" s="143"/>
      <c r="KQS36" s="143"/>
      <c r="KQT36" s="143"/>
      <c r="KQU36" s="143"/>
      <c r="KQV36" s="143"/>
      <c r="KQW36" s="143"/>
      <c r="KQX36" s="143"/>
      <c r="KQY36" s="143"/>
      <c r="KQZ36" s="143"/>
      <c r="KRA36" s="143"/>
      <c r="KRB36" s="143"/>
      <c r="KRC36" s="143"/>
      <c r="KRD36" s="143"/>
      <c r="KRE36" s="143"/>
      <c r="KRF36" s="143"/>
      <c r="KRG36" s="143"/>
      <c r="KRH36" s="143"/>
      <c r="KRI36" s="143"/>
      <c r="KRJ36" s="143"/>
      <c r="KRK36" s="143"/>
      <c r="KRL36" s="143"/>
      <c r="KRM36" s="143"/>
      <c r="KRN36" s="143"/>
      <c r="KRO36" s="143"/>
      <c r="KRP36" s="143"/>
      <c r="KRQ36" s="143"/>
      <c r="KRR36" s="143"/>
      <c r="KRS36" s="143"/>
      <c r="KRT36" s="143"/>
      <c r="KRU36" s="143"/>
      <c r="KRV36" s="143"/>
      <c r="KRW36" s="143"/>
      <c r="KRX36" s="143"/>
      <c r="KRY36" s="143"/>
      <c r="KRZ36" s="143"/>
      <c r="KSA36" s="143"/>
      <c r="KSB36" s="143"/>
      <c r="KSC36" s="143"/>
      <c r="KSD36" s="143"/>
      <c r="KSE36" s="143"/>
      <c r="KSF36" s="143"/>
      <c r="KSG36" s="143"/>
      <c r="KSH36" s="143"/>
      <c r="KSI36" s="143"/>
      <c r="KSJ36" s="143"/>
      <c r="KSK36" s="143"/>
      <c r="KSL36" s="143"/>
      <c r="KSM36" s="143"/>
      <c r="KSN36" s="143"/>
      <c r="KSO36" s="143"/>
      <c r="KSP36" s="143"/>
      <c r="KSQ36" s="143"/>
      <c r="KSR36" s="143"/>
      <c r="KSS36" s="143"/>
      <c r="KST36" s="143"/>
      <c r="KSU36" s="143"/>
      <c r="KSV36" s="143"/>
      <c r="KSW36" s="143"/>
      <c r="KSX36" s="143"/>
      <c r="KSY36" s="143"/>
      <c r="KSZ36" s="143"/>
      <c r="KTA36" s="143"/>
      <c r="KTB36" s="143"/>
      <c r="KTC36" s="143"/>
      <c r="KTD36" s="143"/>
      <c r="KTE36" s="143"/>
      <c r="KTF36" s="143"/>
      <c r="KTG36" s="143"/>
      <c r="KTH36" s="143"/>
      <c r="KTI36" s="143"/>
      <c r="KTJ36" s="143"/>
      <c r="KTK36" s="143"/>
      <c r="KTL36" s="143"/>
      <c r="KTM36" s="143"/>
      <c r="KTN36" s="143"/>
      <c r="KTO36" s="143"/>
      <c r="KTP36" s="143"/>
      <c r="KTQ36" s="143"/>
      <c r="KTR36" s="143"/>
      <c r="KTS36" s="143"/>
      <c r="KTT36" s="143"/>
      <c r="KTU36" s="143"/>
      <c r="KTV36" s="143"/>
      <c r="KTW36" s="143"/>
      <c r="KTX36" s="143"/>
      <c r="KTY36" s="143"/>
      <c r="KTZ36" s="143"/>
      <c r="KUA36" s="143"/>
      <c r="KUB36" s="143"/>
      <c r="KUC36" s="143"/>
      <c r="KUD36" s="143"/>
      <c r="KUE36" s="143"/>
      <c r="KUF36" s="143"/>
      <c r="KUG36" s="143"/>
      <c r="KUH36" s="143"/>
      <c r="KUI36" s="143"/>
      <c r="KUJ36" s="143"/>
      <c r="KUK36" s="143"/>
      <c r="KUL36" s="143"/>
      <c r="KUM36" s="143"/>
      <c r="KUN36" s="143"/>
      <c r="KUO36" s="143"/>
      <c r="KUP36" s="143"/>
      <c r="KUQ36" s="143"/>
      <c r="KUR36" s="143"/>
      <c r="KUS36" s="143"/>
      <c r="KUT36" s="143"/>
      <c r="KUU36" s="143"/>
      <c r="KUV36" s="143"/>
      <c r="KUW36" s="143"/>
      <c r="KUX36" s="143"/>
      <c r="KUY36" s="143"/>
      <c r="KUZ36" s="143"/>
      <c r="KVA36" s="143"/>
      <c r="KVB36" s="143"/>
      <c r="KVC36" s="143"/>
      <c r="KVD36" s="143"/>
      <c r="KVE36" s="143"/>
      <c r="KVF36" s="143"/>
      <c r="KVG36" s="143"/>
      <c r="KVH36" s="143"/>
      <c r="KVI36" s="143"/>
      <c r="KVJ36" s="143"/>
      <c r="KVK36" s="143"/>
      <c r="KVL36" s="143"/>
      <c r="KVM36" s="143"/>
      <c r="KVN36" s="143"/>
      <c r="KVO36" s="143"/>
      <c r="KVP36" s="143"/>
      <c r="KVQ36" s="143"/>
      <c r="KVR36" s="143"/>
      <c r="KVS36" s="143"/>
      <c r="KVT36" s="143"/>
      <c r="KVU36" s="143"/>
      <c r="KVV36" s="143"/>
      <c r="KVW36" s="143"/>
      <c r="KVX36" s="143"/>
      <c r="KVY36" s="143"/>
      <c r="KVZ36" s="143"/>
      <c r="KWA36" s="143"/>
      <c r="KWB36" s="143"/>
      <c r="KWC36" s="143"/>
      <c r="KWD36" s="143"/>
      <c r="KWE36" s="143"/>
      <c r="KWF36" s="143"/>
      <c r="KWG36" s="143"/>
      <c r="KWH36" s="143"/>
      <c r="KWI36" s="143"/>
      <c r="KWJ36" s="143"/>
      <c r="KWK36" s="143"/>
      <c r="KWL36" s="143"/>
      <c r="KWM36" s="143"/>
      <c r="KWN36" s="143"/>
      <c r="KWO36" s="143"/>
      <c r="KWP36" s="143"/>
      <c r="KWQ36" s="143"/>
      <c r="KWR36" s="143"/>
      <c r="KWS36" s="143"/>
      <c r="KWT36" s="143"/>
      <c r="KWU36" s="143"/>
      <c r="KWV36" s="143"/>
      <c r="KWW36" s="143"/>
      <c r="KWX36" s="143"/>
      <c r="KWY36" s="143"/>
      <c r="KWZ36" s="143"/>
      <c r="KXA36" s="143"/>
      <c r="KXB36" s="143"/>
      <c r="KXC36" s="143"/>
      <c r="KXD36" s="143"/>
      <c r="KXE36" s="143"/>
      <c r="KXF36" s="143"/>
      <c r="KXG36" s="143"/>
      <c r="KXH36" s="143"/>
      <c r="KXI36" s="143"/>
      <c r="KXJ36" s="143"/>
      <c r="KXK36" s="143"/>
      <c r="KXL36" s="143"/>
      <c r="KXM36" s="143"/>
      <c r="KXN36" s="143"/>
      <c r="KXO36" s="143"/>
      <c r="KXP36" s="143"/>
      <c r="KXQ36" s="143"/>
      <c r="KXR36" s="143"/>
      <c r="KXS36" s="143"/>
      <c r="KXT36" s="143"/>
      <c r="KXU36" s="143"/>
      <c r="KXV36" s="143"/>
      <c r="KXW36" s="143"/>
      <c r="KXX36" s="143"/>
      <c r="KXY36" s="143"/>
      <c r="KXZ36" s="143"/>
      <c r="KYA36" s="143"/>
      <c r="KYB36" s="143"/>
      <c r="KYC36" s="143"/>
      <c r="KYD36" s="143"/>
      <c r="KYE36" s="143"/>
      <c r="KYF36" s="143"/>
      <c r="KYG36" s="143"/>
      <c r="KYH36" s="143"/>
      <c r="KYI36" s="143"/>
      <c r="KYJ36" s="143"/>
      <c r="KYK36" s="143"/>
      <c r="KYL36" s="143"/>
      <c r="KYM36" s="143"/>
      <c r="KYN36" s="143"/>
      <c r="KYO36" s="143"/>
      <c r="KYP36" s="143"/>
      <c r="KYQ36" s="143"/>
      <c r="KYR36" s="143"/>
      <c r="KYS36" s="143"/>
      <c r="KYT36" s="143"/>
      <c r="KYU36" s="143"/>
      <c r="KYV36" s="143"/>
      <c r="KYW36" s="143"/>
      <c r="KYX36" s="143"/>
      <c r="KYY36" s="143"/>
      <c r="KYZ36" s="143"/>
      <c r="KZA36" s="143"/>
      <c r="KZB36" s="143"/>
      <c r="KZC36" s="143"/>
      <c r="KZD36" s="143"/>
      <c r="KZE36" s="143"/>
      <c r="KZF36" s="143"/>
      <c r="KZG36" s="143"/>
      <c r="KZH36" s="143"/>
      <c r="KZI36" s="143"/>
      <c r="KZJ36" s="143"/>
      <c r="KZK36" s="143"/>
      <c r="KZL36" s="143"/>
      <c r="KZM36" s="143"/>
      <c r="KZN36" s="143"/>
      <c r="KZO36" s="143"/>
      <c r="KZP36" s="143"/>
      <c r="KZQ36" s="143"/>
      <c r="KZR36" s="143"/>
      <c r="KZS36" s="143"/>
      <c r="KZT36" s="143"/>
      <c r="KZU36" s="143"/>
      <c r="KZV36" s="143"/>
      <c r="KZW36" s="143"/>
      <c r="KZX36" s="143"/>
      <c r="KZY36" s="143"/>
      <c r="KZZ36" s="143"/>
      <c r="LAA36" s="143"/>
      <c r="LAB36" s="143"/>
      <c r="LAC36" s="143"/>
      <c r="LAD36" s="143"/>
      <c r="LAE36" s="143"/>
      <c r="LAF36" s="143"/>
      <c r="LAG36" s="143"/>
      <c r="LAH36" s="143"/>
      <c r="LAI36" s="143"/>
      <c r="LAJ36" s="143"/>
      <c r="LAK36" s="143"/>
      <c r="LAL36" s="143"/>
      <c r="LAM36" s="143"/>
      <c r="LAN36" s="143"/>
      <c r="LAO36" s="143"/>
      <c r="LAP36" s="143"/>
      <c r="LAQ36" s="143"/>
      <c r="LAR36" s="143"/>
      <c r="LAS36" s="143"/>
      <c r="LAT36" s="143"/>
      <c r="LAU36" s="143"/>
      <c r="LAV36" s="143"/>
      <c r="LAW36" s="143"/>
      <c r="LAX36" s="143"/>
      <c r="LAY36" s="143"/>
      <c r="LAZ36" s="143"/>
      <c r="LBA36" s="143"/>
      <c r="LBB36" s="143"/>
      <c r="LBC36" s="143"/>
      <c r="LBD36" s="143"/>
      <c r="LBE36" s="143"/>
      <c r="LBF36" s="143"/>
      <c r="LBG36" s="143"/>
      <c r="LBH36" s="143"/>
      <c r="LBI36" s="143"/>
      <c r="LBJ36" s="143"/>
      <c r="LBK36" s="143"/>
      <c r="LBL36" s="143"/>
      <c r="LBM36" s="143"/>
      <c r="LBN36" s="143"/>
      <c r="LBO36" s="143"/>
      <c r="LBP36" s="143"/>
      <c r="LBQ36" s="143"/>
      <c r="LBR36" s="143"/>
      <c r="LBS36" s="143"/>
      <c r="LBT36" s="143"/>
      <c r="LBU36" s="143"/>
      <c r="LBV36" s="143"/>
      <c r="LBW36" s="143"/>
      <c r="LBX36" s="143"/>
      <c r="LBY36" s="143"/>
      <c r="LBZ36" s="143"/>
      <c r="LCA36" s="143"/>
      <c r="LCB36" s="143"/>
      <c r="LCC36" s="143"/>
      <c r="LCD36" s="143"/>
      <c r="LCE36" s="143"/>
      <c r="LCF36" s="143"/>
      <c r="LCG36" s="143"/>
      <c r="LCH36" s="143"/>
      <c r="LCI36" s="143"/>
      <c r="LCJ36" s="143"/>
      <c r="LCK36" s="143"/>
      <c r="LCL36" s="143"/>
      <c r="LCM36" s="143"/>
      <c r="LCN36" s="143"/>
      <c r="LCO36" s="143"/>
      <c r="LCP36" s="143"/>
      <c r="LCQ36" s="143"/>
      <c r="LCR36" s="143"/>
      <c r="LCS36" s="143"/>
      <c r="LCT36" s="143"/>
      <c r="LCU36" s="143"/>
      <c r="LCV36" s="143"/>
      <c r="LCW36" s="143"/>
      <c r="LCX36" s="143"/>
      <c r="LCY36" s="143"/>
      <c r="LCZ36" s="143"/>
      <c r="LDA36" s="143"/>
      <c r="LDB36" s="143"/>
      <c r="LDC36" s="143"/>
      <c r="LDD36" s="143"/>
      <c r="LDE36" s="143"/>
      <c r="LDF36" s="143"/>
      <c r="LDG36" s="143"/>
      <c r="LDH36" s="143"/>
      <c r="LDI36" s="143"/>
      <c r="LDJ36" s="143"/>
      <c r="LDK36" s="143"/>
      <c r="LDL36" s="143"/>
      <c r="LDM36" s="143"/>
      <c r="LDN36" s="143"/>
      <c r="LDO36" s="143"/>
      <c r="LDP36" s="143"/>
      <c r="LDQ36" s="143"/>
      <c r="LDR36" s="143"/>
      <c r="LDS36" s="143"/>
      <c r="LDT36" s="143"/>
      <c r="LDU36" s="143"/>
      <c r="LDV36" s="143"/>
      <c r="LDW36" s="143"/>
      <c r="LDX36" s="143"/>
      <c r="LDY36" s="143"/>
      <c r="LDZ36" s="143"/>
      <c r="LEA36" s="143"/>
      <c r="LEB36" s="143"/>
      <c r="LEC36" s="143"/>
      <c r="LED36" s="143"/>
      <c r="LEE36" s="143"/>
      <c r="LEF36" s="143"/>
      <c r="LEG36" s="143"/>
      <c r="LEH36" s="143"/>
      <c r="LEI36" s="143"/>
      <c r="LEJ36" s="143"/>
      <c r="LEK36" s="143"/>
      <c r="LEL36" s="143"/>
      <c r="LEM36" s="143"/>
      <c r="LEN36" s="143"/>
      <c r="LEO36" s="143"/>
      <c r="LEP36" s="143"/>
      <c r="LEQ36" s="143"/>
      <c r="LER36" s="143"/>
      <c r="LES36" s="143"/>
      <c r="LET36" s="143"/>
      <c r="LEU36" s="143"/>
      <c r="LEV36" s="143"/>
      <c r="LEW36" s="143"/>
      <c r="LEX36" s="143"/>
      <c r="LEY36" s="143"/>
      <c r="LEZ36" s="143"/>
      <c r="LFA36" s="143"/>
      <c r="LFB36" s="143"/>
      <c r="LFC36" s="143"/>
      <c r="LFD36" s="143"/>
      <c r="LFE36" s="143"/>
      <c r="LFF36" s="143"/>
      <c r="LFG36" s="143"/>
      <c r="LFH36" s="143"/>
      <c r="LFI36" s="143"/>
      <c r="LFJ36" s="143"/>
      <c r="LFK36" s="143"/>
      <c r="LFL36" s="143"/>
      <c r="LFM36" s="143"/>
      <c r="LFN36" s="143"/>
      <c r="LFO36" s="143"/>
      <c r="LFP36" s="143"/>
      <c r="LFQ36" s="143"/>
      <c r="LFR36" s="143"/>
      <c r="LFS36" s="143"/>
      <c r="LFT36" s="143"/>
      <c r="LFU36" s="143"/>
      <c r="LFV36" s="143"/>
      <c r="LFW36" s="143"/>
      <c r="LFX36" s="143"/>
      <c r="LFY36" s="143"/>
      <c r="LFZ36" s="143"/>
      <c r="LGA36" s="143"/>
      <c r="LGB36" s="143"/>
      <c r="LGC36" s="143"/>
      <c r="LGD36" s="143"/>
      <c r="LGE36" s="143"/>
      <c r="LGF36" s="143"/>
      <c r="LGG36" s="143"/>
      <c r="LGH36" s="143"/>
      <c r="LGI36" s="143"/>
      <c r="LGJ36" s="143"/>
      <c r="LGK36" s="143"/>
      <c r="LGL36" s="143"/>
      <c r="LGM36" s="143"/>
      <c r="LGN36" s="143"/>
      <c r="LGO36" s="143"/>
      <c r="LGP36" s="143"/>
      <c r="LGQ36" s="143"/>
      <c r="LGR36" s="143"/>
      <c r="LGS36" s="143"/>
      <c r="LGT36" s="143"/>
      <c r="LGU36" s="143"/>
      <c r="LGV36" s="143"/>
      <c r="LGW36" s="143"/>
      <c r="LGX36" s="143"/>
      <c r="LGY36" s="143"/>
      <c r="LGZ36" s="143"/>
      <c r="LHA36" s="143"/>
      <c r="LHB36" s="143"/>
      <c r="LHC36" s="143"/>
      <c r="LHD36" s="143"/>
      <c r="LHE36" s="143"/>
      <c r="LHF36" s="143"/>
      <c r="LHG36" s="143"/>
      <c r="LHH36" s="143"/>
      <c r="LHI36" s="143"/>
      <c r="LHJ36" s="143"/>
      <c r="LHK36" s="143"/>
      <c r="LHL36" s="143"/>
      <c r="LHM36" s="143"/>
      <c r="LHN36" s="143"/>
      <c r="LHO36" s="143"/>
      <c r="LHP36" s="143"/>
      <c r="LHQ36" s="143"/>
      <c r="LHR36" s="143"/>
      <c r="LHS36" s="143"/>
      <c r="LHT36" s="143"/>
      <c r="LHU36" s="143"/>
      <c r="LHV36" s="143"/>
      <c r="LHW36" s="143"/>
      <c r="LHX36" s="143"/>
      <c r="LHY36" s="143"/>
      <c r="LHZ36" s="143"/>
      <c r="LIA36" s="143"/>
      <c r="LIB36" s="143"/>
      <c r="LIC36" s="143"/>
      <c r="LID36" s="143"/>
      <c r="LIE36" s="143"/>
      <c r="LIF36" s="143"/>
      <c r="LIG36" s="143"/>
      <c r="LIH36" s="143"/>
      <c r="LII36" s="143"/>
      <c r="LIJ36" s="143"/>
      <c r="LIK36" s="143"/>
      <c r="LIL36" s="143"/>
      <c r="LIM36" s="143"/>
      <c r="LIN36" s="143"/>
      <c r="LIO36" s="143"/>
      <c r="LIP36" s="143"/>
      <c r="LIQ36" s="143"/>
      <c r="LIR36" s="143"/>
      <c r="LIS36" s="143"/>
      <c r="LIT36" s="143"/>
      <c r="LIU36" s="143"/>
      <c r="LIV36" s="143"/>
      <c r="LIW36" s="143"/>
      <c r="LIX36" s="143"/>
      <c r="LIY36" s="143"/>
      <c r="LIZ36" s="143"/>
      <c r="LJA36" s="143"/>
      <c r="LJB36" s="143"/>
      <c r="LJC36" s="143"/>
      <c r="LJD36" s="143"/>
      <c r="LJE36" s="143"/>
      <c r="LJF36" s="143"/>
      <c r="LJG36" s="143"/>
      <c r="LJH36" s="143"/>
      <c r="LJI36" s="143"/>
      <c r="LJJ36" s="143"/>
      <c r="LJK36" s="143"/>
      <c r="LJL36" s="143"/>
      <c r="LJM36" s="143"/>
      <c r="LJN36" s="143"/>
      <c r="LJO36" s="143"/>
      <c r="LJP36" s="143"/>
      <c r="LJQ36" s="143"/>
      <c r="LJR36" s="143"/>
      <c r="LJS36" s="143"/>
      <c r="LJT36" s="143"/>
      <c r="LJU36" s="143"/>
      <c r="LJV36" s="143"/>
      <c r="LJW36" s="143"/>
      <c r="LJX36" s="143"/>
      <c r="LJY36" s="143"/>
      <c r="LJZ36" s="143"/>
      <c r="LKA36" s="143"/>
      <c r="LKB36" s="143"/>
      <c r="LKC36" s="143"/>
      <c r="LKD36" s="143"/>
      <c r="LKE36" s="143"/>
      <c r="LKF36" s="143"/>
      <c r="LKG36" s="143"/>
      <c r="LKH36" s="143"/>
      <c r="LKI36" s="143"/>
      <c r="LKJ36" s="143"/>
      <c r="LKK36" s="143"/>
      <c r="LKL36" s="143"/>
      <c r="LKM36" s="143"/>
      <c r="LKN36" s="143"/>
      <c r="LKO36" s="143"/>
      <c r="LKP36" s="143"/>
      <c r="LKQ36" s="143"/>
      <c r="LKR36" s="143"/>
      <c r="LKS36" s="143"/>
      <c r="LKT36" s="143"/>
      <c r="LKU36" s="143"/>
      <c r="LKV36" s="143"/>
      <c r="LKW36" s="143"/>
      <c r="LKX36" s="143"/>
      <c r="LKY36" s="143"/>
      <c r="LKZ36" s="143"/>
      <c r="LLA36" s="143"/>
      <c r="LLB36" s="143"/>
      <c r="LLC36" s="143"/>
      <c r="LLD36" s="143"/>
      <c r="LLE36" s="143"/>
      <c r="LLF36" s="143"/>
      <c r="LLG36" s="143"/>
      <c r="LLH36" s="143"/>
      <c r="LLI36" s="143"/>
      <c r="LLJ36" s="143"/>
      <c r="LLK36" s="143"/>
      <c r="LLL36" s="143"/>
      <c r="LLM36" s="143"/>
      <c r="LLN36" s="143"/>
      <c r="LLO36" s="143"/>
      <c r="LLP36" s="143"/>
      <c r="LLQ36" s="143"/>
      <c r="LLR36" s="143"/>
      <c r="LLS36" s="143"/>
      <c r="LLT36" s="143"/>
      <c r="LLU36" s="143"/>
      <c r="LLV36" s="143"/>
      <c r="LLW36" s="143"/>
      <c r="LLX36" s="143"/>
      <c r="LLY36" s="143"/>
      <c r="LLZ36" s="143"/>
      <c r="LMA36" s="143"/>
      <c r="LMB36" s="143"/>
      <c r="LMC36" s="143"/>
      <c r="LMD36" s="143"/>
      <c r="LME36" s="143"/>
      <c r="LMF36" s="143"/>
      <c r="LMG36" s="143"/>
      <c r="LMH36" s="143"/>
      <c r="LMI36" s="143"/>
      <c r="LMJ36" s="143"/>
      <c r="LMK36" s="143"/>
      <c r="LML36" s="143"/>
      <c r="LMM36" s="143"/>
      <c r="LMN36" s="143"/>
      <c r="LMO36" s="143"/>
      <c r="LMP36" s="143"/>
      <c r="LMQ36" s="143"/>
      <c r="LMR36" s="143"/>
      <c r="LMS36" s="143"/>
      <c r="LMT36" s="143"/>
      <c r="LMU36" s="143"/>
      <c r="LMV36" s="143"/>
      <c r="LMW36" s="143"/>
      <c r="LMX36" s="143"/>
      <c r="LMY36" s="143"/>
      <c r="LMZ36" s="143"/>
      <c r="LNA36" s="143"/>
      <c r="LNB36" s="143"/>
      <c r="LNC36" s="143"/>
      <c r="LND36" s="143"/>
      <c r="LNE36" s="143"/>
      <c r="LNF36" s="143"/>
      <c r="LNG36" s="143"/>
      <c r="LNH36" s="143"/>
      <c r="LNI36" s="143"/>
      <c r="LNJ36" s="143"/>
      <c r="LNK36" s="143"/>
      <c r="LNL36" s="143"/>
      <c r="LNM36" s="143"/>
      <c r="LNN36" s="143"/>
      <c r="LNO36" s="143"/>
      <c r="LNP36" s="143"/>
      <c r="LNQ36" s="143"/>
      <c r="LNR36" s="143"/>
      <c r="LNS36" s="143"/>
      <c r="LNT36" s="143"/>
      <c r="LNU36" s="143"/>
      <c r="LNV36" s="143"/>
      <c r="LNW36" s="143"/>
      <c r="LNX36" s="143"/>
      <c r="LNY36" s="143"/>
      <c r="LNZ36" s="143"/>
      <c r="LOA36" s="143"/>
      <c r="LOB36" s="143"/>
      <c r="LOC36" s="143"/>
      <c r="LOD36" s="143"/>
      <c r="LOE36" s="143"/>
      <c r="LOF36" s="143"/>
      <c r="LOG36" s="143"/>
      <c r="LOH36" s="143"/>
      <c r="LOI36" s="143"/>
      <c r="LOJ36" s="143"/>
      <c r="LOK36" s="143"/>
      <c r="LOL36" s="143"/>
      <c r="LOM36" s="143"/>
      <c r="LON36" s="143"/>
      <c r="LOO36" s="143"/>
      <c r="LOP36" s="143"/>
      <c r="LOQ36" s="143"/>
      <c r="LOR36" s="143"/>
      <c r="LOS36" s="143"/>
      <c r="LOT36" s="143"/>
      <c r="LOU36" s="143"/>
      <c r="LOV36" s="143"/>
      <c r="LOW36" s="143"/>
      <c r="LOX36" s="143"/>
      <c r="LOY36" s="143"/>
      <c r="LOZ36" s="143"/>
      <c r="LPA36" s="143"/>
      <c r="LPB36" s="143"/>
      <c r="LPC36" s="143"/>
      <c r="LPD36" s="143"/>
      <c r="LPE36" s="143"/>
      <c r="LPF36" s="143"/>
      <c r="LPG36" s="143"/>
      <c r="LPH36" s="143"/>
      <c r="LPI36" s="143"/>
      <c r="LPJ36" s="143"/>
      <c r="LPK36" s="143"/>
      <c r="LPL36" s="143"/>
      <c r="LPM36" s="143"/>
      <c r="LPN36" s="143"/>
      <c r="LPO36" s="143"/>
      <c r="LPP36" s="143"/>
      <c r="LPQ36" s="143"/>
      <c r="LPR36" s="143"/>
      <c r="LPS36" s="143"/>
      <c r="LPT36" s="143"/>
      <c r="LPU36" s="143"/>
      <c r="LPV36" s="143"/>
      <c r="LPW36" s="143"/>
      <c r="LPX36" s="143"/>
      <c r="LPY36" s="143"/>
      <c r="LPZ36" s="143"/>
      <c r="LQA36" s="143"/>
      <c r="LQB36" s="143"/>
      <c r="LQC36" s="143"/>
      <c r="LQD36" s="143"/>
      <c r="LQE36" s="143"/>
      <c r="LQF36" s="143"/>
      <c r="LQG36" s="143"/>
      <c r="LQH36" s="143"/>
      <c r="LQI36" s="143"/>
      <c r="LQJ36" s="143"/>
      <c r="LQK36" s="143"/>
      <c r="LQL36" s="143"/>
      <c r="LQM36" s="143"/>
      <c r="LQN36" s="143"/>
      <c r="LQO36" s="143"/>
      <c r="LQP36" s="143"/>
      <c r="LQQ36" s="143"/>
      <c r="LQR36" s="143"/>
      <c r="LQS36" s="143"/>
      <c r="LQT36" s="143"/>
      <c r="LQU36" s="143"/>
      <c r="LQV36" s="143"/>
      <c r="LQW36" s="143"/>
      <c r="LQX36" s="143"/>
      <c r="LQY36" s="143"/>
      <c r="LQZ36" s="143"/>
      <c r="LRA36" s="143"/>
      <c r="LRB36" s="143"/>
      <c r="LRC36" s="143"/>
      <c r="LRD36" s="143"/>
      <c r="LRE36" s="143"/>
      <c r="LRF36" s="143"/>
      <c r="LRG36" s="143"/>
      <c r="LRH36" s="143"/>
      <c r="LRI36" s="143"/>
      <c r="LRJ36" s="143"/>
      <c r="LRK36" s="143"/>
      <c r="LRL36" s="143"/>
      <c r="LRM36" s="143"/>
      <c r="LRN36" s="143"/>
      <c r="LRO36" s="143"/>
      <c r="LRP36" s="143"/>
      <c r="LRQ36" s="143"/>
      <c r="LRR36" s="143"/>
      <c r="LRS36" s="143"/>
      <c r="LRT36" s="143"/>
      <c r="LRU36" s="143"/>
      <c r="LRV36" s="143"/>
      <c r="LRW36" s="143"/>
      <c r="LRX36" s="143"/>
      <c r="LRY36" s="143"/>
      <c r="LRZ36" s="143"/>
      <c r="LSA36" s="143"/>
      <c r="LSB36" s="143"/>
      <c r="LSC36" s="143"/>
      <c r="LSD36" s="143"/>
      <c r="LSE36" s="143"/>
      <c r="LSF36" s="143"/>
      <c r="LSG36" s="143"/>
      <c r="LSH36" s="143"/>
      <c r="LSI36" s="143"/>
      <c r="LSJ36" s="143"/>
      <c r="LSK36" s="143"/>
      <c r="LSL36" s="143"/>
      <c r="LSM36" s="143"/>
      <c r="LSN36" s="143"/>
      <c r="LSO36" s="143"/>
      <c r="LSP36" s="143"/>
      <c r="LSQ36" s="143"/>
      <c r="LSR36" s="143"/>
      <c r="LSS36" s="143"/>
      <c r="LST36" s="143"/>
      <c r="LSU36" s="143"/>
      <c r="LSV36" s="143"/>
      <c r="LSW36" s="143"/>
      <c r="LSX36" s="143"/>
      <c r="LSY36" s="143"/>
      <c r="LSZ36" s="143"/>
      <c r="LTA36" s="143"/>
      <c r="LTB36" s="143"/>
      <c r="LTC36" s="143"/>
      <c r="LTD36" s="143"/>
      <c r="LTE36" s="143"/>
      <c r="LTF36" s="143"/>
      <c r="LTG36" s="143"/>
      <c r="LTH36" s="143"/>
      <c r="LTI36" s="143"/>
      <c r="LTJ36" s="143"/>
      <c r="LTK36" s="143"/>
      <c r="LTL36" s="143"/>
      <c r="LTM36" s="143"/>
      <c r="LTN36" s="143"/>
      <c r="LTO36" s="143"/>
      <c r="LTP36" s="143"/>
      <c r="LTQ36" s="143"/>
      <c r="LTR36" s="143"/>
      <c r="LTS36" s="143"/>
      <c r="LTT36" s="143"/>
      <c r="LTU36" s="143"/>
      <c r="LTV36" s="143"/>
      <c r="LTW36" s="143"/>
      <c r="LTX36" s="143"/>
      <c r="LTY36" s="143"/>
      <c r="LTZ36" s="143"/>
      <c r="LUA36" s="143"/>
      <c r="LUB36" s="143"/>
      <c r="LUC36" s="143"/>
      <c r="LUD36" s="143"/>
      <c r="LUE36" s="143"/>
      <c r="LUF36" s="143"/>
      <c r="LUG36" s="143"/>
      <c r="LUH36" s="143"/>
      <c r="LUI36" s="143"/>
      <c r="LUJ36" s="143"/>
      <c r="LUK36" s="143"/>
      <c r="LUL36" s="143"/>
      <c r="LUM36" s="143"/>
      <c r="LUN36" s="143"/>
      <c r="LUO36" s="143"/>
      <c r="LUP36" s="143"/>
      <c r="LUQ36" s="143"/>
      <c r="LUR36" s="143"/>
      <c r="LUS36" s="143"/>
      <c r="LUT36" s="143"/>
      <c r="LUU36" s="143"/>
      <c r="LUV36" s="143"/>
      <c r="LUW36" s="143"/>
      <c r="LUX36" s="143"/>
      <c r="LUY36" s="143"/>
      <c r="LUZ36" s="143"/>
      <c r="LVA36" s="143"/>
      <c r="LVB36" s="143"/>
      <c r="LVC36" s="143"/>
      <c r="LVD36" s="143"/>
      <c r="LVE36" s="143"/>
      <c r="LVF36" s="143"/>
      <c r="LVG36" s="143"/>
      <c r="LVH36" s="143"/>
      <c r="LVI36" s="143"/>
      <c r="LVJ36" s="143"/>
      <c r="LVK36" s="143"/>
      <c r="LVL36" s="143"/>
      <c r="LVM36" s="143"/>
      <c r="LVN36" s="143"/>
      <c r="LVO36" s="143"/>
      <c r="LVP36" s="143"/>
      <c r="LVQ36" s="143"/>
      <c r="LVR36" s="143"/>
      <c r="LVS36" s="143"/>
      <c r="LVT36" s="143"/>
      <c r="LVU36" s="143"/>
      <c r="LVV36" s="143"/>
      <c r="LVW36" s="143"/>
      <c r="LVX36" s="143"/>
      <c r="LVY36" s="143"/>
      <c r="LVZ36" s="143"/>
      <c r="LWA36" s="143"/>
      <c r="LWB36" s="143"/>
      <c r="LWC36" s="143"/>
      <c r="LWD36" s="143"/>
      <c r="LWE36" s="143"/>
      <c r="LWF36" s="143"/>
      <c r="LWG36" s="143"/>
      <c r="LWH36" s="143"/>
      <c r="LWI36" s="143"/>
      <c r="LWJ36" s="143"/>
      <c r="LWK36" s="143"/>
      <c r="LWL36" s="143"/>
      <c r="LWM36" s="143"/>
      <c r="LWN36" s="143"/>
      <c r="LWO36" s="143"/>
      <c r="LWP36" s="143"/>
      <c r="LWQ36" s="143"/>
      <c r="LWR36" s="143"/>
      <c r="LWS36" s="143"/>
      <c r="LWT36" s="143"/>
      <c r="LWU36" s="143"/>
      <c r="LWV36" s="143"/>
      <c r="LWW36" s="143"/>
      <c r="LWX36" s="143"/>
      <c r="LWY36" s="143"/>
      <c r="LWZ36" s="143"/>
      <c r="LXA36" s="143"/>
      <c r="LXB36" s="143"/>
      <c r="LXC36" s="143"/>
      <c r="LXD36" s="143"/>
      <c r="LXE36" s="143"/>
      <c r="LXF36" s="143"/>
      <c r="LXG36" s="143"/>
      <c r="LXH36" s="143"/>
      <c r="LXI36" s="143"/>
      <c r="LXJ36" s="143"/>
      <c r="LXK36" s="143"/>
      <c r="LXL36" s="143"/>
      <c r="LXM36" s="143"/>
      <c r="LXN36" s="143"/>
      <c r="LXO36" s="143"/>
      <c r="LXP36" s="143"/>
      <c r="LXQ36" s="143"/>
      <c r="LXR36" s="143"/>
      <c r="LXS36" s="143"/>
      <c r="LXT36" s="143"/>
      <c r="LXU36" s="143"/>
      <c r="LXV36" s="143"/>
      <c r="LXW36" s="143"/>
      <c r="LXX36" s="143"/>
      <c r="LXY36" s="143"/>
      <c r="LXZ36" s="143"/>
      <c r="LYA36" s="143"/>
      <c r="LYB36" s="143"/>
      <c r="LYC36" s="143"/>
      <c r="LYD36" s="143"/>
      <c r="LYE36" s="143"/>
      <c r="LYF36" s="143"/>
      <c r="LYG36" s="143"/>
      <c r="LYH36" s="143"/>
      <c r="LYI36" s="143"/>
      <c r="LYJ36" s="143"/>
      <c r="LYK36" s="143"/>
      <c r="LYL36" s="143"/>
      <c r="LYM36" s="143"/>
      <c r="LYN36" s="143"/>
      <c r="LYO36" s="143"/>
      <c r="LYP36" s="143"/>
      <c r="LYQ36" s="143"/>
      <c r="LYR36" s="143"/>
      <c r="LYS36" s="143"/>
      <c r="LYT36" s="143"/>
      <c r="LYU36" s="143"/>
      <c r="LYV36" s="143"/>
      <c r="LYW36" s="143"/>
      <c r="LYX36" s="143"/>
      <c r="LYY36" s="143"/>
      <c r="LYZ36" s="143"/>
      <c r="LZA36" s="143"/>
      <c r="LZB36" s="143"/>
      <c r="LZC36" s="143"/>
      <c r="LZD36" s="143"/>
      <c r="LZE36" s="143"/>
      <c r="LZF36" s="143"/>
      <c r="LZG36" s="143"/>
      <c r="LZH36" s="143"/>
      <c r="LZI36" s="143"/>
      <c r="LZJ36" s="143"/>
      <c r="LZK36" s="143"/>
      <c r="LZL36" s="143"/>
      <c r="LZM36" s="143"/>
      <c r="LZN36" s="143"/>
      <c r="LZO36" s="143"/>
      <c r="LZP36" s="143"/>
      <c r="LZQ36" s="143"/>
      <c r="LZR36" s="143"/>
      <c r="LZS36" s="143"/>
      <c r="LZT36" s="143"/>
      <c r="LZU36" s="143"/>
      <c r="LZV36" s="143"/>
      <c r="LZW36" s="143"/>
      <c r="LZX36" s="143"/>
      <c r="LZY36" s="143"/>
      <c r="LZZ36" s="143"/>
      <c r="MAA36" s="143"/>
      <c r="MAB36" s="143"/>
      <c r="MAC36" s="143"/>
      <c r="MAD36" s="143"/>
      <c r="MAE36" s="143"/>
      <c r="MAF36" s="143"/>
      <c r="MAG36" s="143"/>
      <c r="MAH36" s="143"/>
      <c r="MAI36" s="143"/>
      <c r="MAJ36" s="143"/>
      <c r="MAK36" s="143"/>
      <c r="MAL36" s="143"/>
      <c r="MAM36" s="143"/>
      <c r="MAN36" s="143"/>
      <c r="MAO36" s="143"/>
      <c r="MAP36" s="143"/>
      <c r="MAQ36" s="143"/>
      <c r="MAR36" s="143"/>
      <c r="MAS36" s="143"/>
      <c r="MAT36" s="143"/>
      <c r="MAU36" s="143"/>
      <c r="MAV36" s="143"/>
      <c r="MAW36" s="143"/>
      <c r="MAX36" s="143"/>
      <c r="MAY36" s="143"/>
      <c r="MAZ36" s="143"/>
      <c r="MBA36" s="143"/>
      <c r="MBB36" s="143"/>
      <c r="MBC36" s="143"/>
      <c r="MBD36" s="143"/>
      <c r="MBE36" s="143"/>
      <c r="MBF36" s="143"/>
      <c r="MBG36" s="143"/>
      <c r="MBH36" s="143"/>
      <c r="MBI36" s="143"/>
      <c r="MBJ36" s="143"/>
      <c r="MBK36" s="143"/>
      <c r="MBL36" s="143"/>
      <c r="MBM36" s="143"/>
      <c r="MBN36" s="143"/>
      <c r="MBO36" s="143"/>
      <c r="MBP36" s="143"/>
      <c r="MBQ36" s="143"/>
      <c r="MBR36" s="143"/>
      <c r="MBS36" s="143"/>
      <c r="MBT36" s="143"/>
      <c r="MBU36" s="143"/>
      <c r="MBV36" s="143"/>
      <c r="MBW36" s="143"/>
      <c r="MBX36" s="143"/>
      <c r="MBY36" s="143"/>
      <c r="MBZ36" s="143"/>
      <c r="MCA36" s="143"/>
      <c r="MCB36" s="143"/>
      <c r="MCC36" s="143"/>
      <c r="MCD36" s="143"/>
      <c r="MCE36" s="143"/>
      <c r="MCF36" s="143"/>
      <c r="MCG36" s="143"/>
      <c r="MCH36" s="143"/>
      <c r="MCI36" s="143"/>
      <c r="MCJ36" s="143"/>
      <c r="MCK36" s="143"/>
      <c r="MCL36" s="143"/>
      <c r="MCM36" s="143"/>
      <c r="MCN36" s="143"/>
      <c r="MCO36" s="143"/>
      <c r="MCP36" s="143"/>
      <c r="MCQ36" s="143"/>
      <c r="MCR36" s="143"/>
      <c r="MCS36" s="143"/>
      <c r="MCT36" s="143"/>
      <c r="MCU36" s="143"/>
      <c r="MCV36" s="143"/>
      <c r="MCW36" s="143"/>
      <c r="MCX36" s="143"/>
      <c r="MCY36" s="143"/>
      <c r="MCZ36" s="143"/>
      <c r="MDA36" s="143"/>
      <c r="MDB36" s="143"/>
      <c r="MDC36" s="143"/>
      <c r="MDD36" s="143"/>
      <c r="MDE36" s="143"/>
      <c r="MDF36" s="143"/>
      <c r="MDG36" s="143"/>
      <c r="MDH36" s="143"/>
      <c r="MDI36" s="143"/>
      <c r="MDJ36" s="143"/>
      <c r="MDK36" s="143"/>
      <c r="MDL36" s="143"/>
      <c r="MDM36" s="143"/>
      <c r="MDN36" s="143"/>
      <c r="MDO36" s="143"/>
      <c r="MDP36" s="143"/>
      <c r="MDQ36" s="143"/>
      <c r="MDR36" s="143"/>
      <c r="MDS36" s="143"/>
      <c r="MDT36" s="143"/>
      <c r="MDU36" s="143"/>
      <c r="MDV36" s="143"/>
      <c r="MDW36" s="143"/>
      <c r="MDX36" s="143"/>
      <c r="MDY36" s="143"/>
      <c r="MDZ36" s="143"/>
      <c r="MEA36" s="143"/>
      <c r="MEB36" s="143"/>
      <c r="MEC36" s="143"/>
      <c r="MED36" s="143"/>
      <c r="MEE36" s="143"/>
      <c r="MEF36" s="143"/>
      <c r="MEG36" s="143"/>
      <c r="MEH36" s="143"/>
      <c r="MEI36" s="143"/>
      <c r="MEJ36" s="143"/>
      <c r="MEK36" s="143"/>
      <c r="MEL36" s="143"/>
      <c r="MEM36" s="143"/>
      <c r="MEN36" s="143"/>
      <c r="MEO36" s="143"/>
      <c r="MEP36" s="143"/>
      <c r="MEQ36" s="143"/>
      <c r="MER36" s="143"/>
      <c r="MES36" s="143"/>
      <c r="MET36" s="143"/>
      <c r="MEU36" s="143"/>
      <c r="MEV36" s="143"/>
      <c r="MEW36" s="143"/>
      <c r="MEX36" s="143"/>
      <c r="MEY36" s="143"/>
      <c r="MEZ36" s="143"/>
      <c r="MFA36" s="143"/>
      <c r="MFB36" s="143"/>
      <c r="MFC36" s="143"/>
      <c r="MFD36" s="143"/>
      <c r="MFE36" s="143"/>
      <c r="MFF36" s="143"/>
      <c r="MFG36" s="143"/>
      <c r="MFH36" s="143"/>
      <c r="MFI36" s="143"/>
      <c r="MFJ36" s="143"/>
      <c r="MFK36" s="143"/>
      <c r="MFL36" s="143"/>
      <c r="MFM36" s="143"/>
      <c r="MFN36" s="143"/>
      <c r="MFO36" s="143"/>
      <c r="MFP36" s="143"/>
      <c r="MFQ36" s="143"/>
      <c r="MFR36" s="143"/>
      <c r="MFS36" s="143"/>
      <c r="MFT36" s="143"/>
      <c r="MFU36" s="143"/>
      <c r="MFV36" s="143"/>
      <c r="MFW36" s="143"/>
      <c r="MFX36" s="143"/>
      <c r="MFY36" s="143"/>
      <c r="MFZ36" s="143"/>
      <c r="MGA36" s="143"/>
      <c r="MGB36" s="143"/>
      <c r="MGC36" s="143"/>
      <c r="MGD36" s="143"/>
      <c r="MGE36" s="143"/>
      <c r="MGF36" s="143"/>
      <c r="MGG36" s="143"/>
      <c r="MGH36" s="143"/>
      <c r="MGI36" s="143"/>
      <c r="MGJ36" s="143"/>
      <c r="MGK36" s="143"/>
      <c r="MGL36" s="143"/>
      <c r="MGM36" s="143"/>
      <c r="MGN36" s="143"/>
      <c r="MGO36" s="143"/>
      <c r="MGP36" s="143"/>
      <c r="MGQ36" s="143"/>
      <c r="MGR36" s="143"/>
      <c r="MGS36" s="143"/>
      <c r="MGT36" s="143"/>
      <c r="MGU36" s="143"/>
      <c r="MGV36" s="143"/>
      <c r="MGW36" s="143"/>
      <c r="MGX36" s="143"/>
      <c r="MGY36" s="143"/>
      <c r="MGZ36" s="143"/>
      <c r="MHA36" s="143"/>
      <c r="MHB36" s="143"/>
      <c r="MHC36" s="143"/>
      <c r="MHD36" s="143"/>
      <c r="MHE36" s="143"/>
      <c r="MHF36" s="143"/>
      <c r="MHG36" s="143"/>
      <c r="MHH36" s="143"/>
      <c r="MHI36" s="143"/>
      <c r="MHJ36" s="143"/>
      <c r="MHK36" s="143"/>
      <c r="MHL36" s="143"/>
      <c r="MHM36" s="143"/>
      <c r="MHN36" s="143"/>
      <c r="MHO36" s="143"/>
      <c r="MHP36" s="143"/>
      <c r="MHQ36" s="143"/>
      <c r="MHR36" s="143"/>
      <c r="MHS36" s="143"/>
      <c r="MHT36" s="143"/>
      <c r="MHU36" s="143"/>
      <c r="MHV36" s="143"/>
      <c r="MHW36" s="143"/>
      <c r="MHX36" s="143"/>
      <c r="MHY36" s="143"/>
      <c r="MHZ36" s="143"/>
      <c r="MIA36" s="143"/>
      <c r="MIB36" s="143"/>
      <c r="MIC36" s="143"/>
      <c r="MID36" s="143"/>
      <c r="MIE36" s="143"/>
      <c r="MIF36" s="143"/>
      <c r="MIG36" s="143"/>
      <c r="MIH36" s="143"/>
      <c r="MII36" s="143"/>
      <c r="MIJ36" s="143"/>
      <c r="MIK36" s="143"/>
      <c r="MIL36" s="143"/>
      <c r="MIM36" s="143"/>
      <c r="MIN36" s="143"/>
      <c r="MIO36" s="143"/>
      <c r="MIP36" s="143"/>
      <c r="MIQ36" s="143"/>
      <c r="MIR36" s="143"/>
      <c r="MIS36" s="143"/>
      <c r="MIT36" s="143"/>
      <c r="MIU36" s="143"/>
      <c r="MIV36" s="143"/>
      <c r="MIW36" s="143"/>
      <c r="MIX36" s="143"/>
      <c r="MIY36" s="143"/>
      <c r="MIZ36" s="143"/>
      <c r="MJA36" s="143"/>
      <c r="MJB36" s="143"/>
      <c r="MJC36" s="143"/>
      <c r="MJD36" s="143"/>
      <c r="MJE36" s="143"/>
      <c r="MJF36" s="143"/>
      <c r="MJG36" s="143"/>
      <c r="MJH36" s="143"/>
      <c r="MJI36" s="143"/>
      <c r="MJJ36" s="143"/>
      <c r="MJK36" s="143"/>
      <c r="MJL36" s="143"/>
      <c r="MJM36" s="143"/>
      <c r="MJN36" s="143"/>
      <c r="MJO36" s="143"/>
      <c r="MJP36" s="143"/>
      <c r="MJQ36" s="143"/>
      <c r="MJR36" s="143"/>
      <c r="MJS36" s="143"/>
      <c r="MJT36" s="143"/>
      <c r="MJU36" s="143"/>
      <c r="MJV36" s="143"/>
      <c r="MJW36" s="143"/>
      <c r="MJX36" s="143"/>
      <c r="MJY36" s="143"/>
      <c r="MJZ36" s="143"/>
      <c r="MKA36" s="143"/>
      <c r="MKB36" s="143"/>
      <c r="MKC36" s="143"/>
      <c r="MKD36" s="143"/>
      <c r="MKE36" s="143"/>
      <c r="MKF36" s="143"/>
      <c r="MKG36" s="143"/>
      <c r="MKH36" s="143"/>
      <c r="MKI36" s="143"/>
      <c r="MKJ36" s="143"/>
      <c r="MKK36" s="143"/>
      <c r="MKL36" s="143"/>
      <c r="MKM36" s="143"/>
      <c r="MKN36" s="143"/>
      <c r="MKO36" s="143"/>
      <c r="MKP36" s="143"/>
      <c r="MKQ36" s="143"/>
      <c r="MKR36" s="143"/>
      <c r="MKS36" s="143"/>
      <c r="MKT36" s="143"/>
      <c r="MKU36" s="143"/>
      <c r="MKV36" s="143"/>
      <c r="MKW36" s="143"/>
      <c r="MKX36" s="143"/>
      <c r="MKY36" s="143"/>
      <c r="MKZ36" s="143"/>
      <c r="MLA36" s="143"/>
      <c r="MLB36" s="143"/>
      <c r="MLC36" s="143"/>
      <c r="MLD36" s="143"/>
      <c r="MLE36" s="143"/>
      <c r="MLF36" s="143"/>
      <c r="MLG36" s="143"/>
      <c r="MLH36" s="143"/>
      <c r="MLI36" s="143"/>
      <c r="MLJ36" s="143"/>
      <c r="MLK36" s="143"/>
      <c r="MLL36" s="143"/>
      <c r="MLM36" s="143"/>
      <c r="MLN36" s="143"/>
      <c r="MLO36" s="143"/>
      <c r="MLP36" s="143"/>
      <c r="MLQ36" s="143"/>
      <c r="MLR36" s="143"/>
      <c r="MLS36" s="143"/>
      <c r="MLT36" s="143"/>
      <c r="MLU36" s="143"/>
      <c r="MLV36" s="143"/>
      <c r="MLW36" s="143"/>
      <c r="MLX36" s="143"/>
      <c r="MLY36" s="143"/>
      <c r="MLZ36" s="143"/>
      <c r="MMA36" s="143"/>
      <c r="MMB36" s="143"/>
      <c r="MMC36" s="143"/>
      <c r="MMD36" s="143"/>
      <c r="MME36" s="143"/>
      <c r="MMF36" s="143"/>
      <c r="MMG36" s="143"/>
      <c r="MMH36" s="143"/>
      <c r="MMI36" s="143"/>
      <c r="MMJ36" s="143"/>
      <c r="MMK36" s="143"/>
      <c r="MML36" s="143"/>
      <c r="MMM36" s="143"/>
      <c r="MMN36" s="143"/>
      <c r="MMO36" s="143"/>
      <c r="MMP36" s="143"/>
      <c r="MMQ36" s="143"/>
      <c r="MMR36" s="143"/>
      <c r="MMS36" s="143"/>
      <c r="MMT36" s="143"/>
      <c r="MMU36" s="143"/>
      <c r="MMV36" s="143"/>
      <c r="MMW36" s="143"/>
      <c r="MMX36" s="143"/>
      <c r="MMY36" s="143"/>
      <c r="MMZ36" s="143"/>
      <c r="MNA36" s="143"/>
      <c r="MNB36" s="143"/>
      <c r="MNC36" s="143"/>
      <c r="MND36" s="143"/>
      <c r="MNE36" s="143"/>
      <c r="MNF36" s="143"/>
      <c r="MNG36" s="143"/>
      <c r="MNH36" s="143"/>
      <c r="MNI36" s="143"/>
      <c r="MNJ36" s="143"/>
      <c r="MNK36" s="143"/>
      <c r="MNL36" s="143"/>
      <c r="MNM36" s="143"/>
      <c r="MNN36" s="143"/>
      <c r="MNO36" s="143"/>
      <c r="MNP36" s="143"/>
      <c r="MNQ36" s="143"/>
      <c r="MNR36" s="143"/>
      <c r="MNS36" s="143"/>
      <c r="MNT36" s="143"/>
      <c r="MNU36" s="143"/>
      <c r="MNV36" s="143"/>
      <c r="MNW36" s="143"/>
      <c r="MNX36" s="143"/>
      <c r="MNY36" s="143"/>
      <c r="MNZ36" s="143"/>
      <c r="MOA36" s="143"/>
      <c r="MOB36" s="143"/>
      <c r="MOC36" s="143"/>
      <c r="MOD36" s="143"/>
      <c r="MOE36" s="143"/>
      <c r="MOF36" s="143"/>
      <c r="MOG36" s="143"/>
      <c r="MOH36" s="143"/>
      <c r="MOI36" s="143"/>
      <c r="MOJ36" s="143"/>
      <c r="MOK36" s="143"/>
      <c r="MOL36" s="143"/>
      <c r="MOM36" s="143"/>
      <c r="MON36" s="143"/>
      <c r="MOO36" s="143"/>
      <c r="MOP36" s="143"/>
      <c r="MOQ36" s="143"/>
      <c r="MOR36" s="143"/>
      <c r="MOS36" s="143"/>
      <c r="MOT36" s="143"/>
      <c r="MOU36" s="143"/>
      <c r="MOV36" s="143"/>
      <c r="MOW36" s="143"/>
      <c r="MOX36" s="143"/>
      <c r="MOY36" s="143"/>
      <c r="MOZ36" s="143"/>
      <c r="MPA36" s="143"/>
      <c r="MPB36" s="143"/>
      <c r="MPC36" s="143"/>
      <c r="MPD36" s="143"/>
      <c r="MPE36" s="143"/>
      <c r="MPF36" s="143"/>
      <c r="MPG36" s="143"/>
      <c r="MPH36" s="143"/>
      <c r="MPI36" s="143"/>
      <c r="MPJ36" s="143"/>
      <c r="MPK36" s="143"/>
      <c r="MPL36" s="143"/>
      <c r="MPM36" s="143"/>
      <c r="MPN36" s="143"/>
      <c r="MPO36" s="143"/>
      <c r="MPP36" s="143"/>
      <c r="MPQ36" s="143"/>
      <c r="MPR36" s="143"/>
      <c r="MPS36" s="143"/>
      <c r="MPT36" s="143"/>
      <c r="MPU36" s="143"/>
      <c r="MPV36" s="143"/>
      <c r="MPW36" s="143"/>
      <c r="MPX36" s="143"/>
      <c r="MPY36" s="143"/>
      <c r="MPZ36" s="143"/>
      <c r="MQA36" s="143"/>
      <c r="MQB36" s="143"/>
      <c r="MQC36" s="143"/>
      <c r="MQD36" s="143"/>
      <c r="MQE36" s="143"/>
      <c r="MQF36" s="143"/>
      <c r="MQG36" s="143"/>
      <c r="MQH36" s="143"/>
      <c r="MQI36" s="143"/>
      <c r="MQJ36" s="143"/>
      <c r="MQK36" s="143"/>
      <c r="MQL36" s="143"/>
      <c r="MQM36" s="143"/>
      <c r="MQN36" s="143"/>
      <c r="MQO36" s="143"/>
      <c r="MQP36" s="143"/>
      <c r="MQQ36" s="143"/>
      <c r="MQR36" s="143"/>
      <c r="MQS36" s="143"/>
      <c r="MQT36" s="143"/>
      <c r="MQU36" s="143"/>
      <c r="MQV36" s="143"/>
      <c r="MQW36" s="143"/>
      <c r="MQX36" s="143"/>
      <c r="MQY36" s="143"/>
      <c r="MQZ36" s="143"/>
      <c r="MRA36" s="143"/>
      <c r="MRB36" s="143"/>
      <c r="MRC36" s="143"/>
      <c r="MRD36" s="143"/>
      <c r="MRE36" s="143"/>
      <c r="MRF36" s="143"/>
      <c r="MRG36" s="143"/>
      <c r="MRH36" s="143"/>
      <c r="MRI36" s="143"/>
      <c r="MRJ36" s="143"/>
      <c r="MRK36" s="143"/>
      <c r="MRL36" s="143"/>
      <c r="MRM36" s="143"/>
      <c r="MRN36" s="143"/>
      <c r="MRO36" s="143"/>
      <c r="MRP36" s="143"/>
      <c r="MRQ36" s="143"/>
      <c r="MRR36" s="143"/>
      <c r="MRS36" s="143"/>
      <c r="MRT36" s="143"/>
      <c r="MRU36" s="143"/>
      <c r="MRV36" s="143"/>
      <c r="MRW36" s="143"/>
      <c r="MRX36" s="143"/>
      <c r="MRY36" s="143"/>
      <c r="MRZ36" s="143"/>
      <c r="MSA36" s="143"/>
      <c r="MSB36" s="143"/>
      <c r="MSC36" s="143"/>
      <c r="MSD36" s="143"/>
      <c r="MSE36" s="143"/>
      <c r="MSF36" s="143"/>
      <c r="MSG36" s="143"/>
      <c r="MSH36" s="143"/>
      <c r="MSI36" s="143"/>
      <c r="MSJ36" s="143"/>
      <c r="MSK36" s="143"/>
      <c r="MSL36" s="143"/>
      <c r="MSM36" s="143"/>
      <c r="MSN36" s="143"/>
      <c r="MSO36" s="143"/>
      <c r="MSP36" s="143"/>
      <c r="MSQ36" s="143"/>
      <c r="MSR36" s="143"/>
      <c r="MSS36" s="143"/>
      <c r="MST36" s="143"/>
      <c r="MSU36" s="143"/>
      <c r="MSV36" s="143"/>
      <c r="MSW36" s="143"/>
      <c r="MSX36" s="143"/>
      <c r="MSY36" s="143"/>
      <c r="MSZ36" s="143"/>
      <c r="MTA36" s="143"/>
      <c r="MTB36" s="143"/>
      <c r="MTC36" s="143"/>
      <c r="MTD36" s="143"/>
      <c r="MTE36" s="143"/>
      <c r="MTF36" s="143"/>
      <c r="MTG36" s="143"/>
      <c r="MTH36" s="143"/>
      <c r="MTI36" s="143"/>
      <c r="MTJ36" s="143"/>
      <c r="MTK36" s="143"/>
      <c r="MTL36" s="143"/>
      <c r="MTM36" s="143"/>
      <c r="MTN36" s="143"/>
      <c r="MTO36" s="143"/>
      <c r="MTP36" s="143"/>
      <c r="MTQ36" s="143"/>
      <c r="MTR36" s="143"/>
      <c r="MTS36" s="143"/>
      <c r="MTT36" s="143"/>
      <c r="MTU36" s="143"/>
      <c r="MTV36" s="143"/>
      <c r="MTW36" s="143"/>
      <c r="MTX36" s="143"/>
      <c r="MTY36" s="143"/>
      <c r="MTZ36" s="143"/>
      <c r="MUA36" s="143"/>
      <c r="MUB36" s="143"/>
      <c r="MUC36" s="143"/>
      <c r="MUD36" s="143"/>
      <c r="MUE36" s="143"/>
      <c r="MUF36" s="143"/>
      <c r="MUG36" s="143"/>
      <c r="MUH36" s="143"/>
      <c r="MUI36" s="143"/>
      <c r="MUJ36" s="143"/>
      <c r="MUK36" s="143"/>
      <c r="MUL36" s="143"/>
      <c r="MUM36" s="143"/>
      <c r="MUN36" s="143"/>
      <c r="MUO36" s="143"/>
      <c r="MUP36" s="143"/>
      <c r="MUQ36" s="143"/>
      <c r="MUR36" s="143"/>
      <c r="MUS36" s="143"/>
      <c r="MUT36" s="143"/>
      <c r="MUU36" s="143"/>
      <c r="MUV36" s="143"/>
      <c r="MUW36" s="143"/>
      <c r="MUX36" s="143"/>
      <c r="MUY36" s="143"/>
      <c r="MUZ36" s="143"/>
      <c r="MVA36" s="143"/>
      <c r="MVB36" s="143"/>
      <c r="MVC36" s="143"/>
      <c r="MVD36" s="143"/>
      <c r="MVE36" s="143"/>
      <c r="MVF36" s="143"/>
      <c r="MVG36" s="143"/>
      <c r="MVH36" s="143"/>
      <c r="MVI36" s="143"/>
      <c r="MVJ36" s="143"/>
      <c r="MVK36" s="143"/>
      <c r="MVL36" s="143"/>
      <c r="MVM36" s="143"/>
      <c r="MVN36" s="143"/>
      <c r="MVO36" s="143"/>
      <c r="MVP36" s="143"/>
      <c r="MVQ36" s="143"/>
      <c r="MVR36" s="143"/>
      <c r="MVS36" s="143"/>
      <c r="MVT36" s="143"/>
      <c r="MVU36" s="143"/>
      <c r="MVV36" s="143"/>
      <c r="MVW36" s="143"/>
      <c r="MVX36" s="143"/>
      <c r="MVY36" s="143"/>
      <c r="MVZ36" s="143"/>
      <c r="MWA36" s="143"/>
      <c r="MWB36" s="143"/>
      <c r="MWC36" s="143"/>
      <c r="MWD36" s="143"/>
      <c r="MWE36" s="143"/>
      <c r="MWF36" s="143"/>
      <c r="MWG36" s="143"/>
      <c r="MWH36" s="143"/>
      <c r="MWI36" s="143"/>
      <c r="MWJ36" s="143"/>
      <c r="MWK36" s="143"/>
      <c r="MWL36" s="143"/>
      <c r="MWM36" s="143"/>
      <c r="MWN36" s="143"/>
      <c r="MWO36" s="143"/>
      <c r="MWP36" s="143"/>
      <c r="MWQ36" s="143"/>
      <c r="MWR36" s="143"/>
      <c r="MWS36" s="143"/>
      <c r="MWT36" s="143"/>
      <c r="MWU36" s="143"/>
      <c r="MWV36" s="143"/>
      <c r="MWW36" s="143"/>
      <c r="MWX36" s="143"/>
      <c r="MWY36" s="143"/>
      <c r="MWZ36" s="143"/>
      <c r="MXA36" s="143"/>
      <c r="MXB36" s="143"/>
      <c r="MXC36" s="143"/>
      <c r="MXD36" s="143"/>
      <c r="MXE36" s="143"/>
      <c r="MXF36" s="143"/>
      <c r="MXG36" s="143"/>
      <c r="MXH36" s="143"/>
      <c r="MXI36" s="143"/>
      <c r="MXJ36" s="143"/>
      <c r="MXK36" s="143"/>
      <c r="MXL36" s="143"/>
      <c r="MXM36" s="143"/>
      <c r="MXN36" s="143"/>
      <c r="MXO36" s="143"/>
      <c r="MXP36" s="143"/>
      <c r="MXQ36" s="143"/>
      <c r="MXR36" s="143"/>
      <c r="MXS36" s="143"/>
      <c r="MXT36" s="143"/>
      <c r="MXU36" s="143"/>
      <c r="MXV36" s="143"/>
      <c r="MXW36" s="143"/>
      <c r="MXX36" s="143"/>
      <c r="MXY36" s="143"/>
      <c r="MXZ36" s="143"/>
      <c r="MYA36" s="143"/>
      <c r="MYB36" s="143"/>
      <c r="MYC36" s="143"/>
      <c r="MYD36" s="143"/>
      <c r="MYE36" s="143"/>
      <c r="MYF36" s="143"/>
      <c r="MYG36" s="143"/>
      <c r="MYH36" s="143"/>
      <c r="MYI36" s="143"/>
      <c r="MYJ36" s="143"/>
      <c r="MYK36" s="143"/>
      <c r="MYL36" s="143"/>
      <c r="MYM36" s="143"/>
      <c r="MYN36" s="143"/>
      <c r="MYO36" s="143"/>
      <c r="MYP36" s="143"/>
      <c r="MYQ36" s="143"/>
      <c r="MYR36" s="143"/>
      <c r="MYS36" s="143"/>
      <c r="MYT36" s="143"/>
      <c r="MYU36" s="143"/>
      <c r="MYV36" s="143"/>
      <c r="MYW36" s="143"/>
      <c r="MYX36" s="143"/>
      <c r="MYY36" s="143"/>
      <c r="MYZ36" s="143"/>
      <c r="MZA36" s="143"/>
      <c r="MZB36" s="143"/>
      <c r="MZC36" s="143"/>
      <c r="MZD36" s="143"/>
      <c r="MZE36" s="143"/>
      <c r="MZF36" s="143"/>
      <c r="MZG36" s="143"/>
      <c r="MZH36" s="143"/>
      <c r="MZI36" s="143"/>
      <c r="MZJ36" s="143"/>
      <c r="MZK36" s="143"/>
      <c r="MZL36" s="143"/>
      <c r="MZM36" s="143"/>
      <c r="MZN36" s="143"/>
      <c r="MZO36" s="143"/>
      <c r="MZP36" s="143"/>
      <c r="MZQ36" s="143"/>
      <c r="MZR36" s="143"/>
      <c r="MZS36" s="143"/>
      <c r="MZT36" s="143"/>
      <c r="MZU36" s="143"/>
      <c r="MZV36" s="143"/>
      <c r="MZW36" s="143"/>
      <c r="MZX36" s="143"/>
      <c r="MZY36" s="143"/>
      <c r="MZZ36" s="143"/>
      <c r="NAA36" s="143"/>
      <c r="NAB36" s="143"/>
      <c r="NAC36" s="143"/>
      <c r="NAD36" s="143"/>
      <c r="NAE36" s="143"/>
      <c r="NAF36" s="143"/>
      <c r="NAG36" s="143"/>
      <c r="NAH36" s="143"/>
      <c r="NAI36" s="143"/>
      <c r="NAJ36" s="143"/>
      <c r="NAK36" s="143"/>
      <c r="NAL36" s="143"/>
      <c r="NAM36" s="143"/>
      <c r="NAN36" s="143"/>
      <c r="NAO36" s="143"/>
      <c r="NAP36" s="143"/>
      <c r="NAQ36" s="143"/>
      <c r="NAR36" s="143"/>
      <c r="NAS36" s="143"/>
      <c r="NAT36" s="143"/>
      <c r="NAU36" s="143"/>
      <c r="NAV36" s="143"/>
      <c r="NAW36" s="143"/>
      <c r="NAX36" s="143"/>
      <c r="NAY36" s="143"/>
      <c r="NAZ36" s="143"/>
      <c r="NBA36" s="143"/>
      <c r="NBB36" s="143"/>
      <c r="NBC36" s="143"/>
      <c r="NBD36" s="143"/>
      <c r="NBE36" s="143"/>
      <c r="NBF36" s="143"/>
      <c r="NBG36" s="143"/>
      <c r="NBH36" s="143"/>
      <c r="NBI36" s="143"/>
      <c r="NBJ36" s="143"/>
      <c r="NBK36" s="143"/>
      <c r="NBL36" s="143"/>
      <c r="NBM36" s="143"/>
      <c r="NBN36" s="143"/>
      <c r="NBO36" s="143"/>
      <c r="NBP36" s="143"/>
      <c r="NBQ36" s="143"/>
      <c r="NBR36" s="143"/>
      <c r="NBS36" s="143"/>
      <c r="NBT36" s="143"/>
      <c r="NBU36" s="143"/>
      <c r="NBV36" s="143"/>
      <c r="NBW36" s="143"/>
      <c r="NBX36" s="143"/>
      <c r="NBY36" s="143"/>
      <c r="NBZ36" s="143"/>
      <c r="NCA36" s="143"/>
      <c r="NCB36" s="143"/>
      <c r="NCC36" s="143"/>
      <c r="NCD36" s="143"/>
      <c r="NCE36" s="143"/>
      <c r="NCF36" s="143"/>
      <c r="NCG36" s="143"/>
      <c r="NCH36" s="143"/>
      <c r="NCI36" s="143"/>
      <c r="NCJ36" s="143"/>
      <c r="NCK36" s="143"/>
      <c r="NCL36" s="143"/>
      <c r="NCM36" s="143"/>
      <c r="NCN36" s="143"/>
      <c r="NCO36" s="143"/>
      <c r="NCP36" s="143"/>
      <c r="NCQ36" s="143"/>
      <c r="NCR36" s="143"/>
      <c r="NCS36" s="143"/>
      <c r="NCT36" s="143"/>
      <c r="NCU36" s="143"/>
      <c r="NCV36" s="143"/>
      <c r="NCW36" s="143"/>
      <c r="NCX36" s="143"/>
      <c r="NCY36" s="143"/>
      <c r="NCZ36" s="143"/>
      <c r="NDA36" s="143"/>
      <c r="NDB36" s="143"/>
      <c r="NDC36" s="143"/>
      <c r="NDD36" s="143"/>
      <c r="NDE36" s="143"/>
      <c r="NDF36" s="143"/>
      <c r="NDG36" s="143"/>
      <c r="NDH36" s="143"/>
      <c r="NDI36" s="143"/>
      <c r="NDJ36" s="143"/>
      <c r="NDK36" s="143"/>
      <c r="NDL36" s="143"/>
      <c r="NDM36" s="143"/>
      <c r="NDN36" s="143"/>
      <c r="NDO36" s="143"/>
      <c r="NDP36" s="143"/>
      <c r="NDQ36" s="143"/>
      <c r="NDR36" s="143"/>
      <c r="NDS36" s="143"/>
      <c r="NDT36" s="143"/>
      <c r="NDU36" s="143"/>
      <c r="NDV36" s="143"/>
      <c r="NDW36" s="143"/>
      <c r="NDX36" s="143"/>
      <c r="NDY36" s="143"/>
      <c r="NDZ36" s="143"/>
      <c r="NEA36" s="143"/>
      <c r="NEB36" s="143"/>
      <c r="NEC36" s="143"/>
      <c r="NED36" s="143"/>
      <c r="NEE36" s="143"/>
      <c r="NEF36" s="143"/>
      <c r="NEG36" s="143"/>
      <c r="NEH36" s="143"/>
      <c r="NEI36" s="143"/>
      <c r="NEJ36" s="143"/>
      <c r="NEK36" s="143"/>
      <c r="NEL36" s="143"/>
      <c r="NEM36" s="143"/>
      <c r="NEN36" s="143"/>
      <c r="NEO36" s="143"/>
      <c r="NEP36" s="143"/>
      <c r="NEQ36" s="143"/>
      <c r="NER36" s="143"/>
      <c r="NES36" s="143"/>
      <c r="NET36" s="143"/>
      <c r="NEU36" s="143"/>
      <c r="NEV36" s="143"/>
      <c r="NEW36" s="143"/>
      <c r="NEX36" s="143"/>
      <c r="NEY36" s="143"/>
      <c r="NEZ36" s="143"/>
      <c r="NFA36" s="143"/>
      <c r="NFB36" s="143"/>
      <c r="NFC36" s="143"/>
      <c r="NFD36" s="143"/>
      <c r="NFE36" s="143"/>
      <c r="NFF36" s="143"/>
      <c r="NFG36" s="143"/>
      <c r="NFH36" s="143"/>
      <c r="NFI36" s="143"/>
      <c r="NFJ36" s="143"/>
      <c r="NFK36" s="143"/>
      <c r="NFL36" s="143"/>
      <c r="NFM36" s="143"/>
      <c r="NFN36" s="143"/>
      <c r="NFO36" s="143"/>
      <c r="NFP36" s="143"/>
      <c r="NFQ36" s="143"/>
      <c r="NFR36" s="143"/>
      <c r="NFS36" s="143"/>
      <c r="NFT36" s="143"/>
      <c r="NFU36" s="143"/>
      <c r="NFV36" s="143"/>
      <c r="NFW36" s="143"/>
      <c r="NFX36" s="143"/>
      <c r="NFY36" s="143"/>
      <c r="NFZ36" s="143"/>
      <c r="NGA36" s="143"/>
      <c r="NGB36" s="143"/>
      <c r="NGC36" s="143"/>
      <c r="NGD36" s="143"/>
      <c r="NGE36" s="143"/>
      <c r="NGF36" s="143"/>
      <c r="NGG36" s="143"/>
      <c r="NGH36" s="143"/>
      <c r="NGI36" s="143"/>
      <c r="NGJ36" s="143"/>
      <c r="NGK36" s="143"/>
      <c r="NGL36" s="143"/>
      <c r="NGM36" s="143"/>
      <c r="NGN36" s="143"/>
      <c r="NGO36" s="143"/>
      <c r="NGP36" s="143"/>
      <c r="NGQ36" s="143"/>
      <c r="NGR36" s="143"/>
      <c r="NGS36" s="143"/>
      <c r="NGT36" s="143"/>
      <c r="NGU36" s="143"/>
      <c r="NGV36" s="143"/>
      <c r="NGW36" s="143"/>
      <c r="NGX36" s="143"/>
      <c r="NGY36" s="143"/>
      <c r="NGZ36" s="143"/>
      <c r="NHA36" s="143"/>
      <c r="NHB36" s="143"/>
      <c r="NHC36" s="143"/>
      <c r="NHD36" s="143"/>
      <c r="NHE36" s="143"/>
      <c r="NHF36" s="143"/>
      <c r="NHG36" s="143"/>
      <c r="NHH36" s="143"/>
      <c r="NHI36" s="143"/>
      <c r="NHJ36" s="143"/>
      <c r="NHK36" s="143"/>
      <c r="NHL36" s="143"/>
      <c r="NHM36" s="143"/>
      <c r="NHN36" s="143"/>
      <c r="NHO36" s="143"/>
      <c r="NHP36" s="143"/>
      <c r="NHQ36" s="143"/>
      <c r="NHR36" s="143"/>
      <c r="NHS36" s="143"/>
      <c r="NHT36" s="143"/>
      <c r="NHU36" s="143"/>
      <c r="NHV36" s="143"/>
      <c r="NHW36" s="143"/>
      <c r="NHX36" s="143"/>
      <c r="NHY36" s="143"/>
      <c r="NHZ36" s="143"/>
      <c r="NIA36" s="143"/>
      <c r="NIB36" s="143"/>
      <c r="NIC36" s="143"/>
      <c r="NID36" s="143"/>
      <c r="NIE36" s="143"/>
      <c r="NIF36" s="143"/>
      <c r="NIG36" s="143"/>
      <c r="NIH36" s="143"/>
      <c r="NII36" s="143"/>
      <c r="NIJ36" s="143"/>
      <c r="NIK36" s="143"/>
      <c r="NIL36" s="143"/>
      <c r="NIM36" s="143"/>
      <c r="NIN36" s="143"/>
      <c r="NIO36" s="143"/>
      <c r="NIP36" s="143"/>
      <c r="NIQ36" s="143"/>
      <c r="NIR36" s="143"/>
      <c r="NIS36" s="143"/>
      <c r="NIT36" s="143"/>
      <c r="NIU36" s="143"/>
      <c r="NIV36" s="143"/>
      <c r="NIW36" s="143"/>
      <c r="NIX36" s="143"/>
      <c r="NIY36" s="143"/>
      <c r="NIZ36" s="143"/>
      <c r="NJA36" s="143"/>
      <c r="NJB36" s="143"/>
      <c r="NJC36" s="143"/>
      <c r="NJD36" s="143"/>
      <c r="NJE36" s="143"/>
      <c r="NJF36" s="143"/>
      <c r="NJG36" s="143"/>
      <c r="NJH36" s="143"/>
      <c r="NJI36" s="143"/>
      <c r="NJJ36" s="143"/>
      <c r="NJK36" s="143"/>
      <c r="NJL36" s="143"/>
      <c r="NJM36" s="143"/>
      <c r="NJN36" s="143"/>
      <c r="NJO36" s="143"/>
      <c r="NJP36" s="143"/>
      <c r="NJQ36" s="143"/>
      <c r="NJR36" s="143"/>
      <c r="NJS36" s="143"/>
      <c r="NJT36" s="143"/>
      <c r="NJU36" s="143"/>
      <c r="NJV36" s="143"/>
      <c r="NJW36" s="143"/>
      <c r="NJX36" s="143"/>
      <c r="NJY36" s="143"/>
      <c r="NJZ36" s="143"/>
      <c r="NKA36" s="143"/>
      <c r="NKB36" s="143"/>
      <c r="NKC36" s="143"/>
      <c r="NKD36" s="143"/>
      <c r="NKE36" s="143"/>
      <c r="NKF36" s="143"/>
      <c r="NKG36" s="143"/>
      <c r="NKH36" s="143"/>
      <c r="NKI36" s="143"/>
      <c r="NKJ36" s="143"/>
      <c r="NKK36" s="143"/>
      <c r="NKL36" s="143"/>
      <c r="NKM36" s="143"/>
      <c r="NKN36" s="143"/>
      <c r="NKO36" s="143"/>
      <c r="NKP36" s="143"/>
      <c r="NKQ36" s="143"/>
      <c r="NKR36" s="143"/>
      <c r="NKS36" s="143"/>
      <c r="NKT36" s="143"/>
      <c r="NKU36" s="143"/>
      <c r="NKV36" s="143"/>
      <c r="NKW36" s="143"/>
      <c r="NKX36" s="143"/>
      <c r="NKY36" s="143"/>
      <c r="NKZ36" s="143"/>
      <c r="NLA36" s="143"/>
      <c r="NLB36" s="143"/>
      <c r="NLC36" s="143"/>
      <c r="NLD36" s="143"/>
      <c r="NLE36" s="143"/>
      <c r="NLF36" s="143"/>
      <c r="NLG36" s="143"/>
      <c r="NLH36" s="143"/>
      <c r="NLI36" s="143"/>
      <c r="NLJ36" s="143"/>
      <c r="NLK36" s="143"/>
      <c r="NLL36" s="143"/>
      <c r="NLM36" s="143"/>
      <c r="NLN36" s="143"/>
      <c r="NLO36" s="143"/>
      <c r="NLP36" s="143"/>
      <c r="NLQ36" s="143"/>
      <c r="NLR36" s="143"/>
      <c r="NLS36" s="143"/>
      <c r="NLT36" s="143"/>
      <c r="NLU36" s="143"/>
      <c r="NLV36" s="143"/>
      <c r="NLW36" s="143"/>
      <c r="NLX36" s="143"/>
      <c r="NLY36" s="143"/>
      <c r="NLZ36" s="143"/>
      <c r="NMA36" s="143"/>
      <c r="NMB36" s="143"/>
      <c r="NMC36" s="143"/>
      <c r="NMD36" s="143"/>
      <c r="NME36" s="143"/>
      <c r="NMF36" s="143"/>
      <c r="NMG36" s="143"/>
      <c r="NMH36" s="143"/>
      <c r="NMI36" s="143"/>
      <c r="NMJ36" s="143"/>
      <c r="NMK36" s="143"/>
      <c r="NML36" s="143"/>
      <c r="NMM36" s="143"/>
      <c r="NMN36" s="143"/>
      <c r="NMO36" s="143"/>
      <c r="NMP36" s="143"/>
      <c r="NMQ36" s="143"/>
      <c r="NMR36" s="143"/>
      <c r="NMS36" s="143"/>
      <c r="NMT36" s="143"/>
      <c r="NMU36" s="143"/>
      <c r="NMV36" s="143"/>
      <c r="NMW36" s="143"/>
      <c r="NMX36" s="143"/>
      <c r="NMY36" s="143"/>
      <c r="NMZ36" s="143"/>
      <c r="NNA36" s="143"/>
      <c r="NNB36" s="143"/>
      <c r="NNC36" s="143"/>
      <c r="NND36" s="143"/>
      <c r="NNE36" s="143"/>
      <c r="NNF36" s="143"/>
      <c r="NNG36" s="143"/>
      <c r="NNH36" s="143"/>
      <c r="NNI36" s="143"/>
      <c r="NNJ36" s="143"/>
      <c r="NNK36" s="143"/>
      <c r="NNL36" s="143"/>
      <c r="NNM36" s="143"/>
      <c r="NNN36" s="143"/>
      <c r="NNO36" s="143"/>
      <c r="NNP36" s="143"/>
      <c r="NNQ36" s="143"/>
      <c r="NNR36" s="143"/>
      <c r="NNS36" s="143"/>
      <c r="NNT36" s="143"/>
      <c r="NNU36" s="143"/>
      <c r="NNV36" s="143"/>
      <c r="NNW36" s="143"/>
      <c r="NNX36" s="143"/>
      <c r="NNY36" s="143"/>
      <c r="NNZ36" s="143"/>
      <c r="NOA36" s="143"/>
      <c r="NOB36" s="143"/>
      <c r="NOC36" s="143"/>
      <c r="NOD36" s="143"/>
      <c r="NOE36" s="143"/>
      <c r="NOF36" s="143"/>
      <c r="NOG36" s="143"/>
      <c r="NOH36" s="143"/>
      <c r="NOI36" s="143"/>
      <c r="NOJ36" s="143"/>
      <c r="NOK36" s="143"/>
      <c r="NOL36" s="143"/>
      <c r="NOM36" s="143"/>
      <c r="NON36" s="143"/>
      <c r="NOO36" s="143"/>
      <c r="NOP36" s="143"/>
      <c r="NOQ36" s="143"/>
      <c r="NOR36" s="143"/>
      <c r="NOS36" s="143"/>
      <c r="NOT36" s="143"/>
      <c r="NOU36" s="143"/>
      <c r="NOV36" s="143"/>
      <c r="NOW36" s="143"/>
      <c r="NOX36" s="143"/>
      <c r="NOY36" s="143"/>
      <c r="NOZ36" s="143"/>
      <c r="NPA36" s="143"/>
      <c r="NPB36" s="143"/>
      <c r="NPC36" s="143"/>
      <c r="NPD36" s="143"/>
      <c r="NPE36" s="143"/>
      <c r="NPF36" s="143"/>
      <c r="NPG36" s="143"/>
      <c r="NPH36" s="143"/>
      <c r="NPI36" s="143"/>
      <c r="NPJ36" s="143"/>
      <c r="NPK36" s="143"/>
      <c r="NPL36" s="143"/>
      <c r="NPM36" s="143"/>
      <c r="NPN36" s="143"/>
      <c r="NPO36" s="143"/>
      <c r="NPP36" s="143"/>
      <c r="NPQ36" s="143"/>
      <c r="NPR36" s="143"/>
      <c r="NPS36" s="143"/>
      <c r="NPT36" s="143"/>
      <c r="NPU36" s="143"/>
      <c r="NPV36" s="143"/>
      <c r="NPW36" s="143"/>
      <c r="NPX36" s="143"/>
      <c r="NPY36" s="143"/>
      <c r="NPZ36" s="143"/>
      <c r="NQA36" s="143"/>
      <c r="NQB36" s="143"/>
      <c r="NQC36" s="143"/>
      <c r="NQD36" s="143"/>
      <c r="NQE36" s="143"/>
      <c r="NQF36" s="143"/>
      <c r="NQG36" s="143"/>
      <c r="NQH36" s="143"/>
      <c r="NQI36" s="143"/>
      <c r="NQJ36" s="143"/>
      <c r="NQK36" s="143"/>
      <c r="NQL36" s="143"/>
      <c r="NQM36" s="143"/>
      <c r="NQN36" s="143"/>
      <c r="NQO36" s="143"/>
      <c r="NQP36" s="143"/>
      <c r="NQQ36" s="143"/>
      <c r="NQR36" s="143"/>
      <c r="NQS36" s="143"/>
      <c r="NQT36" s="143"/>
      <c r="NQU36" s="143"/>
      <c r="NQV36" s="143"/>
      <c r="NQW36" s="143"/>
      <c r="NQX36" s="143"/>
      <c r="NQY36" s="143"/>
      <c r="NQZ36" s="143"/>
      <c r="NRA36" s="143"/>
      <c r="NRB36" s="143"/>
      <c r="NRC36" s="143"/>
      <c r="NRD36" s="143"/>
      <c r="NRE36" s="143"/>
      <c r="NRF36" s="143"/>
      <c r="NRG36" s="143"/>
      <c r="NRH36" s="143"/>
      <c r="NRI36" s="143"/>
      <c r="NRJ36" s="143"/>
      <c r="NRK36" s="143"/>
      <c r="NRL36" s="143"/>
      <c r="NRM36" s="143"/>
      <c r="NRN36" s="143"/>
      <c r="NRO36" s="143"/>
      <c r="NRP36" s="143"/>
      <c r="NRQ36" s="143"/>
      <c r="NRR36" s="143"/>
      <c r="NRS36" s="143"/>
      <c r="NRT36" s="143"/>
      <c r="NRU36" s="143"/>
      <c r="NRV36" s="143"/>
      <c r="NRW36" s="143"/>
      <c r="NRX36" s="143"/>
      <c r="NRY36" s="143"/>
      <c r="NRZ36" s="143"/>
      <c r="NSA36" s="143"/>
      <c r="NSB36" s="143"/>
      <c r="NSC36" s="143"/>
      <c r="NSD36" s="143"/>
      <c r="NSE36" s="143"/>
      <c r="NSF36" s="143"/>
      <c r="NSG36" s="143"/>
      <c r="NSH36" s="143"/>
      <c r="NSI36" s="143"/>
      <c r="NSJ36" s="143"/>
      <c r="NSK36" s="143"/>
      <c r="NSL36" s="143"/>
      <c r="NSM36" s="143"/>
      <c r="NSN36" s="143"/>
      <c r="NSO36" s="143"/>
      <c r="NSP36" s="143"/>
      <c r="NSQ36" s="143"/>
      <c r="NSR36" s="143"/>
      <c r="NSS36" s="143"/>
      <c r="NST36" s="143"/>
      <c r="NSU36" s="143"/>
      <c r="NSV36" s="143"/>
      <c r="NSW36" s="143"/>
      <c r="NSX36" s="143"/>
      <c r="NSY36" s="143"/>
      <c r="NSZ36" s="143"/>
      <c r="NTA36" s="143"/>
      <c r="NTB36" s="143"/>
      <c r="NTC36" s="143"/>
      <c r="NTD36" s="143"/>
      <c r="NTE36" s="143"/>
      <c r="NTF36" s="143"/>
      <c r="NTG36" s="143"/>
      <c r="NTH36" s="143"/>
      <c r="NTI36" s="143"/>
      <c r="NTJ36" s="143"/>
      <c r="NTK36" s="143"/>
      <c r="NTL36" s="143"/>
      <c r="NTM36" s="143"/>
      <c r="NTN36" s="143"/>
      <c r="NTO36" s="143"/>
      <c r="NTP36" s="143"/>
      <c r="NTQ36" s="143"/>
      <c r="NTR36" s="143"/>
      <c r="NTS36" s="143"/>
      <c r="NTT36" s="143"/>
      <c r="NTU36" s="143"/>
      <c r="NTV36" s="143"/>
      <c r="NTW36" s="143"/>
      <c r="NTX36" s="143"/>
      <c r="NTY36" s="143"/>
      <c r="NTZ36" s="143"/>
      <c r="NUA36" s="143"/>
      <c r="NUB36" s="143"/>
      <c r="NUC36" s="143"/>
      <c r="NUD36" s="143"/>
      <c r="NUE36" s="143"/>
      <c r="NUF36" s="143"/>
      <c r="NUG36" s="143"/>
      <c r="NUH36" s="143"/>
      <c r="NUI36" s="143"/>
      <c r="NUJ36" s="143"/>
      <c r="NUK36" s="143"/>
      <c r="NUL36" s="143"/>
      <c r="NUM36" s="143"/>
      <c r="NUN36" s="143"/>
      <c r="NUO36" s="143"/>
      <c r="NUP36" s="143"/>
      <c r="NUQ36" s="143"/>
      <c r="NUR36" s="143"/>
      <c r="NUS36" s="143"/>
      <c r="NUT36" s="143"/>
      <c r="NUU36" s="143"/>
      <c r="NUV36" s="143"/>
      <c r="NUW36" s="143"/>
      <c r="NUX36" s="143"/>
      <c r="NUY36" s="143"/>
      <c r="NUZ36" s="143"/>
      <c r="NVA36" s="143"/>
      <c r="NVB36" s="143"/>
      <c r="NVC36" s="143"/>
      <c r="NVD36" s="143"/>
      <c r="NVE36" s="143"/>
      <c r="NVF36" s="143"/>
      <c r="NVG36" s="143"/>
      <c r="NVH36" s="143"/>
      <c r="NVI36" s="143"/>
      <c r="NVJ36" s="143"/>
      <c r="NVK36" s="143"/>
      <c r="NVL36" s="143"/>
      <c r="NVM36" s="143"/>
      <c r="NVN36" s="143"/>
      <c r="NVO36" s="143"/>
      <c r="NVP36" s="143"/>
      <c r="NVQ36" s="143"/>
      <c r="NVR36" s="143"/>
      <c r="NVS36" s="143"/>
      <c r="NVT36" s="143"/>
      <c r="NVU36" s="143"/>
      <c r="NVV36" s="143"/>
      <c r="NVW36" s="143"/>
      <c r="NVX36" s="143"/>
      <c r="NVY36" s="143"/>
      <c r="NVZ36" s="143"/>
      <c r="NWA36" s="143"/>
      <c r="NWB36" s="143"/>
      <c r="NWC36" s="143"/>
      <c r="NWD36" s="143"/>
      <c r="NWE36" s="143"/>
      <c r="NWF36" s="143"/>
      <c r="NWG36" s="143"/>
      <c r="NWH36" s="143"/>
      <c r="NWI36" s="143"/>
      <c r="NWJ36" s="143"/>
      <c r="NWK36" s="143"/>
      <c r="NWL36" s="143"/>
      <c r="NWM36" s="143"/>
      <c r="NWN36" s="143"/>
      <c r="NWO36" s="143"/>
      <c r="NWP36" s="143"/>
      <c r="NWQ36" s="143"/>
      <c r="NWR36" s="143"/>
      <c r="NWS36" s="143"/>
      <c r="NWT36" s="143"/>
      <c r="NWU36" s="143"/>
      <c r="NWV36" s="143"/>
      <c r="NWW36" s="143"/>
      <c r="NWX36" s="143"/>
      <c r="NWY36" s="143"/>
      <c r="NWZ36" s="143"/>
      <c r="NXA36" s="143"/>
      <c r="NXB36" s="143"/>
      <c r="NXC36" s="143"/>
      <c r="NXD36" s="143"/>
      <c r="NXE36" s="143"/>
      <c r="NXF36" s="143"/>
      <c r="NXG36" s="143"/>
      <c r="NXH36" s="143"/>
      <c r="NXI36" s="143"/>
      <c r="NXJ36" s="143"/>
      <c r="NXK36" s="143"/>
      <c r="NXL36" s="143"/>
      <c r="NXM36" s="143"/>
      <c r="NXN36" s="143"/>
      <c r="NXO36" s="143"/>
      <c r="NXP36" s="143"/>
      <c r="NXQ36" s="143"/>
      <c r="NXR36" s="143"/>
      <c r="NXS36" s="143"/>
      <c r="NXT36" s="143"/>
      <c r="NXU36" s="143"/>
      <c r="NXV36" s="143"/>
      <c r="NXW36" s="143"/>
      <c r="NXX36" s="143"/>
      <c r="NXY36" s="143"/>
      <c r="NXZ36" s="143"/>
      <c r="NYA36" s="143"/>
      <c r="NYB36" s="143"/>
      <c r="NYC36" s="143"/>
      <c r="NYD36" s="143"/>
      <c r="NYE36" s="143"/>
      <c r="NYF36" s="143"/>
      <c r="NYG36" s="143"/>
      <c r="NYH36" s="143"/>
      <c r="NYI36" s="143"/>
      <c r="NYJ36" s="143"/>
      <c r="NYK36" s="143"/>
      <c r="NYL36" s="143"/>
      <c r="NYM36" s="143"/>
      <c r="NYN36" s="143"/>
      <c r="NYO36" s="143"/>
      <c r="NYP36" s="143"/>
      <c r="NYQ36" s="143"/>
      <c r="NYR36" s="143"/>
      <c r="NYS36" s="143"/>
      <c r="NYT36" s="143"/>
      <c r="NYU36" s="143"/>
      <c r="NYV36" s="143"/>
      <c r="NYW36" s="143"/>
      <c r="NYX36" s="143"/>
      <c r="NYY36" s="143"/>
      <c r="NYZ36" s="143"/>
      <c r="NZA36" s="143"/>
      <c r="NZB36" s="143"/>
      <c r="NZC36" s="143"/>
      <c r="NZD36" s="143"/>
      <c r="NZE36" s="143"/>
      <c r="NZF36" s="143"/>
      <c r="NZG36" s="143"/>
      <c r="NZH36" s="143"/>
      <c r="NZI36" s="143"/>
      <c r="NZJ36" s="143"/>
      <c r="NZK36" s="143"/>
      <c r="NZL36" s="143"/>
      <c r="NZM36" s="143"/>
      <c r="NZN36" s="143"/>
      <c r="NZO36" s="143"/>
      <c r="NZP36" s="143"/>
      <c r="NZQ36" s="143"/>
      <c r="NZR36" s="143"/>
      <c r="NZS36" s="143"/>
      <c r="NZT36" s="143"/>
      <c r="NZU36" s="143"/>
      <c r="NZV36" s="143"/>
      <c r="NZW36" s="143"/>
      <c r="NZX36" s="143"/>
      <c r="NZY36" s="143"/>
      <c r="NZZ36" s="143"/>
      <c r="OAA36" s="143"/>
      <c r="OAB36" s="143"/>
      <c r="OAC36" s="143"/>
      <c r="OAD36" s="143"/>
      <c r="OAE36" s="143"/>
      <c r="OAF36" s="143"/>
      <c r="OAG36" s="143"/>
      <c r="OAH36" s="143"/>
      <c r="OAI36" s="143"/>
      <c r="OAJ36" s="143"/>
      <c r="OAK36" s="143"/>
      <c r="OAL36" s="143"/>
      <c r="OAM36" s="143"/>
      <c r="OAN36" s="143"/>
      <c r="OAO36" s="143"/>
      <c r="OAP36" s="143"/>
      <c r="OAQ36" s="143"/>
      <c r="OAR36" s="143"/>
      <c r="OAS36" s="143"/>
      <c r="OAT36" s="143"/>
      <c r="OAU36" s="143"/>
      <c r="OAV36" s="143"/>
      <c r="OAW36" s="143"/>
      <c r="OAX36" s="143"/>
      <c r="OAY36" s="143"/>
      <c r="OAZ36" s="143"/>
      <c r="OBA36" s="143"/>
      <c r="OBB36" s="143"/>
      <c r="OBC36" s="143"/>
      <c r="OBD36" s="143"/>
      <c r="OBE36" s="143"/>
      <c r="OBF36" s="143"/>
      <c r="OBG36" s="143"/>
      <c r="OBH36" s="143"/>
      <c r="OBI36" s="143"/>
      <c r="OBJ36" s="143"/>
      <c r="OBK36" s="143"/>
      <c r="OBL36" s="143"/>
      <c r="OBM36" s="143"/>
      <c r="OBN36" s="143"/>
      <c r="OBO36" s="143"/>
      <c r="OBP36" s="143"/>
      <c r="OBQ36" s="143"/>
      <c r="OBR36" s="143"/>
      <c r="OBS36" s="143"/>
      <c r="OBT36" s="143"/>
      <c r="OBU36" s="143"/>
      <c r="OBV36" s="143"/>
      <c r="OBW36" s="143"/>
      <c r="OBX36" s="143"/>
      <c r="OBY36" s="143"/>
      <c r="OBZ36" s="143"/>
      <c r="OCA36" s="143"/>
      <c r="OCB36" s="143"/>
      <c r="OCC36" s="143"/>
      <c r="OCD36" s="143"/>
      <c r="OCE36" s="143"/>
      <c r="OCF36" s="143"/>
      <c r="OCG36" s="143"/>
      <c r="OCH36" s="143"/>
      <c r="OCI36" s="143"/>
      <c r="OCJ36" s="143"/>
      <c r="OCK36" s="143"/>
      <c r="OCL36" s="143"/>
      <c r="OCM36" s="143"/>
      <c r="OCN36" s="143"/>
      <c r="OCO36" s="143"/>
      <c r="OCP36" s="143"/>
      <c r="OCQ36" s="143"/>
      <c r="OCR36" s="143"/>
      <c r="OCS36" s="143"/>
      <c r="OCT36" s="143"/>
      <c r="OCU36" s="143"/>
      <c r="OCV36" s="143"/>
      <c r="OCW36" s="143"/>
      <c r="OCX36" s="143"/>
      <c r="OCY36" s="143"/>
      <c r="OCZ36" s="143"/>
      <c r="ODA36" s="143"/>
      <c r="ODB36" s="143"/>
      <c r="ODC36" s="143"/>
      <c r="ODD36" s="143"/>
      <c r="ODE36" s="143"/>
      <c r="ODF36" s="143"/>
      <c r="ODG36" s="143"/>
      <c r="ODH36" s="143"/>
      <c r="ODI36" s="143"/>
      <c r="ODJ36" s="143"/>
      <c r="ODK36" s="143"/>
      <c r="ODL36" s="143"/>
      <c r="ODM36" s="143"/>
      <c r="ODN36" s="143"/>
      <c r="ODO36" s="143"/>
      <c r="ODP36" s="143"/>
      <c r="ODQ36" s="143"/>
      <c r="ODR36" s="143"/>
      <c r="ODS36" s="143"/>
      <c r="ODT36" s="143"/>
      <c r="ODU36" s="143"/>
      <c r="ODV36" s="143"/>
      <c r="ODW36" s="143"/>
      <c r="ODX36" s="143"/>
      <c r="ODY36" s="143"/>
      <c r="ODZ36" s="143"/>
      <c r="OEA36" s="143"/>
      <c r="OEB36" s="143"/>
      <c r="OEC36" s="143"/>
      <c r="OED36" s="143"/>
      <c r="OEE36" s="143"/>
      <c r="OEF36" s="143"/>
      <c r="OEG36" s="143"/>
      <c r="OEH36" s="143"/>
      <c r="OEI36" s="143"/>
      <c r="OEJ36" s="143"/>
      <c r="OEK36" s="143"/>
      <c r="OEL36" s="143"/>
      <c r="OEM36" s="143"/>
      <c r="OEN36" s="143"/>
      <c r="OEO36" s="143"/>
      <c r="OEP36" s="143"/>
      <c r="OEQ36" s="143"/>
      <c r="OER36" s="143"/>
      <c r="OES36" s="143"/>
      <c r="OET36" s="143"/>
      <c r="OEU36" s="143"/>
      <c r="OEV36" s="143"/>
      <c r="OEW36" s="143"/>
      <c r="OEX36" s="143"/>
      <c r="OEY36" s="143"/>
      <c r="OEZ36" s="143"/>
      <c r="OFA36" s="143"/>
      <c r="OFB36" s="143"/>
      <c r="OFC36" s="143"/>
      <c r="OFD36" s="143"/>
      <c r="OFE36" s="143"/>
      <c r="OFF36" s="143"/>
      <c r="OFG36" s="143"/>
      <c r="OFH36" s="143"/>
      <c r="OFI36" s="143"/>
      <c r="OFJ36" s="143"/>
      <c r="OFK36" s="143"/>
      <c r="OFL36" s="143"/>
      <c r="OFM36" s="143"/>
      <c r="OFN36" s="143"/>
      <c r="OFO36" s="143"/>
      <c r="OFP36" s="143"/>
      <c r="OFQ36" s="143"/>
      <c r="OFR36" s="143"/>
      <c r="OFS36" s="143"/>
      <c r="OFT36" s="143"/>
      <c r="OFU36" s="143"/>
      <c r="OFV36" s="143"/>
      <c r="OFW36" s="143"/>
      <c r="OFX36" s="143"/>
      <c r="OFY36" s="143"/>
      <c r="OFZ36" s="143"/>
      <c r="OGA36" s="143"/>
      <c r="OGB36" s="143"/>
      <c r="OGC36" s="143"/>
      <c r="OGD36" s="143"/>
      <c r="OGE36" s="143"/>
      <c r="OGF36" s="143"/>
      <c r="OGG36" s="143"/>
      <c r="OGH36" s="143"/>
      <c r="OGI36" s="143"/>
      <c r="OGJ36" s="143"/>
      <c r="OGK36" s="143"/>
      <c r="OGL36" s="143"/>
      <c r="OGM36" s="143"/>
      <c r="OGN36" s="143"/>
      <c r="OGO36" s="143"/>
      <c r="OGP36" s="143"/>
      <c r="OGQ36" s="143"/>
      <c r="OGR36" s="143"/>
      <c r="OGS36" s="143"/>
      <c r="OGT36" s="143"/>
      <c r="OGU36" s="143"/>
      <c r="OGV36" s="143"/>
      <c r="OGW36" s="143"/>
      <c r="OGX36" s="143"/>
      <c r="OGY36" s="143"/>
      <c r="OGZ36" s="143"/>
      <c r="OHA36" s="143"/>
      <c r="OHB36" s="143"/>
      <c r="OHC36" s="143"/>
      <c r="OHD36" s="143"/>
      <c r="OHE36" s="143"/>
      <c r="OHF36" s="143"/>
      <c r="OHG36" s="143"/>
      <c r="OHH36" s="143"/>
      <c r="OHI36" s="143"/>
      <c r="OHJ36" s="143"/>
      <c r="OHK36" s="143"/>
      <c r="OHL36" s="143"/>
      <c r="OHM36" s="143"/>
      <c r="OHN36" s="143"/>
      <c r="OHO36" s="143"/>
      <c r="OHP36" s="143"/>
      <c r="OHQ36" s="143"/>
      <c r="OHR36" s="143"/>
      <c r="OHS36" s="143"/>
      <c r="OHT36" s="143"/>
      <c r="OHU36" s="143"/>
      <c r="OHV36" s="143"/>
      <c r="OHW36" s="143"/>
      <c r="OHX36" s="143"/>
      <c r="OHY36" s="143"/>
      <c r="OHZ36" s="143"/>
      <c r="OIA36" s="143"/>
      <c r="OIB36" s="143"/>
      <c r="OIC36" s="143"/>
      <c r="OID36" s="143"/>
      <c r="OIE36" s="143"/>
      <c r="OIF36" s="143"/>
      <c r="OIG36" s="143"/>
      <c r="OIH36" s="143"/>
      <c r="OII36" s="143"/>
      <c r="OIJ36" s="143"/>
      <c r="OIK36" s="143"/>
      <c r="OIL36" s="143"/>
      <c r="OIM36" s="143"/>
      <c r="OIN36" s="143"/>
      <c r="OIO36" s="143"/>
      <c r="OIP36" s="143"/>
      <c r="OIQ36" s="143"/>
      <c r="OIR36" s="143"/>
      <c r="OIS36" s="143"/>
      <c r="OIT36" s="143"/>
      <c r="OIU36" s="143"/>
      <c r="OIV36" s="143"/>
      <c r="OIW36" s="143"/>
      <c r="OIX36" s="143"/>
      <c r="OIY36" s="143"/>
      <c r="OIZ36" s="143"/>
      <c r="OJA36" s="143"/>
      <c r="OJB36" s="143"/>
      <c r="OJC36" s="143"/>
      <c r="OJD36" s="143"/>
      <c r="OJE36" s="143"/>
      <c r="OJF36" s="143"/>
      <c r="OJG36" s="143"/>
      <c r="OJH36" s="143"/>
      <c r="OJI36" s="143"/>
      <c r="OJJ36" s="143"/>
      <c r="OJK36" s="143"/>
      <c r="OJL36" s="143"/>
      <c r="OJM36" s="143"/>
      <c r="OJN36" s="143"/>
      <c r="OJO36" s="143"/>
      <c r="OJP36" s="143"/>
      <c r="OJQ36" s="143"/>
      <c r="OJR36" s="143"/>
      <c r="OJS36" s="143"/>
      <c r="OJT36" s="143"/>
      <c r="OJU36" s="143"/>
      <c r="OJV36" s="143"/>
      <c r="OJW36" s="143"/>
      <c r="OJX36" s="143"/>
      <c r="OJY36" s="143"/>
      <c r="OJZ36" s="143"/>
      <c r="OKA36" s="143"/>
      <c r="OKB36" s="143"/>
      <c r="OKC36" s="143"/>
      <c r="OKD36" s="143"/>
      <c r="OKE36" s="143"/>
      <c r="OKF36" s="143"/>
      <c r="OKG36" s="143"/>
      <c r="OKH36" s="143"/>
      <c r="OKI36" s="143"/>
      <c r="OKJ36" s="143"/>
      <c r="OKK36" s="143"/>
      <c r="OKL36" s="143"/>
      <c r="OKM36" s="143"/>
      <c r="OKN36" s="143"/>
      <c r="OKO36" s="143"/>
      <c r="OKP36" s="143"/>
      <c r="OKQ36" s="143"/>
      <c r="OKR36" s="143"/>
      <c r="OKS36" s="143"/>
      <c r="OKT36" s="143"/>
      <c r="OKU36" s="143"/>
      <c r="OKV36" s="143"/>
      <c r="OKW36" s="143"/>
      <c r="OKX36" s="143"/>
      <c r="OKY36" s="143"/>
      <c r="OKZ36" s="143"/>
      <c r="OLA36" s="143"/>
      <c r="OLB36" s="143"/>
      <c r="OLC36" s="143"/>
      <c r="OLD36" s="143"/>
      <c r="OLE36" s="143"/>
      <c r="OLF36" s="143"/>
      <c r="OLG36" s="143"/>
      <c r="OLH36" s="143"/>
      <c r="OLI36" s="143"/>
      <c r="OLJ36" s="143"/>
      <c r="OLK36" s="143"/>
      <c r="OLL36" s="143"/>
      <c r="OLM36" s="143"/>
      <c r="OLN36" s="143"/>
      <c r="OLO36" s="143"/>
      <c r="OLP36" s="143"/>
      <c r="OLQ36" s="143"/>
      <c r="OLR36" s="143"/>
      <c r="OLS36" s="143"/>
      <c r="OLT36" s="143"/>
      <c r="OLU36" s="143"/>
      <c r="OLV36" s="143"/>
      <c r="OLW36" s="143"/>
      <c r="OLX36" s="143"/>
      <c r="OLY36" s="143"/>
      <c r="OLZ36" s="143"/>
      <c r="OMA36" s="143"/>
      <c r="OMB36" s="143"/>
      <c r="OMC36" s="143"/>
      <c r="OMD36" s="143"/>
      <c r="OME36" s="143"/>
      <c r="OMF36" s="143"/>
      <c r="OMG36" s="143"/>
      <c r="OMH36" s="143"/>
      <c r="OMI36" s="143"/>
      <c r="OMJ36" s="143"/>
      <c r="OMK36" s="143"/>
      <c r="OML36" s="143"/>
      <c r="OMM36" s="143"/>
      <c r="OMN36" s="143"/>
      <c r="OMO36" s="143"/>
      <c r="OMP36" s="143"/>
      <c r="OMQ36" s="143"/>
      <c r="OMR36" s="143"/>
      <c r="OMS36" s="143"/>
      <c r="OMT36" s="143"/>
      <c r="OMU36" s="143"/>
      <c r="OMV36" s="143"/>
      <c r="OMW36" s="143"/>
      <c r="OMX36" s="143"/>
      <c r="OMY36" s="143"/>
      <c r="OMZ36" s="143"/>
      <c r="ONA36" s="143"/>
      <c r="ONB36" s="143"/>
      <c r="ONC36" s="143"/>
      <c r="OND36" s="143"/>
      <c r="ONE36" s="143"/>
      <c r="ONF36" s="143"/>
      <c r="ONG36" s="143"/>
      <c r="ONH36" s="143"/>
      <c r="ONI36" s="143"/>
      <c r="ONJ36" s="143"/>
      <c r="ONK36" s="143"/>
      <c r="ONL36" s="143"/>
      <c r="ONM36" s="143"/>
      <c r="ONN36" s="143"/>
      <c r="ONO36" s="143"/>
      <c r="ONP36" s="143"/>
      <c r="ONQ36" s="143"/>
      <c r="ONR36" s="143"/>
      <c r="ONS36" s="143"/>
      <c r="ONT36" s="143"/>
      <c r="ONU36" s="143"/>
      <c r="ONV36" s="143"/>
      <c r="ONW36" s="143"/>
      <c r="ONX36" s="143"/>
      <c r="ONY36" s="143"/>
      <c r="ONZ36" s="143"/>
      <c r="OOA36" s="143"/>
      <c r="OOB36" s="143"/>
      <c r="OOC36" s="143"/>
      <c r="OOD36" s="143"/>
      <c r="OOE36" s="143"/>
      <c r="OOF36" s="143"/>
      <c r="OOG36" s="143"/>
      <c r="OOH36" s="143"/>
      <c r="OOI36" s="143"/>
      <c r="OOJ36" s="143"/>
      <c r="OOK36" s="143"/>
      <c r="OOL36" s="143"/>
      <c r="OOM36" s="143"/>
      <c r="OON36" s="143"/>
      <c r="OOO36" s="143"/>
      <c r="OOP36" s="143"/>
      <c r="OOQ36" s="143"/>
      <c r="OOR36" s="143"/>
      <c r="OOS36" s="143"/>
      <c r="OOT36" s="143"/>
      <c r="OOU36" s="143"/>
      <c r="OOV36" s="143"/>
      <c r="OOW36" s="143"/>
      <c r="OOX36" s="143"/>
      <c r="OOY36" s="143"/>
      <c r="OOZ36" s="143"/>
      <c r="OPA36" s="143"/>
      <c r="OPB36" s="143"/>
      <c r="OPC36" s="143"/>
      <c r="OPD36" s="143"/>
      <c r="OPE36" s="143"/>
      <c r="OPF36" s="143"/>
      <c r="OPG36" s="143"/>
      <c r="OPH36" s="143"/>
      <c r="OPI36" s="143"/>
      <c r="OPJ36" s="143"/>
      <c r="OPK36" s="143"/>
      <c r="OPL36" s="143"/>
      <c r="OPM36" s="143"/>
      <c r="OPN36" s="143"/>
      <c r="OPO36" s="143"/>
      <c r="OPP36" s="143"/>
      <c r="OPQ36" s="143"/>
      <c r="OPR36" s="143"/>
      <c r="OPS36" s="143"/>
      <c r="OPT36" s="143"/>
      <c r="OPU36" s="143"/>
      <c r="OPV36" s="143"/>
      <c r="OPW36" s="143"/>
      <c r="OPX36" s="143"/>
      <c r="OPY36" s="143"/>
      <c r="OPZ36" s="143"/>
      <c r="OQA36" s="143"/>
      <c r="OQB36" s="143"/>
      <c r="OQC36" s="143"/>
      <c r="OQD36" s="143"/>
      <c r="OQE36" s="143"/>
      <c r="OQF36" s="143"/>
      <c r="OQG36" s="143"/>
      <c r="OQH36" s="143"/>
      <c r="OQI36" s="143"/>
      <c r="OQJ36" s="143"/>
      <c r="OQK36" s="143"/>
      <c r="OQL36" s="143"/>
      <c r="OQM36" s="143"/>
      <c r="OQN36" s="143"/>
      <c r="OQO36" s="143"/>
      <c r="OQP36" s="143"/>
      <c r="OQQ36" s="143"/>
      <c r="OQR36" s="143"/>
      <c r="OQS36" s="143"/>
      <c r="OQT36" s="143"/>
      <c r="OQU36" s="143"/>
      <c r="OQV36" s="143"/>
      <c r="OQW36" s="143"/>
      <c r="OQX36" s="143"/>
      <c r="OQY36" s="143"/>
      <c r="OQZ36" s="143"/>
      <c r="ORA36" s="143"/>
      <c r="ORB36" s="143"/>
      <c r="ORC36" s="143"/>
      <c r="ORD36" s="143"/>
      <c r="ORE36" s="143"/>
      <c r="ORF36" s="143"/>
      <c r="ORG36" s="143"/>
      <c r="ORH36" s="143"/>
      <c r="ORI36" s="143"/>
      <c r="ORJ36" s="143"/>
      <c r="ORK36" s="143"/>
      <c r="ORL36" s="143"/>
      <c r="ORM36" s="143"/>
      <c r="ORN36" s="143"/>
      <c r="ORO36" s="143"/>
      <c r="ORP36" s="143"/>
      <c r="ORQ36" s="143"/>
      <c r="ORR36" s="143"/>
      <c r="ORS36" s="143"/>
      <c r="ORT36" s="143"/>
      <c r="ORU36" s="143"/>
      <c r="ORV36" s="143"/>
      <c r="ORW36" s="143"/>
      <c r="ORX36" s="143"/>
      <c r="ORY36" s="143"/>
      <c r="ORZ36" s="143"/>
      <c r="OSA36" s="143"/>
      <c r="OSB36" s="143"/>
      <c r="OSC36" s="143"/>
      <c r="OSD36" s="143"/>
      <c r="OSE36" s="143"/>
      <c r="OSF36" s="143"/>
      <c r="OSG36" s="143"/>
      <c r="OSH36" s="143"/>
      <c r="OSI36" s="143"/>
      <c r="OSJ36" s="143"/>
      <c r="OSK36" s="143"/>
      <c r="OSL36" s="143"/>
      <c r="OSM36" s="143"/>
      <c r="OSN36" s="143"/>
      <c r="OSO36" s="143"/>
      <c r="OSP36" s="143"/>
      <c r="OSQ36" s="143"/>
      <c r="OSR36" s="143"/>
      <c r="OSS36" s="143"/>
      <c r="OST36" s="143"/>
      <c r="OSU36" s="143"/>
      <c r="OSV36" s="143"/>
      <c r="OSW36" s="143"/>
      <c r="OSX36" s="143"/>
      <c r="OSY36" s="143"/>
      <c r="OSZ36" s="143"/>
      <c r="OTA36" s="143"/>
      <c r="OTB36" s="143"/>
      <c r="OTC36" s="143"/>
      <c r="OTD36" s="143"/>
      <c r="OTE36" s="143"/>
      <c r="OTF36" s="143"/>
      <c r="OTG36" s="143"/>
      <c r="OTH36" s="143"/>
      <c r="OTI36" s="143"/>
      <c r="OTJ36" s="143"/>
      <c r="OTK36" s="143"/>
      <c r="OTL36" s="143"/>
      <c r="OTM36" s="143"/>
      <c r="OTN36" s="143"/>
      <c r="OTO36" s="143"/>
      <c r="OTP36" s="143"/>
      <c r="OTQ36" s="143"/>
      <c r="OTR36" s="143"/>
      <c r="OTS36" s="143"/>
      <c r="OTT36" s="143"/>
      <c r="OTU36" s="143"/>
      <c r="OTV36" s="143"/>
      <c r="OTW36" s="143"/>
      <c r="OTX36" s="143"/>
      <c r="OTY36" s="143"/>
      <c r="OTZ36" s="143"/>
      <c r="OUA36" s="143"/>
      <c r="OUB36" s="143"/>
      <c r="OUC36" s="143"/>
      <c r="OUD36" s="143"/>
      <c r="OUE36" s="143"/>
      <c r="OUF36" s="143"/>
      <c r="OUG36" s="143"/>
      <c r="OUH36" s="143"/>
      <c r="OUI36" s="143"/>
      <c r="OUJ36" s="143"/>
      <c r="OUK36" s="143"/>
      <c r="OUL36" s="143"/>
      <c r="OUM36" s="143"/>
      <c r="OUN36" s="143"/>
      <c r="OUO36" s="143"/>
      <c r="OUP36" s="143"/>
      <c r="OUQ36" s="143"/>
      <c r="OUR36" s="143"/>
      <c r="OUS36" s="143"/>
      <c r="OUT36" s="143"/>
      <c r="OUU36" s="143"/>
      <c r="OUV36" s="143"/>
      <c r="OUW36" s="143"/>
      <c r="OUX36" s="143"/>
      <c r="OUY36" s="143"/>
      <c r="OUZ36" s="143"/>
      <c r="OVA36" s="143"/>
      <c r="OVB36" s="143"/>
      <c r="OVC36" s="143"/>
      <c r="OVD36" s="143"/>
      <c r="OVE36" s="143"/>
      <c r="OVF36" s="143"/>
      <c r="OVG36" s="143"/>
      <c r="OVH36" s="143"/>
      <c r="OVI36" s="143"/>
      <c r="OVJ36" s="143"/>
      <c r="OVK36" s="143"/>
      <c r="OVL36" s="143"/>
      <c r="OVM36" s="143"/>
      <c r="OVN36" s="143"/>
      <c r="OVO36" s="143"/>
      <c r="OVP36" s="143"/>
      <c r="OVQ36" s="143"/>
      <c r="OVR36" s="143"/>
      <c r="OVS36" s="143"/>
      <c r="OVT36" s="143"/>
      <c r="OVU36" s="143"/>
      <c r="OVV36" s="143"/>
      <c r="OVW36" s="143"/>
      <c r="OVX36" s="143"/>
      <c r="OVY36" s="143"/>
      <c r="OVZ36" s="143"/>
      <c r="OWA36" s="143"/>
      <c r="OWB36" s="143"/>
      <c r="OWC36" s="143"/>
      <c r="OWD36" s="143"/>
      <c r="OWE36" s="143"/>
      <c r="OWF36" s="143"/>
      <c r="OWG36" s="143"/>
      <c r="OWH36" s="143"/>
      <c r="OWI36" s="143"/>
      <c r="OWJ36" s="143"/>
      <c r="OWK36" s="143"/>
      <c r="OWL36" s="143"/>
      <c r="OWM36" s="143"/>
      <c r="OWN36" s="143"/>
      <c r="OWO36" s="143"/>
      <c r="OWP36" s="143"/>
      <c r="OWQ36" s="143"/>
      <c r="OWR36" s="143"/>
      <c r="OWS36" s="143"/>
      <c r="OWT36" s="143"/>
      <c r="OWU36" s="143"/>
      <c r="OWV36" s="143"/>
      <c r="OWW36" s="143"/>
      <c r="OWX36" s="143"/>
      <c r="OWY36" s="143"/>
      <c r="OWZ36" s="143"/>
      <c r="OXA36" s="143"/>
      <c r="OXB36" s="143"/>
      <c r="OXC36" s="143"/>
      <c r="OXD36" s="143"/>
      <c r="OXE36" s="143"/>
      <c r="OXF36" s="143"/>
      <c r="OXG36" s="143"/>
      <c r="OXH36" s="143"/>
      <c r="OXI36" s="143"/>
      <c r="OXJ36" s="143"/>
      <c r="OXK36" s="143"/>
      <c r="OXL36" s="143"/>
      <c r="OXM36" s="143"/>
      <c r="OXN36" s="143"/>
      <c r="OXO36" s="143"/>
      <c r="OXP36" s="143"/>
      <c r="OXQ36" s="143"/>
      <c r="OXR36" s="143"/>
      <c r="OXS36" s="143"/>
      <c r="OXT36" s="143"/>
      <c r="OXU36" s="143"/>
      <c r="OXV36" s="143"/>
      <c r="OXW36" s="143"/>
      <c r="OXX36" s="143"/>
      <c r="OXY36" s="143"/>
      <c r="OXZ36" s="143"/>
      <c r="OYA36" s="143"/>
      <c r="OYB36" s="143"/>
      <c r="OYC36" s="143"/>
      <c r="OYD36" s="143"/>
      <c r="OYE36" s="143"/>
      <c r="OYF36" s="143"/>
      <c r="OYG36" s="143"/>
      <c r="OYH36" s="143"/>
      <c r="OYI36" s="143"/>
      <c r="OYJ36" s="143"/>
      <c r="OYK36" s="143"/>
      <c r="OYL36" s="143"/>
      <c r="OYM36" s="143"/>
      <c r="OYN36" s="143"/>
      <c r="OYO36" s="143"/>
      <c r="OYP36" s="143"/>
      <c r="OYQ36" s="143"/>
      <c r="OYR36" s="143"/>
      <c r="OYS36" s="143"/>
      <c r="OYT36" s="143"/>
      <c r="OYU36" s="143"/>
      <c r="OYV36" s="143"/>
      <c r="OYW36" s="143"/>
      <c r="OYX36" s="143"/>
      <c r="OYY36" s="143"/>
      <c r="OYZ36" s="143"/>
      <c r="OZA36" s="143"/>
      <c r="OZB36" s="143"/>
      <c r="OZC36" s="143"/>
      <c r="OZD36" s="143"/>
      <c r="OZE36" s="143"/>
      <c r="OZF36" s="143"/>
      <c r="OZG36" s="143"/>
      <c r="OZH36" s="143"/>
      <c r="OZI36" s="143"/>
      <c r="OZJ36" s="143"/>
      <c r="OZK36" s="143"/>
      <c r="OZL36" s="143"/>
      <c r="OZM36" s="143"/>
      <c r="OZN36" s="143"/>
      <c r="OZO36" s="143"/>
      <c r="OZP36" s="143"/>
      <c r="OZQ36" s="143"/>
      <c r="OZR36" s="143"/>
      <c r="OZS36" s="143"/>
      <c r="OZT36" s="143"/>
      <c r="OZU36" s="143"/>
      <c r="OZV36" s="143"/>
      <c r="OZW36" s="143"/>
      <c r="OZX36" s="143"/>
      <c r="OZY36" s="143"/>
      <c r="OZZ36" s="143"/>
      <c r="PAA36" s="143"/>
      <c r="PAB36" s="143"/>
      <c r="PAC36" s="143"/>
      <c r="PAD36" s="143"/>
      <c r="PAE36" s="143"/>
      <c r="PAF36" s="143"/>
      <c r="PAG36" s="143"/>
      <c r="PAH36" s="143"/>
      <c r="PAI36" s="143"/>
      <c r="PAJ36" s="143"/>
      <c r="PAK36" s="143"/>
      <c r="PAL36" s="143"/>
      <c r="PAM36" s="143"/>
      <c r="PAN36" s="143"/>
      <c r="PAO36" s="143"/>
      <c r="PAP36" s="143"/>
      <c r="PAQ36" s="143"/>
      <c r="PAR36" s="143"/>
      <c r="PAS36" s="143"/>
      <c r="PAT36" s="143"/>
      <c r="PAU36" s="143"/>
      <c r="PAV36" s="143"/>
      <c r="PAW36" s="143"/>
      <c r="PAX36" s="143"/>
      <c r="PAY36" s="143"/>
      <c r="PAZ36" s="143"/>
      <c r="PBA36" s="143"/>
      <c r="PBB36" s="143"/>
      <c r="PBC36" s="143"/>
      <c r="PBD36" s="143"/>
      <c r="PBE36" s="143"/>
      <c r="PBF36" s="143"/>
      <c r="PBG36" s="143"/>
      <c r="PBH36" s="143"/>
      <c r="PBI36" s="143"/>
      <c r="PBJ36" s="143"/>
      <c r="PBK36" s="143"/>
      <c r="PBL36" s="143"/>
      <c r="PBM36" s="143"/>
      <c r="PBN36" s="143"/>
      <c r="PBO36" s="143"/>
      <c r="PBP36" s="143"/>
      <c r="PBQ36" s="143"/>
      <c r="PBR36" s="143"/>
      <c r="PBS36" s="143"/>
      <c r="PBT36" s="143"/>
      <c r="PBU36" s="143"/>
      <c r="PBV36" s="143"/>
      <c r="PBW36" s="143"/>
      <c r="PBX36" s="143"/>
      <c r="PBY36" s="143"/>
      <c r="PBZ36" s="143"/>
      <c r="PCA36" s="143"/>
      <c r="PCB36" s="143"/>
      <c r="PCC36" s="143"/>
      <c r="PCD36" s="143"/>
      <c r="PCE36" s="143"/>
      <c r="PCF36" s="143"/>
      <c r="PCG36" s="143"/>
      <c r="PCH36" s="143"/>
      <c r="PCI36" s="143"/>
      <c r="PCJ36" s="143"/>
      <c r="PCK36" s="143"/>
      <c r="PCL36" s="143"/>
      <c r="PCM36" s="143"/>
      <c r="PCN36" s="143"/>
      <c r="PCO36" s="143"/>
      <c r="PCP36" s="143"/>
      <c r="PCQ36" s="143"/>
      <c r="PCR36" s="143"/>
      <c r="PCS36" s="143"/>
      <c r="PCT36" s="143"/>
      <c r="PCU36" s="143"/>
      <c r="PCV36" s="143"/>
      <c r="PCW36" s="143"/>
      <c r="PCX36" s="143"/>
      <c r="PCY36" s="143"/>
      <c r="PCZ36" s="143"/>
      <c r="PDA36" s="143"/>
      <c r="PDB36" s="143"/>
      <c r="PDC36" s="143"/>
      <c r="PDD36" s="143"/>
      <c r="PDE36" s="143"/>
      <c r="PDF36" s="143"/>
      <c r="PDG36" s="143"/>
      <c r="PDH36" s="143"/>
      <c r="PDI36" s="143"/>
      <c r="PDJ36" s="143"/>
      <c r="PDK36" s="143"/>
      <c r="PDL36" s="143"/>
      <c r="PDM36" s="143"/>
      <c r="PDN36" s="143"/>
      <c r="PDO36" s="143"/>
      <c r="PDP36" s="143"/>
      <c r="PDQ36" s="143"/>
      <c r="PDR36" s="143"/>
      <c r="PDS36" s="143"/>
      <c r="PDT36" s="143"/>
      <c r="PDU36" s="143"/>
      <c r="PDV36" s="143"/>
      <c r="PDW36" s="143"/>
      <c r="PDX36" s="143"/>
      <c r="PDY36" s="143"/>
      <c r="PDZ36" s="143"/>
      <c r="PEA36" s="143"/>
      <c r="PEB36" s="143"/>
      <c r="PEC36" s="143"/>
      <c r="PED36" s="143"/>
      <c r="PEE36" s="143"/>
      <c r="PEF36" s="143"/>
      <c r="PEG36" s="143"/>
      <c r="PEH36" s="143"/>
      <c r="PEI36" s="143"/>
      <c r="PEJ36" s="143"/>
      <c r="PEK36" s="143"/>
      <c r="PEL36" s="143"/>
      <c r="PEM36" s="143"/>
      <c r="PEN36" s="143"/>
      <c r="PEO36" s="143"/>
      <c r="PEP36" s="143"/>
      <c r="PEQ36" s="143"/>
      <c r="PER36" s="143"/>
      <c r="PES36" s="143"/>
      <c r="PET36" s="143"/>
      <c r="PEU36" s="143"/>
      <c r="PEV36" s="143"/>
      <c r="PEW36" s="143"/>
      <c r="PEX36" s="143"/>
      <c r="PEY36" s="143"/>
      <c r="PEZ36" s="143"/>
      <c r="PFA36" s="143"/>
      <c r="PFB36" s="143"/>
      <c r="PFC36" s="143"/>
      <c r="PFD36" s="143"/>
      <c r="PFE36" s="143"/>
      <c r="PFF36" s="143"/>
      <c r="PFG36" s="143"/>
      <c r="PFH36" s="143"/>
      <c r="PFI36" s="143"/>
      <c r="PFJ36" s="143"/>
      <c r="PFK36" s="143"/>
      <c r="PFL36" s="143"/>
      <c r="PFM36" s="143"/>
      <c r="PFN36" s="143"/>
      <c r="PFO36" s="143"/>
      <c r="PFP36" s="143"/>
      <c r="PFQ36" s="143"/>
      <c r="PFR36" s="143"/>
      <c r="PFS36" s="143"/>
      <c r="PFT36" s="143"/>
      <c r="PFU36" s="143"/>
      <c r="PFV36" s="143"/>
      <c r="PFW36" s="143"/>
      <c r="PFX36" s="143"/>
      <c r="PFY36" s="143"/>
      <c r="PFZ36" s="143"/>
      <c r="PGA36" s="143"/>
      <c r="PGB36" s="143"/>
      <c r="PGC36" s="143"/>
      <c r="PGD36" s="143"/>
      <c r="PGE36" s="143"/>
      <c r="PGF36" s="143"/>
      <c r="PGG36" s="143"/>
      <c r="PGH36" s="143"/>
      <c r="PGI36" s="143"/>
      <c r="PGJ36" s="143"/>
      <c r="PGK36" s="143"/>
      <c r="PGL36" s="143"/>
      <c r="PGM36" s="143"/>
      <c r="PGN36" s="143"/>
      <c r="PGO36" s="143"/>
      <c r="PGP36" s="143"/>
      <c r="PGQ36" s="143"/>
      <c r="PGR36" s="143"/>
      <c r="PGS36" s="143"/>
      <c r="PGT36" s="143"/>
      <c r="PGU36" s="143"/>
      <c r="PGV36" s="143"/>
      <c r="PGW36" s="143"/>
      <c r="PGX36" s="143"/>
      <c r="PGY36" s="143"/>
      <c r="PGZ36" s="143"/>
      <c r="PHA36" s="143"/>
      <c r="PHB36" s="143"/>
      <c r="PHC36" s="143"/>
      <c r="PHD36" s="143"/>
      <c r="PHE36" s="143"/>
      <c r="PHF36" s="143"/>
      <c r="PHG36" s="143"/>
      <c r="PHH36" s="143"/>
      <c r="PHI36" s="143"/>
      <c r="PHJ36" s="143"/>
      <c r="PHK36" s="143"/>
      <c r="PHL36" s="143"/>
      <c r="PHM36" s="143"/>
      <c r="PHN36" s="143"/>
      <c r="PHO36" s="143"/>
      <c r="PHP36" s="143"/>
      <c r="PHQ36" s="143"/>
      <c r="PHR36" s="143"/>
      <c r="PHS36" s="143"/>
      <c r="PHT36" s="143"/>
      <c r="PHU36" s="143"/>
      <c r="PHV36" s="143"/>
      <c r="PHW36" s="143"/>
      <c r="PHX36" s="143"/>
      <c r="PHY36" s="143"/>
      <c r="PHZ36" s="143"/>
      <c r="PIA36" s="143"/>
      <c r="PIB36" s="143"/>
      <c r="PIC36" s="143"/>
      <c r="PID36" s="143"/>
      <c r="PIE36" s="143"/>
      <c r="PIF36" s="143"/>
      <c r="PIG36" s="143"/>
      <c r="PIH36" s="143"/>
      <c r="PII36" s="143"/>
      <c r="PIJ36" s="143"/>
      <c r="PIK36" s="143"/>
      <c r="PIL36" s="143"/>
      <c r="PIM36" s="143"/>
      <c r="PIN36" s="143"/>
      <c r="PIO36" s="143"/>
      <c r="PIP36" s="143"/>
      <c r="PIQ36" s="143"/>
      <c r="PIR36" s="143"/>
      <c r="PIS36" s="143"/>
      <c r="PIT36" s="143"/>
      <c r="PIU36" s="143"/>
      <c r="PIV36" s="143"/>
      <c r="PIW36" s="143"/>
      <c r="PIX36" s="143"/>
      <c r="PIY36" s="143"/>
      <c r="PIZ36" s="143"/>
      <c r="PJA36" s="143"/>
      <c r="PJB36" s="143"/>
      <c r="PJC36" s="143"/>
      <c r="PJD36" s="143"/>
      <c r="PJE36" s="143"/>
      <c r="PJF36" s="143"/>
      <c r="PJG36" s="143"/>
      <c r="PJH36" s="143"/>
      <c r="PJI36" s="143"/>
      <c r="PJJ36" s="143"/>
      <c r="PJK36" s="143"/>
      <c r="PJL36" s="143"/>
      <c r="PJM36" s="143"/>
      <c r="PJN36" s="143"/>
      <c r="PJO36" s="143"/>
      <c r="PJP36" s="143"/>
      <c r="PJQ36" s="143"/>
      <c r="PJR36" s="143"/>
      <c r="PJS36" s="143"/>
      <c r="PJT36" s="143"/>
      <c r="PJU36" s="143"/>
      <c r="PJV36" s="143"/>
      <c r="PJW36" s="143"/>
      <c r="PJX36" s="143"/>
      <c r="PJY36" s="143"/>
      <c r="PJZ36" s="143"/>
      <c r="PKA36" s="143"/>
      <c r="PKB36" s="143"/>
      <c r="PKC36" s="143"/>
      <c r="PKD36" s="143"/>
      <c r="PKE36" s="143"/>
      <c r="PKF36" s="143"/>
      <c r="PKG36" s="143"/>
      <c r="PKH36" s="143"/>
      <c r="PKI36" s="143"/>
      <c r="PKJ36" s="143"/>
      <c r="PKK36" s="143"/>
      <c r="PKL36" s="143"/>
      <c r="PKM36" s="143"/>
      <c r="PKN36" s="143"/>
      <c r="PKO36" s="143"/>
      <c r="PKP36" s="143"/>
      <c r="PKQ36" s="143"/>
      <c r="PKR36" s="143"/>
      <c r="PKS36" s="143"/>
      <c r="PKT36" s="143"/>
      <c r="PKU36" s="143"/>
      <c r="PKV36" s="143"/>
      <c r="PKW36" s="143"/>
      <c r="PKX36" s="143"/>
      <c r="PKY36" s="143"/>
      <c r="PKZ36" s="143"/>
      <c r="PLA36" s="143"/>
      <c r="PLB36" s="143"/>
      <c r="PLC36" s="143"/>
      <c r="PLD36" s="143"/>
      <c r="PLE36" s="143"/>
      <c r="PLF36" s="143"/>
      <c r="PLG36" s="143"/>
      <c r="PLH36" s="143"/>
      <c r="PLI36" s="143"/>
      <c r="PLJ36" s="143"/>
      <c r="PLK36" s="143"/>
      <c r="PLL36" s="143"/>
      <c r="PLM36" s="143"/>
      <c r="PLN36" s="143"/>
      <c r="PLO36" s="143"/>
      <c r="PLP36" s="143"/>
      <c r="PLQ36" s="143"/>
      <c r="PLR36" s="143"/>
      <c r="PLS36" s="143"/>
      <c r="PLT36" s="143"/>
      <c r="PLU36" s="143"/>
      <c r="PLV36" s="143"/>
      <c r="PLW36" s="143"/>
      <c r="PLX36" s="143"/>
      <c r="PLY36" s="143"/>
      <c r="PLZ36" s="143"/>
      <c r="PMA36" s="143"/>
      <c r="PMB36" s="143"/>
      <c r="PMC36" s="143"/>
      <c r="PMD36" s="143"/>
      <c r="PME36" s="143"/>
      <c r="PMF36" s="143"/>
      <c r="PMG36" s="143"/>
      <c r="PMH36" s="143"/>
      <c r="PMI36" s="143"/>
      <c r="PMJ36" s="143"/>
      <c r="PMK36" s="143"/>
      <c r="PML36" s="143"/>
      <c r="PMM36" s="143"/>
      <c r="PMN36" s="143"/>
      <c r="PMO36" s="143"/>
      <c r="PMP36" s="143"/>
      <c r="PMQ36" s="143"/>
      <c r="PMR36" s="143"/>
      <c r="PMS36" s="143"/>
      <c r="PMT36" s="143"/>
      <c r="PMU36" s="143"/>
      <c r="PMV36" s="143"/>
      <c r="PMW36" s="143"/>
      <c r="PMX36" s="143"/>
      <c r="PMY36" s="143"/>
      <c r="PMZ36" s="143"/>
      <c r="PNA36" s="143"/>
      <c r="PNB36" s="143"/>
      <c r="PNC36" s="143"/>
      <c r="PND36" s="143"/>
      <c r="PNE36" s="143"/>
      <c r="PNF36" s="143"/>
      <c r="PNG36" s="143"/>
      <c r="PNH36" s="143"/>
      <c r="PNI36" s="143"/>
      <c r="PNJ36" s="143"/>
      <c r="PNK36" s="143"/>
      <c r="PNL36" s="143"/>
      <c r="PNM36" s="143"/>
      <c r="PNN36" s="143"/>
      <c r="PNO36" s="143"/>
      <c r="PNP36" s="143"/>
      <c r="PNQ36" s="143"/>
      <c r="PNR36" s="143"/>
      <c r="PNS36" s="143"/>
      <c r="PNT36" s="143"/>
      <c r="PNU36" s="143"/>
      <c r="PNV36" s="143"/>
      <c r="PNW36" s="143"/>
      <c r="PNX36" s="143"/>
      <c r="PNY36" s="143"/>
      <c r="PNZ36" s="143"/>
      <c r="POA36" s="143"/>
      <c r="POB36" s="143"/>
      <c r="POC36" s="143"/>
      <c r="POD36" s="143"/>
      <c r="POE36" s="143"/>
      <c r="POF36" s="143"/>
      <c r="POG36" s="143"/>
      <c r="POH36" s="143"/>
      <c r="POI36" s="143"/>
      <c r="POJ36" s="143"/>
      <c r="POK36" s="143"/>
      <c r="POL36" s="143"/>
      <c r="POM36" s="143"/>
      <c r="PON36" s="143"/>
      <c r="POO36" s="143"/>
      <c r="POP36" s="143"/>
      <c r="POQ36" s="143"/>
      <c r="POR36" s="143"/>
      <c r="POS36" s="143"/>
      <c r="POT36" s="143"/>
      <c r="POU36" s="143"/>
      <c r="POV36" s="143"/>
      <c r="POW36" s="143"/>
      <c r="POX36" s="143"/>
      <c r="POY36" s="143"/>
      <c r="POZ36" s="143"/>
      <c r="PPA36" s="143"/>
      <c r="PPB36" s="143"/>
      <c r="PPC36" s="143"/>
      <c r="PPD36" s="143"/>
      <c r="PPE36" s="143"/>
      <c r="PPF36" s="143"/>
      <c r="PPG36" s="143"/>
      <c r="PPH36" s="143"/>
      <c r="PPI36" s="143"/>
      <c r="PPJ36" s="143"/>
      <c r="PPK36" s="143"/>
      <c r="PPL36" s="143"/>
      <c r="PPM36" s="143"/>
      <c r="PPN36" s="143"/>
      <c r="PPO36" s="143"/>
      <c r="PPP36" s="143"/>
      <c r="PPQ36" s="143"/>
      <c r="PPR36" s="143"/>
      <c r="PPS36" s="143"/>
      <c r="PPT36" s="143"/>
      <c r="PPU36" s="143"/>
      <c r="PPV36" s="143"/>
      <c r="PPW36" s="143"/>
      <c r="PPX36" s="143"/>
      <c r="PPY36" s="143"/>
      <c r="PPZ36" s="143"/>
      <c r="PQA36" s="143"/>
      <c r="PQB36" s="143"/>
      <c r="PQC36" s="143"/>
      <c r="PQD36" s="143"/>
      <c r="PQE36" s="143"/>
      <c r="PQF36" s="143"/>
      <c r="PQG36" s="143"/>
      <c r="PQH36" s="143"/>
      <c r="PQI36" s="143"/>
      <c r="PQJ36" s="143"/>
      <c r="PQK36" s="143"/>
      <c r="PQL36" s="143"/>
      <c r="PQM36" s="143"/>
      <c r="PQN36" s="143"/>
      <c r="PQO36" s="143"/>
      <c r="PQP36" s="143"/>
      <c r="PQQ36" s="143"/>
      <c r="PQR36" s="143"/>
      <c r="PQS36" s="143"/>
      <c r="PQT36" s="143"/>
      <c r="PQU36" s="143"/>
      <c r="PQV36" s="143"/>
      <c r="PQW36" s="143"/>
      <c r="PQX36" s="143"/>
      <c r="PQY36" s="143"/>
      <c r="PQZ36" s="143"/>
      <c r="PRA36" s="143"/>
      <c r="PRB36" s="143"/>
      <c r="PRC36" s="143"/>
      <c r="PRD36" s="143"/>
      <c r="PRE36" s="143"/>
      <c r="PRF36" s="143"/>
      <c r="PRG36" s="143"/>
      <c r="PRH36" s="143"/>
      <c r="PRI36" s="143"/>
      <c r="PRJ36" s="143"/>
      <c r="PRK36" s="143"/>
      <c r="PRL36" s="143"/>
      <c r="PRM36" s="143"/>
      <c r="PRN36" s="143"/>
      <c r="PRO36" s="143"/>
      <c r="PRP36" s="143"/>
      <c r="PRQ36" s="143"/>
      <c r="PRR36" s="143"/>
      <c r="PRS36" s="143"/>
      <c r="PRT36" s="143"/>
      <c r="PRU36" s="143"/>
      <c r="PRV36" s="143"/>
      <c r="PRW36" s="143"/>
      <c r="PRX36" s="143"/>
      <c r="PRY36" s="143"/>
      <c r="PRZ36" s="143"/>
      <c r="PSA36" s="143"/>
      <c r="PSB36" s="143"/>
      <c r="PSC36" s="143"/>
      <c r="PSD36" s="143"/>
      <c r="PSE36" s="143"/>
      <c r="PSF36" s="143"/>
      <c r="PSG36" s="143"/>
      <c r="PSH36" s="143"/>
      <c r="PSI36" s="143"/>
      <c r="PSJ36" s="143"/>
      <c r="PSK36" s="143"/>
      <c r="PSL36" s="143"/>
      <c r="PSM36" s="143"/>
      <c r="PSN36" s="143"/>
      <c r="PSO36" s="143"/>
      <c r="PSP36" s="143"/>
      <c r="PSQ36" s="143"/>
      <c r="PSR36" s="143"/>
      <c r="PSS36" s="143"/>
      <c r="PST36" s="143"/>
      <c r="PSU36" s="143"/>
      <c r="PSV36" s="143"/>
      <c r="PSW36" s="143"/>
      <c r="PSX36" s="143"/>
      <c r="PSY36" s="143"/>
      <c r="PSZ36" s="143"/>
      <c r="PTA36" s="143"/>
      <c r="PTB36" s="143"/>
      <c r="PTC36" s="143"/>
      <c r="PTD36" s="143"/>
      <c r="PTE36" s="143"/>
      <c r="PTF36" s="143"/>
      <c r="PTG36" s="143"/>
      <c r="PTH36" s="143"/>
      <c r="PTI36" s="143"/>
      <c r="PTJ36" s="143"/>
      <c r="PTK36" s="143"/>
      <c r="PTL36" s="143"/>
      <c r="PTM36" s="143"/>
      <c r="PTN36" s="143"/>
      <c r="PTO36" s="143"/>
      <c r="PTP36" s="143"/>
      <c r="PTQ36" s="143"/>
      <c r="PTR36" s="143"/>
      <c r="PTS36" s="143"/>
      <c r="PTT36" s="143"/>
      <c r="PTU36" s="143"/>
      <c r="PTV36" s="143"/>
      <c r="PTW36" s="143"/>
      <c r="PTX36" s="143"/>
      <c r="PTY36" s="143"/>
      <c r="PTZ36" s="143"/>
      <c r="PUA36" s="143"/>
      <c r="PUB36" s="143"/>
      <c r="PUC36" s="143"/>
      <c r="PUD36" s="143"/>
      <c r="PUE36" s="143"/>
      <c r="PUF36" s="143"/>
      <c r="PUG36" s="143"/>
      <c r="PUH36" s="143"/>
      <c r="PUI36" s="143"/>
      <c r="PUJ36" s="143"/>
      <c r="PUK36" s="143"/>
      <c r="PUL36" s="143"/>
      <c r="PUM36" s="143"/>
      <c r="PUN36" s="143"/>
      <c r="PUO36" s="143"/>
      <c r="PUP36" s="143"/>
      <c r="PUQ36" s="143"/>
      <c r="PUR36" s="143"/>
      <c r="PUS36" s="143"/>
      <c r="PUT36" s="143"/>
      <c r="PUU36" s="143"/>
      <c r="PUV36" s="143"/>
      <c r="PUW36" s="143"/>
      <c r="PUX36" s="143"/>
      <c r="PUY36" s="143"/>
      <c r="PUZ36" s="143"/>
      <c r="PVA36" s="143"/>
      <c r="PVB36" s="143"/>
      <c r="PVC36" s="143"/>
      <c r="PVD36" s="143"/>
      <c r="PVE36" s="143"/>
      <c r="PVF36" s="143"/>
      <c r="PVG36" s="143"/>
      <c r="PVH36" s="143"/>
      <c r="PVI36" s="143"/>
      <c r="PVJ36" s="143"/>
      <c r="PVK36" s="143"/>
      <c r="PVL36" s="143"/>
      <c r="PVM36" s="143"/>
      <c r="PVN36" s="143"/>
      <c r="PVO36" s="143"/>
      <c r="PVP36" s="143"/>
      <c r="PVQ36" s="143"/>
      <c r="PVR36" s="143"/>
      <c r="PVS36" s="143"/>
      <c r="PVT36" s="143"/>
      <c r="PVU36" s="143"/>
      <c r="PVV36" s="143"/>
      <c r="PVW36" s="143"/>
      <c r="PVX36" s="143"/>
      <c r="PVY36" s="143"/>
      <c r="PVZ36" s="143"/>
      <c r="PWA36" s="143"/>
      <c r="PWB36" s="143"/>
      <c r="PWC36" s="143"/>
      <c r="PWD36" s="143"/>
      <c r="PWE36" s="143"/>
      <c r="PWF36" s="143"/>
      <c r="PWG36" s="143"/>
      <c r="PWH36" s="143"/>
      <c r="PWI36" s="143"/>
      <c r="PWJ36" s="143"/>
      <c r="PWK36" s="143"/>
      <c r="PWL36" s="143"/>
      <c r="PWM36" s="143"/>
      <c r="PWN36" s="143"/>
      <c r="PWO36" s="143"/>
      <c r="PWP36" s="143"/>
      <c r="PWQ36" s="143"/>
      <c r="PWR36" s="143"/>
      <c r="PWS36" s="143"/>
      <c r="PWT36" s="143"/>
      <c r="PWU36" s="143"/>
      <c r="PWV36" s="143"/>
      <c r="PWW36" s="143"/>
      <c r="PWX36" s="143"/>
      <c r="PWY36" s="143"/>
      <c r="PWZ36" s="143"/>
      <c r="PXA36" s="143"/>
      <c r="PXB36" s="143"/>
      <c r="PXC36" s="143"/>
      <c r="PXD36" s="143"/>
      <c r="PXE36" s="143"/>
      <c r="PXF36" s="143"/>
      <c r="PXG36" s="143"/>
      <c r="PXH36" s="143"/>
      <c r="PXI36" s="143"/>
      <c r="PXJ36" s="143"/>
      <c r="PXK36" s="143"/>
      <c r="PXL36" s="143"/>
      <c r="PXM36" s="143"/>
      <c r="PXN36" s="143"/>
      <c r="PXO36" s="143"/>
      <c r="PXP36" s="143"/>
      <c r="PXQ36" s="143"/>
      <c r="PXR36" s="143"/>
      <c r="PXS36" s="143"/>
      <c r="PXT36" s="143"/>
      <c r="PXU36" s="143"/>
      <c r="PXV36" s="143"/>
      <c r="PXW36" s="143"/>
      <c r="PXX36" s="143"/>
      <c r="PXY36" s="143"/>
      <c r="PXZ36" s="143"/>
      <c r="PYA36" s="143"/>
      <c r="PYB36" s="143"/>
      <c r="PYC36" s="143"/>
      <c r="PYD36" s="143"/>
      <c r="PYE36" s="143"/>
      <c r="PYF36" s="143"/>
      <c r="PYG36" s="143"/>
      <c r="PYH36" s="143"/>
      <c r="PYI36" s="143"/>
      <c r="PYJ36" s="143"/>
      <c r="PYK36" s="143"/>
      <c r="PYL36" s="143"/>
      <c r="PYM36" s="143"/>
      <c r="PYN36" s="143"/>
      <c r="PYO36" s="143"/>
      <c r="PYP36" s="143"/>
      <c r="PYQ36" s="143"/>
      <c r="PYR36" s="143"/>
      <c r="PYS36" s="143"/>
      <c r="PYT36" s="143"/>
      <c r="PYU36" s="143"/>
      <c r="PYV36" s="143"/>
      <c r="PYW36" s="143"/>
      <c r="PYX36" s="143"/>
      <c r="PYY36" s="143"/>
      <c r="PYZ36" s="143"/>
      <c r="PZA36" s="143"/>
      <c r="PZB36" s="143"/>
      <c r="PZC36" s="143"/>
      <c r="PZD36" s="143"/>
      <c r="PZE36" s="143"/>
      <c r="PZF36" s="143"/>
      <c r="PZG36" s="143"/>
      <c r="PZH36" s="143"/>
      <c r="PZI36" s="143"/>
      <c r="PZJ36" s="143"/>
      <c r="PZK36" s="143"/>
      <c r="PZL36" s="143"/>
      <c r="PZM36" s="143"/>
      <c r="PZN36" s="143"/>
      <c r="PZO36" s="143"/>
      <c r="PZP36" s="143"/>
      <c r="PZQ36" s="143"/>
      <c r="PZR36" s="143"/>
      <c r="PZS36" s="143"/>
      <c r="PZT36" s="143"/>
      <c r="PZU36" s="143"/>
      <c r="PZV36" s="143"/>
      <c r="PZW36" s="143"/>
      <c r="PZX36" s="143"/>
      <c r="PZY36" s="143"/>
      <c r="PZZ36" s="143"/>
      <c r="QAA36" s="143"/>
      <c r="QAB36" s="143"/>
      <c r="QAC36" s="143"/>
      <c r="QAD36" s="143"/>
      <c r="QAE36" s="143"/>
      <c r="QAF36" s="143"/>
      <c r="QAG36" s="143"/>
      <c r="QAH36" s="143"/>
      <c r="QAI36" s="143"/>
      <c r="QAJ36" s="143"/>
      <c r="QAK36" s="143"/>
      <c r="QAL36" s="143"/>
      <c r="QAM36" s="143"/>
      <c r="QAN36" s="143"/>
      <c r="QAO36" s="143"/>
      <c r="QAP36" s="143"/>
      <c r="QAQ36" s="143"/>
      <c r="QAR36" s="143"/>
      <c r="QAS36" s="143"/>
      <c r="QAT36" s="143"/>
      <c r="QAU36" s="143"/>
      <c r="QAV36" s="143"/>
      <c r="QAW36" s="143"/>
      <c r="QAX36" s="143"/>
      <c r="QAY36" s="143"/>
      <c r="QAZ36" s="143"/>
      <c r="QBA36" s="143"/>
      <c r="QBB36" s="143"/>
      <c r="QBC36" s="143"/>
      <c r="QBD36" s="143"/>
      <c r="QBE36" s="143"/>
      <c r="QBF36" s="143"/>
      <c r="QBG36" s="143"/>
      <c r="QBH36" s="143"/>
      <c r="QBI36" s="143"/>
      <c r="QBJ36" s="143"/>
      <c r="QBK36" s="143"/>
      <c r="QBL36" s="143"/>
      <c r="QBM36" s="143"/>
      <c r="QBN36" s="143"/>
      <c r="QBO36" s="143"/>
      <c r="QBP36" s="143"/>
      <c r="QBQ36" s="143"/>
      <c r="QBR36" s="143"/>
      <c r="QBS36" s="143"/>
      <c r="QBT36" s="143"/>
      <c r="QBU36" s="143"/>
      <c r="QBV36" s="143"/>
      <c r="QBW36" s="143"/>
      <c r="QBX36" s="143"/>
      <c r="QBY36" s="143"/>
      <c r="QBZ36" s="143"/>
      <c r="QCA36" s="143"/>
      <c r="QCB36" s="143"/>
      <c r="QCC36" s="143"/>
      <c r="QCD36" s="143"/>
      <c r="QCE36" s="143"/>
      <c r="QCF36" s="143"/>
      <c r="QCG36" s="143"/>
      <c r="QCH36" s="143"/>
      <c r="QCI36" s="143"/>
      <c r="QCJ36" s="143"/>
      <c r="QCK36" s="143"/>
      <c r="QCL36" s="143"/>
      <c r="QCM36" s="143"/>
      <c r="QCN36" s="143"/>
      <c r="QCO36" s="143"/>
      <c r="QCP36" s="143"/>
      <c r="QCQ36" s="143"/>
      <c r="QCR36" s="143"/>
      <c r="QCS36" s="143"/>
      <c r="QCT36" s="143"/>
      <c r="QCU36" s="143"/>
      <c r="QCV36" s="143"/>
      <c r="QCW36" s="143"/>
      <c r="QCX36" s="143"/>
      <c r="QCY36" s="143"/>
      <c r="QCZ36" s="143"/>
      <c r="QDA36" s="143"/>
      <c r="QDB36" s="143"/>
      <c r="QDC36" s="143"/>
      <c r="QDD36" s="143"/>
      <c r="QDE36" s="143"/>
      <c r="QDF36" s="143"/>
      <c r="QDG36" s="143"/>
      <c r="QDH36" s="143"/>
      <c r="QDI36" s="143"/>
      <c r="QDJ36" s="143"/>
      <c r="QDK36" s="143"/>
      <c r="QDL36" s="143"/>
      <c r="QDM36" s="143"/>
      <c r="QDN36" s="143"/>
      <c r="QDO36" s="143"/>
      <c r="QDP36" s="143"/>
      <c r="QDQ36" s="143"/>
      <c r="QDR36" s="143"/>
      <c r="QDS36" s="143"/>
      <c r="QDT36" s="143"/>
      <c r="QDU36" s="143"/>
      <c r="QDV36" s="143"/>
      <c r="QDW36" s="143"/>
      <c r="QDX36" s="143"/>
      <c r="QDY36" s="143"/>
      <c r="QDZ36" s="143"/>
      <c r="QEA36" s="143"/>
      <c r="QEB36" s="143"/>
      <c r="QEC36" s="143"/>
      <c r="QED36" s="143"/>
      <c r="QEE36" s="143"/>
      <c r="QEF36" s="143"/>
      <c r="QEG36" s="143"/>
      <c r="QEH36" s="143"/>
      <c r="QEI36" s="143"/>
      <c r="QEJ36" s="143"/>
      <c r="QEK36" s="143"/>
      <c r="QEL36" s="143"/>
      <c r="QEM36" s="143"/>
      <c r="QEN36" s="143"/>
      <c r="QEO36" s="143"/>
      <c r="QEP36" s="143"/>
      <c r="QEQ36" s="143"/>
      <c r="QER36" s="143"/>
      <c r="QES36" s="143"/>
      <c r="QET36" s="143"/>
      <c r="QEU36" s="143"/>
      <c r="QEV36" s="143"/>
      <c r="QEW36" s="143"/>
      <c r="QEX36" s="143"/>
      <c r="QEY36" s="143"/>
      <c r="QEZ36" s="143"/>
      <c r="QFA36" s="143"/>
      <c r="QFB36" s="143"/>
      <c r="QFC36" s="143"/>
      <c r="QFD36" s="143"/>
      <c r="QFE36" s="143"/>
      <c r="QFF36" s="143"/>
      <c r="QFG36" s="143"/>
      <c r="QFH36" s="143"/>
      <c r="QFI36" s="143"/>
      <c r="QFJ36" s="143"/>
      <c r="QFK36" s="143"/>
      <c r="QFL36" s="143"/>
      <c r="QFM36" s="143"/>
      <c r="QFN36" s="143"/>
      <c r="QFO36" s="143"/>
      <c r="QFP36" s="143"/>
      <c r="QFQ36" s="143"/>
      <c r="QFR36" s="143"/>
      <c r="QFS36" s="143"/>
      <c r="QFT36" s="143"/>
      <c r="QFU36" s="143"/>
      <c r="QFV36" s="143"/>
      <c r="QFW36" s="143"/>
      <c r="QFX36" s="143"/>
      <c r="QFY36" s="143"/>
      <c r="QFZ36" s="143"/>
      <c r="QGA36" s="143"/>
      <c r="QGB36" s="143"/>
      <c r="QGC36" s="143"/>
      <c r="QGD36" s="143"/>
      <c r="QGE36" s="143"/>
      <c r="QGF36" s="143"/>
      <c r="QGG36" s="143"/>
      <c r="QGH36" s="143"/>
      <c r="QGI36" s="143"/>
      <c r="QGJ36" s="143"/>
      <c r="QGK36" s="143"/>
      <c r="QGL36" s="143"/>
      <c r="QGM36" s="143"/>
      <c r="QGN36" s="143"/>
      <c r="QGO36" s="143"/>
      <c r="QGP36" s="143"/>
      <c r="QGQ36" s="143"/>
      <c r="QGR36" s="143"/>
      <c r="QGS36" s="143"/>
      <c r="QGT36" s="143"/>
      <c r="QGU36" s="143"/>
      <c r="QGV36" s="143"/>
      <c r="QGW36" s="143"/>
      <c r="QGX36" s="143"/>
      <c r="QGY36" s="143"/>
      <c r="QGZ36" s="143"/>
      <c r="QHA36" s="143"/>
      <c r="QHB36" s="143"/>
      <c r="QHC36" s="143"/>
      <c r="QHD36" s="143"/>
      <c r="QHE36" s="143"/>
      <c r="QHF36" s="143"/>
      <c r="QHG36" s="143"/>
      <c r="QHH36" s="143"/>
      <c r="QHI36" s="143"/>
      <c r="QHJ36" s="143"/>
      <c r="QHK36" s="143"/>
      <c r="QHL36" s="143"/>
      <c r="QHM36" s="143"/>
      <c r="QHN36" s="143"/>
      <c r="QHO36" s="143"/>
      <c r="QHP36" s="143"/>
      <c r="QHQ36" s="143"/>
      <c r="QHR36" s="143"/>
      <c r="QHS36" s="143"/>
      <c r="QHT36" s="143"/>
      <c r="QHU36" s="143"/>
      <c r="QHV36" s="143"/>
      <c r="QHW36" s="143"/>
      <c r="QHX36" s="143"/>
      <c r="QHY36" s="143"/>
      <c r="QHZ36" s="143"/>
      <c r="QIA36" s="143"/>
      <c r="QIB36" s="143"/>
      <c r="QIC36" s="143"/>
      <c r="QID36" s="143"/>
      <c r="QIE36" s="143"/>
      <c r="QIF36" s="143"/>
      <c r="QIG36" s="143"/>
      <c r="QIH36" s="143"/>
      <c r="QII36" s="143"/>
      <c r="QIJ36" s="143"/>
      <c r="QIK36" s="143"/>
      <c r="QIL36" s="143"/>
      <c r="QIM36" s="143"/>
      <c r="QIN36" s="143"/>
      <c r="QIO36" s="143"/>
      <c r="QIP36" s="143"/>
      <c r="QIQ36" s="143"/>
      <c r="QIR36" s="143"/>
      <c r="QIS36" s="143"/>
      <c r="QIT36" s="143"/>
      <c r="QIU36" s="143"/>
      <c r="QIV36" s="143"/>
      <c r="QIW36" s="143"/>
      <c r="QIX36" s="143"/>
      <c r="QIY36" s="143"/>
      <c r="QIZ36" s="143"/>
      <c r="QJA36" s="143"/>
      <c r="QJB36" s="143"/>
      <c r="QJC36" s="143"/>
      <c r="QJD36" s="143"/>
      <c r="QJE36" s="143"/>
      <c r="QJF36" s="143"/>
      <c r="QJG36" s="143"/>
      <c r="QJH36" s="143"/>
      <c r="QJI36" s="143"/>
      <c r="QJJ36" s="143"/>
      <c r="QJK36" s="143"/>
      <c r="QJL36" s="143"/>
      <c r="QJM36" s="143"/>
      <c r="QJN36" s="143"/>
      <c r="QJO36" s="143"/>
      <c r="QJP36" s="143"/>
      <c r="QJQ36" s="143"/>
      <c r="QJR36" s="143"/>
      <c r="QJS36" s="143"/>
      <c r="QJT36" s="143"/>
      <c r="QJU36" s="143"/>
      <c r="QJV36" s="143"/>
      <c r="QJW36" s="143"/>
      <c r="QJX36" s="143"/>
      <c r="QJY36" s="143"/>
      <c r="QJZ36" s="143"/>
      <c r="QKA36" s="143"/>
      <c r="QKB36" s="143"/>
      <c r="QKC36" s="143"/>
      <c r="QKD36" s="143"/>
      <c r="QKE36" s="143"/>
      <c r="QKF36" s="143"/>
      <c r="QKG36" s="143"/>
      <c r="QKH36" s="143"/>
      <c r="QKI36" s="143"/>
      <c r="QKJ36" s="143"/>
      <c r="QKK36" s="143"/>
      <c r="QKL36" s="143"/>
      <c r="QKM36" s="143"/>
      <c r="QKN36" s="143"/>
      <c r="QKO36" s="143"/>
      <c r="QKP36" s="143"/>
      <c r="QKQ36" s="143"/>
      <c r="QKR36" s="143"/>
      <c r="QKS36" s="143"/>
      <c r="QKT36" s="143"/>
      <c r="QKU36" s="143"/>
      <c r="QKV36" s="143"/>
      <c r="QKW36" s="143"/>
      <c r="QKX36" s="143"/>
      <c r="QKY36" s="143"/>
      <c r="QKZ36" s="143"/>
      <c r="QLA36" s="143"/>
      <c r="QLB36" s="143"/>
      <c r="QLC36" s="143"/>
      <c r="QLD36" s="143"/>
      <c r="QLE36" s="143"/>
      <c r="QLF36" s="143"/>
      <c r="QLG36" s="143"/>
      <c r="QLH36" s="143"/>
      <c r="QLI36" s="143"/>
      <c r="QLJ36" s="143"/>
      <c r="QLK36" s="143"/>
      <c r="QLL36" s="143"/>
      <c r="QLM36" s="143"/>
      <c r="QLN36" s="143"/>
      <c r="QLO36" s="143"/>
      <c r="QLP36" s="143"/>
      <c r="QLQ36" s="143"/>
      <c r="QLR36" s="143"/>
      <c r="QLS36" s="143"/>
      <c r="QLT36" s="143"/>
      <c r="QLU36" s="143"/>
      <c r="QLV36" s="143"/>
      <c r="QLW36" s="143"/>
      <c r="QLX36" s="143"/>
      <c r="QLY36" s="143"/>
      <c r="QLZ36" s="143"/>
      <c r="QMA36" s="143"/>
      <c r="QMB36" s="143"/>
      <c r="QMC36" s="143"/>
      <c r="QMD36" s="143"/>
      <c r="QME36" s="143"/>
      <c r="QMF36" s="143"/>
      <c r="QMG36" s="143"/>
      <c r="QMH36" s="143"/>
      <c r="QMI36" s="143"/>
      <c r="QMJ36" s="143"/>
      <c r="QMK36" s="143"/>
      <c r="QML36" s="143"/>
      <c r="QMM36" s="143"/>
      <c r="QMN36" s="143"/>
      <c r="QMO36" s="143"/>
      <c r="QMP36" s="143"/>
      <c r="QMQ36" s="143"/>
      <c r="QMR36" s="143"/>
      <c r="QMS36" s="143"/>
      <c r="QMT36" s="143"/>
      <c r="QMU36" s="143"/>
      <c r="QMV36" s="143"/>
      <c r="QMW36" s="143"/>
      <c r="QMX36" s="143"/>
      <c r="QMY36" s="143"/>
      <c r="QMZ36" s="143"/>
      <c r="QNA36" s="143"/>
      <c r="QNB36" s="143"/>
      <c r="QNC36" s="143"/>
      <c r="QND36" s="143"/>
      <c r="QNE36" s="143"/>
      <c r="QNF36" s="143"/>
      <c r="QNG36" s="143"/>
      <c r="QNH36" s="143"/>
      <c r="QNI36" s="143"/>
      <c r="QNJ36" s="143"/>
      <c r="QNK36" s="143"/>
      <c r="QNL36" s="143"/>
      <c r="QNM36" s="143"/>
      <c r="QNN36" s="143"/>
      <c r="QNO36" s="143"/>
      <c r="QNP36" s="143"/>
      <c r="QNQ36" s="143"/>
      <c r="QNR36" s="143"/>
      <c r="QNS36" s="143"/>
      <c r="QNT36" s="143"/>
      <c r="QNU36" s="143"/>
      <c r="QNV36" s="143"/>
      <c r="QNW36" s="143"/>
      <c r="QNX36" s="143"/>
      <c r="QNY36" s="143"/>
      <c r="QNZ36" s="143"/>
      <c r="QOA36" s="143"/>
      <c r="QOB36" s="143"/>
      <c r="QOC36" s="143"/>
      <c r="QOD36" s="143"/>
      <c r="QOE36" s="143"/>
      <c r="QOF36" s="143"/>
      <c r="QOG36" s="143"/>
      <c r="QOH36" s="143"/>
      <c r="QOI36" s="143"/>
      <c r="QOJ36" s="143"/>
      <c r="QOK36" s="143"/>
      <c r="QOL36" s="143"/>
      <c r="QOM36" s="143"/>
      <c r="QON36" s="143"/>
      <c r="QOO36" s="143"/>
      <c r="QOP36" s="143"/>
      <c r="QOQ36" s="143"/>
      <c r="QOR36" s="143"/>
      <c r="QOS36" s="143"/>
      <c r="QOT36" s="143"/>
      <c r="QOU36" s="143"/>
      <c r="QOV36" s="143"/>
      <c r="QOW36" s="143"/>
      <c r="QOX36" s="143"/>
      <c r="QOY36" s="143"/>
      <c r="QOZ36" s="143"/>
      <c r="QPA36" s="143"/>
      <c r="QPB36" s="143"/>
      <c r="QPC36" s="143"/>
      <c r="QPD36" s="143"/>
      <c r="QPE36" s="143"/>
      <c r="QPF36" s="143"/>
      <c r="QPG36" s="143"/>
      <c r="QPH36" s="143"/>
      <c r="QPI36" s="143"/>
      <c r="QPJ36" s="143"/>
      <c r="QPK36" s="143"/>
      <c r="QPL36" s="143"/>
      <c r="QPM36" s="143"/>
      <c r="QPN36" s="143"/>
      <c r="QPO36" s="143"/>
      <c r="QPP36" s="143"/>
      <c r="QPQ36" s="143"/>
      <c r="QPR36" s="143"/>
      <c r="QPS36" s="143"/>
      <c r="QPT36" s="143"/>
      <c r="QPU36" s="143"/>
      <c r="QPV36" s="143"/>
      <c r="QPW36" s="143"/>
      <c r="QPX36" s="143"/>
      <c r="QPY36" s="143"/>
      <c r="QPZ36" s="143"/>
      <c r="QQA36" s="143"/>
      <c r="QQB36" s="143"/>
      <c r="QQC36" s="143"/>
      <c r="QQD36" s="143"/>
      <c r="QQE36" s="143"/>
      <c r="QQF36" s="143"/>
      <c r="QQG36" s="143"/>
      <c r="QQH36" s="143"/>
      <c r="QQI36" s="143"/>
      <c r="QQJ36" s="143"/>
      <c r="QQK36" s="143"/>
      <c r="QQL36" s="143"/>
      <c r="QQM36" s="143"/>
      <c r="QQN36" s="143"/>
      <c r="QQO36" s="143"/>
      <c r="QQP36" s="143"/>
      <c r="QQQ36" s="143"/>
      <c r="QQR36" s="143"/>
      <c r="QQS36" s="143"/>
      <c r="QQT36" s="143"/>
      <c r="QQU36" s="143"/>
      <c r="QQV36" s="143"/>
      <c r="QQW36" s="143"/>
      <c r="QQX36" s="143"/>
      <c r="QQY36" s="143"/>
      <c r="QQZ36" s="143"/>
      <c r="QRA36" s="143"/>
      <c r="QRB36" s="143"/>
      <c r="QRC36" s="143"/>
      <c r="QRD36" s="143"/>
      <c r="QRE36" s="143"/>
      <c r="QRF36" s="143"/>
      <c r="QRG36" s="143"/>
      <c r="QRH36" s="143"/>
      <c r="QRI36" s="143"/>
      <c r="QRJ36" s="143"/>
      <c r="QRK36" s="143"/>
      <c r="QRL36" s="143"/>
      <c r="QRM36" s="143"/>
      <c r="QRN36" s="143"/>
      <c r="QRO36" s="143"/>
      <c r="QRP36" s="143"/>
      <c r="QRQ36" s="143"/>
      <c r="QRR36" s="143"/>
      <c r="QRS36" s="143"/>
      <c r="QRT36" s="143"/>
      <c r="QRU36" s="143"/>
      <c r="QRV36" s="143"/>
      <c r="QRW36" s="143"/>
      <c r="QRX36" s="143"/>
      <c r="QRY36" s="143"/>
      <c r="QRZ36" s="143"/>
      <c r="QSA36" s="143"/>
      <c r="QSB36" s="143"/>
      <c r="QSC36" s="143"/>
      <c r="QSD36" s="143"/>
      <c r="QSE36" s="143"/>
      <c r="QSF36" s="143"/>
      <c r="QSG36" s="143"/>
      <c r="QSH36" s="143"/>
      <c r="QSI36" s="143"/>
      <c r="QSJ36" s="143"/>
      <c r="QSK36" s="143"/>
      <c r="QSL36" s="143"/>
      <c r="QSM36" s="143"/>
      <c r="QSN36" s="143"/>
      <c r="QSO36" s="143"/>
      <c r="QSP36" s="143"/>
      <c r="QSQ36" s="143"/>
      <c r="QSR36" s="143"/>
      <c r="QSS36" s="143"/>
      <c r="QST36" s="143"/>
      <c r="QSU36" s="143"/>
      <c r="QSV36" s="143"/>
      <c r="QSW36" s="143"/>
      <c r="QSX36" s="143"/>
      <c r="QSY36" s="143"/>
      <c r="QSZ36" s="143"/>
      <c r="QTA36" s="143"/>
      <c r="QTB36" s="143"/>
      <c r="QTC36" s="143"/>
      <c r="QTD36" s="143"/>
      <c r="QTE36" s="143"/>
      <c r="QTF36" s="143"/>
      <c r="QTG36" s="143"/>
      <c r="QTH36" s="143"/>
      <c r="QTI36" s="143"/>
      <c r="QTJ36" s="143"/>
      <c r="QTK36" s="143"/>
      <c r="QTL36" s="143"/>
      <c r="QTM36" s="143"/>
      <c r="QTN36" s="143"/>
      <c r="QTO36" s="143"/>
      <c r="QTP36" s="143"/>
      <c r="QTQ36" s="143"/>
      <c r="QTR36" s="143"/>
      <c r="QTS36" s="143"/>
      <c r="QTT36" s="143"/>
      <c r="QTU36" s="143"/>
      <c r="QTV36" s="143"/>
      <c r="QTW36" s="143"/>
      <c r="QTX36" s="143"/>
      <c r="QTY36" s="143"/>
      <c r="QTZ36" s="143"/>
      <c r="QUA36" s="143"/>
      <c r="QUB36" s="143"/>
      <c r="QUC36" s="143"/>
      <c r="QUD36" s="143"/>
      <c r="QUE36" s="143"/>
      <c r="QUF36" s="143"/>
      <c r="QUG36" s="143"/>
      <c r="QUH36" s="143"/>
      <c r="QUI36" s="143"/>
      <c r="QUJ36" s="143"/>
      <c r="QUK36" s="143"/>
      <c r="QUL36" s="143"/>
      <c r="QUM36" s="143"/>
      <c r="QUN36" s="143"/>
      <c r="QUO36" s="143"/>
      <c r="QUP36" s="143"/>
      <c r="QUQ36" s="143"/>
      <c r="QUR36" s="143"/>
      <c r="QUS36" s="143"/>
      <c r="QUT36" s="143"/>
      <c r="QUU36" s="143"/>
      <c r="QUV36" s="143"/>
      <c r="QUW36" s="143"/>
      <c r="QUX36" s="143"/>
      <c r="QUY36" s="143"/>
      <c r="QUZ36" s="143"/>
      <c r="QVA36" s="143"/>
      <c r="QVB36" s="143"/>
      <c r="QVC36" s="143"/>
      <c r="QVD36" s="143"/>
      <c r="QVE36" s="143"/>
      <c r="QVF36" s="143"/>
      <c r="QVG36" s="143"/>
      <c r="QVH36" s="143"/>
      <c r="QVI36" s="143"/>
      <c r="QVJ36" s="143"/>
      <c r="QVK36" s="143"/>
      <c r="QVL36" s="143"/>
      <c r="QVM36" s="143"/>
      <c r="QVN36" s="143"/>
      <c r="QVO36" s="143"/>
      <c r="QVP36" s="143"/>
      <c r="QVQ36" s="143"/>
      <c r="QVR36" s="143"/>
      <c r="QVS36" s="143"/>
      <c r="QVT36" s="143"/>
      <c r="QVU36" s="143"/>
      <c r="QVV36" s="143"/>
      <c r="QVW36" s="143"/>
      <c r="QVX36" s="143"/>
      <c r="QVY36" s="143"/>
      <c r="QVZ36" s="143"/>
      <c r="QWA36" s="143"/>
      <c r="QWB36" s="143"/>
      <c r="QWC36" s="143"/>
      <c r="QWD36" s="143"/>
      <c r="QWE36" s="143"/>
      <c r="QWF36" s="143"/>
      <c r="QWG36" s="143"/>
      <c r="QWH36" s="143"/>
      <c r="QWI36" s="143"/>
      <c r="QWJ36" s="143"/>
      <c r="QWK36" s="143"/>
      <c r="QWL36" s="143"/>
      <c r="QWM36" s="143"/>
      <c r="QWN36" s="143"/>
      <c r="QWO36" s="143"/>
      <c r="QWP36" s="143"/>
      <c r="QWQ36" s="143"/>
      <c r="QWR36" s="143"/>
      <c r="QWS36" s="143"/>
      <c r="QWT36" s="143"/>
      <c r="QWU36" s="143"/>
      <c r="QWV36" s="143"/>
      <c r="QWW36" s="143"/>
      <c r="QWX36" s="143"/>
      <c r="QWY36" s="143"/>
      <c r="QWZ36" s="143"/>
      <c r="QXA36" s="143"/>
      <c r="QXB36" s="143"/>
      <c r="QXC36" s="143"/>
      <c r="QXD36" s="143"/>
      <c r="QXE36" s="143"/>
      <c r="QXF36" s="143"/>
      <c r="QXG36" s="143"/>
      <c r="QXH36" s="143"/>
      <c r="QXI36" s="143"/>
      <c r="QXJ36" s="143"/>
      <c r="QXK36" s="143"/>
      <c r="QXL36" s="143"/>
      <c r="QXM36" s="143"/>
      <c r="QXN36" s="143"/>
      <c r="QXO36" s="143"/>
      <c r="QXP36" s="143"/>
      <c r="QXQ36" s="143"/>
      <c r="QXR36" s="143"/>
      <c r="QXS36" s="143"/>
      <c r="QXT36" s="143"/>
      <c r="QXU36" s="143"/>
      <c r="QXV36" s="143"/>
      <c r="QXW36" s="143"/>
      <c r="QXX36" s="143"/>
      <c r="QXY36" s="143"/>
      <c r="QXZ36" s="143"/>
      <c r="QYA36" s="143"/>
      <c r="QYB36" s="143"/>
      <c r="QYC36" s="143"/>
      <c r="QYD36" s="143"/>
      <c r="QYE36" s="143"/>
      <c r="QYF36" s="143"/>
      <c r="QYG36" s="143"/>
      <c r="QYH36" s="143"/>
      <c r="QYI36" s="143"/>
      <c r="QYJ36" s="143"/>
      <c r="QYK36" s="143"/>
      <c r="QYL36" s="143"/>
      <c r="QYM36" s="143"/>
      <c r="QYN36" s="143"/>
      <c r="QYO36" s="143"/>
      <c r="QYP36" s="143"/>
      <c r="QYQ36" s="143"/>
      <c r="QYR36" s="143"/>
      <c r="QYS36" s="143"/>
      <c r="QYT36" s="143"/>
      <c r="QYU36" s="143"/>
      <c r="QYV36" s="143"/>
      <c r="QYW36" s="143"/>
      <c r="QYX36" s="143"/>
      <c r="QYY36" s="143"/>
      <c r="QYZ36" s="143"/>
      <c r="QZA36" s="143"/>
      <c r="QZB36" s="143"/>
      <c r="QZC36" s="143"/>
      <c r="QZD36" s="143"/>
      <c r="QZE36" s="143"/>
      <c r="QZF36" s="143"/>
      <c r="QZG36" s="143"/>
      <c r="QZH36" s="143"/>
      <c r="QZI36" s="143"/>
      <c r="QZJ36" s="143"/>
      <c r="QZK36" s="143"/>
      <c r="QZL36" s="143"/>
      <c r="QZM36" s="143"/>
      <c r="QZN36" s="143"/>
      <c r="QZO36" s="143"/>
      <c r="QZP36" s="143"/>
      <c r="QZQ36" s="143"/>
      <c r="QZR36" s="143"/>
      <c r="QZS36" s="143"/>
      <c r="QZT36" s="143"/>
      <c r="QZU36" s="143"/>
      <c r="QZV36" s="143"/>
      <c r="QZW36" s="143"/>
      <c r="QZX36" s="143"/>
      <c r="QZY36" s="143"/>
      <c r="QZZ36" s="143"/>
      <c r="RAA36" s="143"/>
      <c r="RAB36" s="143"/>
      <c r="RAC36" s="143"/>
      <c r="RAD36" s="143"/>
      <c r="RAE36" s="143"/>
      <c r="RAF36" s="143"/>
      <c r="RAG36" s="143"/>
      <c r="RAH36" s="143"/>
      <c r="RAI36" s="143"/>
      <c r="RAJ36" s="143"/>
      <c r="RAK36" s="143"/>
      <c r="RAL36" s="143"/>
      <c r="RAM36" s="143"/>
      <c r="RAN36" s="143"/>
      <c r="RAO36" s="143"/>
      <c r="RAP36" s="143"/>
      <c r="RAQ36" s="143"/>
      <c r="RAR36" s="143"/>
      <c r="RAS36" s="143"/>
      <c r="RAT36" s="143"/>
      <c r="RAU36" s="143"/>
      <c r="RAV36" s="143"/>
      <c r="RAW36" s="143"/>
      <c r="RAX36" s="143"/>
      <c r="RAY36" s="143"/>
      <c r="RAZ36" s="143"/>
      <c r="RBA36" s="143"/>
      <c r="RBB36" s="143"/>
      <c r="RBC36" s="143"/>
      <c r="RBD36" s="143"/>
      <c r="RBE36" s="143"/>
      <c r="RBF36" s="143"/>
      <c r="RBG36" s="143"/>
      <c r="RBH36" s="143"/>
      <c r="RBI36" s="143"/>
      <c r="RBJ36" s="143"/>
      <c r="RBK36" s="143"/>
      <c r="RBL36" s="143"/>
      <c r="RBM36" s="143"/>
      <c r="RBN36" s="143"/>
      <c r="RBO36" s="143"/>
      <c r="RBP36" s="143"/>
      <c r="RBQ36" s="143"/>
      <c r="RBR36" s="143"/>
      <c r="RBS36" s="143"/>
      <c r="RBT36" s="143"/>
      <c r="RBU36" s="143"/>
      <c r="RBV36" s="143"/>
      <c r="RBW36" s="143"/>
      <c r="RBX36" s="143"/>
      <c r="RBY36" s="143"/>
      <c r="RBZ36" s="143"/>
      <c r="RCA36" s="143"/>
      <c r="RCB36" s="143"/>
      <c r="RCC36" s="143"/>
      <c r="RCD36" s="143"/>
      <c r="RCE36" s="143"/>
      <c r="RCF36" s="143"/>
      <c r="RCG36" s="143"/>
      <c r="RCH36" s="143"/>
      <c r="RCI36" s="143"/>
      <c r="RCJ36" s="143"/>
      <c r="RCK36" s="143"/>
      <c r="RCL36" s="143"/>
      <c r="RCM36" s="143"/>
      <c r="RCN36" s="143"/>
      <c r="RCO36" s="143"/>
      <c r="RCP36" s="143"/>
      <c r="RCQ36" s="143"/>
      <c r="RCR36" s="143"/>
      <c r="RCS36" s="143"/>
      <c r="RCT36" s="143"/>
      <c r="RCU36" s="143"/>
      <c r="RCV36" s="143"/>
      <c r="RCW36" s="143"/>
      <c r="RCX36" s="143"/>
      <c r="RCY36" s="143"/>
      <c r="RCZ36" s="143"/>
      <c r="RDA36" s="143"/>
      <c r="RDB36" s="143"/>
      <c r="RDC36" s="143"/>
      <c r="RDD36" s="143"/>
      <c r="RDE36" s="143"/>
      <c r="RDF36" s="143"/>
      <c r="RDG36" s="143"/>
      <c r="RDH36" s="143"/>
      <c r="RDI36" s="143"/>
      <c r="RDJ36" s="143"/>
      <c r="RDK36" s="143"/>
      <c r="RDL36" s="143"/>
      <c r="RDM36" s="143"/>
      <c r="RDN36" s="143"/>
      <c r="RDO36" s="143"/>
      <c r="RDP36" s="143"/>
      <c r="RDQ36" s="143"/>
      <c r="RDR36" s="143"/>
      <c r="RDS36" s="143"/>
      <c r="RDT36" s="143"/>
      <c r="RDU36" s="143"/>
      <c r="RDV36" s="143"/>
      <c r="RDW36" s="143"/>
      <c r="RDX36" s="143"/>
      <c r="RDY36" s="143"/>
      <c r="RDZ36" s="143"/>
      <c r="REA36" s="143"/>
      <c r="REB36" s="143"/>
      <c r="REC36" s="143"/>
      <c r="RED36" s="143"/>
      <c r="REE36" s="143"/>
      <c r="REF36" s="143"/>
      <c r="REG36" s="143"/>
      <c r="REH36" s="143"/>
      <c r="REI36" s="143"/>
      <c r="REJ36" s="143"/>
      <c r="REK36" s="143"/>
      <c r="REL36" s="143"/>
      <c r="REM36" s="143"/>
      <c r="REN36" s="143"/>
      <c r="REO36" s="143"/>
      <c r="REP36" s="143"/>
      <c r="REQ36" s="143"/>
      <c r="RER36" s="143"/>
      <c r="RES36" s="143"/>
      <c r="RET36" s="143"/>
      <c r="REU36" s="143"/>
      <c r="REV36" s="143"/>
      <c r="REW36" s="143"/>
      <c r="REX36" s="143"/>
      <c r="REY36" s="143"/>
      <c r="REZ36" s="143"/>
      <c r="RFA36" s="143"/>
      <c r="RFB36" s="143"/>
      <c r="RFC36" s="143"/>
      <c r="RFD36" s="143"/>
      <c r="RFE36" s="143"/>
      <c r="RFF36" s="143"/>
      <c r="RFG36" s="143"/>
      <c r="RFH36" s="143"/>
      <c r="RFI36" s="143"/>
      <c r="RFJ36" s="143"/>
      <c r="RFK36" s="143"/>
      <c r="RFL36" s="143"/>
      <c r="RFM36" s="143"/>
      <c r="RFN36" s="143"/>
      <c r="RFO36" s="143"/>
      <c r="RFP36" s="143"/>
      <c r="RFQ36" s="143"/>
      <c r="RFR36" s="143"/>
      <c r="RFS36" s="143"/>
      <c r="RFT36" s="143"/>
      <c r="RFU36" s="143"/>
      <c r="RFV36" s="143"/>
      <c r="RFW36" s="143"/>
      <c r="RFX36" s="143"/>
      <c r="RFY36" s="143"/>
      <c r="RFZ36" s="143"/>
      <c r="RGA36" s="143"/>
      <c r="RGB36" s="143"/>
      <c r="RGC36" s="143"/>
      <c r="RGD36" s="143"/>
      <c r="RGE36" s="143"/>
      <c r="RGF36" s="143"/>
      <c r="RGG36" s="143"/>
      <c r="RGH36" s="143"/>
      <c r="RGI36" s="143"/>
      <c r="RGJ36" s="143"/>
      <c r="RGK36" s="143"/>
      <c r="RGL36" s="143"/>
      <c r="RGM36" s="143"/>
      <c r="RGN36" s="143"/>
      <c r="RGO36" s="143"/>
      <c r="RGP36" s="143"/>
      <c r="RGQ36" s="143"/>
      <c r="RGR36" s="143"/>
      <c r="RGS36" s="143"/>
      <c r="RGT36" s="143"/>
      <c r="RGU36" s="143"/>
      <c r="RGV36" s="143"/>
      <c r="RGW36" s="143"/>
      <c r="RGX36" s="143"/>
      <c r="RGY36" s="143"/>
      <c r="RGZ36" s="143"/>
      <c r="RHA36" s="143"/>
      <c r="RHB36" s="143"/>
      <c r="RHC36" s="143"/>
      <c r="RHD36" s="143"/>
      <c r="RHE36" s="143"/>
      <c r="RHF36" s="143"/>
      <c r="RHG36" s="143"/>
      <c r="RHH36" s="143"/>
      <c r="RHI36" s="143"/>
      <c r="RHJ36" s="143"/>
      <c r="RHK36" s="143"/>
      <c r="RHL36" s="143"/>
      <c r="RHM36" s="143"/>
      <c r="RHN36" s="143"/>
      <c r="RHO36" s="143"/>
      <c r="RHP36" s="143"/>
      <c r="RHQ36" s="143"/>
      <c r="RHR36" s="143"/>
      <c r="RHS36" s="143"/>
      <c r="RHT36" s="143"/>
      <c r="RHU36" s="143"/>
      <c r="RHV36" s="143"/>
      <c r="RHW36" s="143"/>
      <c r="RHX36" s="143"/>
      <c r="RHY36" s="143"/>
      <c r="RHZ36" s="143"/>
      <c r="RIA36" s="143"/>
      <c r="RIB36" s="143"/>
      <c r="RIC36" s="143"/>
      <c r="RID36" s="143"/>
      <c r="RIE36" s="143"/>
      <c r="RIF36" s="143"/>
      <c r="RIG36" s="143"/>
      <c r="RIH36" s="143"/>
      <c r="RII36" s="143"/>
      <c r="RIJ36" s="143"/>
      <c r="RIK36" s="143"/>
      <c r="RIL36" s="143"/>
      <c r="RIM36" s="143"/>
      <c r="RIN36" s="143"/>
      <c r="RIO36" s="143"/>
      <c r="RIP36" s="143"/>
      <c r="RIQ36" s="143"/>
      <c r="RIR36" s="143"/>
      <c r="RIS36" s="143"/>
      <c r="RIT36" s="143"/>
      <c r="RIU36" s="143"/>
      <c r="RIV36" s="143"/>
      <c r="RIW36" s="143"/>
      <c r="RIX36" s="143"/>
      <c r="RIY36" s="143"/>
      <c r="RIZ36" s="143"/>
      <c r="RJA36" s="143"/>
      <c r="RJB36" s="143"/>
      <c r="RJC36" s="143"/>
      <c r="RJD36" s="143"/>
      <c r="RJE36" s="143"/>
      <c r="RJF36" s="143"/>
      <c r="RJG36" s="143"/>
      <c r="RJH36" s="143"/>
      <c r="RJI36" s="143"/>
      <c r="RJJ36" s="143"/>
      <c r="RJK36" s="143"/>
      <c r="RJL36" s="143"/>
      <c r="RJM36" s="143"/>
      <c r="RJN36" s="143"/>
      <c r="RJO36" s="143"/>
      <c r="RJP36" s="143"/>
      <c r="RJQ36" s="143"/>
      <c r="RJR36" s="143"/>
      <c r="RJS36" s="143"/>
      <c r="RJT36" s="143"/>
      <c r="RJU36" s="143"/>
      <c r="RJV36" s="143"/>
      <c r="RJW36" s="143"/>
      <c r="RJX36" s="143"/>
      <c r="RJY36" s="143"/>
      <c r="RJZ36" s="143"/>
      <c r="RKA36" s="143"/>
      <c r="RKB36" s="143"/>
      <c r="RKC36" s="143"/>
      <c r="RKD36" s="143"/>
      <c r="RKE36" s="143"/>
      <c r="RKF36" s="143"/>
      <c r="RKG36" s="143"/>
      <c r="RKH36" s="143"/>
      <c r="RKI36" s="143"/>
      <c r="RKJ36" s="143"/>
      <c r="RKK36" s="143"/>
      <c r="RKL36" s="143"/>
      <c r="RKM36" s="143"/>
      <c r="RKN36" s="143"/>
      <c r="RKO36" s="143"/>
      <c r="RKP36" s="143"/>
      <c r="RKQ36" s="143"/>
      <c r="RKR36" s="143"/>
      <c r="RKS36" s="143"/>
      <c r="RKT36" s="143"/>
      <c r="RKU36" s="143"/>
      <c r="RKV36" s="143"/>
      <c r="RKW36" s="143"/>
      <c r="RKX36" s="143"/>
      <c r="RKY36" s="143"/>
      <c r="RKZ36" s="143"/>
      <c r="RLA36" s="143"/>
      <c r="RLB36" s="143"/>
      <c r="RLC36" s="143"/>
      <c r="RLD36" s="143"/>
      <c r="RLE36" s="143"/>
      <c r="RLF36" s="143"/>
      <c r="RLG36" s="143"/>
      <c r="RLH36" s="143"/>
      <c r="RLI36" s="143"/>
      <c r="RLJ36" s="143"/>
      <c r="RLK36" s="143"/>
      <c r="RLL36" s="143"/>
      <c r="RLM36" s="143"/>
      <c r="RLN36" s="143"/>
      <c r="RLO36" s="143"/>
      <c r="RLP36" s="143"/>
      <c r="RLQ36" s="143"/>
      <c r="RLR36" s="143"/>
      <c r="RLS36" s="143"/>
      <c r="RLT36" s="143"/>
      <c r="RLU36" s="143"/>
      <c r="RLV36" s="143"/>
      <c r="RLW36" s="143"/>
      <c r="RLX36" s="143"/>
      <c r="RLY36" s="143"/>
      <c r="RLZ36" s="143"/>
      <c r="RMA36" s="143"/>
      <c r="RMB36" s="143"/>
      <c r="RMC36" s="143"/>
      <c r="RMD36" s="143"/>
      <c r="RME36" s="143"/>
      <c r="RMF36" s="143"/>
      <c r="RMG36" s="143"/>
      <c r="RMH36" s="143"/>
      <c r="RMI36" s="143"/>
      <c r="RMJ36" s="143"/>
      <c r="RMK36" s="143"/>
      <c r="RML36" s="143"/>
      <c r="RMM36" s="143"/>
      <c r="RMN36" s="143"/>
      <c r="RMO36" s="143"/>
      <c r="RMP36" s="143"/>
      <c r="RMQ36" s="143"/>
      <c r="RMR36" s="143"/>
      <c r="RMS36" s="143"/>
      <c r="RMT36" s="143"/>
      <c r="RMU36" s="143"/>
      <c r="RMV36" s="143"/>
      <c r="RMW36" s="143"/>
      <c r="RMX36" s="143"/>
      <c r="RMY36" s="143"/>
      <c r="RMZ36" s="143"/>
      <c r="RNA36" s="143"/>
      <c r="RNB36" s="143"/>
      <c r="RNC36" s="143"/>
      <c r="RND36" s="143"/>
      <c r="RNE36" s="143"/>
      <c r="RNF36" s="143"/>
      <c r="RNG36" s="143"/>
      <c r="RNH36" s="143"/>
      <c r="RNI36" s="143"/>
      <c r="RNJ36" s="143"/>
      <c r="RNK36" s="143"/>
      <c r="RNL36" s="143"/>
      <c r="RNM36" s="143"/>
      <c r="RNN36" s="143"/>
      <c r="RNO36" s="143"/>
      <c r="RNP36" s="143"/>
      <c r="RNQ36" s="143"/>
      <c r="RNR36" s="143"/>
      <c r="RNS36" s="143"/>
      <c r="RNT36" s="143"/>
      <c r="RNU36" s="143"/>
      <c r="RNV36" s="143"/>
      <c r="RNW36" s="143"/>
      <c r="RNX36" s="143"/>
      <c r="RNY36" s="143"/>
      <c r="RNZ36" s="143"/>
      <c r="ROA36" s="143"/>
      <c r="ROB36" s="143"/>
      <c r="ROC36" s="143"/>
      <c r="ROD36" s="143"/>
      <c r="ROE36" s="143"/>
      <c r="ROF36" s="143"/>
      <c r="ROG36" s="143"/>
      <c r="ROH36" s="143"/>
      <c r="ROI36" s="143"/>
      <c r="ROJ36" s="143"/>
      <c r="ROK36" s="143"/>
      <c r="ROL36" s="143"/>
      <c r="ROM36" s="143"/>
      <c r="RON36" s="143"/>
      <c r="ROO36" s="143"/>
      <c r="ROP36" s="143"/>
      <c r="ROQ36" s="143"/>
      <c r="ROR36" s="143"/>
      <c r="ROS36" s="143"/>
      <c r="ROT36" s="143"/>
      <c r="ROU36" s="143"/>
      <c r="ROV36" s="143"/>
      <c r="ROW36" s="143"/>
      <c r="ROX36" s="143"/>
      <c r="ROY36" s="143"/>
      <c r="ROZ36" s="143"/>
      <c r="RPA36" s="143"/>
      <c r="RPB36" s="143"/>
      <c r="RPC36" s="143"/>
      <c r="RPD36" s="143"/>
      <c r="RPE36" s="143"/>
      <c r="RPF36" s="143"/>
      <c r="RPG36" s="143"/>
      <c r="RPH36" s="143"/>
      <c r="RPI36" s="143"/>
      <c r="RPJ36" s="143"/>
      <c r="RPK36" s="143"/>
      <c r="RPL36" s="143"/>
      <c r="RPM36" s="143"/>
      <c r="RPN36" s="143"/>
      <c r="RPO36" s="143"/>
      <c r="RPP36" s="143"/>
      <c r="RPQ36" s="143"/>
      <c r="RPR36" s="143"/>
      <c r="RPS36" s="143"/>
      <c r="RPT36" s="143"/>
      <c r="RPU36" s="143"/>
      <c r="RPV36" s="143"/>
      <c r="RPW36" s="143"/>
      <c r="RPX36" s="143"/>
      <c r="RPY36" s="143"/>
      <c r="RPZ36" s="143"/>
      <c r="RQA36" s="143"/>
      <c r="RQB36" s="143"/>
      <c r="RQC36" s="143"/>
      <c r="RQD36" s="143"/>
      <c r="RQE36" s="143"/>
      <c r="RQF36" s="143"/>
      <c r="RQG36" s="143"/>
      <c r="RQH36" s="143"/>
      <c r="RQI36" s="143"/>
      <c r="RQJ36" s="143"/>
      <c r="RQK36" s="143"/>
      <c r="RQL36" s="143"/>
      <c r="RQM36" s="143"/>
      <c r="RQN36" s="143"/>
      <c r="RQO36" s="143"/>
      <c r="RQP36" s="143"/>
      <c r="RQQ36" s="143"/>
      <c r="RQR36" s="143"/>
      <c r="RQS36" s="143"/>
      <c r="RQT36" s="143"/>
      <c r="RQU36" s="143"/>
      <c r="RQV36" s="143"/>
      <c r="RQW36" s="143"/>
      <c r="RQX36" s="143"/>
      <c r="RQY36" s="143"/>
      <c r="RQZ36" s="143"/>
      <c r="RRA36" s="143"/>
      <c r="RRB36" s="143"/>
      <c r="RRC36" s="143"/>
      <c r="RRD36" s="143"/>
      <c r="RRE36" s="143"/>
      <c r="RRF36" s="143"/>
      <c r="RRG36" s="143"/>
      <c r="RRH36" s="143"/>
      <c r="RRI36" s="143"/>
      <c r="RRJ36" s="143"/>
      <c r="RRK36" s="143"/>
      <c r="RRL36" s="143"/>
      <c r="RRM36" s="143"/>
      <c r="RRN36" s="143"/>
      <c r="RRO36" s="143"/>
      <c r="RRP36" s="143"/>
      <c r="RRQ36" s="143"/>
      <c r="RRR36" s="143"/>
      <c r="RRS36" s="143"/>
      <c r="RRT36" s="143"/>
      <c r="RRU36" s="143"/>
      <c r="RRV36" s="143"/>
      <c r="RRW36" s="143"/>
      <c r="RRX36" s="143"/>
      <c r="RRY36" s="143"/>
      <c r="RRZ36" s="143"/>
      <c r="RSA36" s="143"/>
      <c r="RSB36" s="143"/>
      <c r="RSC36" s="143"/>
      <c r="RSD36" s="143"/>
      <c r="RSE36" s="143"/>
      <c r="RSF36" s="143"/>
      <c r="RSG36" s="143"/>
      <c r="RSH36" s="143"/>
      <c r="RSI36" s="143"/>
      <c r="RSJ36" s="143"/>
      <c r="RSK36" s="143"/>
      <c r="RSL36" s="143"/>
      <c r="RSM36" s="143"/>
      <c r="RSN36" s="143"/>
      <c r="RSO36" s="143"/>
      <c r="RSP36" s="143"/>
      <c r="RSQ36" s="143"/>
      <c r="RSR36" s="143"/>
      <c r="RSS36" s="143"/>
      <c r="RST36" s="143"/>
      <c r="RSU36" s="143"/>
      <c r="RSV36" s="143"/>
      <c r="RSW36" s="143"/>
      <c r="RSX36" s="143"/>
      <c r="RSY36" s="143"/>
      <c r="RSZ36" s="143"/>
      <c r="RTA36" s="143"/>
      <c r="RTB36" s="143"/>
      <c r="RTC36" s="143"/>
      <c r="RTD36" s="143"/>
      <c r="RTE36" s="143"/>
      <c r="RTF36" s="143"/>
      <c r="RTG36" s="143"/>
      <c r="RTH36" s="143"/>
      <c r="RTI36" s="143"/>
      <c r="RTJ36" s="143"/>
      <c r="RTK36" s="143"/>
      <c r="RTL36" s="143"/>
      <c r="RTM36" s="143"/>
      <c r="RTN36" s="143"/>
      <c r="RTO36" s="143"/>
      <c r="RTP36" s="143"/>
      <c r="RTQ36" s="143"/>
      <c r="RTR36" s="143"/>
      <c r="RTS36" s="143"/>
      <c r="RTT36" s="143"/>
      <c r="RTU36" s="143"/>
      <c r="RTV36" s="143"/>
      <c r="RTW36" s="143"/>
      <c r="RTX36" s="143"/>
      <c r="RTY36" s="143"/>
      <c r="RTZ36" s="143"/>
      <c r="RUA36" s="143"/>
      <c r="RUB36" s="143"/>
      <c r="RUC36" s="143"/>
      <c r="RUD36" s="143"/>
      <c r="RUE36" s="143"/>
      <c r="RUF36" s="143"/>
      <c r="RUG36" s="143"/>
      <c r="RUH36" s="143"/>
      <c r="RUI36" s="143"/>
      <c r="RUJ36" s="143"/>
      <c r="RUK36" s="143"/>
      <c r="RUL36" s="143"/>
      <c r="RUM36" s="143"/>
      <c r="RUN36" s="143"/>
      <c r="RUO36" s="143"/>
      <c r="RUP36" s="143"/>
      <c r="RUQ36" s="143"/>
      <c r="RUR36" s="143"/>
      <c r="RUS36" s="143"/>
      <c r="RUT36" s="143"/>
      <c r="RUU36" s="143"/>
      <c r="RUV36" s="143"/>
      <c r="RUW36" s="143"/>
      <c r="RUX36" s="143"/>
      <c r="RUY36" s="143"/>
      <c r="RUZ36" s="143"/>
      <c r="RVA36" s="143"/>
      <c r="RVB36" s="143"/>
      <c r="RVC36" s="143"/>
      <c r="RVD36" s="143"/>
      <c r="RVE36" s="143"/>
      <c r="RVF36" s="143"/>
      <c r="RVG36" s="143"/>
      <c r="RVH36" s="143"/>
      <c r="RVI36" s="143"/>
      <c r="RVJ36" s="143"/>
      <c r="RVK36" s="143"/>
      <c r="RVL36" s="143"/>
      <c r="RVM36" s="143"/>
      <c r="RVN36" s="143"/>
      <c r="RVO36" s="143"/>
      <c r="RVP36" s="143"/>
      <c r="RVQ36" s="143"/>
      <c r="RVR36" s="143"/>
      <c r="RVS36" s="143"/>
      <c r="RVT36" s="143"/>
      <c r="RVU36" s="143"/>
      <c r="RVV36" s="143"/>
      <c r="RVW36" s="143"/>
      <c r="RVX36" s="143"/>
      <c r="RVY36" s="143"/>
      <c r="RVZ36" s="143"/>
      <c r="RWA36" s="143"/>
      <c r="RWB36" s="143"/>
      <c r="RWC36" s="143"/>
      <c r="RWD36" s="143"/>
      <c r="RWE36" s="143"/>
      <c r="RWF36" s="143"/>
      <c r="RWG36" s="143"/>
      <c r="RWH36" s="143"/>
      <c r="RWI36" s="143"/>
      <c r="RWJ36" s="143"/>
      <c r="RWK36" s="143"/>
      <c r="RWL36" s="143"/>
      <c r="RWM36" s="143"/>
      <c r="RWN36" s="143"/>
      <c r="RWO36" s="143"/>
      <c r="RWP36" s="143"/>
      <c r="RWQ36" s="143"/>
      <c r="RWR36" s="143"/>
      <c r="RWS36" s="143"/>
      <c r="RWT36" s="143"/>
      <c r="RWU36" s="143"/>
      <c r="RWV36" s="143"/>
      <c r="RWW36" s="143"/>
      <c r="RWX36" s="143"/>
      <c r="RWY36" s="143"/>
      <c r="RWZ36" s="143"/>
      <c r="RXA36" s="143"/>
      <c r="RXB36" s="143"/>
      <c r="RXC36" s="143"/>
      <c r="RXD36" s="143"/>
      <c r="RXE36" s="143"/>
      <c r="RXF36" s="143"/>
      <c r="RXG36" s="143"/>
      <c r="RXH36" s="143"/>
      <c r="RXI36" s="143"/>
      <c r="RXJ36" s="143"/>
      <c r="RXK36" s="143"/>
      <c r="RXL36" s="143"/>
      <c r="RXM36" s="143"/>
      <c r="RXN36" s="143"/>
      <c r="RXO36" s="143"/>
      <c r="RXP36" s="143"/>
      <c r="RXQ36" s="143"/>
      <c r="RXR36" s="143"/>
      <c r="RXS36" s="143"/>
      <c r="RXT36" s="143"/>
      <c r="RXU36" s="143"/>
      <c r="RXV36" s="143"/>
      <c r="RXW36" s="143"/>
      <c r="RXX36" s="143"/>
      <c r="RXY36" s="143"/>
      <c r="RXZ36" s="143"/>
      <c r="RYA36" s="143"/>
      <c r="RYB36" s="143"/>
      <c r="RYC36" s="143"/>
      <c r="RYD36" s="143"/>
      <c r="RYE36" s="143"/>
      <c r="RYF36" s="143"/>
      <c r="RYG36" s="143"/>
      <c r="RYH36" s="143"/>
      <c r="RYI36" s="143"/>
      <c r="RYJ36" s="143"/>
      <c r="RYK36" s="143"/>
      <c r="RYL36" s="143"/>
      <c r="RYM36" s="143"/>
      <c r="RYN36" s="143"/>
      <c r="RYO36" s="143"/>
      <c r="RYP36" s="143"/>
      <c r="RYQ36" s="143"/>
      <c r="RYR36" s="143"/>
      <c r="RYS36" s="143"/>
      <c r="RYT36" s="143"/>
      <c r="RYU36" s="143"/>
      <c r="RYV36" s="143"/>
      <c r="RYW36" s="143"/>
      <c r="RYX36" s="143"/>
      <c r="RYY36" s="143"/>
      <c r="RYZ36" s="143"/>
      <c r="RZA36" s="143"/>
      <c r="RZB36" s="143"/>
      <c r="RZC36" s="143"/>
      <c r="RZD36" s="143"/>
      <c r="RZE36" s="143"/>
      <c r="RZF36" s="143"/>
      <c r="RZG36" s="143"/>
      <c r="RZH36" s="143"/>
      <c r="RZI36" s="143"/>
      <c r="RZJ36" s="143"/>
      <c r="RZK36" s="143"/>
      <c r="RZL36" s="143"/>
      <c r="RZM36" s="143"/>
      <c r="RZN36" s="143"/>
      <c r="RZO36" s="143"/>
      <c r="RZP36" s="143"/>
      <c r="RZQ36" s="143"/>
      <c r="RZR36" s="143"/>
      <c r="RZS36" s="143"/>
      <c r="RZT36" s="143"/>
      <c r="RZU36" s="143"/>
      <c r="RZV36" s="143"/>
      <c r="RZW36" s="143"/>
      <c r="RZX36" s="143"/>
      <c r="RZY36" s="143"/>
      <c r="RZZ36" s="143"/>
      <c r="SAA36" s="143"/>
      <c r="SAB36" s="143"/>
      <c r="SAC36" s="143"/>
      <c r="SAD36" s="143"/>
      <c r="SAE36" s="143"/>
      <c r="SAF36" s="143"/>
      <c r="SAG36" s="143"/>
      <c r="SAH36" s="143"/>
      <c r="SAI36" s="143"/>
      <c r="SAJ36" s="143"/>
      <c r="SAK36" s="143"/>
      <c r="SAL36" s="143"/>
      <c r="SAM36" s="143"/>
      <c r="SAN36" s="143"/>
      <c r="SAO36" s="143"/>
      <c r="SAP36" s="143"/>
      <c r="SAQ36" s="143"/>
      <c r="SAR36" s="143"/>
      <c r="SAS36" s="143"/>
      <c r="SAT36" s="143"/>
      <c r="SAU36" s="143"/>
      <c r="SAV36" s="143"/>
      <c r="SAW36" s="143"/>
      <c r="SAX36" s="143"/>
      <c r="SAY36" s="143"/>
      <c r="SAZ36" s="143"/>
      <c r="SBA36" s="143"/>
      <c r="SBB36" s="143"/>
      <c r="SBC36" s="143"/>
      <c r="SBD36" s="143"/>
      <c r="SBE36" s="143"/>
      <c r="SBF36" s="143"/>
      <c r="SBG36" s="143"/>
      <c r="SBH36" s="143"/>
      <c r="SBI36" s="143"/>
      <c r="SBJ36" s="143"/>
      <c r="SBK36" s="143"/>
      <c r="SBL36" s="143"/>
      <c r="SBM36" s="143"/>
      <c r="SBN36" s="143"/>
      <c r="SBO36" s="143"/>
      <c r="SBP36" s="143"/>
      <c r="SBQ36" s="143"/>
      <c r="SBR36" s="143"/>
      <c r="SBS36" s="143"/>
      <c r="SBT36" s="143"/>
      <c r="SBU36" s="143"/>
      <c r="SBV36" s="143"/>
      <c r="SBW36" s="143"/>
      <c r="SBX36" s="143"/>
      <c r="SBY36" s="143"/>
      <c r="SBZ36" s="143"/>
      <c r="SCA36" s="143"/>
      <c r="SCB36" s="143"/>
      <c r="SCC36" s="143"/>
      <c r="SCD36" s="143"/>
      <c r="SCE36" s="143"/>
      <c r="SCF36" s="143"/>
      <c r="SCG36" s="143"/>
      <c r="SCH36" s="143"/>
      <c r="SCI36" s="143"/>
      <c r="SCJ36" s="143"/>
      <c r="SCK36" s="143"/>
      <c r="SCL36" s="143"/>
      <c r="SCM36" s="143"/>
      <c r="SCN36" s="143"/>
      <c r="SCO36" s="143"/>
      <c r="SCP36" s="143"/>
      <c r="SCQ36" s="143"/>
      <c r="SCR36" s="143"/>
      <c r="SCS36" s="143"/>
      <c r="SCT36" s="143"/>
      <c r="SCU36" s="143"/>
      <c r="SCV36" s="143"/>
      <c r="SCW36" s="143"/>
      <c r="SCX36" s="143"/>
      <c r="SCY36" s="143"/>
      <c r="SCZ36" s="143"/>
      <c r="SDA36" s="143"/>
      <c r="SDB36" s="143"/>
      <c r="SDC36" s="143"/>
      <c r="SDD36" s="143"/>
      <c r="SDE36" s="143"/>
      <c r="SDF36" s="143"/>
      <c r="SDG36" s="143"/>
      <c r="SDH36" s="143"/>
      <c r="SDI36" s="143"/>
      <c r="SDJ36" s="143"/>
      <c r="SDK36" s="143"/>
      <c r="SDL36" s="143"/>
      <c r="SDM36" s="143"/>
      <c r="SDN36" s="143"/>
      <c r="SDO36" s="143"/>
      <c r="SDP36" s="143"/>
      <c r="SDQ36" s="143"/>
      <c r="SDR36" s="143"/>
      <c r="SDS36" s="143"/>
      <c r="SDT36" s="143"/>
      <c r="SDU36" s="143"/>
      <c r="SDV36" s="143"/>
      <c r="SDW36" s="143"/>
      <c r="SDX36" s="143"/>
      <c r="SDY36" s="143"/>
      <c r="SDZ36" s="143"/>
      <c r="SEA36" s="143"/>
      <c r="SEB36" s="143"/>
      <c r="SEC36" s="143"/>
      <c r="SED36" s="143"/>
      <c r="SEE36" s="143"/>
      <c r="SEF36" s="143"/>
      <c r="SEG36" s="143"/>
      <c r="SEH36" s="143"/>
      <c r="SEI36" s="143"/>
      <c r="SEJ36" s="143"/>
      <c r="SEK36" s="143"/>
      <c r="SEL36" s="143"/>
      <c r="SEM36" s="143"/>
      <c r="SEN36" s="143"/>
      <c r="SEO36" s="143"/>
      <c r="SEP36" s="143"/>
      <c r="SEQ36" s="143"/>
      <c r="SER36" s="143"/>
      <c r="SES36" s="143"/>
      <c r="SET36" s="143"/>
      <c r="SEU36" s="143"/>
      <c r="SEV36" s="143"/>
      <c r="SEW36" s="143"/>
      <c r="SEX36" s="143"/>
      <c r="SEY36" s="143"/>
      <c r="SEZ36" s="143"/>
      <c r="SFA36" s="143"/>
      <c r="SFB36" s="143"/>
      <c r="SFC36" s="143"/>
      <c r="SFD36" s="143"/>
      <c r="SFE36" s="143"/>
      <c r="SFF36" s="143"/>
      <c r="SFG36" s="143"/>
      <c r="SFH36" s="143"/>
      <c r="SFI36" s="143"/>
      <c r="SFJ36" s="143"/>
      <c r="SFK36" s="143"/>
      <c r="SFL36" s="143"/>
      <c r="SFM36" s="143"/>
      <c r="SFN36" s="143"/>
      <c r="SFO36" s="143"/>
      <c r="SFP36" s="143"/>
      <c r="SFQ36" s="143"/>
      <c r="SFR36" s="143"/>
      <c r="SFS36" s="143"/>
      <c r="SFT36" s="143"/>
      <c r="SFU36" s="143"/>
      <c r="SFV36" s="143"/>
      <c r="SFW36" s="143"/>
      <c r="SFX36" s="143"/>
      <c r="SFY36" s="143"/>
      <c r="SFZ36" s="143"/>
      <c r="SGA36" s="143"/>
      <c r="SGB36" s="143"/>
      <c r="SGC36" s="143"/>
      <c r="SGD36" s="143"/>
      <c r="SGE36" s="143"/>
      <c r="SGF36" s="143"/>
      <c r="SGG36" s="143"/>
      <c r="SGH36" s="143"/>
      <c r="SGI36" s="143"/>
      <c r="SGJ36" s="143"/>
      <c r="SGK36" s="143"/>
      <c r="SGL36" s="143"/>
      <c r="SGM36" s="143"/>
      <c r="SGN36" s="143"/>
      <c r="SGO36" s="143"/>
      <c r="SGP36" s="143"/>
      <c r="SGQ36" s="143"/>
      <c r="SGR36" s="143"/>
      <c r="SGS36" s="143"/>
      <c r="SGT36" s="143"/>
      <c r="SGU36" s="143"/>
      <c r="SGV36" s="143"/>
      <c r="SGW36" s="143"/>
      <c r="SGX36" s="143"/>
      <c r="SGY36" s="143"/>
      <c r="SGZ36" s="143"/>
      <c r="SHA36" s="143"/>
      <c r="SHB36" s="143"/>
      <c r="SHC36" s="143"/>
      <c r="SHD36" s="143"/>
      <c r="SHE36" s="143"/>
      <c r="SHF36" s="143"/>
      <c r="SHG36" s="143"/>
      <c r="SHH36" s="143"/>
      <c r="SHI36" s="143"/>
      <c r="SHJ36" s="143"/>
      <c r="SHK36" s="143"/>
      <c r="SHL36" s="143"/>
      <c r="SHM36" s="143"/>
      <c r="SHN36" s="143"/>
      <c r="SHO36" s="143"/>
      <c r="SHP36" s="143"/>
      <c r="SHQ36" s="143"/>
      <c r="SHR36" s="143"/>
      <c r="SHS36" s="143"/>
      <c r="SHT36" s="143"/>
      <c r="SHU36" s="143"/>
      <c r="SHV36" s="143"/>
      <c r="SHW36" s="143"/>
      <c r="SHX36" s="143"/>
      <c r="SHY36" s="143"/>
      <c r="SHZ36" s="143"/>
      <c r="SIA36" s="143"/>
      <c r="SIB36" s="143"/>
      <c r="SIC36" s="143"/>
      <c r="SID36" s="143"/>
      <c r="SIE36" s="143"/>
      <c r="SIF36" s="143"/>
      <c r="SIG36" s="143"/>
      <c r="SIH36" s="143"/>
      <c r="SII36" s="143"/>
      <c r="SIJ36" s="143"/>
      <c r="SIK36" s="143"/>
      <c r="SIL36" s="143"/>
      <c r="SIM36" s="143"/>
      <c r="SIN36" s="143"/>
      <c r="SIO36" s="143"/>
      <c r="SIP36" s="143"/>
      <c r="SIQ36" s="143"/>
      <c r="SIR36" s="143"/>
      <c r="SIS36" s="143"/>
      <c r="SIT36" s="143"/>
      <c r="SIU36" s="143"/>
      <c r="SIV36" s="143"/>
      <c r="SIW36" s="143"/>
      <c r="SIX36" s="143"/>
      <c r="SIY36" s="143"/>
      <c r="SIZ36" s="143"/>
      <c r="SJA36" s="143"/>
      <c r="SJB36" s="143"/>
      <c r="SJC36" s="143"/>
      <c r="SJD36" s="143"/>
      <c r="SJE36" s="143"/>
      <c r="SJF36" s="143"/>
      <c r="SJG36" s="143"/>
      <c r="SJH36" s="143"/>
      <c r="SJI36" s="143"/>
      <c r="SJJ36" s="143"/>
      <c r="SJK36" s="143"/>
      <c r="SJL36" s="143"/>
      <c r="SJM36" s="143"/>
      <c r="SJN36" s="143"/>
      <c r="SJO36" s="143"/>
      <c r="SJP36" s="143"/>
      <c r="SJQ36" s="143"/>
      <c r="SJR36" s="143"/>
      <c r="SJS36" s="143"/>
      <c r="SJT36" s="143"/>
      <c r="SJU36" s="143"/>
      <c r="SJV36" s="143"/>
      <c r="SJW36" s="143"/>
      <c r="SJX36" s="143"/>
      <c r="SJY36" s="143"/>
      <c r="SJZ36" s="143"/>
      <c r="SKA36" s="143"/>
      <c r="SKB36" s="143"/>
      <c r="SKC36" s="143"/>
      <c r="SKD36" s="143"/>
      <c r="SKE36" s="143"/>
      <c r="SKF36" s="143"/>
      <c r="SKG36" s="143"/>
      <c r="SKH36" s="143"/>
      <c r="SKI36" s="143"/>
      <c r="SKJ36" s="143"/>
      <c r="SKK36" s="143"/>
      <c r="SKL36" s="143"/>
      <c r="SKM36" s="143"/>
      <c r="SKN36" s="143"/>
      <c r="SKO36" s="143"/>
      <c r="SKP36" s="143"/>
      <c r="SKQ36" s="143"/>
      <c r="SKR36" s="143"/>
      <c r="SKS36" s="143"/>
      <c r="SKT36" s="143"/>
      <c r="SKU36" s="143"/>
      <c r="SKV36" s="143"/>
      <c r="SKW36" s="143"/>
      <c r="SKX36" s="143"/>
      <c r="SKY36" s="143"/>
      <c r="SKZ36" s="143"/>
      <c r="SLA36" s="143"/>
      <c r="SLB36" s="143"/>
      <c r="SLC36" s="143"/>
      <c r="SLD36" s="143"/>
      <c r="SLE36" s="143"/>
      <c r="SLF36" s="143"/>
      <c r="SLG36" s="143"/>
      <c r="SLH36" s="143"/>
      <c r="SLI36" s="143"/>
      <c r="SLJ36" s="143"/>
      <c r="SLK36" s="143"/>
      <c r="SLL36" s="143"/>
      <c r="SLM36" s="143"/>
      <c r="SLN36" s="143"/>
      <c r="SLO36" s="143"/>
      <c r="SLP36" s="143"/>
      <c r="SLQ36" s="143"/>
      <c r="SLR36" s="143"/>
      <c r="SLS36" s="143"/>
      <c r="SLT36" s="143"/>
      <c r="SLU36" s="143"/>
      <c r="SLV36" s="143"/>
      <c r="SLW36" s="143"/>
      <c r="SLX36" s="143"/>
      <c r="SLY36" s="143"/>
      <c r="SLZ36" s="143"/>
      <c r="SMA36" s="143"/>
      <c r="SMB36" s="143"/>
      <c r="SMC36" s="143"/>
      <c r="SMD36" s="143"/>
      <c r="SME36" s="143"/>
      <c r="SMF36" s="143"/>
      <c r="SMG36" s="143"/>
      <c r="SMH36" s="143"/>
      <c r="SMI36" s="143"/>
      <c r="SMJ36" s="143"/>
      <c r="SMK36" s="143"/>
      <c r="SML36" s="143"/>
      <c r="SMM36" s="143"/>
      <c r="SMN36" s="143"/>
      <c r="SMO36" s="143"/>
      <c r="SMP36" s="143"/>
      <c r="SMQ36" s="143"/>
      <c r="SMR36" s="143"/>
      <c r="SMS36" s="143"/>
      <c r="SMT36" s="143"/>
      <c r="SMU36" s="143"/>
      <c r="SMV36" s="143"/>
      <c r="SMW36" s="143"/>
      <c r="SMX36" s="143"/>
      <c r="SMY36" s="143"/>
      <c r="SMZ36" s="143"/>
      <c r="SNA36" s="143"/>
      <c r="SNB36" s="143"/>
      <c r="SNC36" s="143"/>
      <c r="SND36" s="143"/>
      <c r="SNE36" s="143"/>
      <c r="SNF36" s="143"/>
      <c r="SNG36" s="143"/>
      <c r="SNH36" s="143"/>
      <c r="SNI36" s="143"/>
      <c r="SNJ36" s="143"/>
      <c r="SNK36" s="143"/>
      <c r="SNL36" s="143"/>
      <c r="SNM36" s="143"/>
      <c r="SNN36" s="143"/>
      <c r="SNO36" s="143"/>
      <c r="SNP36" s="143"/>
      <c r="SNQ36" s="143"/>
      <c r="SNR36" s="143"/>
      <c r="SNS36" s="143"/>
      <c r="SNT36" s="143"/>
      <c r="SNU36" s="143"/>
      <c r="SNV36" s="143"/>
      <c r="SNW36" s="143"/>
      <c r="SNX36" s="143"/>
      <c r="SNY36" s="143"/>
      <c r="SNZ36" s="143"/>
      <c r="SOA36" s="143"/>
      <c r="SOB36" s="143"/>
      <c r="SOC36" s="143"/>
      <c r="SOD36" s="143"/>
      <c r="SOE36" s="143"/>
      <c r="SOF36" s="143"/>
      <c r="SOG36" s="143"/>
      <c r="SOH36" s="143"/>
      <c r="SOI36" s="143"/>
      <c r="SOJ36" s="143"/>
      <c r="SOK36" s="143"/>
      <c r="SOL36" s="143"/>
      <c r="SOM36" s="143"/>
      <c r="SON36" s="143"/>
      <c r="SOO36" s="143"/>
      <c r="SOP36" s="143"/>
      <c r="SOQ36" s="143"/>
      <c r="SOR36" s="143"/>
      <c r="SOS36" s="143"/>
      <c r="SOT36" s="143"/>
      <c r="SOU36" s="143"/>
      <c r="SOV36" s="143"/>
      <c r="SOW36" s="143"/>
      <c r="SOX36" s="143"/>
      <c r="SOY36" s="143"/>
      <c r="SOZ36" s="143"/>
      <c r="SPA36" s="143"/>
      <c r="SPB36" s="143"/>
      <c r="SPC36" s="143"/>
      <c r="SPD36" s="143"/>
      <c r="SPE36" s="143"/>
      <c r="SPF36" s="143"/>
      <c r="SPG36" s="143"/>
      <c r="SPH36" s="143"/>
      <c r="SPI36" s="143"/>
      <c r="SPJ36" s="143"/>
      <c r="SPK36" s="143"/>
      <c r="SPL36" s="143"/>
      <c r="SPM36" s="143"/>
      <c r="SPN36" s="143"/>
      <c r="SPO36" s="143"/>
      <c r="SPP36" s="143"/>
      <c r="SPQ36" s="143"/>
      <c r="SPR36" s="143"/>
      <c r="SPS36" s="143"/>
      <c r="SPT36" s="143"/>
      <c r="SPU36" s="143"/>
      <c r="SPV36" s="143"/>
      <c r="SPW36" s="143"/>
      <c r="SPX36" s="143"/>
      <c r="SPY36" s="143"/>
      <c r="SPZ36" s="143"/>
      <c r="SQA36" s="143"/>
      <c r="SQB36" s="143"/>
      <c r="SQC36" s="143"/>
      <c r="SQD36" s="143"/>
      <c r="SQE36" s="143"/>
      <c r="SQF36" s="143"/>
      <c r="SQG36" s="143"/>
      <c r="SQH36" s="143"/>
      <c r="SQI36" s="143"/>
      <c r="SQJ36" s="143"/>
      <c r="SQK36" s="143"/>
      <c r="SQL36" s="143"/>
      <c r="SQM36" s="143"/>
      <c r="SQN36" s="143"/>
      <c r="SQO36" s="143"/>
      <c r="SQP36" s="143"/>
      <c r="SQQ36" s="143"/>
      <c r="SQR36" s="143"/>
      <c r="SQS36" s="143"/>
      <c r="SQT36" s="143"/>
      <c r="SQU36" s="143"/>
      <c r="SQV36" s="143"/>
      <c r="SQW36" s="143"/>
      <c r="SQX36" s="143"/>
      <c r="SQY36" s="143"/>
      <c r="SQZ36" s="143"/>
      <c r="SRA36" s="143"/>
      <c r="SRB36" s="143"/>
      <c r="SRC36" s="143"/>
      <c r="SRD36" s="143"/>
      <c r="SRE36" s="143"/>
      <c r="SRF36" s="143"/>
      <c r="SRG36" s="143"/>
      <c r="SRH36" s="143"/>
      <c r="SRI36" s="143"/>
      <c r="SRJ36" s="143"/>
      <c r="SRK36" s="143"/>
      <c r="SRL36" s="143"/>
      <c r="SRM36" s="143"/>
      <c r="SRN36" s="143"/>
      <c r="SRO36" s="143"/>
      <c r="SRP36" s="143"/>
      <c r="SRQ36" s="143"/>
      <c r="SRR36" s="143"/>
      <c r="SRS36" s="143"/>
      <c r="SRT36" s="143"/>
      <c r="SRU36" s="143"/>
      <c r="SRV36" s="143"/>
      <c r="SRW36" s="143"/>
      <c r="SRX36" s="143"/>
      <c r="SRY36" s="143"/>
      <c r="SRZ36" s="143"/>
      <c r="SSA36" s="143"/>
      <c r="SSB36" s="143"/>
      <c r="SSC36" s="143"/>
      <c r="SSD36" s="143"/>
      <c r="SSE36" s="143"/>
      <c r="SSF36" s="143"/>
      <c r="SSG36" s="143"/>
      <c r="SSH36" s="143"/>
      <c r="SSI36" s="143"/>
      <c r="SSJ36" s="143"/>
      <c r="SSK36" s="143"/>
      <c r="SSL36" s="143"/>
      <c r="SSM36" s="143"/>
      <c r="SSN36" s="143"/>
      <c r="SSO36" s="143"/>
      <c r="SSP36" s="143"/>
      <c r="SSQ36" s="143"/>
      <c r="SSR36" s="143"/>
      <c r="SSS36" s="143"/>
      <c r="SST36" s="143"/>
      <c r="SSU36" s="143"/>
      <c r="SSV36" s="143"/>
      <c r="SSW36" s="143"/>
      <c r="SSX36" s="143"/>
      <c r="SSY36" s="143"/>
      <c r="SSZ36" s="143"/>
      <c r="STA36" s="143"/>
      <c r="STB36" s="143"/>
      <c r="STC36" s="143"/>
      <c r="STD36" s="143"/>
      <c r="STE36" s="143"/>
      <c r="STF36" s="143"/>
      <c r="STG36" s="143"/>
      <c r="STH36" s="143"/>
      <c r="STI36" s="143"/>
      <c r="STJ36" s="143"/>
      <c r="STK36" s="143"/>
      <c r="STL36" s="143"/>
      <c r="STM36" s="143"/>
      <c r="STN36" s="143"/>
      <c r="STO36" s="143"/>
      <c r="STP36" s="143"/>
      <c r="STQ36" s="143"/>
      <c r="STR36" s="143"/>
      <c r="STS36" s="143"/>
      <c r="STT36" s="143"/>
      <c r="STU36" s="143"/>
      <c r="STV36" s="143"/>
      <c r="STW36" s="143"/>
      <c r="STX36" s="143"/>
      <c r="STY36" s="143"/>
      <c r="STZ36" s="143"/>
      <c r="SUA36" s="143"/>
      <c r="SUB36" s="143"/>
      <c r="SUC36" s="143"/>
      <c r="SUD36" s="143"/>
      <c r="SUE36" s="143"/>
      <c r="SUF36" s="143"/>
      <c r="SUG36" s="143"/>
      <c r="SUH36" s="143"/>
      <c r="SUI36" s="143"/>
      <c r="SUJ36" s="143"/>
      <c r="SUK36" s="143"/>
      <c r="SUL36" s="143"/>
      <c r="SUM36" s="143"/>
      <c r="SUN36" s="143"/>
      <c r="SUO36" s="143"/>
      <c r="SUP36" s="143"/>
      <c r="SUQ36" s="143"/>
      <c r="SUR36" s="143"/>
      <c r="SUS36" s="143"/>
      <c r="SUT36" s="143"/>
      <c r="SUU36" s="143"/>
      <c r="SUV36" s="143"/>
      <c r="SUW36" s="143"/>
      <c r="SUX36" s="143"/>
      <c r="SUY36" s="143"/>
      <c r="SUZ36" s="143"/>
      <c r="SVA36" s="143"/>
      <c r="SVB36" s="143"/>
      <c r="SVC36" s="143"/>
      <c r="SVD36" s="143"/>
      <c r="SVE36" s="143"/>
      <c r="SVF36" s="143"/>
      <c r="SVG36" s="143"/>
      <c r="SVH36" s="143"/>
      <c r="SVI36" s="143"/>
      <c r="SVJ36" s="143"/>
      <c r="SVK36" s="143"/>
      <c r="SVL36" s="143"/>
      <c r="SVM36" s="143"/>
      <c r="SVN36" s="143"/>
      <c r="SVO36" s="143"/>
      <c r="SVP36" s="143"/>
      <c r="SVQ36" s="143"/>
      <c r="SVR36" s="143"/>
      <c r="SVS36" s="143"/>
      <c r="SVT36" s="143"/>
      <c r="SVU36" s="143"/>
      <c r="SVV36" s="143"/>
      <c r="SVW36" s="143"/>
      <c r="SVX36" s="143"/>
      <c r="SVY36" s="143"/>
      <c r="SVZ36" s="143"/>
      <c r="SWA36" s="143"/>
      <c r="SWB36" s="143"/>
      <c r="SWC36" s="143"/>
      <c r="SWD36" s="143"/>
      <c r="SWE36" s="143"/>
      <c r="SWF36" s="143"/>
      <c r="SWG36" s="143"/>
      <c r="SWH36" s="143"/>
      <c r="SWI36" s="143"/>
      <c r="SWJ36" s="143"/>
      <c r="SWK36" s="143"/>
      <c r="SWL36" s="143"/>
      <c r="SWM36" s="143"/>
      <c r="SWN36" s="143"/>
      <c r="SWO36" s="143"/>
      <c r="SWP36" s="143"/>
      <c r="SWQ36" s="143"/>
      <c r="SWR36" s="143"/>
      <c r="SWS36" s="143"/>
      <c r="SWT36" s="143"/>
      <c r="SWU36" s="143"/>
      <c r="SWV36" s="143"/>
      <c r="SWW36" s="143"/>
      <c r="SWX36" s="143"/>
      <c r="SWY36" s="143"/>
      <c r="SWZ36" s="143"/>
      <c r="SXA36" s="143"/>
      <c r="SXB36" s="143"/>
      <c r="SXC36" s="143"/>
      <c r="SXD36" s="143"/>
      <c r="SXE36" s="143"/>
      <c r="SXF36" s="143"/>
      <c r="SXG36" s="143"/>
      <c r="SXH36" s="143"/>
      <c r="SXI36" s="143"/>
      <c r="SXJ36" s="143"/>
      <c r="SXK36" s="143"/>
      <c r="SXL36" s="143"/>
      <c r="SXM36" s="143"/>
      <c r="SXN36" s="143"/>
      <c r="SXO36" s="143"/>
      <c r="SXP36" s="143"/>
      <c r="SXQ36" s="143"/>
      <c r="SXR36" s="143"/>
      <c r="SXS36" s="143"/>
      <c r="SXT36" s="143"/>
      <c r="SXU36" s="143"/>
      <c r="SXV36" s="143"/>
      <c r="SXW36" s="143"/>
      <c r="SXX36" s="143"/>
      <c r="SXY36" s="143"/>
      <c r="SXZ36" s="143"/>
      <c r="SYA36" s="143"/>
      <c r="SYB36" s="143"/>
      <c r="SYC36" s="143"/>
      <c r="SYD36" s="143"/>
      <c r="SYE36" s="143"/>
      <c r="SYF36" s="143"/>
      <c r="SYG36" s="143"/>
      <c r="SYH36" s="143"/>
      <c r="SYI36" s="143"/>
      <c r="SYJ36" s="143"/>
      <c r="SYK36" s="143"/>
      <c r="SYL36" s="143"/>
      <c r="SYM36" s="143"/>
      <c r="SYN36" s="143"/>
      <c r="SYO36" s="143"/>
      <c r="SYP36" s="143"/>
      <c r="SYQ36" s="143"/>
      <c r="SYR36" s="143"/>
      <c r="SYS36" s="143"/>
      <c r="SYT36" s="143"/>
      <c r="SYU36" s="143"/>
      <c r="SYV36" s="143"/>
      <c r="SYW36" s="143"/>
      <c r="SYX36" s="143"/>
      <c r="SYY36" s="143"/>
      <c r="SYZ36" s="143"/>
      <c r="SZA36" s="143"/>
      <c r="SZB36" s="143"/>
      <c r="SZC36" s="143"/>
      <c r="SZD36" s="143"/>
      <c r="SZE36" s="143"/>
      <c r="SZF36" s="143"/>
      <c r="SZG36" s="143"/>
      <c r="SZH36" s="143"/>
      <c r="SZI36" s="143"/>
      <c r="SZJ36" s="143"/>
      <c r="SZK36" s="143"/>
      <c r="SZL36" s="143"/>
      <c r="SZM36" s="143"/>
      <c r="SZN36" s="143"/>
      <c r="SZO36" s="143"/>
      <c r="SZP36" s="143"/>
      <c r="SZQ36" s="143"/>
      <c r="SZR36" s="143"/>
      <c r="SZS36" s="143"/>
      <c r="SZT36" s="143"/>
      <c r="SZU36" s="143"/>
      <c r="SZV36" s="143"/>
      <c r="SZW36" s="143"/>
      <c r="SZX36" s="143"/>
      <c r="SZY36" s="143"/>
      <c r="SZZ36" s="143"/>
      <c r="TAA36" s="143"/>
      <c r="TAB36" s="143"/>
      <c r="TAC36" s="143"/>
      <c r="TAD36" s="143"/>
      <c r="TAE36" s="143"/>
      <c r="TAF36" s="143"/>
      <c r="TAG36" s="143"/>
      <c r="TAH36" s="143"/>
      <c r="TAI36" s="143"/>
      <c r="TAJ36" s="143"/>
      <c r="TAK36" s="143"/>
      <c r="TAL36" s="143"/>
      <c r="TAM36" s="143"/>
      <c r="TAN36" s="143"/>
      <c r="TAO36" s="143"/>
      <c r="TAP36" s="143"/>
      <c r="TAQ36" s="143"/>
      <c r="TAR36" s="143"/>
      <c r="TAS36" s="143"/>
      <c r="TAT36" s="143"/>
      <c r="TAU36" s="143"/>
      <c r="TAV36" s="143"/>
      <c r="TAW36" s="143"/>
      <c r="TAX36" s="143"/>
      <c r="TAY36" s="143"/>
      <c r="TAZ36" s="143"/>
      <c r="TBA36" s="143"/>
      <c r="TBB36" s="143"/>
      <c r="TBC36" s="143"/>
      <c r="TBD36" s="143"/>
      <c r="TBE36" s="143"/>
      <c r="TBF36" s="143"/>
      <c r="TBG36" s="143"/>
      <c r="TBH36" s="143"/>
      <c r="TBI36" s="143"/>
      <c r="TBJ36" s="143"/>
      <c r="TBK36" s="143"/>
      <c r="TBL36" s="143"/>
      <c r="TBM36" s="143"/>
      <c r="TBN36" s="143"/>
      <c r="TBO36" s="143"/>
      <c r="TBP36" s="143"/>
      <c r="TBQ36" s="143"/>
      <c r="TBR36" s="143"/>
      <c r="TBS36" s="143"/>
      <c r="TBT36" s="143"/>
      <c r="TBU36" s="143"/>
      <c r="TBV36" s="143"/>
      <c r="TBW36" s="143"/>
      <c r="TBX36" s="143"/>
      <c r="TBY36" s="143"/>
      <c r="TBZ36" s="143"/>
      <c r="TCA36" s="143"/>
      <c r="TCB36" s="143"/>
      <c r="TCC36" s="143"/>
      <c r="TCD36" s="143"/>
      <c r="TCE36" s="143"/>
      <c r="TCF36" s="143"/>
      <c r="TCG36" s="143"/>
      <c r="TCH36" s="143"/>
      <c r="TCI36" s="143"/>
      <c r="TCJ36" s="143"/>
      <c r="TCK36" s="143"/>
      <c r="TCL36" s="143"/>
      <c r="TCM36" s="143"/>
      <c r="TCN36" s="143"/>
      <c r="TCO36" s="143"/>
      <c r="TCP36" s="143"/>
      <c r="TCQ36" s="143"/>
      <c r="TCR36" s="143"/>
      <c r="TCS36" s="143"/>
      <c r="TCT36" s="143"/>
      <c r="TCU36" s="143"/>
      <c r="TCV36" s="143"/>
      <c r="TCW36" s="143"/>
      <c r="TCX36" s="143"/>
      <c r="TCY36" s="143"/>
      <c r="TCZ36" s="143"/>
      <c r="TDA36" s="143"/>
      <c r="TDB36" s="143"/>
      <c r="TDC36" s="143"/>
      <c r="TDD36" s="143"/>
      <c r="TDE36" s="143"/>
      <c r="TDF36" s="143"/>
      <c r="TDG36" s="143"/>
      <c r="TDH36" s="143"/>
      <c r="TDI36" s="143"/>
      <c r="TDJ36" s="143"/>
      <c r="TDK36" s="143"/>
      <c r="TDL36" s="143"/>
      <c r="TDM36" s="143"/>
      <c r="TDN36" s="143"/>
      <c r="TDO36" s="143"/>
      <c r="TDP36" s="143"/>
      <c r="TDQ36" s="143"/>
      <c r="TDR36" s="143"/>
      <c r="TDS36" s="143"/>
      <c r="TDT36" s="143"/>
      <c r="TDU36" s="143"/>
      <c r="TDV36" s="143"/>
      <c r="TDW36" s="143"/>
      <c r="TDX36" s="143"/>
      <c r="TDY36" s="143"/>
      <c r="TDZ36" s="143"/>
      <c r="TEA36" s="143"/>
      <c r="TEB36" s="143"/>
      <c r="TEC36" s="143"/>
      <c r="TED36" s="143"/>
      <c r="TEE36" s="143"/>
      <c r="TEF36" s="143"/>
      <c r="TEG36" s="143"/>
      <c r="TEH36" s="143"/>
      <c r="TEI36" s="143"/>
      <c r="TEJ36" s="143"/>
      <c r="TEK36" s="143"/>
      <c r="TEL36" s="143"/>
      <c r="TEM36" s="143"/>
      <c r="TEN36" s="143"/>
      <c r="TEO36" s="143"/>
      <c r="TEP36" s="143"/>
      <c r="TEQ36" s="143"/>
      <c r="TER36" s="143"/>
      <c r="TES36" s="143"/>
      <c r="TET36" s="143"/>
      <c r="TEU36" s="143"/>
      <c r="TEV36" s="143"/>
      <c r="TEW36" s="143"/>
      <c r="TEX36" s="143"/>
      <c r="TEY36" s="143"/>
      <c r="TEZ36" s="143"/>
      <c r="TFA36" s="143"/>
      <c r="TFB36" s="143"/>
      <c r="TFC36" s="143"/>
      <c r="TFD36" s="143"/>
      <c r="TFE36" s="143"/>
      <c r="TFF36" s="143"/>
      <c r="TFG36" s="143"/>
      <c r="TFH36" s="143"/>
      <c r="TFI36" s="143"/>
      <c r="TFJ36" s="143"/>
      <c r="TFK36" s="143"/>
      <c r="TFL36" s="143"/>
      <c r="TFM36" s="143"/>
      <c r="TFN36" s="143"/>
      <c r="TFO36" s="143"/>
      <c r="TFP36" s="143"/>
      <c r="TFQ36" s="143"/>
      <c r="TFR36" s="143"/>
      <c r="TFS36" s="143"/>
      <c r="TFT36" s="143"/>
      <c r="TFU36" s="143"/>
      <c r="TFV36" s="143"/>
      <c r="TFW36" s="143"/>
      <c r="TFX36" s="143"/>
      <c r="TFY36" s="143"/>
      <c r="TFZ36" s="143"/>
      <c r="TGA36" s="143"/>
      <c r="TGB36" s="143"/>
      <c r="TGC36" s="143"/>
      <c r="TGD36" s="143"/>
      <c r="TGE36" s="143"/>
      <c r="TGF36" s="143"/>
      <c r="TGG36" s="143"/>
      <c r="TGH36" s="143"/>
      <c r="TGI36" s="143"/>
      <c r="TGJ36" s="143"/>
      <c r="TGK36" s="143"/>
      <c r="TGL36" s="143"/>
      <c r="TGM36" s="143"/>
      <c r="TGN36" s="143"/>
      <c r="TGO36" s="143"/>
      <c r="TGP36" s="143"/>
      <c r="TGQ36" s="143"/>
      <c r="TGR36" s="143"/>
      <c r="TGS36" s="143"/>
      <c r="TGT36" s="143"/>
      <c r="TGU36" s="143"/>
      <c r="TGV36" s="143"/>
      <c r="TGW36" s="143"/>
      <c r="TGX36" s="143"/>
      <c r="TGY36" s="143"/>
      <c r="TGZ36" s="143"/>
      <c r="THA36" s="143"/>
      <c r="THB36" s="143"/>
      <c r="THC36" s="143"/>
      <c r="THD36" s="143"/>
      <c r="THE36" s="143"/>
      <c r="THF36" s="143"/>
      <c r="THG36" s="143"/>
      <c r="THH36" s="143"/>
      <c r="THI36" s="143"/>
      <c r="THJ36" s="143"/>
      <c r="THK36" s="143"/>
      <c r="THL36" s="143"/>
      <c r="THM36" s="143"/>
      <c r="THN36" s="143"/>
      <c r="THO36" s="143"/>
      <c r="THP36" s="143"/>
      <c r="THQ36" s="143"/>
      <c r="THR36" s="143"/>
      <c r="THS36" s="143"/>
      <c r="THT36" s="143"/>
      <c r="THU36" s="143"/>
      <c r="THV36" s="143"/>
      <c r="THW36" s="143"/>
      <c r="THX36" s="143"/>
      <c r="THY36" s="143"/>
      <c r="THZ36" s="143"/>
      <c r="TIA36" s="143"/>
      <c r="TIB36" s="143"/>
      <c r="TIC36" s="143"/>
      <c r="TID36" s="143"/>
      <c r="TIE36" s="143"/>
      <c r="TIF36" s="143"/>
      <c r="TIG36" s="143"/>
      <c r="TIH36" s="143"/>
      <c r="TII36" s="143"/>
      <c r="TIJ36" s="143"/>
      <c r="TIK36" s="143"/>
      <c r="TIL36" s="143"/>
      <c r="TIM36" s="143"/>
      <c r="TIN36" s="143"/>
      <c r="TIO36" s="143"/>
      <c r="TIP36" s="143"/>
      <c r="TIQ36" s="143"/>
      <c r="TIR36" s="143"/>
      <c r="TIS36" s="143"/>
      <c r="TIT36" s="143"/>
      <c r="TIU36" s="143"/>
      <c r="TIV36" s="143"/>
      <c r="TIW36" s="143"/>
      <c r="TIX36" s="143"/>
      <c r="TIY36" s="143"/>
      <c r="TIZ36" s="143"/>
      <c r="TJA36" s="143"/>
      <c r="TJB36" s="143"/>
      <c r="TJC36" s="143"/>
      <c r="TJD36" s="143"/>
      <c r="TJE36" s="143"/>
      <c r="TJF36" s="143"/>
      <c r="TJG36" s="143"/>
      <c r="TJH36" s="143"/>
      <c r="TJI36" s="143"/>
      <c r="TJJ36" s="143"/>
      <c r="TJK36" s="143"/>
      <c r="TJL36" s="143"/>
      <c r="TJM36" s="143"/>
      <c r="TJN36" s="143"/>
      <c r="TJO36" s="143"/>
      <c r="TJP36" s="143"/>
      <c r="TJQ36" s="143"/>
      <c r="TJR36" s="143"/>
      <c r="TJS36" s="143"/>
      <c r="TJT36" s="143"/>
      <c r="TJU36" s="143"/>
      <c r="TJV36" s="143"/>
      <c r="TJW36" s="143"/>
      <c r="TJX36" s="143"/>
      <c r="TJY36" s="143"/>
      <c r="TJZ36" s="143"/>
      <c r="TKA36" s="143"/>
      <c r="TKB36" s="143"/>
      <c r="TKC36" s="143"/>
      <c r="TKD36" s="143"/>
      <c r="TKE36" s="143"/>
      <c r="TKF36" s="143"/>
      <c r="TKG36" s="143"/>
      <c r="TKH36" s="143"/>
      <c r="TKI36" s="143"/>
      <c r="TKJ36" s="143"/>
      <c r="TKK36" s="143"/>
      <c r="TKL36" s="143"/>
      <c r="TKM36" s="143"/>
      <c r="TKN36" s="143"/>
      <c r="TKO36" s="143"/>
      <c r="TKP36" s="143"/>
      <c r="TKQ36" s="143"/>
      <c r="TKR36" s="143"/>
      <c r="TKS36" s="143"/>
      <c r="TKT36" s="143"/>
      <c r="TKU36" s="143"/>
      <c r="TKV36" s="143"/>
      <c r="TKW36" s="143"/>
      <c r="TKX36" s="143"/>
      <c r="TKY36" s="143"/>
      <c r="TKZ36" s="143"/>
      <c r="TLA36" s="143"/>
      <c r="TLB36" s="143"/>
      <c r="TLC36" s="143"/>
      <c r="TLD36" s="143"/>
      <c r="TLE36" s="143"/>
      <c r="TLF36" s="143"/>
      <c r="TLG36" s="143"/>
      <c r="TLH36" s="143"/>
      <c r="TLI36" s="143"/>
      <c r="TLJ36" s="143"/>
      <c r="TLK36" s="143"/>
      <c r="TLL36" s="143"/>
      <c r="TLM36" s="143"/>
      <c r="TLN36" s="143"/>
      <c r="TLO36" s="143"/>
      <c r="TLP36" s="143"/>
      <c r="TLQ36" s="143"/>
      <c r="TLR36" s="143"/>
      <c r="TLS36" s="143"/>
      <c r="TLT36" s="143"/>
      <c r="TLU36" s="143"/>
      <c r="TLV36" s="143"/>
      <c r="TLW36" s="143"/>
      <c r="TLX36" s="143"/>
      <c r="TLY36" s="143"/>
      <c r="TLZ36" s="143"/>
      <c r="TMA36" s="143"/>
      <c r="TMB36" s="143"/>
      <c r="TMC36" s="143"/>
      <c r="TMD36" s="143"/>
      <c r="TME36" s="143"/>
      <c r="TMF36" s="143"/>
      <c r="TMG36" s="143"/>
      <c r="TMH36" s="143"/>
      <c r="TMI36" s="143"/>
      <c r="TMJ36" s="143"/>
      <c r="TMK36" s="143"/>
      <c r="TML36" s="143"/>
      <c r="TMM36" s="143"/>
      <c r="TMN36" s="143"/>
      <c r="TMO36" s="143"/>
      <c r="TMP36" s="143"/>
      <c r="TMQ36" s="143"/>
      <c r="TMR36" s="143"/>
      <c r="TMS36" s="143"/>
      <c r="TMT36" s="143"/>
      <c r="TMU36" s="143"/>
      <c r="TMV36" s="143"/>
      <c r="TMW36" s="143"/>
      <c r="TMX36" s="143"/>
      <c r="TMY36" s="143"/>
      <c r="TMZ36" s="143"/>
      <c r="TNA36" s="143"/>
      <c r="TNB36" s="143"/>
      <c r="TNC36" s="143"/>
      <c r="TND36" s="143"/>
      <c r="TNE36" s="143"/>
      <c r="TNF36" s="143"/>
      <c r="TNG36" s="143"/>
      <c r="TNH36" s="143"/>
      <c r="TNI36" s="143"/>
      <c r="TNJ36" s="143"/>
      <c r="TNK36" s="143"/>
      <c r="TNL36" s="143"/>
      <c r="TNM36" s="143"/>
      <c r="TNN36" s="143"/>
      <c r="TNO36" s="143"/>
      <c r="TNP36" s="143"/>
      <c r="TNQ36" s="143"/>
      <c r="TNR36" s="143"/>
      <c r="TNS36" s="143"/>
      <c r="TNT36" s="143"/>
      <c r="TNU36" s="143"/>
      <c r="TNV36" s="143"/>
      <c r="TNW36" s="143"/>
      <c r="TNX36" s="143"/>
      <c r="TNY36" s="143"/>
      <c r="TNZ36" s="143"/>
      <c r="TOA36" s="143"/>
      <c r="TOB36" s="143"/>
      <c r="TOC36" s="143"/>
      <c r="TOD36" s="143"/>
      <c r="TOE36" s="143"/>
      <c r="TOF36" s="143"/>
      <c r="TOG36" s="143"/>
      <c r="TOH36" s="143"/>
      <c r="TOI36" s="143"/>
      <c r="TOJ36" s="143"/>
      <c r="TOK36" s="143"/>
      <c r="TOL36" s="143"/>
      <c r="TOM36" s="143"/>
      <c r="TON36" s="143"/>
      <c r="TOO36" s="143"/>
      <c r="TOP36" s="143"/>
      <c r="TOQ36" s="143"/>
      <c r="TOR36" s="143"/>
      <c r="TOS36" s="143"/>
      <c r="TOT36" s="143"/>
      <c r="TOU36" s="143"/>
      <c r="TOV36" s="143"/>
      <c r="TOW36" s="143"/>
      <c r="TOX36" s="143"/>
      <c r="TOY36" s="143"/>
      <c r="TOZ36" s="143"/>
      <c r="TPA36" s="143"/>
      <c r="TPB36" s="143"/>
      <c r="TPC36" s="143"/>
      <c r="TPD36" s="143"/>
      <c r="TPE36" s="143"/>
      <c r="TPF36" s="143"/>
      <c r="TPG36" s="143"/>
      <c r="TPH36" s="143"/>
      <c r="TPI36" s="143"/>
      <c r="TPJ36" s="143"/>
      <c r="TPK36" s="143"/>
      <c r="TPL36" s="143"/>
      <c r="TPM36" s="143"/>
      <c r="TPN36" s="143"/>
      <c r="TPO36" s="143"/>
      <c r="TPP36" s="143"/>
      <c r="TPQ36" s="143"/>
      <c r="TPR36" s="143"/>
      <c r="TPS36" s="143"/>
      <c r="TPT36" s="143"/>
      <c r="TPU36" s="143"/>
      <c r="TPV36" s="143"/>
      <c r="TPW36" s="143"/>
      <c r="TPX36" s="143"/>
      <c r="TPY36" s="143"/>
      <c r="TPZ36" s="143"/>
      <c r="TQA36" s="143"/>
      <c r="TQB36" s="143"/>
      <c r="TQC36" s="143"/>
      <c r="TQD36" s="143"/>
      <c r="TQE36" s="143"/>
      <c r="TQF36" s="143"/>
      <c r="TQG36" s="143"/>
      <c r="TQH36" s="143"/>
      <c r="TQI36" s="143"/>
      <c r="TQJ36" s="143"/>
      <c r="TQK36" s="143"/>
      <c r="TQL36" s="143"/>
      <c r="TQM36" s="143"/>
      <c r="TQN36" s="143"/>
      <c r="TQO36" s="143"/>
      <c r="TQP36" s="143"/>
      <c r="TQQ36" s="143"/>
      <c r="TQR36" s="143"/>
      <c r="TQS36" s="143"/>
      <c r="TQT36" s="143"/>
      <c r="TQU36" s="143"/>
      <c r="TQV36" s="143"/>
      <c r="TQW36" s="143"/>
      <c r="TQX36" s="143"/>
      <c r="TQY36" s="143"/>
      <c r="TQZ36" s="143"/>
      <c r="TRA36" s="143"/>
      <c r="TRB36" s="143"/>
      <c r="TRC36" s="143"/>
      <c r="TRD36" s="143"/>
      <c r="TRE36" s="143"/>
      <c r="TRF36" s="143"/>
      <c r="TRG36" s="143"/>
      <c r="TRH36" s="143"/>
      <c r="TRI36" s="143"/>
      <c r="TRJ36" s="143"/>
      <c r="TRK36" s="143"/>
      <c r="TRL36" s="143"/>
      <c r="TRM36" s="143"/>
      <c r="TRN36" s="143"/>
      <c r="TRO36" s="143"/>
      <c r="TRP36" s="143"/>
      <c r="TRQ36" s="143"/>
      <c r="TRR36" s="143"/>
      <c r="TRS36" s="143"/>
      <c r="TRT36" s="143"/>
      <c r="TRU36" s="143"/>
      <c r="TRV36" s="143"/>
      <c r="TRW36" s="143"/>
      <c r="TRX36" s="143"/>
      <c r="TRY36" s="143"/>
      <c r="TRZ36" s="143"/>
      <c r="TSA36" s="143"/>
      <c r="TSB36" s="143"/>
      <c r="TSC36" s="143"/>
      <c r="TSD36" s="143"/>
      <c r="TSE36" s="143"/>
      <c r="TSF36" s="143"/>
      <c r="TSG36" s="143"/>
      <c r="TSH36" s="143"/>
      <c r="TSI36" s="143"/>
      <c r="TSJ36" s="143"/>
      <c r="TSK36" s="143"/>
      <c r="TSL36" s="143"/>
      <c r="TSM36" s="143"/>
      <c r="TSN36" s="143"/>
      <c r="TSO36" s="143"/>
      <c r="TSP36" s="143"/>
      <c r="TSQ36" s="143"/>
      <c r="TSR36" s="143"/>
      <c r="TSS36" s="143"/>
      <c r="TST36" s="143"/>
      <c r="TSU36" s="143"/>
      <c r="TSV36" s="143"/>
      <c r="TSW36" s="143"/>
      <c r="TSX36" s="143"/>
      <c r="TSY36" s="143"/>
      <c r="TSZ36" s="143"/>
      <c r="TTA36" s="143"/>
      <c r="TTB36" s="143"/>
      <c r="TTC36" s="143"/>
      <c r="TTD36" s="143"/>
      <c r="TTE36" s="143"/>
      <c r="TTF36" s="143"/>
      <c r="TTG36" s="143"/>
      <c r="TTH36" s="143"/>
      <c r="TTI36" s="143"/>
      <c r="TTJ36" s="143"/>
      <c r="TTK36" s="143"/>
      <c r="TTL36" s="143"/>
      <c r="TTM36" s="143"/>
      <c r="TTN36" s="143"/>
      <c r="TTO36" s="143"/>
      <c r="TTP36" s="143"/>
      <c r="TTQ36" s="143"/>
      <c r="TTR36" s="143"/>
      <c r="TTS36" s="143"/>
      <c r="TTT36" s="143"/>
      <c r="TTU36" s="143"/>
      <c r="TTV36" s="143"/>
      <c r="TTW36" s="143"/>
      <c r="TTX36" s="143"/>
      <c r="TTY36" s="143"/>
      <c r="TTZ36" s="143"/>
      <c r="TUA36" s="143"/>
      <c r="TUB36" s="143"/>
      <c r="TUC36" s="143"/>
      <c r="TUD36" s="143"/>
      <c r="TUE36" s="143"/>
      <c r="TUF36" s="143"/>
      <c r="TUG36" s="143"/>
      <c r="TUH36" s="143"/>
      <c r="TUI36" s="143"/>
      <c r="TUJ36" s="143"/>
      <c r="TUK36" s="143"/>
      <c r="TUL36" s="143"/>
      <c r="TUM36" s="143"/>
      <c r="TUN36" s="143"/>
      <c r="TUO36" s="143"/>
      <c r="TUP36" s="143"/>
      <c r="TUQ36" s="143"/>
      <c r="TUR36" s="143"/>
      <c r="TUS36" s="143"/>
      <c r="TUT36" s="143"/>
      <c r="TUU36" s="143"/>
      <c r="TUV36" s="143"/>
      <c r="TUW36" s="143"/>
      <c r="TUX36" s="143"/>
      <c r="TUY36" s="143"/>
      <c r="TUZ36" s="143"/>
      <c r="TVA36" s="143"/>
      <c r="TVB36" s="143"/>
      <c r="TVC36" s="143"/>
      <c r="TVD36" s="143"/>
      <c r="TVE36" s="143"/>
      <c r="TVF36" s="143"/>
      <c r="TVG36" s="143"/>
      <c r="TVH36" s="143"/>
      <c r="TVI36" s="143"/>
      <c r="TVJ36" s="143"/>
      <c r="TVK36" s="143"/>
      <c r="TVL36" s="143"/>
      <c r="TVM36" s="143"/>
      <c r="TVN36" s="143"/>
      <c r="TVO36" s="143"/>
      <c r="TVP36" s="143"/>
      <c r="TVQ36" s="143"/>
      <c r="TVR36" s="143"/>
      <c r="TVS36" s="143"/>
      <c r="TVT36" s="143"/>
      <c r="TVU36" s="143"/>
      <c r="TVV36" s="143"/>
      <c r="TVW36" s="143"/>
      <c r="TVX36" s="143"/>
      <c r="TVY36" s="143"/>
      <c r="TVZ36" s="143"/>
      <c r="TWA36" s="143"/>
      <c r="TWB36" s="143"/>
      <c r="TWC36" s="143"/>
      <c r="TWD36" s="143"/>
      <c r="TWE36" s="143"/>
      <c r="TWF36" s="143"/>
      <c r="TWG36" s="143"/>
      <c r="TWH36" s="143"/>
      <c r="TWI36" s="143"/>
      <c r="TWJ36" s="143"/>
      <c r="TWK36" s="143"/>
      <c r="TWL36" s="143"/>
      <c r="TWM36" s="143"/>
      <c r="TWN36" s="143"/>
      <c r="TWO36" s="143"/>
      <c r="TWP36" s="143"/>
      <c r="TWQ36" s="143"/>
      <c r="TWR36" s="143"/>
      <c r="TWS36" s="143"/>
      <c r="TWT36" s="143"/>
      <c r="TWU36" s="143"/>
      <c r="TWV36" s="143"/>
      <c r="TWW36" s="143"/>
      <c r="TWX36" s="143"/>
      <c r="TWY36" s="143"/>
      <c r="TWZ36" s="143"/>
      <c r="TXA36" s="143"/>
      <c r="TXB36" s="143"/>
      <c r="TXC36" s="143"/>
      <c r="TXD36" s="143"/>
      <c r="TXE36" s="143"/>
      <c r="TXF36" s="143"/>
      <c r="TXG36" s="143"/>
      <c r="TXH36" s="143"/>
      <c r="TXI36" s="143"/>
      <c r="TXJ36" s="143"/>
      <c r="TXK36" s="143"/>
      <c r="TXL36" s="143"/>
      <c r="TXM36" s="143"/>
      <c r="TXN36" s="143"/>
      <c r="TXO36" s="143"/>
      <c r="TXP36" s="143"/>
      <c r="TXQ36" s="143"/>
      <c r="TXR36" s="143"/>
      <c r="TXS36" s="143"/>
      <c r="TXT36" s="143"/>
      <c r="TXU36" s="143"/>
      <c r="TXV36" s="143"/>
      <c r="TXW36" s="143"/>
      <c r="TXX36" s="143"/>
      <c r="TXY36" s="143"/>
      <c r="TXZ36" s="143"/>
      <c r="TYA36" s="143"/>
      <c r="TYB36" s="143"/>
      <c r="TYC36" s="143"/>
      <c r="TYD36" s="143"/>
      <c r="TYE36" s="143"/>
      <c r="TYF36" s="143"/>
      <c r="TYG36" s="143"/>
      <c r="TYH36" s="143"/>
      <c r="TYI36" s="143"/>
      <c r="TYJ36" s="143"/>
      <c r="TYK36" s="143"/>
      <c r="TYL36" s="143"/>
      <c r="TYM36" s="143"/>
      <c r="TYN36" s="143"/>
      <c r="TYO36" s="143"/>
      <c r="TYP36" s="143"/>
      <c r="TYQ36" s="143"/>
      <c r="TYR36" s="143"/>
      <c r="TYS36" s="143"/>
      <c r="TYT36" s="143"/>
      <c r="TYU36" s="143"/>
      <c r="TYV36" s="143"/>
      <c r="TYW36" s="143"/>
      <c r="TYX36" s="143"/>
      <c r="TYY36" s="143"/>
      <c r="TYZ36" s="143"/>
      <c r="TZA36" s="143"/>
      <c r="TZB36" s="143"/>
      <c r="TZC36" s="143"/>
      <c r="TZD36" s="143"/>
      <c r="TZE36" s="143"/>
      <c r="TZF36" s="143"/>
      <c r="TZG36" s="143"/>
      <c r="TZH36" s="143"/>
      <c r="TZI36" s="143"/>
      <c r="TZJ36" s="143"/>
      <c r="TZK36" s="143"/>
      <c r="TZL36" s="143"/>
      <c r="TZM36" s="143"/>
      <c r="TZN36" s="143"/>
      <c r="TZO36" s="143"/>
      <c r="TZP36" s="143"/>
      <c r="TZQ36" s="143"/>
      <c r="TZR36" s="143"/>
      <c r="TZS36" s="143"/>
      <c r="TZT36" s="143"/>
      <c r="TZU36" s="143"/>
      <c r="TZV36" s="143"/>
      <c r="TZW36" s="143"/>
      <c r="TZX36" s="143"/>
      <c r="TZY36" s="143"/>
      <c r="TZZ36" s="143"/>
      <c r="UAA36" s="143"/>
      <c r="UAB36" s="143"/>
      <c r="UAC36" s="143"/>
      <c r="UAD36" s="143"/>
      <c r="UAE36" s="143"/>
      <c r="UAF36" s="143"/>
      <c r="UAG36" s="143"/>
      <c r="UAH36" s="143"/>
      <c r="UAI36" s="143"/>
      <c r="UAJ36" s="143"/>
      <c r="UAK36" s="143"/>
      <c r="UAL36" s="143"/>
      <c r="UAM36" s="143"/>
      <c r="UAN36" s="143"/>
      <c r="UAO36" s="143"/>
      <c r="UAP36" s="143"/>
      <c r="UAQ36" s="143"/>
      <c r="UAR36" s="143"/>
      <c r="UAS36" s="143"/>
      <c r="UAT36" s="143"/>
      <c r="UAU36" s="143"/>
      <c r="UAV36" s="143"/>
      <c r="UAW36" s="143"/>
      <c r="UAX36" s="143"/>
      <c r="UAY36" s="143"/>
      <c r="UAZ36" s="143"/>
      <c r="UBA36" s="143"/>
      <c r="UBB36" s="143"/>
      <c r="UBC36" s="143"/>
      <c r="UBD36" s="143"/>
      <c r="UBE36" s="143"/>
      <c r="UBF36" s="143"/>
      <c r="UBG36" s="143"/>
      <c r="UBH36" s="143"/>
      <c r="UBI36" s="143"/>
      <c r="UBJ36" s="143"/>
      <c r="UBK36" s="143"/>
      <c r="UBL36" s="143"/>
      <c r="UBM36" s="143"/>
      <c r="UBN36" s="143"/>
      <c r="UBO36" s="143"/>
      <c r="UBP36" s="143"/>
      <c r="UBQ36" s="143"/>
      <c r="UBR36" s="143"/>
      <c r="UBS36" s="143"/>
      <c r="UBT36" s="143"/>
      <c r="UBU36" s="143"/>
      <c r="UBV36" s="143"/>
      <c r="UBW36" s="143"/>
      <c r="UBX36" s="143"/>
      <c r="UBY36" s="143"/>
      <c r="UBZ36" s="143"/>
      <c r="UCA36" s="143"/>
      <c r="UCB36" s="143"/>
      <c r="UCC36" s="143"/>
      <c r="UCD36" s="143"/>
      <c r="UCE36" s="143"/>
      <c r="UCF36" s="143"/>
      <c r="UCG36" s="143"/>
      <c r="UCH36" s="143"/>
      <c r="UCI36" s="143"/>
      <c r="UCJ36" s="143"/>
      <c r="UCK36" s="143"/>
      <c r="UCL36" s="143"/>
      <c r="UCM36" s="143"/>
      <c r="UCN36" s="143"/>
      <c r="UCO36" s="143"/>
      <c r="UCP36" s="143"/>
      <c r="UCQ36" s="143"/>
      <c r="UCR36" s="143"/>
      <c r="UCS36" s="143"/>
      <c r="UCT36" s="143"/>
      <c r="UCU36" s="143"/>
      <c r="UCV36" s="143"/>
      <c r="UCW36" s="143"/>
      <c r="UCX36" s="143"/>
      <c r="UCY36" s="143"/>
      <c r="UCZ36" s="143"/>
      <c r="UDA36" s="143"/>
      <c r="UDB36" s="143"/>
      <c r="UDC36" s="143"/>
      <c r="UDD36" s="143"/>
      <c r="UDE36" s="143"/>
      <c r="UDF36" s="143"/>
      <c r="UDG36" s="143"/>
      <c r="UDH36" s="143"/>
      <c r="UDI36" s="143"/>
      <c r="UDJ36" s="143"/>
      <c r="UDK36" s="143"/>
      <c r="UDL36" s="143"/>
      <c r="UDM36" s="143"/>
      <c r="UDN36" s="143"/>
      <c r="UDO36" s="143"/>
      <c r="UDP36" s="143"/>
      <c r="UDQ36" s="143"/>
      <c r="UDR36" s="143"/>
      <c r="UDS36" s="143"/>
      <c r="UDT36" s="143"/>
      <c r="UDU36" s="143"/>
      <c r="UDV36" s="143"/>
      <c r="UDW36" s="143"/>
      <c r="UDX36" s="143"/>
      <c r="UDY36" s="143"/>
      <c r="UDZ36" s="143"/>
      <c r="UEA36" s="143"/>
      <c r="UEB36" s="143"/>
      <c r="UEC36" s="143"/>
      <c r="UED36" s="143"/>
      <c r="UEE36" s="143"/>
      <c r="UEF36" s="143"/>
      <c r="UEG36" s="143"/>
      <c r="UEH36" s="143"/>
      <c r="UEI36" s="143"/>
      <c r="UEJ36" s="143"/>
      <c r="UEK36" s="143"/>
      <c r="UEL36" s="143"/>
      <c r="UEM36" s="143"/>
      <c r="UEN36" s="143"/>
      <c r="UEO36" s="143"/>
      <c r="UEP36" s="143"/>
      <c r="UEQ36" s="143"/>
      <c r="UER36" s="143"/>
      <c r="UES36" s="143"/>
      <c r="UET36" s="143"/>
      <c r="UEU36" s="143"/>
      <c r="UEV36" s="143"/>
      <c r="UEW36" s="143"/>
      <c r="UEX36" s="143"/>
      <c r="UEY36" s="143"/>
      <c r="UEZ36" s="143"/>
      <c r="UFA36" s="143"/>
      <c r="UFB36" s="143"/>
      <c r="UFC36" s="143"/>
      <c r="UFD36" s="143"/>
      <c r="UFE36" s="143"/>
      <c r="UFF36" s="143"/>
      <c r="UFG36" s="143"/>
      <c r="UFH36" s="143"/>
      <c r="UFI36" s="143"/>
      <c r="UFJ36" s="143"/>
      <c r="UFK36" s="143"/>
      <c r="UFL36" s="143"/>
      <c r="UFM36" s="143"/>
      <c r="UFN36" s="143"/>
      <c r="UFO36" s="143"/>
      <c r="UFP36" s="143"/>
      <c r="UFQ36" s="143"/>
      <c r="UFR36" s="143"/>
      <c r="UFS36" s="143"/>
      <c r="UFT36" s="143"/>
      <c r="UFU36" s="143"/>
      <c r="UFV36" s="143"/>
      <c r="UFW36" s="143"/>
      <c r="UFX36" s="143"/>
      <c r="UFY36" s="143"/>
      <c r="UFZ36" s="143"/>
      <c r="UGA36" s="143"/>
      <c r="UGB36" s="143"/>
      <c r="UGC36" s="143"/>
      <c r="UGD36" s="143"/>
      <c r="UGE36" s="143"/>
      <c r="UGF36" s="143"/>
      <c r="UGG36" s="143"/>
      <c r="UGH36" s="143"/>
      <c r="UGI36" s="143"/>
      <c r="UGJ36" s="143"/>
      <c r="UGK36" s="143"/>
      <c r="UGL36" s="143"/>
      <c r="UGM36" s="143"/>
      <c r="UGN36" s="143"/>
      <c r="UGO36" s="143"/>
      <c r="UGP36" s="143"/>
      <c r="UGQ36" s="143"/>
      <c r="UGR36" s="143"/>
      <c r="UGS36" s="143"/>
      <c r="UGT36" s="143"/>
      <c r="UGU36" s="143"/>
      <c r="UGV36" s="143"/>
      <c r="UGW36" s="143"/>
      <c r="UGX36" s="143"/>
      <c r="UGY36" s="143"/>
      <c r="UGZ36" s="143"/>
      <c r="UHA36" s="143"/>
      <c r="UHB36" s="143"/>
      <c r="UHC36" s="143"/>
      <c r="UHD36" s="143"/>
      <c r="UHE36" s="143"/>
      <c r="UHF36" s="143"/>
      <c r="UHG36" s="143"/>
      <c r="UHH36" s="143"/>
      <c r="UHI36" s="143"/>
      <c r="UHJ36" s="143"/>
      <c r="UHK36" s="143"/>
      <c r="UHL36" s="143"/>
      <c r="UHM36" s="143"/>
      <c r="UHN36" s="143"/>
      <c r="UHO36" s="143"/>
      <c r="UHP36" s="143"/>
      <c r="UHQ36" s="143"/>
      <c r="UHR36" s="143"/>
      <c r="UHS36" s="143"/>
      <c r="UHT36" s="143"/>
      <c r="UHU36" s="143"/>
      <c r="UHV36" s="143"/>
      <c r="UHW36" s="143"/>
      <c r="UHX36" s="143"/>
      <c r="UHY36" s="143"/>
      <c r="UHZ36" s="143"/>
      <c r="UIA36" s="143"/>
      <c r="UIB36" s="143"/>
      <c r="UIC36" s="143"/>
      <c r="UID36" s="143"/>
      <c r="UIE36" s="143"/>
      <c r="UIF36" s="143"/>
      <c r="UIG36" s="143"/>
      <c r="UIH36" s="143"/>
      <c r="UII36" s="143"/>
      <c r="UIJ36" s="143"/>
      <c r="UIK36" s="143"/>
      <c r="UIL36" s="143"/>
      <c r="UIM36" s="143"/>
      <c r="UIN36" s="143"/>
      <c r="UIO36" s="143"/>
      <c r="UIP36" s="143"/>
      <c r="UIQ36" s="143"/>
      <c r="UIR36" s="143"/>
      <c r="UIS36" s="143"/>
      <c r="UIT36" s="143"/>
      <c r="UIU36" s="143"/>
      <c r="UIV36" s="143"/>
      <c r="UIW36" s="143"/>
      <c r="UIX36" s="143"/>
      <c r="UIY36" s="143"/>
      <c r="UIZ36" s="143"/>
      <c r="UJA36" s="143"/>
      <c r="UJB36" s="143"/>
      <c r="UJC36" s="143"/>
      <c r="UJD36" s="143"/>
      <c r="UJE36" s="143"/>
      <c r="UJF36" s="143"/>
      <c r="UJG36" s="143"/>
      <c r="UJH36" s="143"/>
      <c r="UJI36" s="143"/>
      <c r="UJJ36" s="143"/>
      <c r="UJK36" s="143"/>
      <c r="UJL36" s="143"/>
      <c r="UJM36" s="143"/>
      <c r="UJN36" s="143"/>
      <c r="UJO36" s="143"/>
      <c r="UJP36" s="143"/>
      <c r="UJQ36" s="143"/>
      <c r="UJR36" s="143"/>
      <c r="UJS36" s="143"/>
      <c r="UJT36" s="143"/>
      <c r="UJU36" s="143"/>
      <c r="UJV36" s="143"/>
      <c r="UJW36" s="143"/>
      <c r="UJX36" s="143"/>
      <c r="UJY36" s="143"/>
      <c r="UJZ36" s="143"/>
      <c r="UKA36" s="143"/>
      <c r="UKB36" s="143"/>
      <c r="UKC36" s="143"/>
      <c r="UKD36" s="143"/>
      <c r="UKE36" s="143"/>
      <c r="UKF36" s="143"/>
      <c r="UKG36" s="143"/>
      <c r="UKH36" s="143"/>
      <c r="UKI36" s="143"/>
      <c r="UKJ36" s="143"/>
      <c r="UKK36" s="143"/>
      <c r="UKL36" s="143"/>
      <c r="UKM36" s="143"/>
      <c r="UKN36" s="143"/>
      <c r="UKO36" s="143"/>
      <c r="UKP36" s="143"/>
      <c r="UKQ36" s="143"/>
      <c r="UKR36" s="143"/>
      <c r="UKS36" s="143"/>
      <c r="UKT36" s="143"/>
      <c r="UKU36" s="143"/>
      <c r="UKV36" s="143"/>
      <c r="UKW36" s="143"/>
      <c r="UKX36" s="143"/>
      <c r="UKY36" s="143"/>
      <c r="UKZ36" s="143"/>
      <c r="ULA36" s="143"/>
      <c r="ULB36" s="143"/>
      <c r="ULC36" s="143"/>
      <c r="ULD36" s="143"/>
      <c r="ULE36" s="143"/>
      <c r="ULF36" s="143"/>
      <c r="ULG36" s="143"/>
      <c r="ULH36" s="143"/>
      <c r="ULI36" s="143"/>
      <c r="ULJ36" s="143"/>
      <c r="ULK36" s="143"/>
      <c r="ULL36" s="143"/>
      <c r="ULM36" s="143"/>
      <c r="ULN36" s="143"/>
      <c r="ULO36" s="143"/>
      <c r="ULP36" s="143"/>
      <c r="ULQ36" s="143"/>
      <c r="ULR36" s="143"/>
      <c r="ULS36" s="143"/>
      <c r="ULT36" s="143"/>
      <c r="ULU36" s="143"/>
      <c r="ULV36" s="143"/>
      <c r="ULW36" s="143"/>
      <c r="ULX36" s="143"/>
      <c r="ULY36" s="143"/>
      <c r="ULZ36" s="143"/>
      <c r="UMA36" s="143"/>
      <c r="UMB36" s="143"/>
      <c r="UMC36" s="143"/>
      <c r="UMD36" s="143"/>
      <c r="UME36" s="143"/>
      <c r="UMF36" s="143"/>
      <c r="UMG36" s="143"/>
      <c r="UMH36" s="143"/>
      <c r="UMI36" s="143"/>
      <c r="UMJ36" s="143"/>
      <c r="UMK36" s="143"/>
      <c r="UML36" s="143"/>
      <c r="UMM36" s="143"/>
      <c r="UMN36" s="143"/>
      <c r="UMO36" s="143"/>
      <c r="UMP36" s="143"/>
      <c r="UMQ36" s="143"/>
      <c r="UMR36" s="143"/>
      <c r="UMS36" s="143"/>
      <c r="UMT36" s="143"/>
      <c r="UMU36" s="143"/>
      <c r="UMV36" s="143"/>
      <c r="UMW36" s="143"/>
      <c r="UMX36" s="143"/>
      <c r="UMY36" s="143"/>
      <c r="UMZ36" s="143"/>
      <c r="UNA36" s="143"/>
      <c r="UNB36" s="143"/>
      <c r="UNC36" s="143"/>
      <c r="UND36" s="143"/>
      <c r="UNE36" s="143"/>
      <c r="UNF36" s="143"/>
      <c r="UNG36" s="143"/>
      <c r="UNH36" s="143"/>
      <c r="UNI36" s="143"/>
      <c r="UNJ36" s="143"/>
      <c r="UNK36" s="143"/>
      <c r="UNL36" s="143"/>
      <c r="UNM36" s="143"/>
      <c r="UNN36" s="143"/>
      <c r="UNO36" s="143"/>
      <c r="UNP36" s="143"/>
      <c r="UNQ36" s="143"/>
      <c r="UNR36" s="143"/>
      <c r="UNS36" s="143"/>
      <c r="UNT36" s="143"/>
      <c r="UNU36" s="143"/>
      <c r="UNV36" s="143"/>
      <c r="UNW36" s="143"/>
      <c r="UNX36" s="143"/>
      <c r="UNY36" s="143"/>
      <c r="UNZ36" s="143"/>
      <c r="UOA36" s="143"/>
      <c r="UOB36" s="143"/>
      <c r="UOC36" s="143"/>
      <c r="UOD36" s="143"/>
      <c r="UOE36" s="143"/>
      <c r="UOF36" s="143"/>
      <c r="UOG36" s="143"/>
      <c r="UOH36" s="143"/>
      <c r="UOI36" s="143"/>
      <c r="UOJ36" s="143"/>
      <c r="UOK36" s="143"/>
      <c r="UOL36" s="143"/>
      <c r="UOM36" s="143"/>
      <c r="UON36" s="143"/>
      <c r="UOO36" s="143"/>
      <c r="UOP36" s="143"/>
      <c r="UOQ36" s="143"/>
      <c r="UOR36" s="143"/>
      <c r="UOS36" s="143"/>
      <c r="UOT36" s="143"/>
      <c r="UOU36" s="143"/>
      <c r="UOV36" s="143"/>
      <c r="UOW36" s="143"/>
      <c r="UOX36" s="143"/>
      <c r="UOY36" s="143"/>
      <c r="UOZ36" s="143"/>
      <c r="UPA36" s="143"/>
      <c r="UPB36" s="143"/>
      <c r="UPC36" s="143"/>
      <c r="UPD36" s="143"/>
      <c r="UPE36" s="143"/>
      <c r="UPF36" s="143"/>
      <c r="UPG36" s="143"/>
      <c r="UPH36" s="143"/>
      <c r="UPI36" s="143"/>
      <c r="UPJ36" s="143"/>
      <c r="UPK36" s="143"/>
      <c r="UPL36" s="143"/>
      <c r="UPM36" s="143"/>
      <c r="UPN36" s="143"/>
      <c r="UPO36" s="143"/>
      <c r="UPP36" s="143"/>
      <c r="UPQ36" s="143"/>
      <c r="UPR36" s="143"/>
      <c r="UPS36" s="143"/>
      <c r="UPT36" s="143"/>
      <c r="UPU36" s="143"/>
      <c r="UPV36" s="143"/>
      <c r="UPW36" s="143"/>
      <c r="UPX36" s="143"/>
      <c r="UPY36" s="143"/>
      <c r="UPZ36" s="143"/>
      <c r="UQA36" s="143"/>
      <c r="UQB36" s="143"/>
      <c r="UQC36" s="143"/>
      <c r="UQD36" s="143"/>
      <c r="UQE36" s="143"/>
      <c r="UQF36" s="143"/>
      <c r="UQG36" s="143"/>
      <c r="UQH36" s="143"/>
      <c r="UQI36" s="143"/>
      <c r="UQJ36" s="143"/>
      <c r="UQK36" s="143"/>
      <c r="UQL36" s="143"/>
      <c r="UQM36" s="143"/>
      <c r="UQN36" s="143"/>
      <c r="UQO36" s="143"/>
      <c r="UQP36" s="143"/>
      <c r="UQQ36" s="143"/>
      <c r="UQR36" s="143"/>
      <c r="UQS36" s="143"/>
      <c r="UQT36" s="143"/>
      <c r="UQU36" s="143"/>
      <c r="UQV36" s="143"/>
      <c r="UQW36" s="143"/>
      <c r="UQX36" s="143"/>
      <c r="UQY36" s="143"/>
      <c r="UQZ36" s="143"/>
      <c r="URA36" s="143"/>
      <c r="URB36" s="143"/>
      <c r="URC36" s="143"/>
      <c r="URD36" s="143"/>
      <c r="URE36" s="143"/>
      <c r="URF36" s="143"/>
      <c r="URG36" s="143"/>
      <c r="URH36" s="143"/>
      <c r="URI36" s="143"/>
      <c r="URJ36" s="143"/>
      <c r="URK36" s="143"/>
      <c r="URL36" s="143"/>
      <c r="URM36" s="143"/>
      <c r="URN36" s="143"/>
      <c r="URO36" s="143"/>
      <c r="URP36" s="143"/>
      <c r="URQ36" s="143"/>
      <c r="URR36" s="143"/>
      <c r="URS36" s="143"/>
      <c r="URT36" s="143"/>
      <c r="URU36" s="143"/>
      <c r="URV36" s="143"/>
      <c r="URW36" s="143"/>
      <c r="URX36" s="143"/>
      <c r="URY36" s="143"/>
      <c r="URZ36" s="143"/>
      <c r="USA36" s="143"/>
      <c r="USB36" s="143"/>
      <c r="USC36" s="143"/>
      <c r="USD36" s="143"/>
      <c r="USE36" s="143"/>
      <c r="USF36" s="143"/>
      <c r="USG36" s="143"/>
      <c r="USH36" s="143"/>
      <c r="USI36" s="143"/>
      <c r="USJ36" s="143"/>
      <c r="USK36" s="143"/>
      <c r="USL36" s="143"/>
      <c r="USM36" s="143"/>
      <c r="USN36" s="143"/>
      <c r="USO36" s="143"/>
      <c r="USP36" s="143"/>
      <c r="USQ36" s="143"/>
      <c r="USR36" s="143"/>
      <c r="USS36" s="143"/>
      <c r="UST36" s="143"/>
      <c r="USU36" s="143"/>
      <c r="USV36" s="143"/>
      <c r="USW36" s="143"/>
      <c r="USX36" s="143"/>
      <c r="USY36" s="143"/>
      <c r="USZ36" s="143"/>
      <c r="UTA36" s="143"/>
      <c r="UTB36" s="143"/>
      <c r="UTC36" s="143"/>
      <c r="UTD36" s="143"/>
      <c r="UTE36" s="143"/>
      <c r="UTF36" s="143"/>
      <c r="UTG36" s="143"/>
      <c r="UTH36" s="143"/>
      <c r="UTI36" s="143"/>
      <c r="UTJ36" s="143"/>
      <c r="UTK36" s="143"/>
      <c r="UTL36" s="143"/>
      <c r="UTM36" s="143"/>
      <c r="UTN36" s="143"/>
      <c r="UTO36" s="143"/>
      <c r="UTP36" s="143"/>
      <c r="UTQ36" s="143"/>
      <c r="UTR36" s="143"/>
      <c r="UTS36" s="143"/>
      <c r="UTT36" s="143"/>
      <c r="UTU36" s="143"/>
      <c r="UTV36" s="143"/>
      <c r="UTW36" s="143"/>
      <c r="UTX36" s="143"/>
      <c r="UTY36" s="143"/>
      <c r="UTZ36" s="143"/>
      <c r="UUA36" s="143"/>
      <c r="UUB36" s="143"/>
      <c r="UUC36" s="143"/>
      <c r="UUD36" s="143"/>
      <c r="UUE36" s="143"/>
      <c r="UUF36" s="143"/>
      <c r="UUG36" s="143"/>
      <c r="UUH36" s="143"/>
      <c r="UUI36" s="143"/>
      <c r="UUJ36" s="143"/>
      <c r="UUK36" s="143"/>
      <c r="UUL36" s="143"/>
      <c r="UUM36" s="143"/>
      <c r="UUN36" s="143"/>
      <c r="UUO36" s="143"/>
      <c r="UUP36" s="143"/>
      <c r="UUQ36" s="143"/>
      <c r="UUR36" s="143"/>
      <c r="UUS36" s="143"/>
      <c r="UUT36" s="143"/>
      <c r="UUU36" s="143"/>
      <c r="UUV36" s="143"/>
      <c r="UUW36" s="143"/>
      <c r="UUX36" s="143"/>
      <c r="UUY36" s="143"/>
      <c r="UUZ36" s="143"/>
      <c r="UVA36" s="143"/>
      <c r="UVB36" s="143"/>
      <c r="UVC36" s="143"/>
      <c r="UVD36" s="143"/>
      <c r="UVE36" s="143"/>
      <c r="UVF36" s="143"/>
      <c r="UVG36" s="143"/>
      <c r="UVH36" s="143"/>
      <c r="UVI36" s="143"/>
      <c r="UVJ36" s="143"/>
      <c r="UVK36" s="143"/>
      <c r="UVL36" s="143"/>
      <c r="UVM36" s="143"/>
      <c r="UVN36" s="143"/>
      <c r="UVO36" s="143"/>
      <c r="UVP36" s="143"/>
      <c r="UVQ36" s="143"/>
      <c r="UVR36" s="143"/>
      <c r="UVS36" s="143"/>
      <c r="UVT36" s="143"/>
      <c r="UVU36" s="143"/>
      <c r="UVV36" s="143"/>
      <c r="UVW36" s="143"/>
      <c r="UVX36" s="143"/>
      <c r="UVY36" s="143"/>
      <c r="UVZ36" s="143"/>
      <c r="UWA36" s="143"/>
      <c r="UWB36" s="143"/>
      <c r="UWC36" s="143"/>
      <c r="UWD36" s="143"/>
      <c r="UWE36" s="143"/>
      <c r="UWF36" s="143"/>
      <c r="UWG36" s="143"/>
      <c r="UWH36" s="143"/>
      <c r="UWI36" s="143"/>
      <c r="UWJ36" s="143"/>
      <c r="UWK36" s="143"/>
      <c r="UWL36" s="143"/>
      <c r="UWM36" s="143"/>
      <c r="UWN36" s="143"/>
      <c r="UWO36" s="143"/>
      <c r="UWP36" s="143"/>
      <c r="UWQ36" s="143"/>
      <c r="UWR36" s="143"/>
      <c r="UWS36" s="143"/>
      <c r="UWT36" s="143"/>
      <c r="UWU36" s="143"/>
      <c r="UWV36" s="143"/>
      <c r="UWW36" s="143"/>
      <c r="UWX36" s="143"/>
      <c r="UWY36" s="143"/>
      <c r="UWZ36" s="143"/>
      <c r="UXA36" s="143"/>
      <c r="UXB36" s="143"/>
      <c r="UXC36" s="143"/>
      <c r="UXD36" s="143"/>
      <c r="UXE36" s="143"/>
      <c r="UXF36" s="143"/>
      <c r="UXG36" s="143"/>
      <c r="UXH36" s="143"/>
      <c r="UXI36" s="143"/>
      <c r="UXJ36" s="143"/>
      <c r="UXK36" s="143"/>
      <c r="UXL36" s="143"/>
      <c r="UXM36" s="143"/>
      <c r="UXN36" s="143"/>
      <c r="UXO36" s="143"/>
      <c r="UXP36" s="143"/>
      <c r="UXQ36" s="143"/>
      <c r="UXR36" s="143"/>
      <c r="UXS36" s="143"/>
      <c r="UXT36" s="143"/>
      <c r="UXU36" s="143"/>
      <c r="UXV36" s="143"/>
      <c r="UXW36" s="143"/>
      <c r="UXX36" s="143"/>
      <c r="UXY36" s="143"/>
      <c r="UXZ36" s="143"/>
      <c r="UYA36" s="143"/>
      <c r="UYB36" s="143"/>
      <c r="UYC36" s="143"/>
      <c r="UYD36" s="143"/>
      <c r="UYE36" s="143"/>
      <c r="UYF36" s="143"/>
      <c r="UYG36" s="143"/>
      <c r="UYH36" s="143"/>
      <c r="UYI36" s="143"/>
      <c r="UYJ36" s="143"/>
      <c r="UYK36" s="143"/>
      <c r="UYL36" s="143"/>
      <c r="UYM36" s="143"/>
      <c r="UYN36" s="143"/>
      <c r="UYO36" s="143"/>
      <c r="UYP36" s="143"/>
      <c r="UYQ36" s="143"/>
      <c r="UYR36" s="143"/>
      <c r="UYS36" s="143"/>
      <c r="UYT36" s="143"/>
      <c r="UYU36" s="143"/>
      <c r="UYV36" s="143"/>
      <c r="UYW36" s="143"/>
      <c r="UYX36" s="143"/>
      <c r="UYY36" s="143"/>
      <c r="UYZ36" s="143"/>
      <c r="UZA36" s="143"/>
      <c r="UZB36" s="143"/>
      <c r="UZC36" s="143"/>
      <c r="UZD36" s="143"/>
      <c r="UZE36" s="143"/>
      <c r="UZF36" s="143"/>
      <c r="UZG36" s="143"/>
      <c r="UZH36" s="143"/>
      <c r="UZI36" s="143"/>
      <c r="UZJ36" s="143"/>
      <c r="UZK36" s="143"/>
      <c r="UZL36" s="143"/>
      <c r="UZM36" s="143"/>
      <c r="UZN36" s="143"/>
      <c r="UZO36" s="143"/>
      <c r="UZP36" s="143"/>
      <c r="UZQ36" s="143"/>
      <c r="UZR36" s="143"/>
      <c r="UZS36" s="143"/>
      <c r="UZT36" s="143"/>
      <c r="UZU36" s="143"/>
      <c r="UZV36" s="143"/>
      <c r="UZW36" s="143"/>
      <c r="UZX36" s="143"/>
      <c r="UZY36" s="143"/>
      <c r="UZZ36" s="143"/>
      <c r="VAA36" s="143"/>
      <c r="VAB36" s="143"/>
      <c r="VAC36" s="143"/>
      <c r="VAD36" s="143"/>
      <c r="VAE36" s="143"/>
      <c r="VAF36" s="143"/>
      <c r="VAG36" s="143"/>
      <c r="VAH36" s="143"/>
      <c r="VAI36" s="143"/>
      <c r="VAJ36" s="143"/>
      <c r="VAK36" s="143"/>
      <c r="VAL36" s="143"/>
      <c r="VAM36" s="143"/>
      <c r="VAN36" s="143"/>
      <c r="VAO36" s="143"/>
      <c r="VAP36" s="143"/>
      <c r="VAQ36" s="143"/>
      <c r="VAR36" s="143"/>
      <c r="VAS36" s="143"/>
      <c r="VAT36" s="143"/>
      <c r="VAU36" s="143"/>
      <c r="VAV36" s="143"/>
      <c r="VAW36" s="143"/>
      <c r="VAX36" s="143"/>
      <c r="VAY36" s="143"/>
      <c r="VAZ36" s="143"/>
      <c r="VBA36" s="143"/>
      <c r="VBB36" s="143"/>
      <c r="VBC36" s="143"/>
      <c r="VBD36" s="143"/>
      <c r="VBE36" s="143"/>
      <c r="VBF36" s="143"/>
      <c r="VBG36" s="143"/>
      <c r="VBH36" s="143"/>
      <c r="VBI36" s="143"/>
      <c r="VBJ36" s="143"/>
      <c r="VBK36" s="143"/>
      <c r="VBL36" s="143"/>
      <c r="VBM36" s="143"/>
      <c r="VBN36" s="143"/>
      <c r="VBO36" s="143"/>
      <c r="VBP36" s="143"/>
      <c r="VBQ36" s="143"/>
      <c r="VBR36" s="143"/>
      <c r="VBS36" s="143"/>
      <c r="VBT36" s="143"/>
      <c r="VBU36" s="143"/>
      <c r="VBV36" s="143"/>
      <c r="VBW36" s="143"/>
      <c r="VBX36" s="143"/>
      <c r="VBY36" s="143"/>
      <c r="VBZ36" s="143"/>
      <c r="VCA36" s="143"/>
      <c r="VCB36" s="143"/>
      <c r="VCC36" s="143"/>
      <c r="VCD36" s="143"/>
      <c r="VCE36" s="143"/>
      <c r="VCF36" s="143"/>
      <c r="VCG36" s="143"/>
      <c r="VCH36" s="143"/>
      <c r="VCI36" s="143"/>
      <c r="VCJ36" s="143"/>
      <c r="VCK36" s="143"/>
      <c r="VCL36" s="143"/>
      <c r="VCM36" s="143"/>
      <c r="VCN36" s="143"/>
      <c r="VCO36" s="143"/>
      <c r="VCP36" s="143"/>
      <c r="VCQ36" s="143"/>
      <c r="VCR36" s="143"/>
      <c r="VCS36" s="143"/>
      <c r="VCT36" s="143"/>
      <c r="VCU36" s="143"/>
      <c r="VCV36" s="143"/>
      <c r="VCW36" s="143"/>
      <c r="VCX36" s="143"/>
      <c r="VCY36" s="143"/>
      <c r="VCZ36" s="143"/>
      <c r="VDA36" s="143"/>
      <c r="VDB36" s="143"/>
      <c r="VDC36" s="143"/>
      <c r="VDD36" s="143"/>
      <c r="VDE36" s="143"/>
      <c r="VDF36" s="143"/>
      <c r="VDG36" s="143"/>
      <c r="VDH36" s="143"/>
      <c r="VDI36" s="143"/>
      <c r="VDJ36" s="143"/>
      <c r="VDK36" s="143"/>
      <c r="VDL36" s="143"/>
      <c r="VDM36" s="143"/>
      <c r="VDN36" s="143"/>
      <c r="VDO36" s="143"/>
      <c r="VDP36" s="143"/>
      <c r="VDQ36" s="143"/>
      <c r="VDR36" s="143"/>
      <c r="VDS36" s="143"/>
      <c r="VDT36" s="143"/>
      <c r="VDU36" s="143"/>
      <c r="VDV36" s="143"/>
      <c r="VDW36" s="143"/>
      <c r="VDX36" s="143"/>
      <c r="VDY36" s="143"/>
      <c r="VDZ36" s="143"/>
      <c r="VEA36" s="143"/>
      <c r="VEB36" s="143"/>
      <c r="VEC36" s="143"/>
      <c r="VED36" s="143"/>
      <c r="VEE36" s="143"/>
      <c r="VEF36" s="143"/>
      <c r="VEG36" s="143"/>
      <c r="VEH36" s="143"/>
      <c r="VEI36" s="143"/>
      <c r="VEJ36" s="143"/>
      <c r="VEK36" s="143"/>
      <c r="VEL36" s="143"/>
      <c r="VEM36" s="143"/>
      <c r="VEN36" s="143"/>
      <c r="VEO36" s="143"/>
      <c r="VEP36" s="143"/>
      <c r="VEQ36" s="143"/>
      <c r="VER36" s="143"/>
      <c r="VES36" s="143"/>
      <c r="VET36" s="143"/>
      <c r="VEU36" s="143"/>
      <c r="VEV36" s="143"/>
      <c r="VEW36" s="143"/>
      <c r="VEX36" s="143"/>
      <c r="VEY36" s="143"/>
      <c r="VEZ36" s="143"/>
      <c r="VFA36" s="143"/>
      <c r="VFB36" s="143"/>
      <c r="VFC36" s="143"/>
      <c r="VFD36" s="143"/>
      <c r="VFE36" s="143"/>
      <c r="VFF36" s="143"/>
      <c r="VFG36" s="143"/>
      <c r="VFH36" s="143"/>
      <c r="VFI36" s="143"/>
      <c r="VFJ36" s="143"/>
      <c r="VFK36" s="143"/>
      <c r="VFL36" s="143"/>
      <c r="VFM36" s="143"/>
      <c r="VFN36" s="143"/>
      <c r="VFO36" s="143"/>
      <c r="VFP36" s="143"/>
      <c r="VFQ36" s="143"/>
      <c r="VFR36" s="143"/>
      <c r="VFS36" s="143"/>
      <c r="VFT36" s="143"/>
      <c r="VFU36" s="143"/>
      <c r="VFV36" s="143"/>
      <c r="VFW36" s="143"/>
      <c r="VFX36" s="143"/>
      <c r="VFY36" s="143"/>
      <c r="VFZ36" s="143"/>
      <c r="VGA36" s="143"/>
      <c r="VGB36" s="143"/>
      <c r="VGC36" s="143"/>
      <c r="VGD36" s="143"/>
      <c r="VGE36" s="143"/>
      <c r="VGF36" s="143"/>
      <c r="VGG36" s="143"/>
      <c r="VGH36" s="143"/>
      <c r="VGI36" s="143"/>
      <c r="VGJ36" s="143"/>
      <c r="VGK36" s="143"/>
      <c r="VGL36" s="143"/>
      <c r="VGM36" s="143"/>
      <c r="VGN36" s="143"/>
      <c r="VGO36" s="143"/>
      <c r="VGP36" s="143"/>
      <c r="VGQ36" s="143"/>
      <c r="VGR36" s="143"/>
      <c r="VGS36" s="143"/>
      <c r="VGT36" s="143"/>
      <c r="VGU36" s="143"/>
      <c r="VGV36" s="143"/>
      <c r="VGW36" s="143"/>
      <c r="VGX36" s="143"/>
      <c r="VGY36" s="143"/>
      <c r="VGZ36" s="143"/>
      <c r="VHA36" s="143"/>
      <c r="VHB36" s="143"/>
      <c r="VHC36" s="143"/>
      <c r="VHD36" s="143"/>
      <c r="VHE36" s="143"/>
      <c r="VHF36" s="143"/>
      <c r="VHG36" s="143"/>
      <c r="VHH36" s="143"/>
      <c r="VHI36" s="143"/>
      <c r="VHJ36" s="143"/>
      <c r="VHK36" s="143"/>
      <c r="VHL36" s="143"/>
      <c r="VHM36" s="143"/>
      <c r="VHN36" s="143"/>
      <c r="VHO36" s="143"/>
      <c r="VHP36" s="143"/>
      <c r="VHQ36" s="143"/>
      <c r="VHR36" s="143"/>
      <c r="VHS36" s="143"/>
      <c r="VHT36" s="143"/>
      <c r="VHU36" s="143"/>
      <c r="VHV36" s="143"/>
      <c r="VHW36" s="143"/>
      <c r="VHX36" s="143"/>
      <c r="VHY36" s="143"/>
      <c r="VHZ36" s="143"/>
      <c r="VIA36" s="143"/>
      <c r="VIB36" s="143"/>
      <c r="VIC36" s="143"/>
      <c r="VID36" s="143"/>
      <c r="VIE36" s="143"/>
      <c r="VIF36" s="143"/>
      <c r="VIG36" s="143"/>
      <c r="VIH36" s="143"/>
      <c r="VII36" s="143"/>
      <c r="VIJ36" s="143"/>
      <c r="VIK36" s="143"/>
      <c r="VIL36" s="143"/>
      <c r="VIM36" s="143"/>
      <c r="VIN36" s="143"/>
      <c r="VIO36" s="143"/>
      <c r="VIP36" s="143"/>
      <c r="VIQ36" s="143"/>
      <c r="VIR36" s="143"/>
      <c r="VIS36" s="143"/>
      <c r="VIT36" s="143"/>
      <c r="VIU36" s="143"/>
      <c r="VIV36" s="143"/>
      <c r="VIW36" s="143"/>
      <c r="VIX36" s="143"/>
      <c r="VIY36" s="143"/>
      <c r="VIZ36" s="143"/>
      <c r="VJA36" s="143"/>
      <c r="VJB36" s="143"/>
      <c r="VJC36" s="143"/>
      <c r="VJD36" s="143"/>
      <c r="VJE36" s="143"/>
      <c r="VJF36" s="143"/>
      <c r="VJG36" s="143"/>
      <c r="VJH36" s="143"/>
      <c r="VJI36" s="143"/>
      <c r="VJJ36" s="143"/>
      <c r="VJK36" s="143"/>
      <c r="VJL36" s="143"/>
      <c r="VJM36" s="143"/>
      <c r="VJN36" s="143"/>
      <c r="VJO36" s="143"/>
      <c r="VJP36" s="143"/>
      <c r="VJQ36" s="143"/>
      <c r="VJR36" s="143"/>
      <c r="VJS36" s="143"/>
      <c r="VJT36" s="143"/>
      <c r="VJU36" s="143"/>
      <c r="VJV36" s="143"/>
      <c r="VJW36" s="143"/>
      <c r="VJX36" s="143"/>
      <c r="VJY36" s="143"/>
      <c r="VJZ36" s="143"/>
      <c r="VKA36" s="143"/>
      <c r="VKB36" s="143"/>
      <c r="VKC36" s="143"/>
      <c r="VKD36" s="143"/>
      <c r="VKE36" s="143"/>
      <c r="VKF36" s="143"/>
      <c r="VKG36" s="143"/>
      <c r="VKH36" s="143"/>
      <c r="VKI36" s="143"/>
      <c r="VKJ36" s="143"/>
      <c r="VKK36" s="143"/>
      <c r="VKL36" s="143"/>
      <c r="VKM36" s="143"/>
      <c r="VKN36" s="143"/>
      <c r="VKO36" s="143"/>
      <c r="VKP36" s="143"/>
      <c r="VKQ36" s="143"/>
      <c r="VKR36" s="143"/>
      <c r="VKS36" s="143"/>
      <c r="VKT36" s="143"/>
      <c r="VKU36" s="143"/>
      <c r="VKV36" s="143"/>
      <c r="VKW36" s="143"/>
      <c r="VKX36" s="143"/>
      <c r="VKY36" s="143"/>
      <c r="VKZ36" s="143"/>
      <c r="VLA36" s="143"/>
      <c r="VLB36" s="143"/>
      <c r="VLC36" s="143"/>
      <c r="VLD36" s="143"/>
      <c r="VLE36" s="143"/>
      <c r="VLF36" s="143"/>
      <c r="VLG36" s="143"/>
      <c r="VLH36" s="143"/>
      <c r="VLI36" s="143"/>
      <c r="VLJ36" s="143"/>
      <c r="VLK36" s="143"/>
      <c r="VLL36" s="143"/>
      <c r="VLM36" s="143"/>
      <c r="VLN36" s="143"/>
      <c r="VLO36" s="143"/>
      <c r="VLP36" s="143"/>
      <c r="VLQ36" s="143"/>
      <c r="VLR36" s="143"/>
      <c r="VLS36" s="143"/>
      <c r="VLT36" s="143"/>
      <c r="VLU36" s="143"/>
      <c r="VLV36" s="143"/>
      <c r="VLW36" s="143"/>
      <c r="VLX36" s="143"/>
      <c r="VLY36" s="143"/>
      <c r="VLZ36" s="143"/>
      <c r="VMA36" s="143"/>
      <c r="VMB36" s="143"/>
      <c r="VMC36" s="143"/>
      <c r="VMD36" s="143"/>
      <c r="VME36" s="143"/>
      <c r="VMF36" s="143"/>
      <c r="VMG36" s="143"/>
      <c r="VMH36" s="143"/>
      <c r="VMI36" s="143"/>
      <c r="VMJ36" s="143"/>
      <c r="VMK36" s="143"/>
      <c r="VML36" s="143"/>
      <c r="VMM36" s="143"/>
      <c r="VMN36" s="143"/>
      <c r="VMO36" s="143"/>
      <c r="VMP36" s="143"/>
      <c r="VMQ36" s="143"/>
      <c r="VMR36" s="143"/>
      <c r="VMS36" s="143"/>
      <c r="VMT36" s="143"/>
      <c r="VMU36" s="143"/>
      <c r="VMV36" s="143"/>
      <c r="VMW36" s="143"/>
      <c r="VMX36" s="143"/>
      <c r="VMY36" s="143"/>
      <c r="VMZ36" s="143"/>
      <c r="VNA36" s="143"/>
      <c r="VNB36" s="143"/>
      <c r="VNC36" s="143"/>
      <c r="VND36" s="143"/>
      <c r="VNE36" s="143"/>
      <c r="VNF36" s="143"/>
      <c r="VNG36" s="143"/>
      <c r="VNH36" s="143"/>
      <c r="VNI36" s="143"/>
      <c r="VNJ36" s="143"/>
      <c r="VNK36" s="143"/>
      <c r="VNL36" s="143"/>
      <c r="VNM36" s="143"/>
      <c r="VNN36" s="143"/>
      <c r="VNO36" s="143"/>
      <c r="VNP36" s="143"/>
      <c r="VNQ36" s="143"/>
      <c r="VNR36" s="143"/>
      <c r="VNS36" s="143"/>
      <c r="VNT36" s="143"/>
      <c r="VNU36" s="143"/>
      <c r="VNV36" s="143"/>
      <c r="VNW36" s="143"/>
      <c r="VNX36" s="143"/>
      <c r="VNY36" s="143"/>
      <c r="VNZ36" s="143"/>
      <c r="VOA36" s="143"/>
      <c r="VOB36" s="143"/>
      <c r="VOC36" s="143"/>
      <c r="VOD36" s="143"/>
      <c r="VOE36" s="143"/>
      <c r="VOF36" s="143"/>
      <c r="VOG36" s="143"/>
      <c r="VOH36" s="143"/>
      <c r="VOI36" s="143"/>
      <c r="VOJ36" s="143"/>
      <c r="VOK36" s="143"/>
      <c r="VOL36" s="143"/>
      <c r="VOM36" s="143"/>
      <c r="VON36" s="143"/>
      <c r="VOO36" s="143"/>
      <c r="VOP36" s="143"/>
      <c r="VOQ36" s="143"/>
      <c r="VOR36" s="143"/>
      <c r="VOS36" s="143"/>
      <c r="VOT36" s="143"/>
      <c r="VOU36" s="143"/>
      <c r="VOV36" s="143"/>
      <c r="VOW36" s="143"/>
      <c r="VOX36" s="143"/>
      <c r="VOY36" s="143"/>
      <c r="VOZ36" s="143"/>
      <c r="VPA36" s="143"/>
      <c r="VPB36" s="143"/>
      <c r="VPC36" s="143"/>
      <c r="VPD36" s="143"/>
      <c r="VPE36" s="143"/>
      <c r="VPF36" s="143"/>
      <c r="VPG36" s="143"/>
      <c r="VPH36" s="143"/>
      <c r="VPI36" s="143"/>
      <c r="VPJ36" s="143"/>
      <c r="VPK36" s="143"/>
      <c r="VPL36" s="143"/>
      <c r="VPM36" s="143"/>
      <c r="VPN36" s="143"/>
      <c r="VPO36" s="143"/>
      <c r="VPP36" s="143"/>
      <c r="VPQ36" s="143"/>
      <c r="VPR36" s="143"/>
      <c r="VPS36" s="143"/>
      <c r="VPT36" s="143"/>
      <c r="VPU36" s="143"/>
      <c r="VPV36" s="143"/>
      <c r="VPW36" s="143"/>
      <c r="VPX36" s="143"/>
      <c r="VPY36" s="143"/>
      <c r="VPZ36" s="143"/>
      <c r="VQA36" s="143"/>
      <c r="VQB36" s="143"/>
      <c r="VQC36" s="143"/>
      <c r="VQD36" s="143"/>
      <c r="VQE36" s="143"/>
      <c r="VQF36" s="143"/>
      <c r="VQG36" s="143"/>
      <c r="VQH36" s="143"/>
      <c r="VQI36" s="143"/>
      <c r="VQJ36" s="143"/>
      <c r="VQK36" s="143"/>
      <c r="VQL36" s="143"/>
      <c r="VQM36" s="143"/>
      <c r="VQN36" s="143"/>
      <c r="VQO36" s="143"/>
      <c r="VQP36" s="143"/>
      <c r="VQQ36" s="143"/>
      <c r="VQR36" s="143"/>
      <c r="VQS36" s="143"/>
      <c r="VQT36" s="143"/>
      <c r="VQU36" s="143"/>
      <c r="VQV36" s="143"/>
      <c r="VQW36" s="143"/>
      <c r="VQX36" s="143"/>
      <c r="VQY36" s="143"/>
      <c r="VQZ36" s="143"/>
      <c r="VRA36" s="143"/>
      <c r="VRB36" s="143"/>
      <c r="VRC36" s="143"/>
      <c r="VRD36" s="143"/>
      <c r="VRE36" s="143"/>
      <c r="VRF36" s="143"/>
      <c r="VRG36" s="143"/>
      <c r="VRH36" s="143"/>
      <c r="VRI36" s="143"/>
      <c r="VRJ36" s="143"/>
      <c r="VRK36" s="143"/>
      <c r="VRL36" s="143"/>
      <c r="VRM36" s="143"/>
      <c r="VRN36" s="143"/>
      <c r="VRO36" s="143"/>
      <c r="VRP36" s="143"/>
      <c r="VRQ36" s="143"/>
      <c r="VRR36" s="143"/>
      <c r="VRS36" s="143"/>
      <c r="VRT36" s="143"/>
      <c r="VRU36" s="143"/>
      <c r="VRV36" s="143"/>
      <c r="VRW36" s="143"/>
      <c r="VRX36" s="143"/>
      <c r="VRY36" s="143"/>
      <c r="VRZ36" s="143"/>
      <c r="VSA36" s="143"/>
      <c r="VSB36" s="143"/>
      <c r="VSC36" s="143"/>
      <c r="VSD36" s="143"/>
      <c r="VSE36" s="143"/>
      <c r="VSF36" s="143"/>
      <c r="VSG36" s="143"/>
      <c r="VSH36" s="143"/>
      <c r="VSI36" s="143"/>
      <c r="VSJ36" s="143"/>
      <c r="VSK36" s="143"/>
      <c r="VSL36" s="143"/>
      <c r="VSM36" s="143"/>
      <c r="VSN36" s="143"/>
      <c r="VSO36" s="143"/>
      <c r="VSP36" s="143"/>
      <c r="VSQ36" s="143"/>
      <c r="VSR36" s="143"/>
      <c r="VSS36" s="143"/>
      <c r="VST36" s="143"/>
      <c r="VSU36" s="143"/>
      <c r="VSV36" s="143"/>
      <c r="VSW36" s="143"/>
      <c r="VSX36" s="143"/>
      <c r="VSY36" s="143"/>
      <c r="VSZ36" s="143"/>
      <c r="VTA36" s="143"/>
      <c r="VTB36" s="143"/>
      <c r="VTC36" s="143"/>
      <c r="VTD36" s="143"/>
      <c r="VTE36" s="143"/>
      <c r="VTF36" s="143"/>
      <c r="VTG36" s="143"/>
      <c r="VTH36" s="143"/>
      <c r="VTI36" s="143"/>
      <c r="VTJ36" s="143"/>
      <c r="VTK36" s="143"/>
      <c r="VTL36" s="143"/>
      <c r="VTM36" s="143"/>
      <c r="VTN36" s="143"/>
      <c r="VTO36" s="143"/>
      <c r="VTP36" s="143"/>
      <c r="VTQ36" s="143"/>
      <c r="VTR36" s="143"/>
      <c r="VTS36" s="143"/>
      <c r="VTT36" s="143"/>
      <c r="VTU36" s="143"/>
      <c r="VTV36" s="143"/>
      <c r="VTW36" s="143"/>
      <c r="VTX36" s="143"/>
      <c r="VTY36" s="143"/>
      <c r="VTZ36" s="143"/>
      <c r="VUA36" s="143"/>
      <c r="VUB36" s="143"/>
      <c r="VUC36" s="143"/>
      <c r="VUD36" s="143"/>
      <c r="VUE36" s="143"/>
      <c r="VUF36" s="143"/>
      <c r="VUG36" s="143"/>
      <c r="VUH36" s="143"/>
      <c r="VUI36" s="143"/>
      <c r="VUJ36" s="143"/>
      <c r="VUK36" s="143"/>
      <c r="VUL36" s="143"/>
      <c r="VUM36" s="143"/>
      <c r="VUN36" s="143"/>
      <c r="VUO36" s="143"/>
      <c r="VUP36" s="143"/>
      <c r="VUQ36" s="143"/>
      <c r="VUR36" s="143"/>
      <c r="VUS36" s="143"/>
      <c r="VUT36" s="143"/>
      <c r="VUU36" s="143"/>
      <c r="VUV36" s="143"/>
      <c r="VUW36" s="143"/>
      <c r="VUX36" s="143"/>
      <c r="VUY36" s="143"/>
      <c r="VUZ36" s="143"/>
      <c r="VVA36" s="143"/>
      <c r="VVB36" s="143"/>
      <c r="VVC36" s="143"/>
      <c r="VVD36" s="143"/>
      <c r="VVE36" s="143"/>
      <c r="VVF36" s="143"/>
      <c r="VVG36" s="143"/>
      <c r="VVH36" s="143"/>
      <c r="VVI36" s="143"/>
      <c r="VVJ36" s="143"/>
      <c r="VVK36" s="143"/>
      <c r="VVL36" s="143"/>
      <c r="VVM36" s="143"/>
      <c r="VVN36" s="143"/>
      <c r="VVO36" s="143"/>
      <c r="VVP36" s="143"/>
      <c r="VVQ36" s="143"/>
      <c r="VVR36" s="143"/>
      <c r="VVS36" s="143"/>
      <c r="VVT36" s="143"/>
      <c r="VVU36" s="143"/>
      <c r="VVV36" s="143"/>
      <c r="VVW36" s="143"/>
      <c r="VVX36" s="143"/>
      <c r="VVY36" s="143"/>
      <c r="VVZ36" s="143"/>
      <c r="VWA36" s="143"/>
      <c r="VWB36" s="143"/>
      <c r="VWC36" s="143"/>
      <c r="VWD36" s="143"/>
      <c r="VWE36" s="143"/>
      <c r="VWF36" s="143"/>
      <c r="VWG36" s="143"/>
      <c r="VWH36" s="143"/>
      <c r="VWI36" s="143"/>
      <c r="VWJ36" s="143"/>
      <c r="VWK36" s="143"/>
      <c r="VWL36" s="143"/>
      <c r="VWM36" s="143"/>
      <c r="VWN36" s="143"/>
      <c r="VWO36" s="143"/>
      <c r="VWP36" s="143"/>
      <c r="VWQ36" s="143"/>
      <c r="VWR36" s="143"/>
      <c r="VWS36" s="143"/>
      <c r="VWT36" s="143"/>
      <c r="VWU36" s="143"/>
      <c r="VWV36" s="143"/>
      <c r="VWW36" s="143"/>
      <c r="VWX36" s="143"/>
      <c r="VWY36" s="143"/>
      <c r="VWZ36" s="143"/>
      <c r="VXA36" s="143"/>
      <c r="VXB36" s="143"/>
      <c r="VXC36" s="143"/>
      <c r="VXD36" s="143"/>
      <c r="VXE36" s="143"/>
      <c r="VXF36" s="143"/>
      <c r="VXG36" s="143"/>
      <c r="VXH36" s="143"/>
      <c r="VXI36" s="143"/>
      <c r="VXJ36" s="143"/>
      <c r="VXK36" s="143"/>
      <c r="VXL36" s="143"/>
      <c r="VXM36" s="143"/>
      <c r="VXN36" s="143"/>
      <c r="VXO36" s="143"/>
      <c r="VXP36" s="143"/>
      <c r="VXQ36" s="143"/>
      <c r="VXR36" s="143"/>
      <c r="VXS36" s="143"/>
      <c r="VXT36" s="143"/>
      <c r="VXU36" s="143"/>
      <c r="VXV36" s="143"/>
      <c r="VXW36" s="143"/>
      <c r="VXX36" s="143"/>
      <c r="VXY36" s="143"/>
      <c r="VXZ36" s="143"/>
      <c r="VYA36" s="143"/>
      <c r="VYB36" s="143"/>
      <c r="VYC36" s="143"/>
      <c r="VYD36" s="143"/>
      <c r="VYE36" s="143"/>
      <c r="VYF36" s="143"/>
      <c r="VYG36" s="143"/>
      <c r="VYH36" s="143"/>
      <c r="VYI36" s="143"/>
      <c r="VYJ36" s="143"/>
      <c r="VYK36" s="143"/>
      <c r="VYL36" s="143"/>
      <c r="VYM36" s="143"/>
      <c r="VYN36" s="143"/>
      <c r="VYO36" s="143"/>
      <c r="VYP36" s="143"/>
      <c r="VYQ36" s="143"/>
      <c r="VYR36" s="143"/>
      <c r="VYS36" s="143"/>
      <c r="VYT36" s="143"/>
      <c r="VYU36" s="143"/>
      <c r="VYV36" s="143"/>
      <c r="VYW36" s="143"/>
      <c r="VYX36" s="143"/>
      <c r="VYY36" s="143"/>
      <c r="VYZ36" s="143"/>
      <c r="VZA36" s="143"/>
      <c r="VZB36" s="143"/>
      <c r="VZC36" s="143"/>
      <c r="VZD36" s="143"/>
      <c r="VZE36" s="143"/>
      <c r="VZF36" s="143"/>
      <c r="VZG36" s="143"/>
      <c r="VZH36" s="143"/>
      <c r="VZI36" s="143"/>
      <c r="VZJ36" s="143"/>
      <c r="VZK36" s="143"/>
      <c r="VZL36" s="143"/>
      <c r="VZM36" s="143"/>
      <c r="VZN36" s="143"/>
      <c r="VZO36" s="143"/>
      <c r="VZP36" s="143"/>
      <c r="VZQ36" s="143"/>
      <c r="VZR36" s="143"/>
      <c r="VZS36" s="143"/>
      <c r="VZT36" s="143"/>
      <c r="VZU36" s="143"/>
      <c r="VZV36" s="143"/>
      <c r="VZW36" s="143"/>
      <c r="VZX36" s="143"/>
      <c r="VZY36" s="143"/>
      <c r="VZZ36" s="143"/>
      <c r="WAA36" s="143"/>
      <c r="WAB36" s="143"/>
      <c r="WAC36" s="143"/>
      <c r="WAD36" s="143"/>
      <c r="WAE36" s="143"/>
      <c r="WAF36" s="143"/>
      <c r="WAG36" s="143"/>
      <c r="WAH36" s="143"/>
      <c r="WAI36" s="143"/>
      <c r="WAJ36" s="143"/>
      <c r="WAK36" s="143"/>
      <c r="WAL36" s="143"/>
      <c r="WAM36" s="143"/>
      <c r="WAN36" s="143"/>
      <c r="WAO36" s="143"/>
      <c r="WAP36" s="143"/>
      <c r="WAQ36" s="143"/>
      <c r="WAR36" s="143"/>
      <c r="WAS36" s="143"/>
      <c r="WAT36" s="143"/>
      <c r="WAU36" s="143"/>
      <c r="WAV36" s="143"/>
      <c r="WAW36" s="143"/>
      <c r="WAX36" s="143"/>
      <c r="WAY36" s="143"/>
      <c r="WAZ36" s="143"/>
      <c r="WBA36" s="143"/>
      <c r="WBB36" s="143"/>
      <c r="WBC36" s="143"/>
      <c r="WBD36" s="143"/>
      <c r="WBE36" s="143"/>
      <c r="WBF36" s="143"/>
      <c r="WBG36" s="143"/>
      <c r="WBH36" s="143"/>
      <c r="WBI36" s="143"/>
      <c r="WBJ36" s="143"/>
      <c r="WBK36" s="143"/>
      <c r="WBL36" s="143"/>
      <c r="WBM36" s="143"/>
      <c r="WBN36" s="143"/>
      <c r="WBO36" s="143"/>
      <c r="WBP36" s="143"/>
      <c r="WBQ36" s="143"/>
      <c r="WBR36" s="143"/>
      <c r="WBS36" s="143"/>
      <c r="WBT36" s="143"/>
      <c r="WBU36" s="143"/>
      <c r="WBV36" s="143"/>
      <c r="WBW36" s="143"/>
      <c r="WBX36" s="143"/>
      <c r="WBY36" s="143"/>
      <c r="WBZ36" s="143"/>
      <c r="WCA36" s="143"/>
      <c r="WCB36" s="143"/>
      <c r="WCC36" s="143"/>
      <c r="WCD36" s="143"/>
      <c r="WCE36" s="143"/>
      <c r="WCF36" s="143"/>
      <c r="WCG36" s="143"/>
      <c r="WCH36" s="143"/>
      <c r="WCI36" s="143"/>
      <c r="WCJ36" s="143"/>
      <c r="WCK36" s="143"/>
      <c r="WCL36" s="143"/>
      <c r="WCM36" s="143"/>
      <c r="WCN36" s="143"/>
      <c r="WCO36" s="143"/>
      <c r="WCP36" s="143"/>
      <c r="WCQ36" s="143"/>
      <c r="WCR36" s="143"/>
      <c r="WCS36" s="143"/>
      <c r="WCT36" s="143"/>
      <c r="WCU36" s="143"/>
      <c r="WCV36" s="143"/>
      <c r="WCW36" s="143"/>
      <c r="WCX36" s="143"/>
      <c r="WCY36" s="143"/>
      <c r="WCZ36" s="143"/>
      <c r="WDA36" s="143"/>
      <c r="WDB36" s="143"/>
      <c r="WDC36" s="143"/>
      <c r="WDD36" s="143"/>
      <c r="WDE36" s="143"/>
      <c r="WDF36" s="143"/>
      <c r="WDG36" s="143"/>
      <c r="WDH36" s="143"/>
      <c r="WDI36" s="143"/>
      <c r="WDJ36" s="143"/>
      <c r="WDK36" s="143"/>
      <c r="WDL36" s="143"/>
      <c r="WDM36" s="143"/>
      <c r="WDN36" s="143"/>
      <c r="WDO36" s="143"/>
      <c r="WDP36" s="143"/>
      <c r="WDQ36" s="143"/>
      <c r="WDR36" s="143"/>
      <c r="WDS36" s="143"/>
      <c r="WDT36" s="143"/>
      <c r="WDU36" s="143"/>
      <c r="WDV36" s="143"/>
      <c r="WDW36" s="143"/>
      <c r="WDX36" s="143"/>
      <c r="WDY36" s="143"/>
      <c r="WDZ36" s="143"/>
      <c r="WEA36" s="143"/>
      <c r="WEB36" s="143"/>
      <c r="WEC36" s="143"/>
      <c r="WED36" s="143"/>
      <c r="WEE36" s="143"/>
      <c r="WEF36" s="143"/>
      <c r="WEG36" s="143"/>
      <c r="WEH36" s="143"/>
      <c r="WEI36" s="143"/>
      <c r="WEJ36" s="143"/>
      <c r="WEK36" s="143"/>
      <c r="WEL36" s="143"/>
      <c r="WEM36" s="143"/>
      <c r="WEN36" s="143"/>
      <c r="WEO36" s="143"/>
      <c r="WEP36" s="143"/>
      <c r="WEQ36" s="143"/>
      <c r="WER36" s="143"/>
      <c r="WES36" s="143"/>
      <c r="WET36" s="143"/>
      <c r="WEU36" s="143"/>
      <c r="WEV36" s="143"/>
      <c r="WEW36" s="143"/>
      <c r="WEX36" s="143"/>
      <c r="WEY36" s="143"/>
      <c r="WEZ36" s="143"/>
      <c r="WFA36" s="143"/>
      <c r="WFB36" s="143"/>
      <c r="WFC36" s="143"/>
      <c r="WFD36" s="143"/>
      <c r="WFE36" s="143"/>
      <c r="WFF36" s="143"/>
      <c r="WFG36" s="143"/>
      <c r="WFH36" s="143"/>
      <c r="WFI36" s="143"/>
      <c r="WFJ36" s="143"/>
      <c r="WFK36" s="143"/>
      <c r="WFL36" s="143"/>
      <c r="WFM36" s="143"/>
      <c r="WFN36" s="143"/>
      <c r="WFO36" s="143"/>
      <c r="WFP36" s="143"/>
      <c r="WFQ36" s="143"/>
      <c r="WFR36" s="143"/>
      <c r="WFS36" s="143"/>
      <c r="WFT36" s="143"/>
      <c r="WFU36" s="143"/>
      <c r="WFV36" s="143"/>
      <c r="WFW36" s="143"/>
      <c r="WFX36" s="143"/>
      <c r="WFY36" s="143"/>
      <c r="WFZ36" s="143"/>
      <c r="WGA36" s="143"/>
      <c r="WGB36" s="143"/>
      <c r="WGC36" s="143"/>
      <c r="WGD36" s="143"/>
      <c r="WGE36" s="143"/>
      <c r="WGF36" s="143"/>
      <c r="WGG36" s="143"/>
      <c r="WGH36" s="143"/>
      <c r="WGI36" s="143"/>
      <c r="WGJ36" s="143"/>
      <c r="WGK36" s="143"/>
      <c r="WGL36" s="143"/>
      <c r="WGM36" s="143"/>
      <c r="WGN36" s="143"/>
      <c r="WGO36" s="143"/>
      <c r="WGP36" s="143"/>
      <c r="WGQ36" s="143"/>
      <c r="WGR36" s="143"/>
      <c r="WGS36" s="143"/>
      <c r="WGT36" s="143"/>
      <c r="WGU36" s="143"/>
      <c r="WGV36" s="143"/>
      <c r="WGW36" s="143"/>
      <c r="WGX36" s="143"/>
      <c r="WGY36" s="143"/>
      <c r="WGZ36" s="143"/>
      <c r="WHA36" s="143"/>
      <c r="WHB36" s="143"/>
      <c r="WHC36" s="143"/>
      <c r="WHD36" s="143"/>
      <c r="WHE36" s="143"/>
      <c r="WHF36" s="143"/>
      <c r="WHG36" s="143"/>
      <c r="WHH36" s="143"/>
      <c r="WHI36" s="143"/>
      <c r="WHJ36" s="143"/>
      <c r="WHK36" s="143"/>
      <c r="WHL36" s="143"/>
      <c r="WHM36" s="143"/>
      <c r="WHN36" s="143"/>
      <c r="WHO36" s="143"/>
      <c r="WHP36" s="143"/>
      <c r="WHQ36" s="143"/>
      <c r="WHR36" s="143"/>
      <c r="WHS36" s="143"/>
      <c r="WHT36" s="143"/>
      <c r="WHU36" s="143"/>
      <c r="WHV36" s="143"/>
      <c r="WHW36" s="143"/>
      <c r="WHX36" s="143"/>
      <c r="WHY36" s="143"/>
      <c r="WHZ36" s="143"/>
      <c r="WIA36" s="143"/>
      <c r="WIB36" s="143"/>
      <c r="WIC36" s="143"/>
      <c r="WID36" s="143"/>
      <c r="WIE36" s="143"/>
      <c r="WIF36" s="143"/>
      <c r="WIG36" s="143"/>
      <c r="WIH36" s="143"/>
      <c r="WII36" s="143"/>
      <c r="WIJ36" s="143"/>
      <c r="WIK36" s="143"/>
      <c r="WIL36" s="143"/>
      <c r="WIM36" s="143"/>
      <c r="WIN36" s="143"/>
      <c r="WIO36" s="143"/>
      <c r="WIP36" s="143"/>
      <c r="WIQ36" s="143"/>
      <c r="WIR36" s="143"/>
      <c r="WIS36" s="143"/>
      <c r="WIT36" s="143"/>
      <c r="WIU36" s="143"/>
      <c r="WIV36" s="143"/>
      <c r="WIW36" s="143"/>
      <c r="WIX36" s="143"/>
      <c r="WIY36" s="143"/>
      <c r="WIZ36" s="143"/>
      <c r="WJA36" s="143"/>
      <c r="WJB36" s="143"/>
      <c r="WJC36" s="143"/>
      <c r="WJD36" s="143"/>
      <c r="WJE36" s="143"/>
      <c r="WJF36" s="143"/>
      <c r="WJG36" s="143"/>
      <c r="WJH36" s="143"/>
      <c r="WJI36" s="143"/>
      <c r="WJJ36" s="143"/>
      <c r="WJK36" s="143"/>
      <c r="WJL36" s="143"/>
      <c r="WJM36" s="143"/>
      <c r="WJN36" s="143"/>
      <c r="WJO36" s="143"/>
      <c r="WJP36" s="143"/>
      <c r="WJQ36" s="143"/>
      <c r="WJR36" s="143"/>
      <c r="WJS36" s="143"/>
      <c r="WJT36" s="143"/>
      <c r="WJU36" s="143"/>
      <c r="WJV36" s="143"/>
      <c r="WJW36" s="143"/>
      <c r="WJX36" s="143"/>
      <c r="WJY36" s="143"/>
      <c r="WJZ36" s="143"/>
      <c r="WKA36" s="143"/>
      <c r="WKB36" s="143"/>
      <c r="WKC36" s="143"/>
      <c r="WKD36" s="143"/>
      <c r="WKE36" s="143"/>
      <c r="WKF36" s="143"/>
      <c r="WKG36" s="143"/>
      <c r="WKH36" s="143"/>
      <c r="WKI36" s="143"/>
      <c r="WKJ36" s="143"/>
      <c r="WKK36" s="143"/>
      <c r="WKL36" s="143"/>
      <c r="WKM36" s="143"/>
      <c r="WKN36" s="143"/>
      <c r="WKO36" s="143"/>
      <c r="WKP36" s="143"/>
      <c r="WKQ36" s="143"/>
      <c r="WKR36" s="143"/>
      <c r="WKS36" s="143"/>
      <c r="WKT36" s="143"/>
      <c r="WKU36" s="143"/>
      <c r="WKV36" s="143"/>
      <c r="WKW36" s="143"/>
      <c r="WKX36" s="143"/>
      <c r="WKY36" s="143"/>
      <c r="WKZ36" s="143"/>
      <c r="WLA36" s="143"/>
      <c r="WLB36" s="143"/>
      <c r="WLC36" s="143"/>
      <c r="WLD36" s="143"/>
      <c r="WLE36" s="143"/>
      <c r="WLF36" s="143"/>
      <c r="WLG36" s="143"/>
      <c r="WLH36" s="143"/>
      <c r="WLI36" s="143"/>
      <c r="WLJ36" s="143"/>
      <c r="WLK36" s="143"/>
      <c r="WLL36" s="143"/>
      <c r="WLM36" s="143"/>
      <c r="WLN36" s="143"/>
      <c r="WLO36" s="143"/>
      <c r="WLP36" s="143"/>
      <c r="WLQ36" s="143"/>
      <c r="WLR36" s="143"/>
      <c r="WLS36" s="143"/>
      <c r="WLT36" s="143"/>
      <c r="WLU36" s="143"/>
      <c r="WLV36" s="143"/>
      <c r="WLW36" s="143"/>
      <c r="WLX36" s="143"/>
      <c r="WLY36" s="143"/>
      <c r="WLZ36" s="143"/>
      <c r="WMA36" s="143"/>
      <c r="WMB36" s="143"/>
      <c r="WMC36" s="143"/>
      <c r="WMD36" s="143"/>
      <c r="WME36" s="143"/>
      <c r="WMF36" s="143"/>
      <c r="WMG36" s="143"/>
      <c r="WMH36" s="143"/>
      <c r="WMI36" s="143"/>
      <c r="WMJ36" s="143"/>
      <c r="WMK36" s="143"/>
      <c r="WML36" s="143"/>
      <c r="WMM36" s="143"/>
      <c r="WMN36" s="143"/>
      <c r="WMO36" s="143"/>
      <c r="WMP36" s="143"/>
      <c r="WMQ36" s="143"/>
      <c r="WMR36" s="143"/>
      <c r="WMS36" s="143"/>
      <c r="WMT36" s="143"/>
      <c r="WMU36" s="143"/>
      <c r="WMV36" s="143"/>
      <c r="WMW36" s="143"/>
      <c r="WMX36" s="143"/>
      <c r="WMY36" s="143"/>
      <c r="WMZ36" s="143"/>
      <c r="WNA36" s="143"/>
      <c r="WNB36" s="143"/>
      <c r="WNC36" s="143"/>
      <c r="WND36" s="143"/>
      <c r="WNE36" s="143"/>
      <c r="WNF36" s="143"/>
      <c r="WNG36" s="143"/>
      <c r="WNH36" s="143"/>
      <c r="WNI36" s="143"/>
      <c r="WNJ36" s="143"/>
      <c r="WNK36" s="143"/>
      <c r="WNL36" s="143"/>
      <c r="WNM36" s="143"/>
      <c r="WNN36" s="143"/>
      <c r="WNO36" s="143"/>
      <c r="WNP36" s="143"/>
      <c r="WNQ36" s="143"/>
      <c r="WNR36" s="143"/>
      <c r="WNS36" s="143"/>
      <c r="WNT36" s="143"/>
      <c r="WNU36" s="143"/>
      <c r="WNV36" s="143"/>
      <c r="WNW36" s="143"/>
      <c r="WNX36" s="143"/>
      <c r="WNY36" s="143"/>
      <c r="WNZ36" s="143"/>
      <c r="WOA36" s="143"/>
      <c r="WOB36" s="143"/>
      <c r="WOC36" s="143"/>
      <c r="WOD36" s="143"/>
      <c r="WOE36" s="143"/>
      <c r="WOF36" s="143"/>
      <c r="WOG36" s="143"/>
      <c r="WOH36" s="143"/>
      <c r="WOI36" s="143"/>
      <c r="WOJ36" s="143"/>
      <c r="WOK36" s="143"/>
      <c r="WOL36" s="143"/>
      <c r="WOM36" s="143"/>
      <c r="WON36" s="143"/>
      <c r="WOO36" s="143"/>
      <c r="WOP36" s="143"/>
      <c r="WOQ36" s="143"/>
      <c r="WOR36" s="143"/>
      <c r="WOS36" s="143"/>
      <c r="WOT36" s="143"/>
      <c r="WOU36" s="143"/>
      <c r="WOV36" s="143"/>
      <c r="WOW36" s="143"/>
      <c r="WOX36" s="143"/>
      <c r="WOY36" s="143"/>
      <c r="WOZ36" s="143"/>
      <c r="WPA36" s="143"/>
      <c r="WPB36" s="143"/>
      <c r="WPC36" s="143"/>
      <c r="WPD36" s="143"/>
      <c r="WPE36" s="143"/>
      <c r="WPF36" s="143"/>
      <c r="WPG36" s="143"/>
      <c r="WPH36" s="143"/>
      <c r="WPI36" s="143"/>
      <c r="WPJ36" s="143"/>
      <c r="WPK36" s="143"/>
      <c r="WPL36" s="143"/>
      <c r="WPM36" s="143"/>
      <c r="WPN36" s="143"/>
      <c r="WPO36" s="143"/>
      <c r="WPP36" s="143"/>
      <c r="WPQ36" s="143"/>
      <c r="WPR36" s="143"/>
      <c r="WPS36" s="143"/>
      <c r="WPT36" s="143"/>
      <c r="WPU36" s="143"/>
      <c r="WPV36" s="143"/>
      <c r="WPW36" s="143"/>
      <c r="WPX36" s="143"/>
      <c r="WPY36" s="143"/>
      <c r="WPZ36" s="143"/>
      <c r="WQA36" s="143"/>
      <c r="WQB36" s="143"/>
      <c r="WQC36" s="143"/>
      <c r="WQD36" s="143"/>
      <c r="WQE36" s="143"/>
      <c r="WQF36" s="143"/>
      <c r="WQG36" s="143"/>
      <c r="WQH36" s="143"/>
      <c r="WQI36" s="143"/>
      <c r="WQJ36" s="143"/>
      <c r="WQK36" s="143"/>
      <c r="WQL36" s="143"/>
      <c r="WQM36" s="143"/>
      <c r="WQN36" s="143"/>
      <c r="WQO36" s="143"/>
      <c r="WQP36" s="143"/>
      <c r="WQQ36" s="143"/>
      <c r="WQR36" s="143"/>
      <c r="WQS36" s="143"/>
      <c r="WQT36" s="143"/>
      <c r="WQU36" s="143"/>
      <c r="WQV36" s="143"/>
      <c r="WQW36" s="143"/>
      <c r="WQX36" s="143"/>
      <c r="WQY36" s="143"/>
      <c r="WQZ36" s="143"/>
      <c r="WRA36" s="143"/>
      <c r="WRB36" s="143"/>
      <c r="WRC36" s="143"/>
      <c r="WRD36" s="143"/>
      <c r="WRE36" s="143"/>
      <c r="WRF36" s="143"/>
      <c r="WRG36" s="143"/>
      <c r="WRH36" s="143"/>
      <c r="WRI36" s="143"/>
      <c r="WRJ36" s="143"/>
      <c r="WRK36" s="143"/>
      <c r="WRL36" s="143"/>
      <c r="WRM36" s="143"/>
      <c r="WRN36" s="143"/>
      <c r="WRO36" s="143"/>
      <c r="WRP36" s="143"/>
      <c r="WRQ36" s="143"/>
      <c r="WRR36" s="143"/>
      <c r="WRS36" s="143"/>
      <c r="WRT36" s="143"/>
      <c r="WRU36" s="143"/>
      <c r="WRV36" s="143"/>
      <c r="WRW36" s="143"/>
      <c r="WRX36" s="143"/>
      <c r="WRY36" s="143"/>
      <c r="WRZ36" s="143"/>
      <c r="WSA36" s="143"/>
      <c r="WSB36" s="143"/>
      <c r="WSC36" s="143"/>
      <c r="WSD36" s="143"/>
      <c r="WSE36" s="143"/>
      <c r="WSF36" s="143"/>
      <c r="WSG36" s="143"/>
      <c r="WSH36" s="143"/>
      <c r="WSI36" s="143"/>
      <c r="WSJ36" s="143"/>
      <c r="WSK36" s="143"/>
      <c r="WSL36" s="143"/>
      <c r="WSM36" s="143"/>
      <c r="WSN36" s="143"/>
      <c r="WSO36" s="143"/>
      <c r="WSP36" s="143"/>
      <c r="WSQ36" s="143"/>
      <c r="WSR36" s="143"/>
      <c r="WSS36" s="143"/>
      <c r="WST36" s="143"/>
      <c r="WSU36" s="143"/>
      <c r="WSV36" s="143"/>
      <c r="WSW36" s="143"/>
      <c r="WSX36" s="143"/>
      <c r="WSY36" s="143"/>
      <c r="WSZ36" s="143"/>
      <c r="WTA36" s="143"/>
      <c r="WTB36" s="143"/>
      <c r="WTC36" s="143"/>
      <c r="WTD36" s="143"/>
      <c r="WTE36" s="143"/>
      <c r="WTF36" s="143"/>
      <c r="WTG36" s="143"/>
      <c r="WTH36" s="143"/>
      <c r="WTI36" s="143"/>
      <c r="WTJ36" s="143"/>
      <c r="WTK36" s="143"/>
      <c r="WTL36" s="143"/>
      <c r="WTM36" s="143"/>
      <c r="WTN36" s="143"/>
      <c r="WTO36" s="143"/>
      <c r="WTP36" s="143"/>
      <c r="WTQ36" s="143"/>
      <c r="WTR36" s="143"/>
      <c r="WTS36" s="143"/>
      <c r="WTT36" s="143"/>
      <c r="WTU36" s="143"/>
      <c r="WTV36" s="143"/>
      <c r="WTW36" s="143"/>
      <c r="WTX36" s="143"/>
      <c r="WTY36" s="143"/>
      <c r="WTZ36" s="143"/>
      <c r="WUA36" s="143"/>
      <c r="WUB36" s="143"/>
      <c r="WUC36" s="143"/>
      <c r="WUD36" s="143"/>
      <c r="WUE36" s="143"/>
      <c r="WUF36" s="143"/>
      <c r="WUG36" s="143"/>
      <c r="WUH36" s="143"/>
      <c r="WUI36" s="143"/>
      <c r="WUJ36" s="143"/>
      <c r="WUK36" s="143"/>
      <c r="WUL36" s="143"/>
      <c r="WUM36" s="143"/>
      <c r="WUN36" s="143"/>
      <c r="WUO36" s="143"/>
      <c r="WUP36" s="143"/>
      <c r="WUQ36" s="143"/>
      <c r="WUR36" s="143"/>
      <c r="WUS36" s="143"/>
      <c r="WUT36" s="143"/>
      <c r="WUU36" s="143"/>
      <c r="WUV36" s="143"/>
      <c r="WUW36" s="143"/>
      <c r="WUX36" s="143"/>
      <c r="WUY36" s="143"/>
      <c r="WUZ36" s="143"/>
      <c r="WVA36" s="143"/>
      <c r="WVB36" s="143"/>
      <c r="WVC36" s="143"/>
      <c r="WVD36" s="143"/>
      <c r="WVE36" s="143"/>
      <c r="WVF36" s="143"/>
      <c r="WVG36" s="143"/>
      <c r="WVH36" s="143"/>
      <c r="WVI36" s="143"/>
      <c r="WVJ36" s="143"/>
      <c r="WVK36" s="143"/>
      <c r="WVL36" s="143"/>
      <c r="WVM36" s="143"/>
      <c r="WVN36" s="143"/>
      <c r="WVO36" s="143"/>
      <c r="WVP36" s="143"/>
      <c r="WVQ36" s="143"/>
      <c r="WVR36" s="143"/>
      <c r="WVS36" s="143"/>
      <c r="WVT36" s="143"/>
      <c r="WVU36" s="143"/>
      <c r="WVV36" s="143"/>
      <c r="WVW36" s="143"/>
      <c r="WVX36" s="143"/>
      <c r="WVY36" s="143"/>
      <c r="WVZ36" s="143"/>
      <c r="WWA36" s="143"/>
      <c r="WWB36" s="143"/>
      <c r="WWC36" s="143"/>
      <c r="WWD36" s="143"/>
      <c r="WWE36" s="143"/>
      <c r="WWF36" s="143"/>
      <c r="WWG36" s="143"/>
      <c r="WWH36" s="143"/>
      <c r="WWI36" s="143"/>
      <c r="WWJ36" s="143"/>
      <c r="WWK36" s="143"/>
      <c r="WWL36" s="143"/>
      <c r="WWM36" s="143"/>
      <c r="WWN36" s="143"/>
      <c r="WWO36" s="143"/>
      <c r="WWP36" s="143"/>
      <c r="WWQ36" s="143"/>
      <c r="WWR36" s="143"/>
      <c r="WWS36" s="143"/>
      <c r="WWT36" s="143"/>
      <c r="WWU36" s="143"/>
      <c r="WWV36" s="143"/>
      <c r="WWW36" s="143"/>
      <c r="WWX36" s="143"/>
      <c r="WWY36" s="143"/>
      <c r="WWZ36" s="143"/>
      <c r="WXA36" s="143"/>
      <c r="WXB36" s="143"/>
      <c r="WXC36" s="143"/>
      <c r="WXD36" s="143"/>
      <c r="WXE36" s="143"/>
      <c r="WXF36" s="143"/>
      <c r="WXG36" s="143"/>
      <c r="WXH36" s="143"/>
      <c r="WXI36" s="143"/>
      <c r="WXJ36" s="143"/>
      <c r="WXK36" s="143"/>
      <c r="WXL36" s="143"/>
      <c r="WXM36" s="143"/>
      <c r="WXN36" s="143"/>
      <c r="WXO36" s="143"/>
      <c r="WXP36" s="143"/>
      <c r="WXQ36" s="143"/>
      <c r="WXR36" s="143"/>
      <c r="WXS36" s="143"/>
      <c r="WXT36" s="143"/>
      <c r="WXU36" s="143"/>
      <c r="WXV36" s="143"/>
      <c r="WXW36" s="143"/>
      <c r="WXX36" s="143"/>
      <c r="WXY36" s="143"/>
      <c r="WXZ36" s="143"/>
      <c r="WYA36" s="143"/>
      <c r="WYB36" s="143"/>
      <c r="WYC36" s="143"/>
      <c r="WYD36" s="143"/>
      <c r="WYE36" s="143"/>
      <c r="WYF36" s="143"/>
      <c r="WYG36" s="143"/>
      <c r="WYH36" s="143"/>
      <c r="WYI36" s="143"/>
      <c r="WYJ36" s="143"/>
      <c r="WYK36" s="143"/>
      <c r="WYL36" s="143"/>
      <c r="WYM36" s="143"/>
      <c r="WYN36" s="143"/>
      <c r="WYO36" s="143"/>
      <c r="WYP36" s="143"/>
      <c r="WYQ36" s="143"/>
      <c r="WYR36" s="143"/>
      <c r="WYS36" s="143"/>
      <c r="WYT36" s="143"/>
      <c r="WYU36" s="143"/>
      <c r="WYV36" s="143"/>
      <c r="WYW36" s="143"/>
      <c r="WYX36" s="143"/>
      <c r="WYY36" s="143"/>
      <c r="WYZ36" s="143"/>
      <c r="WZA36" s="143"/>
      <c r="WZB36" s="143"/>
      <c r="WZC36" s="143"/>
      <c r="WZD36" s="143"/>
      <c r="WZE36" s="143"/>
      <c r="WZF36" s="143"/>
      <c r="WZG36" s="143"/>
      <c r="WZH36" s="143"/>
      <c r="WZI36" s="143"/>
      <c r="WZJ36" s="143"/>
      <c r="WZK36" s="143"/>
      <c r="WZL36" s="143"/>
      <c r="WZM36" s="143"/>
      <c r="WZN36" s="143"/>
      <c r="WZO36" s="143"/>
      <c r="WZP36" s="143"/>
      <c r="WZQ36" s="143"/>
      <c r="WZR36" s="143"/>
      <c r="WZS36" s="143"/>
      <c r="WZT36" s="143"/>
      <c r="WZU36" s="143"/>
      <c r="WZV36" s="143"/>
      <c r="WZW36" s="143"/>
      <c r="WZX36" s="143"/>
      <c r="WZY36" s="143"/>
      <c r="WZZ36" s="143"/>
      <c r="XAA36" s="143"/>
      <c r="XAB36" s="143"/>
      <c r="XAC36" s="143"/>
      <c r="XAD36" s="143"/>
      <c r="XAE36" s="143"/>
      <c r="XAF36" s="143"/>
      <c r="XAG36" s="143"/>
      <c r="XAH36" s="143"/>
      <c r="XAI36" s="143"/>
      <c r="XAJ36" s="143"/>
      <c r="XAK36" s="143"/>
      <c r="XAL36" s="143"/>
      <c r="XAM36" s="143"/>
      <c r="XAN36" s="143"/>
      <c r="XAO36" s="143"/>
      <c r="XAP36" s="143"/>
      <c r="XAQ36" s="143"/>
      <c r="XAR36" s="143"/>
      <c r="XAS36" s="143"/>
      <c r="XAT36" s="143"/>
      <c r="XAU36" s="143"/>
      <c r="XAV36" s="143"/>
      <c r="XAW36" s="143"/>
      <c r="XAX36" s="143"/>
      <c r="XAY36" s="143"/>
      <c r="XAZ36" s="143"/>
      <c r="XBA36" s="143"/>
      <c r="XBB36" s="143"/>
      <c r="XBC36" s="143"/>
      <c r="XBD36" s="143"/>
      <c r="XBE36" s="143"/>
      <c r="XBF36" s="143"/>
      <c r="XBG36" s="143"/>
      <c r="XBH36" s="143"/>
      <c r="XBI36" s="143"/>
      <c r="XBJ36" s="143"/>
      <c r="XBK36" s="143"/>
      <c r="XBL36" s="143"/>
      <c r="XBM36" s="143"/>
      <c r="XBN36" s="143"/>
      <c r="XBO36" s="143"/>
      <c r="XBP36" s="143"/>
      <c r="XBQ36" s="143"/>
      <c r="XBR36" s="143"/>
      <c r="XBS36" s="143"/>
      <c r="XBT36" s="143"/>
      <c r="XBU36" s="143"/>
      <c r="XBV36" s="143"/>
      <c r="XBW36" s="143"/>
      <c r="XBX36" s="143"/>
      <c r="XBY36" s="143"/>
      <c r="XBZ36" s="143"/>
      <c r="XCA36" s="143"/>
      <c r="XCB36" s="143"/>
      <c r="XCC36" s="143"/>
      <c r="XCD36" s="143"/>
      <c r="XCE36" s="143"/>
      <c r="XCF36" s="143"/>
      <c r="XCG36" s="143"/>
      <c r="XCH36" s="143"/>
      <c r="XCI36" s="143"/>
      <c r="XCJ36" s="143"/>
      <c r="XCK36" s="143"/>
      <c r="XCL36" s="143"/>
      <c r="XCM36" s="143"/>
      <c r="XCN36" s="143"/>
      <c r="XCO36" s="143"/>
      <c r="XCP36" s="143"/>
      <c r="XCQ36" s="143"/>
      <c r="XCR36" s="143"/>
      <c r="XCS36" s="143"/>
      <c r="XCT36" s="143"/>
      <c r="XCU36" s="143"/>
      <c r="XCV36" s="143"/>
      <c r="XCW36" s="143"/>
      <c r="XCX36" s="143"/>
      <c r="XCY36" s="143"/>
      <c r="XCZ36" s="143"/>
      <c r="XDA36" s="143"/>
      <c r="XDB36" s="143"/>
      <c r="XDC36" s="143"/>
      <c r="XDD36" s="143"/>
      <c r="XDE36" s="143"/>
      <c r="XDF36" s="143"/>
      <c r="XDG36" s="143"/>
      <c r="XDH36" s="143"/>
      <c r="XDI36" s="143"/>
      <c r="XDJ36" s="143"/>
      <c r="XDK36" s="143"/>
      <c r="XDL36" s="143"/>
      <c r="XDM36" s="143"/>
      <c r="XDN36" s="143"/>
      <c r="XDO36" s="143"/>
      <c r="XDP36" s="143"/>
      <c r="XDQ36" s="143"/>
      <c r="XDR36" s="143"/>
      <c r="XDS36" s="143"/>
      <c r="XDT36" s="143"/>
      <c r="XDU36" s="143"/>
      <c r="XDV36" s="143"/>
      <c r="XDW36" s="143"/>
      <c r="XDX36" s="143"/>
      <c r="XDY36" s="143"/>
      <c r="XDZ36" s="143"/>
      <c r="XEA36" s="143"/>
      <c r="XEB36" s="143"/>
      <c r="XEC36" s="143"/>
      <c r="XED36" s="143"/>
      <c r="XEE36" s="143"/>
      <c r="XEF36" s="143"/>
      <c r="XEG36" s="143"/>
      <c r="XEH36" s="143"/>
      <c r="XEI36" s="143"/>
      <c r="XEJ36" s="143"/>
      <c r="XEK36" s="143"/>
      <c r="XEL36" s="143"/>
      <c r="XEM36" s="143"/>
      <c r="XEN36" s="143"/>
      <c r="XEO36" s="143"/>
      <c r="XEP36" s="143"/>
      <c r="XEQ36" s="143"/>
      <c r="XER36" s="143"/>
      <c r="XES36" s="143"/>
      <c r="XET36" s="143"/>
      <c r="XEU36" s="143"/>
      <c r="XEV36" s="143"/>
      <c r="XEW36" s="143"/>
      <c r="XEX36" s="143"/>
      <c r="XEY36" s="143"/>
      <c r="XEZ36" s="143"/>
      <c r="XFA36" s="143"/>
      <c r="XFB36" s="143"/>
      <c r="XFC36" s="143"/>
      <c r="XFD36" s="143"/>
    </row>
    <row r="37" spans="1:16384" ht="15" customHeight="1">
      <c r="A37" s="143"/>
      <c r="B37" s="143"/>
      <c r="C37" s="226"/>
      <c r="D37" s="226"/>
      <c r="E37" s="226"/>
      <c r="F37" s="226"/>
      <c r="G37" s="226"/>
      <c r="H37" s="226"/>
      <c r="I37" s="226"/>
      <c r="J37" s="226"/>
      <c r="K37" s="226"/>
      <c r="L37" s="226"/>
      <c r="M37" s="226"/>
      <c r="N37" s="226"/>
      <c r="O37" s="226"/>
      <c r="P37" s="226"/>
      <c r="Q37" s="226"/>
      <c r="R37" s="226"/>
      <c r="S37" s="226"/>
      <c r="T37" s="226"/>
      <c r="U37" s="226"/>
      <c r="V37" s="226"/>
      <c r="W37" s="226"/>
      <c r="X37" s="226"/>
      <c r="Y37" s="226"/>
      <c r="Z37" s="226"/>
      <c r="AA37" s="226"/>
      <c r="AB37" s="226"/>
      <c r="AC37" s="230"/>
      <c r="AD37" s="227"/>
    </row>
  </sheetData>
  <sheetProtection password="EDA1" sheet="1" objects="1" scenarios="1"/>
  <mergeCells count="31">
    <mergeCell ref="E32:Z32"/>
    <mergeCell ref="M8:W9"/>
    <mergeCell ref="M14:W14"/>
    <mergeCell ref="N20:V20"/>
    <mergeCell ref="N21:W21"/>
    <mergeCell ref="N22:W22"/>
    <mergeCell ref="M10:U10"/>
    <mergeCell ref="M11:U11"/>
    <mergeCell ref="M12:P12"/>
    <mergeCell ref="S12:W12"/>
    <mergeCell ref="B33:D33"/>
    <mergeCell ref="N30:W30"/>
    <mergeCell ref="E33:Z35"/>
    <mergeCell ref="M13:W13"/>
    <mergeCell ref="M15:W15"/>
    <mergeCell ref="M16:W16"/>
    <mergeCell ref="N24:W24"/>
    <mergeCell ref="N25:W25"/>
    <mergeCell ref="N27:W27"/>
    <mergeCell ref="N28:W28"/>
    <mergeCell ref="B32:D32"/>
    <mergeCell ref="N31:W31"/>
    <mergeCell ref="M17:W17"/>
    <mergeCell ref="M18:W18"/>
    <mergeCell ref="F25:H25"/>
    <mergeCell ref="F28:H28"/>
    <mergeCell ref="B2:D5"/>
    <mergeCell ref="H2:W3"/>
    <mergeCell ref="AA2:AC5"/>
    <mergeCell ref="H4:W5"/>
    <mergeCell ref="M7:W7"/>
  </mergeCells>
  <dataValidations count="2">
    <dataValidation allowBlank="1" showErrorMessage="1" sqref="L22:L28 M21:M22 M24:M28 N26:W26 E32:E33"/>
    <dataValidation allowBlank="1" showInputMessage="1" showErrorMessage="1" promptTitle="Tips" prompt="Masukan kop Logo Sekolah anda_x000a_" sqref="X2:Z5 E2:G5"/>
  </dataValidations>
  <pageMargins left="0.7" right="0.7" top="0.75" bottom="0.75" header="0.3" footer="0.3"/>
  <pageSetup paperSize="256" orientation="portrait" horizontalDpi="4294967294" verticalDpi="4294967294"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3" tint="0.59999389629810485"/>
  </sheetPr>
  <dimension ref="A1:P170"/>
  <sheetViews>
    <sheetView showZeros="0" view="pageBreakPreview" topLeftCell="A6" zoomScale="90" zoomScaleSheetLayoutView="90" workbookViewId="0">
      <pane xSplit="1" ySplit="4" topLeftCell="B10" activePane="bottomRight" state="frozen"/>
      <selection activeCell="A6" sqref="A6"/>
      <selection pane="topRight" activeCell="B6" sqref="B6"/>
      <selection pane="bottomLeft" activeCell="A10" sqref="A10"/>
      <selection pane="bottomRight" activeCell="B23" sqref="B23:J23"/>
    </sheetView>
  </sheetViews>
  <sheetFormatPr defaultColWidth="0" defaultRowHeight="20.100000000000001" customHeight="1" zeroHeight="1"/>
  <cols>
    <col min="1" max="1" width="6.28515625" customWidth="1"/>
    <col min="2" max="2" width="10.28515625" customWidth="1"/>
    <col min="3" max="3" width="1.42578125" customWidth="1"/>
    <col min="4" max="4" width="13.140625" customWidth="1"/>
    <col min="5" max="5" width="1.7109375" customWidth="1"/>
    <col min="6" max="6" width="15.7109375" customWidth="1"/>
    <col min="7" max="7" width="7.85546875" customWidth="1"/>
    <col min="8" max="8" width="14.7109375" customWidth="1"/>
    <col min="9" max="9" width="1.5703125" customWidth="1"/>
    <col min="10" max="10" width="7.42578125" customWidth="1"/>
    <col min="11" max="11" width="5.140625" customWidth="1"/>
    <col min="12" max="12" width="9.140625" customWidth="1"/>
    <col min="13" max="13" width="11.85546875" bestFit="1" customWidth="1"/>
    <col min="14" max="16" width="9.140625" customWidth="1"/>
    <col min="17" max="16384" width="9.140625" hidden="1"/>
  </cols>
  <sheetData>
    <row r="1" spans="1:14" ht="20.100000000000001" customHeight="1"/>
    <row r="2" spans="1:14" ht="20.100000000000001" customHeight="1"/>
    <row r="3" spans="1:14" ht="20.100000000000001" customHeight="1">
      <c r="A3" s="124"/>
      <c r="B3" s="509"/>
      <c r="C3" s="124"/>
      <c r="D3" s="124"/>
      <c r="E3" s="124"/>
      <c r="F3" s="124"/>
      <c r="G3" s="124"/>
      <c r="H3" s="124"/>
      <c r="I3" s="124"/>
      <c r="J3" s="124"/>
      <c r="K3" s="124"/>
    </row>
    <row r="4" spans="1:14" ht="20.100000000000001" customHeight="1">
      <c r="A4" s="124"/>
      <c r="B4" s="509"/>
      <c r="C4" s="124"/>
      <c r="D4" s="124"/>
      <c r="E4" s="124"/>
      <c r="F4" s="124"/>
      <c r="G4" s="124"/>
      <c r="H4" s="124"/>
      <c r="I4" s="124"/>
      <c r="J4" s="124"/>
      <c r="K4" s="124"/>
    </row>
    <row r="5" spans="1:14" ht="20.100000000000001" customHeight="1">
      <c r="A5" s="124"/>
      <c r="B5" s="509"/>
      <c r="C5" s="124"/>
      <c r="D5" s="124"/>
      <c r="E5" s="124"/>
      <c r="F5" s="124"/>
      <c r="G5" s="124"/>
      <c r="H5" s="124"/>
      <c r="I5" s="124"/>
      <c r="J5" s="124"/>
      <c r="K5" s="124"/>
    </row>
    <row r="6" spans="1:14" ht="20.100000000000001" customHeight="1">
      <c r="A6" s="124"/>
      <c r="B6" s="509"/>
      <c r="C6" s="124"/>
      <c r="D6" s="124"/>
      <c r="E6" s="124"/>
      <c r="F6" s="124"/>
      <c r="G6" s="124"/>
      <c r="H6" s="124"/>
      <c r="I6" s="124"/>
      <c r="J6" s="124"/>
      <c r="K6" s="124"/>
    </row>
    <row r="7" spans="1:14" ht="20.100000000000001" customHeight="1">
      <c r="A7" s="124"/>
      <c r="B7" s="509"/>
      <c r="C7" s="124"/>
      <c r="D7" s="124"/>
      <c r="E7" s="124"/>
      <c r="F7" s="124"/>
      <c r="G7" s="124"/>
      <c r="H7" s="124"/>
      <c r="I7" s="124"/>
      <c r="J7" s="124"/>
      <c r="K7" s="124"/>
      <c r="M7" s="886">
        <v>1</v>
      </c>
    </row>
    <row r="8" spans="1:14" ht="20.100000000000001" customHeight="1">
      <c r="A8" s="124"/>
      <c r="B8" s="509"/>
      <c r="C8" s="124"/>
      <c r="D8" s="124"/>
      <c r="E8" s="124"/>
      <c r="F8" s="124"/>
      <c r="G8" s="124"/>
      <c r="H8" s="124"/>
      <c r="I8" s="124"/>
      <c r="J8" s="124"/>
      <c r="K8" s="124"/>
      <c r="M8" s="887"/>
    </row>
    <row r="9" spans="1:14" ht="20.100000000000001" customHeight="1">
      <c r="A9" s="124"/>
      <c r="B9" s="509"/>
      <c r="C9" s="124"/>
      <c r="D9" s="124"/>
      <c r="E9" s="124"/>
      <c r="F9" s="124"/>
      <c r="G9" s="124"/>
      <c r="H9" s="124"/>
      <c r="I9" s="124"/>
      <c r="J9" s="124"/>
      <c r="K9" s="124"/>
      <c r="M9" s="888"/>
    </row>
    <row r="10" spans="1:14" ht="20.100000000000001" customHeight="1">
      <c r="A10" s="124"/>
      <c r="B10" s="509"/>
      <c r="C10" s="124"/>
      <c r="D10" s="124"/>
      <c r="E10" s="124"/>
      <c r="F10" s="124"/>
      <c r="G10" s="124"/>
      <c r="H10" s="124"/>
      <c r="I10" s="124"/>
      <c r="J10" s="124"/>
      <c r="K10" s="124"/>
    </row>
    <row r="11" spans="1:14" ht="20.100000000000001" customHeight="1">
      <c r="A11" s="124"/>
      <c r="B11" s="509"/>
      <c r="C11" s="124"/>
      <c r="D11" s="124"/>
      <c r="E11" s="124"/>
      <c r="F11" s="124"/>
      <c r="G11" s="124"/>
      <c r="H11" s="124"/>
      <c r="I11" s="124"/>
      <c r="J11" s="124"/>
      <c r="K11" s="124"/>
    </row>
    <row r="12" spans="1:14" ht="20.100000000000001" customHeight="1">
      <c r="B12" s="494"/>
      <c r="M12" s="221"/>
      <c r="N12" s="510"/>
    </row>
    <row r="13" spans="1:14" ht="20.100000000000001" customHeight="1">
      <c r="A13" s="889" t="s">
        <v>443</v>
      </c>
      <c r="B13" s="889"/>
      <c r="C13" s="889"/>
      <c r="D13" s="889"/>
      <c r="E13" s="889"/>
      <c r="F13" s="889"/>
      <c r="G13" s="889"/>
      <c r="H13" s="889"/>
      <c r="I13" s="889"/>
      <c r="J13" s="889"/>
      <c r="K13" s="889"/>
      <c r="M13" s="221"/>
      <c r="N13" s="510"/>
    </row>
    <row r="14" spans="1:14" ht="20.100000000000001" customHeight="1">
      <c r="A14" s="889" t="s">
        <v>444</v>
      </c>
      <c r="B14" s="889"/>
      <c r="C14" s="889"/>
      <c r="D14" s="889"/>
      <c r="E14" s="889"/>
      <c r="F14" s="889"/>
      <c r="G14" s="889"/>
      <c r="H14" s="889"/>
      <c r="I14" s="889"/>
      <c r="J14" s="889"/>
      <c r="K14" s="889"/>
      <c r="M14" s="510"/>
      <c r="N14" s="510"/>
    </row>
    <row r="15" spans="1:14" ht="20.100000000000001" customHeight="1">
      <c r="A15" s="889" t="s">
        <v>312</v>
      </c>
      <c r="B15" s="889"/>
      <c r="C15" s="889"/>
      <c r="D15" s="889"/>
      <c r="E15" s="889"/>
      <c r="F15" s="889"/>
      <c r="G15" s="889"/>
      <c r="H15" s="889"/>
      <c r="I15" s="889"/>
      <c r="J15" s="889"/>
      <c r="K15" s="889"/>
      <c r="M15" s="510"/>
      <c r="N15" s="510"/>
    </row>
    <row r="16" spans="1:14" ht="20.100000000000001" customHeight="1">
      <c r="A16" s="890" t="s">
        <v>445</v>
      </c>
      <c r="B16" s="890"/>
      <c r="C16" s="890"/>
      <c r="D16" s="890"/>
      <c r="E16" s="890"/>
      <c r="F16" s="890"/>
      <c r="G16" s="890"/>
      <c r="H16" s="890"/>
      <c r="I16" s="890"/>
      <c r="J16" s="890"/>
      <c r="K16" s="890"/>
      <c r="M16" s="221"/>
      <c r="N16" s="221"/>
    </row>
    <row r="17" spans="2:14" ht="20.100000000000001" customHeight="1">
      <c r="B17" s="511"/>
      <c r="M17" s="221"/>
      <c r="N17" s="221"/>
    </row>
    <row r="18" spans="2:14" ht="20.100000000000001" customHeight="1">
      <c r="B18" s="511"/>
    </row>
    <row r="19" spans="2:14" ht="20.100000000000001" customHeight="1">
      <c r="B19" s="885" t="s">
        <v>528</v>
      </c>
      <c r="C19" s="885"/>
      <c r="D19" s="885"/>
      <c r="E19" s="885"/>
      <c r="F19" s="885"/>
      <c r="G19" s="885"/>
      <c r="H19" s="885"/>
      <c r="I19" s="885"/>
      <c r="J19" s="885"/>
    </row>
    <row r="20" spans="2:14" ht="20.100000000000001" customHeight="1">
      <c r="B20" s="857" t="str">
        <f>VLOOKUP(M7,d,2,FALSE)</f>
        <v>Afif Rafiudin</v>
      </c>
      <c r="C20" s="858"/>
      <c r="D20" s="858"/>
      <c r="E20" s="858"/>
      <c r="F20" s="858"/>
      <c r="G20" s="858"/>
      <c r="H20" s="858"/>
      <c r="I20" s="858"/>
      <c r="J20" s="859"/>
      <c r="K20" s="512"/>
    </row>
    <row r="21" spans="2:14" ht="20.100000000000001" customHeight="1">
      <c r="B21" s="860"/>
      <c r="C21" s="861"/>
      <c r="D21" s="861"/>
      <c r="E21" s="861"/>
      <c r="F21" s="861"/>
      <c r="G21" s="861"/>
      <c r="H21" s="861"/>
      <c r="I21" s="861"/>
      <c r="J21" s="862"/>
      <c r="K21" s="512"/>
    </row>
    <row r="22" spans="2:14" ht="20.100000000000001" customHeight="1">
      <c r="B22" s="650"/>
      <c r="C22" s="650"/>
      <c r="D22" s="650"/>
      <c r="E22" s="512"/>
      <c r="F22" s="365"/>
      <c r="G22" s="512"/>
      <c r="H22" s="512"/>
      <c r="I22" s="512"/>
      <c r="J22" s="512"/>
    </row>
    <row r="23" spans="2:14" ht="20.100000000000001" customHeight="1">
      <c r="B23" s="863" t="s">
        <v>446</v>
      </c>
      <c r="C23" s="863"/>
      <c r="D23" s="863"/>
      <c r="E23" s="863"/>
      <c r="F23" s="863"/>
      <c r="G23" s="863"/>
      <c r="H23" s="863"/>
      <c r="I23" s="863"/>
      <c r="J23" s="863"/>
    </row>
    <row r="24" spans="2:14" ht="20.100000000000001" customHeight="1">
      <c r="B24" s="868" t="str">
        <f>VLOOKUP(M7,d,4,FALSE)</f>
        <v>0153278170</v>
      </c>
      <c r="C24" s="864"/>
      <c r="D24" s="864"/>
      <c r="E24" s="864"/>
      <c r="F24" s="864"/>
      <c r="G24" s="864" t="s">
        <v>67</v>
      </c>
      <c r="H24" s="864">
        <f>VLOOKUP(M7,d,3,FALSE)</f>
        <v>1279</v>
      </c>
      <c r="I24" s="864"/>
      <c r="J24" s="866"/>
    </row>
    <row r="25" spans="2:14" ht="20.100000000000001" customHeight="1">
      <c r="B25" s="869"/>
      <c r="C25" s="865"/>
      <c r="D25" s="865"/>
      <c r="E25" s="865"/>
      <c r="F25" s="865"/>
      <c r="G25" s="865"/>
      <c r="H25" s="865"/>
      <c r="I25" s="865"/>
      <c r="J25" s="867"/>
    </row>
    <row r="26" spans="2:14" ht="20.100000000000001" customHeight="1">
      <c r="B26" s="513"/>
    </row>
    <row r="27" spans="2:14" ht="20.100000000000001" customHeight="1">
      <c r="B27" s="494"/>
    </row>
    <row r="28" spans="2:14" ht="20.100000000000001" customHeight="1">
      <c r="B28" s="494"/>
    </row>
    <row r="29" spans="2:14" ht="20.100000000000001" customHeight="1">
      <c r="B29" s="494"/>
    </row>
    <row r="30" spans="2:14" ht="20.100000000000001" customHeight="1">
      <c r="B30" s="494"/>
    </row>
    <row r="31" spans="2:14" ht="20.100000000000001" customHeight="1">
      <c r="B31" s="494"/>
    </row>
    <row r="32" spans="2:14" ht="20.100000000000001" customHeight="1">
      <c r="B32" s="494"/>
    </row>
    <row r="33" spans="1:11" ht="20.100000000000001" customHeight="1">
      <c r="B33" s="494"/>
    </row>
    <row r="34" spans="1:11" ht="20.100000000000001" customHeight="1">
      <c r="A34" s="877" t="s">
        <v>642</v>
      </c>
      <c r="B34" s="877"/>
      <c r="C34" s="877"/>
      <c r="D34" s="877"/>
      <c r="E34" s="877"/>
      <c r="F34" s="877"/>
      <c r="G34" s="877"/>
      <c r="H34" s="877"/>
      <c r="I34" s="877"/>
      <c r="J34" s="877"/>
      <c r="K34" s="877"/>
    </row>
    <row r="35" spans="1:11" ht="20.100000000000001" customHeight="1">
      <c r="A35" s="877" t="s">
        <v>643</v>
      </c>
      <c r="B35" s="877"/>
      <c r="C35" s="877"/>
      <c r="D35" s="877"/>
      <c r="E35" s="877"/>
      <c r="F35" s="877"/>
      <c r="G35" s="877"/>
      <c r="H35" s="877"/>
      <c r="I35" s="877"/>
      <c r="J35" s="877"/>
      <c r="K35" s="877"/>
    </row>
    <row r="36" spans="1:11" ht="20.100000000000001" customHeight="1">
      <c r="A36" s="884" t="s">
        <v>644</v>
      </c>
      <c r="B36" s="884"/>
      <c r="C36" s="884"/>
      <c r="D36" s="884"/>
      <c r="E36" s="884"/>
      <c r="F36" s="884"/>
      <c r="G36" s="884"/>
      <c r="H36" s="884"/>
      <c r="I36" s="884"/>
      <c r="J36" s="884"/>
      <c r="K36" s="884"/>
    </row>
    <row r="37" spans="1:11" ht="20.100000000000001" customHeight="1">
      <c r="B37" s="494"/>
    </row>
    <row r="38" spans="1:11" ht="20.100000000000001" customHeight="1">
      <c r="B38" s="494"/>
    </row>
    <row r="39" spans="1:11" ht="20.100000000000001" customHeight="1">
      <c r="B39" s="494"/>
    </row>
    <row r="40" spans="1:11" ht="20.100000000000001" customHeight="1">
      <c r="B40" s="494"/>
    </row>
    <row r="41" spans="1:11" ht="20.100000000000001" customHeight="1">
      <c r="B41" s="494"/>
    </row>
    <row r="42" spans="1:11" ht="20.100000000000001" customHeight="1">
      <c r="A42" s="878" t="s">
        <v>443</v>
      </c>
      <c r="B42" s="878"/>
      <c r="C42" s="878"/>
      <c r="D42" s="878"/>
      <c r="E42" s="878"/>
      <c r="F42" s="878"/>
      <c r="G42" s="878"/>
      <c r="H42" s="878"/>
      <c r="I42" s="878"/>
      <c r="J42" s="878"/>
      <c r="K42" s="878"/>
    </row>
    <row r="43" spans="1:11" ht="20.100000000000001" customHeight="1">
      <c r="A43" s="879" t="s">
        <v>447</v>
      </c>
      <c r="B43" s="879"/>
      <c r="C43" s="879"/>
      <c r="D43" s="879"/>
      <c r="E43" s="879"/>
      <c r="F43" s="879"/>
      <c r="G43" s="879"/>
      <c r="H43" s="879"/>
      <c r="I43" s="879"/>
      <c r="J43" s="879"/>
      <c r="K43" s="879"/>
    </row>
    <row r="44" spans="1:11" ht="20.100000000000001" customHeight="1">
      <c r="A44" s="879" t="s">
        <v>312</v>
      </c>
      <c r="B44" s="879"/>
      <c r="C44" s="879"/>
      <c r="D44" s="879"/>
      <c r="E44" s="879"/>
      <c r="F44" s="879"/>
      <c r="G44" s="879"/>
      <c r="H44" s="879"/>
      <c r="I44" s="879"/>
      <c r="J44" s="879"/>
      <c r="K44" s="879"/>
    </row>
    <row r="45" spans="1:11" ht="20.100000000000001" customHeight="1">
      <c r="A45" s="879" t="s">
        <v>313</v>
      </c>
      <c r="B45" s="879"/>
      <c r="C45" s="879"/>
      <c r="D45" s="879"/>
      <c r="E45" s="879"/>
      <c r="F45" s="879"/>
      <c r="G45" s="879"/>
      <c r="H45" s="879"/>
      <c r="I45" s="879"/>
      <c r="J45" s="879"/>
      <c r="K45" s="879"/>
    </row>
    <row r="46" spans="1:11" ht="20.100000000000001" customHeight="1">
      <c r="A46" s="514"/>
      <c r="B46" s="514"/>
      <c r="C46" s="514"/>
      <c r="D46" s="514"/>
      <c r="E46" s="514"/>
      <c r="F46" s="514"/>
    </row>
    <row r="47" spans="1:11" ht="20.100000000000001" customHeight="1">
      <c r="A47" s="67"/>
      <c r="B47" s="67"/>
      <c r="C47" s="67"/>
      <c r="D47" s="67"/>
      <c r="E47" s="67"/>
      <c r="F47" s="67"/>
    </row>
    <row r="48" spans="1:11" ht="20.100000000000001" customHeight="1">
      <c r="A48" s="67"/>
      <c r="B48" s="67"/>
      <c r="C48" s="67"/>
      <c r="D48" s="67"/>
      <c r="E48" s="67"/>
      <c r="F48" s="67"/>
    </row>
    <row r="49" spans="1:11" ht="20.100000000000001" customHeight="1">
      <c r="A49" s="67"/>
      <c r="B49" s="67"/>
      <c r="C49" s="67"/>
      <c r="D49" s="67"/>
      <c r="E49" s="67"/>
      <c r="F49" s="67"/>
    </row>
    <row r="50" spans="1:11" ht="20.100000000000001" customHeight="1">
      <c r="A50" s="176"/>
      <c r="B50" s="417" t="s">
        <v>34</v>
      </c>
      <c r="C50" s="417"/>
      <c r="D50" s="515"/>
      <c r="E50" s="403" t="s">
        <v>35</v>
      </c>
      <c r="F50" s="403" t="str">
        <f>MENU!M7</f>
        <v>SD MUHAMMADIYAH BENDO</v>
      </c>
      <c r="G50" s="86"/>
      <c r="H50" s="86"/>
    </row>
    <row r="51" spans="1:11" ht="20.100000000000001" customHeight="1">
      <c r="A51" s="176"/>
      <c r="B51" s="417"/>
      <c r="C51" s="417"/>
      <c r="D51" s="515"/>
      <c r="E51" s="403"/>
      <c r="F51" s="403"/>
      <c r="G51" s="86"/>
      <c r="H51" s="86"/>
    </row>
    <row r="52" spans="1:11" ht="20.100000000000001" customHeight="1">
      <c r="A52" s="176"/>
      <c r="B52" s="417" t="s">
        <v>314</v>
      </c>
      <c r="C52" s="417"/>
      <c r="D52" s="515"/>
      <c r="E52" s="403" t="s">
        <v>35</v>
      </c>
      <c r="F52" s="880" t="str">
        <f>MENU!M10</f>
        <v>102040412029</v>
      </c>
      <c r="G52" s="881"/>
      <c r="H52" s="881"/>
      <c r="I52" s="27"/>
      <c r="J52" s="27"/>
      <c r="K52" s="27"/>
    </row>
    <row r="53" spans="1:11" ht="20.100000000000001" customHeight="1">
      <c r="A53" s="176"/>
      <c r="B53" s="417"/>
      <c r="C53" s="417"/>
      <c r="D53" s="515"/>
      <c r="E53" s="403"/>
      <c r="F53" s="516"/>
      <c r="G53" s="93"/>
      <c r="H53" s="93"/>
      <c r="I53" s="27"/>
      <c r="J53" s="27"/>
      <c r="K53" s="27"/>
    </row>
    <row r="54" spans="1:11" ht="20.100000000000001" customHeight="1">
      <c r="A54" s="176"/>
      <c r="B54" s="417" t="s">
        <v>315</v>
      </c>
      <c r="C54" s="417"/>
      <c r="D54" s="515"/>
      <c r="E54" s="403" t="s">
        <v>35</v>
      </c>
      <c r="F54" s="517" t="str">
        <f>MENU!M11</f>
        <v>20403587</v>
      </c>
      <c r="G54" s="93"/>
      <c r="H54" s="93"/>
      <c r="I54" s="27"/>
      <c r="J54" s="27"/>
      <c r="K54" s="27"/>
    </row>
    <row r="55" spans="1:11" ht="20.100000000000001" customHeight="1">
      <c r="A55" s="176"/>
      <c r="B55" s="417"/>
      <c r="C55" s="417"/>
      <c r="D55" s="515"/>
      <c r="E55" s="403"/>
      <c r="F55" s="516"/>
      <c r="G55" s="93"/>
      <c r="H55" s="93"/>
      <c r="I55" s="27"/>
      <c r="J55" s="27"/>
      <c r="K55" s="27"/>
    </row>
    <row r="56" spans="1:11" ht="20.100000000000001" customHeight="1">
      <c r="A56" s="176"/>
      <c r="B56" s="417" t="s">
        <v>316</v>
      </c>
      <c r="C56" s="417"/>
      <c r="D56" s="515"/>
      <c r="E56" s="403" t="s">
        <v>35</v>
      </c>
      <c r="F56" s="882" t="str">
        <f>MENU!M8</f>
        <v>Pranan, Banjaroyo, Kalibawang, Kulon Progo</v>
      </c>
      <c r="G56" s="882"/>
      <c r="H56" s="882"/>
      <c r="I56" s="882"/>
      <c r="J56" s="882"/>
      <c r="K56" s="882"/>
    </row>
    <row r="57" spans="1:11" ht="20.100000000000001" customHeight="1">
      <c r="A57" s="176"/>
      <c r="B57" s="417"/>
      <c r="C57" s="417"/>
      <c r="D57" s="515"/>
      <c r="E57" s="403"/>
      <c r="F57" s="882"/>
      <c r="G57" s="882"/>
      <c r="H57" s="882"/>
      <c r="I57" s="882"/>
      <c r="J57" s="882"/>
      <c r="K57" s="882"/>
    </row>
    <row r="58" spans="1:11" ht="20.100000000000001" customHeight="1">
      <c r="A58" s="176"/>
      <c r="B58" s="86"/>
      <c r="C58" s="417"/>
      <c r="D58" s="515"/>
      <c r="F58" s="417" t="s">
        <v>317</v>
      </c>
      <c r="G58" s="883">
        <f>MENU!M12</f>
        <v>55672</v>
      </c>
      <c r="H58" s="883"/>
      <c r="I58" s="27"/>
      <c r="J58" s="27"/>
    </row>
    <row r="59" spans="1:11" ht="20.100000000000001" customHeight="1">
      <c r="A59" s="176"/>
      <c r="B59" s="417"/>
      <c r="C59" s="417"/>
      <c r="D59" s="515"/>
      <c r="F59" s="417" t="s">
        <v>318</v>
      </c>
      <c r="G59" s="883">
        <f>MENU!S12</f>
        <v>87839204772</v>
      </c>
      <c r="H59" s="883"/>
      <c r="I59" s="883"/>
      <c r="J59" s="883"/>
    </row>
    <row r="60" spans="1:11" ht="20.100000000000001" customHeight="1">
      <c r="A60" s="176"/>
      <c r="B60" s="86"/>
      <c r="C60" s="417"/>
      <c r="D60" s="515"/>
      <c r="E60" s="403"/>
      <c r="F60" s="403"/>
      <c r="G60" s="93"/>
      <c r="H60" s="93"/>
      <c r="I60" s="27"/>
      <c r="J60" s="27"/>
    </row>
    <row r="61" spans="1:11" ht="20.100000000000001" customHeight="1">
      <c r="A61" s="176"/>
      <c r="B61" s="417" t="s">
        <v>319</v>
      </c>
      <c r="C61" s="417"/>
      <c r="D61" s="515"/>
      <c r="E61" s="403" t="s">
        <v>35</v>
      </c>
      <c r="F61" s="518" t="str">
        <f>MENU!$M$13</f>
        <v>Banjaroyo</v>
      </c>
      <c r="G61" s="86"/>
      <c r="H61" s="86"/>
    </row>
    <row r="62" spans="1:11" ht="20.100000000000001" customHeight="1">
      <c r="A62" s="176"/>
      <c r="B62" s="417"/>
      <c r="C62" s="417"/>
      <c r="D62" s="515"/>
      <c r="E62" s="403"/>
      <c r="F62" s="518"/>
      <c r="G62" s="86"/>
      <c r="H62" s="86"/>
    </row>
    <row r="63" spans="1:11" ht="20.100000000000001" customHeight="1">
      <c r="A63" s="176"/>
      <c r="B63" s="417" t="s">
        <v>320</v>
      </c>
      <c r="C63" s="417"/>
      <c r="D63" s="515"/>
      <c r="E63" s="403" t="s">
        <v>35</v>
      </c>
      <c r="F63" s="518" t="str">
        <f>MENU!$M$14</f>
        <v>Kalibawang</v>
      </c>
      <c r="G63" s="86"/>
      <c r="H63" s="86"/>
    </row>
    <row r="64" spans="1:11" ht="20.100000000000001" customHeight="1">
      <c r="A64" s="176"/>
      <c r="B64" s="417"/>
      <c r="C64" s="417"/>
      <c r="D64" s="515"/>
      <c r="E64" s="403"/>
      <c r="F64" s="518"/>
      <c r="G64" s="86"/>
      <c r="H64" s="86"/>
    </row>
    <row r="65" spans="1:11" ht="20.100000000000001" customHeight="1">
      <c r="A65" s="176"/>
      <c r="B65" s="417" t="s">
        <v>321</v>
      </c>
      <c r="C65" s="417"/>
      <c r="D65" s="515"/>
      <c r="E65" s="403" t="s">
        <v>35</v>
      </c>
      <c r="F65" s="518" t="s">
        <v>47</v>
      </c>
      <c r="G65" s="86"/>
      <c r="H65" s="86"/>
    </row>
    <row r="66" spans="1:11" ht="20.100000000000001" customHeight="1">
      <c r="A66" s="176"/>
      <c r="B66" s="417"/>
      <c r="C66" s="417"/>
      <c r="D66" s="515"/>
      <c r="E66" s="403"/>
      <c r="F66" s="518"/>
      <c r="G66" s="86"/>
      <c r="H66" s="86"/>
    </row>
    <row r="67" spans="1:11" ht="20.100000000000001" customHeight="1">
      <c r="A67" s="176"/>
      <c r="B67" s="417" t="s">
        <v>322</v>
      </c>
      <c r="C67" s="417"/>
      <c r="D67" s="515"/>
      <c r="E67" s="403" t="s">
        <v>35</v>
      </c>
      <c r="F67" s="518" t="s">
        <v>49</v>
      </c>
      <c r="G67" s="86"/>
      <c r="H67" s="86"/>
    </row>
    <row r="68" spans="1:11" ht="20.100000000000001" customHeight="1">
      <c r="A68" s="176"/>
      <c r="B68" s="417"/>
      <c r="C68" s="417"/>
      <c r="D68" s="515"/>
      <c r="E68" s="403"/>
      <c r="F68" s="516"/>
      <c r="G68" s="86"/>
      <c r="H68" s="86"/>
    </row>
    <row r="69" spans="1:11" ht="20.100000000000001" customHeight="1">
      <c r="A69" s="176"/>
      <c r="B69" s="417" t="s">
        <v>323</v>
      </c>
      <c r="C69" s="417"/>
      <c r="D69" s="515"/>
      <c r="E69" s="403" t="s">
        <v>35</v>
      </c>
      <c r="F69" s="516">
        <f>MENU!M17</f>
        <v>0</v>
      </c>
      <c r="G69" s="86"/>
      <c r="H69" s="86"/>
    </row>
    <row r="70" spans="1:11" ht="20.100000000000001" customHeight="1">
      <c r="A70" s="176"/>
      <c r="B70" s="417"/>
      <c r="C70" s="417"/>
      <c r="D70" s="515"/>
      <c r="E70" s="403"/>
      <c r="F70" s="516"/>
      <c r="G70" s="86"/>
      <c r="H70" s="86"/>
    </row>
    <row r="71" spans="1:11" ht="20.100000000000001" customHeight="1">
      <c r="A71" s="176"/>
      <c r="B71" s="417" t="s">
        <v>324</v>
      </c>
      <c r="C71" s="417"/>
      <c r="D71" s="515"/>
      <c r="E71" s="403" t="s">
        <v>35</v>
      </c>
      <c r="F71" s="516">
        <f>MENU!M18</f>
        <v>0</v>
      </c>
      <c r="G71" s="86"/>
      <c r="H71" s="86"/>
    </row>
    <row r="72" spans="1:11" ht="20.100000000000001" customHeight="1">
      <c r="A72" s="176"/>
      <c r="B72" s="158"/>
      <c r="C72" s="158"/>
      <c r="D72" s="158"/>
      <c r="E72" s="519"/>
      <c r="F72" s="520"/>
      <c r="G72" s="86"/>
      <c r="H72" s="86"/>
    </row>
    <row r="73" spans="1:11" ht="20.100000000000001" customHeight="1">
      <c r="B73" s="494"/>
    </row>
    <row r="74" spans="1:11" ht="20.100000000000001" customHeight="1">
      <c r="B74" s="494"/>
    </row>
    <row r="75" spans="1:11" ht="20.100000000000001" customHeight="1">
      <c r="B75" s="494"/>
    </row>
    <row r="76" spans="1:11" ht="20.100000000000001" customHeight="1">
      <c r="B76" s="494"/>
    </row>
    <row r="77" spans="1:11" ht="20.100000000000001" customHeight="1">
      <c r="B77" s="494"/>
      <c r="J77" s="121"/>
    </row>
    <row r="78" spans="1:11" ht="20.100000000000001" customHeight="1">
      <c r="B78" s="494"/>
      <c r="J78" s="121"/>
    </row>
    <row r="79" spans="1:11" ht="20.100000000000001" customHeight="1">
      <c r="B79" s="494"/>
      <c r="K79" t="s">
        <v>325</v>
      </c>
    </row>
    <row r="80" spans="1:11" ht="20.100000000000001" customHeight="1">
      <c r="B80" s="494"/>
    </row>
    <row r="81" spans="1:11" ht="20.100000000000001" customHeight="1">
      <c r="A81" s="871" t="s">
        <v>326</v>
      </c>
      <c r="B81" s="871"/>
      <c r="C81" s="871"/>
      <c r="D81" s="871"/>
      <c r="E81" s="871"/>
      <c r="F81" s="871"/>
      <c r="G81" s="871"/>
      <c r="H81" s="871"/>
      <c r="I81" s="871"/>
      <c r="J81" s="871"/>
      <c r="K81" s="871"/>
    </row>
    <row r="82" spans="1:11" ht="20.100000000000001" customHeight="1">
      <c r="A82" s="521"/>
      <c r="B82" s="521"/>
      <c r="C82" s="521"/>
      <c r="D82" s="521"/>
      <c r="E82" s="521"/>
      <c r="F82" s="521"/>
      <c r="G82" s="521"/>
      <c r="H82" s="521"/>
      <c r="I82" s="521"/>
      <c r="J82" s="521"/>
      <c r="K82" s="521"/>
    </row>
    <row r="83" spans="1:11" ht="20.100000000000001" customHeight="1">
      <c r="A83" s="873" t="s">
        <v>327</v>
      </c>
      <c r="B83" s="873"/>
      <c r="C83" s="873"/>
      <c r="D83" s="873"/>
      <c r="E83" s="522" t="s">
        <v>35</v>
      </c>
      <c r="F83" s="523" t="str">
        <f>VLOOKUP(M7,d,2,FALSE)</f>
        <v>Afif Rafiudin</v>
      </c>
      <c r="G83" s="524"/>
      <c r="H83" s="524"/>
      <c r="I83" s="524"/>
      <c r="J83" s="524"/>
    </row>
    <row r="84" spans="1:11" ht="20.100000000000001" customHeight="1">
      <c r="A84" s="873" t="s">
        <v>536</v>
      </c>
      <c r="B84" s="873"/>
      <c r="C84" s="873"/>
      <c r="D84" s="873"/>
      <c r="E84" s="522" t="s">
        <v>35</v>
      </c>
      <c r="F84" s="727" t="str">
        <f>VLOOKUP(M$7,d,4,FALSE)</f>
        <v>0153278170</v>
      </c>
      <c r="G84" s="780" t="s">
        <v>67</v>
      </c>
      <c r="H84" s="685">
        <f>VLOOKUP(M$7,d,3,FALSE)</f>
        <v>1279</v>
      </c>
      <c r="I84" s="525"/>
      <c r="J84" s="524"/>
    </row>
    <row r="85" spans="1:11" ht="20.100000000000001" customHeight="1">
      <c r="A85" s="873" t="s">
        <v>328</v>
      </c>
      <c r="B85" s="873"/>
      <c r="C85" s="873"/>
      <c r="D85" s="873"/>
      <c r="E85" s="522" t="s">
        <v>35</v>
      </c>
      <c r="F85" s="523" t="str">
        <f>VLOOKUP(M$7,d,6,FALSE)</f>
        <v>KULON PROGO, 27 Juni 2009</v>
      </c>
      <c r="G85" s="526"/>
      <c r="H85" s="526"/>
      <c r="I85" s="525"/>
      <c r="J85" s="524"/>
    </row>
    <row r="86" spans="1:11" ht="20.100000000000001" customHeight="1">
      <c r="A86" s="873" t="s">
        <v>329</v>
      </c>
      <c r="B86" s="873"/>
      <c r="C86" s="873"/>
      <c r="D86" s="873"/>
      <c r="E86" s="522" t="s">
        <v>35</v>
      </c>
      <c r="F86" s="523" t="str">
        <f>VLOOKUP(M$7,d,7,FALSE)</f>
        <v>L</v>
      </c>
      <c r="G86" s="525"/>
      <c r="H86" s="525"/>
      <c r="I86" s="525"/>
      <c r="J86" s="524"/>
    </row>
    <row r="87" spans="1:11" ht="20.100000000000001" customHeight="1">
      <c r="A87" s="873" t="s">
        <v>330</v>
      </c>
      <c r="B87" s="873"/>
      <c r="C87" s="873"/>
      <c r="D87" s="873"/>
      <c r="E87" s="522" t="s">
        <v>35</v>
      </c>
      <c r="F87" s="523" t="str">
        <f>VLOOKUP(M$7,d,8,FALSE)</f>
        <v>Islam</v>
      </c>
      <c r="G87" s="525"/>
      <c r="H87" s="525"/>
      <c r="I87" s="525"/>
      <c r="J87" s="524"/>
    </row>
    <row r="88" spans="1:11" ht="20.100000000000001" customHeight="1">
      <c r="A88" s="873" t="s">
        <v>332</v>
      </c>
      <c r="B88" s="873"/>
      <c r="C88" s="873"/>
      <c r="D88" s="873"/>
      <c r="E88" s="522" t="s">
        <v>35</v>
      </c>
      <c r="F88" s="523" t="str">
        <f>VLOOKUP(M$7,d,19,FALSE)</f>
        <v>TK PUSPA BUANA</v>
      </c>
      <c r="G88" s="525"/>
      <c r="H88" s="525"/>
      <c r="I88" s="525"/>
      <c r="J88" s="524"/>
    </row>
    <row r="89" spans="1:11" ht="20.100000000000001" customHeight="1">
      <c r="A89" s="873" t="s">
        <v>333</v>
      </c>
      <c r="B89" s="873"/>
      <c r="C89" s="873"/>
      <c r="D89" s="873"/>
      <c r="E89" s="522" t="s">
        <v>35</v>
      </c>
      <c r="F89" s="876" t="str">
        <f>VLOOKUP(M7,d,9,FALSE)</f>
        <v>SLANDEN</v>
      </c>
      <c r="G89" s="876"/>
      <c r="H89" s="876"/>
      <c r="I89" s="876"/>
      <c r="J89" s="876"/>
    </row>
    <row r="90" spans="1:11" ht="20.100000000000001" customHeight="1">
      <c r="A90" s="522"/>
      <c r="B90" s="522"/>
      <c r="D90" s="465"/>
      <c r="E90" s="522"/>
      <c r="F90" s="876"/>
      <c r="G90" s="876"/>
      <c r="H90" s="876"/>
      <c r="I90" s="876"/>
      <c r="J90" s="876"/>
    </row>
    <row r="91" spans="1:11" ht="20.100000000000001" customHeight="1">
      <c r="A91" s="873" t="s">
        <v>334</v>
      </c>
      <c r="B91" s="873"/>
      <c r="C91" s="873"/>
      <c r="D91" s="873"/>
      <c r="E91" s="522"/>
      <c r="F91" s="525"/>
      <c r="G91" s="525"/>
      <c r="H91" s="525"/>
      <c r="I91" s="525"/>
      <c r="J91" s="524"/>
    </row>
    <row r="92" spans="1:11" ht="20.100000000000001" customHeight="1">
      <c r="A92" s="527"/>
      <c r="B92" s="873" t="s">
        <v>335</v>
      </c>
      <c r="C92" s="873"/>
      <c r="D92" s="873"/>
      <c r="E92" s="522" t="s">
        <v>35</v>
      </c>
      <c r="F92" s="872" t="str">
        <f>VLOOKUP(M$7,d,10,FALSE)</f>
        <v>JUDARDIN</v>
      </c>
      <c r="G92" s="872"/>
      <c r="H92" s="872"/>
      <c r="I92" s="872"/>
      <c r="J92" s="524"/>
    </row>
    <row r="93" spans="1:11" ht="20.100000000000001" customHeight="1">
      <c r="A93" s="527"/>
      <c r="B93" s="873" t="s">
        <v>336</v>
      </c>
      <c r="C93" s="873"/>
      <c r="D93" s="873"/>
      <c r="E93" s="522" t="s">
        <v>35</v>
      </c>
      <c r="F93" s="872" t="str">
        <f>VLOOKUP(M$7,d,11,FALSE)</f>
        <v>WIDARYANTI</v>
      </c>
      <c r="G93" s="872"/>
      <c r="H93" s="872"/>
      <c r="I93" s="872"/>
      <c r="J93" s="524"/>
    </row>
    <row r="94" spans="1:11" ht="20.100000000000001" customHeight="1">
      <c r="A94" s="873" t="s">
        <v>337</v>
      </c>
      <c r="B94" s="873"/>
      <c r="C94" s="873"/>
      <c r="D94" s="873"/>
      <c r="E94" s="522"/>
      <c r="F94" s="524"/>
      <c r="G94" s="524"/>
      <c r="H94" s="524"/>
      <c r="I94" s="524"/>
      <c r="J94" s="524"/>
    </row>
    <row r="95" spans="1:11" ht="20.100000000000001" customHeight="1">
      <c r="A95" s="527"/>
      <c r="B95" s="873" t="s">
        <v>335</v>
      </c>
      <c r="C95" s="873"/>
      <c r="D95" s="873"/>
      <c r="E95" s="522" t="s">
        <v>35</v>
      </c>
      <c r="F95" s="872" t="str">
        <f>VLOOKUP(M$7,d,12,FALSE)</f>
        <v>Karyawan Swasta</v>
      </c>
      <c r="G95" s="872"/>
      <c r="H95" s="872"/>
      <c r="I95" s="872"/>
      <c r="J95" s="524"/>
    </row>
    <row r="96" spans="1:11" ht="20.100000000000001" customHeight="1">
      <c r="A96" s="527"/>
      <c r="B96" s="873" t="s">
        <v>336</v>
      </c>
      <c r="C96" s="873"/>
      <c r="D96" s="873"/>
      <c r="E96" s="522" t="s">
        <v>35</v>
      </c>
      <c r="F96" s="872" t="str">
        <f>VLOOKUP(M$7,d,13,FALSE)</f>
        <v>Karyawan Swasta</v>
      </c>
      <c r="G96" s="872"/>
      <c r="H96" s="872"/>
      <c r="I96" s="872"/>
      <c r="J96" s="524"/>
    </row>
    <row r="97" spans="1:10" ht="20.100000000000001" customHeight="1">
      <c r="A97" s="873" t="s">
        <v>339</v>
      </c>
      <c r="B97" s="873"/>
      <c r="C97" s="873"/>
      <c r="D97" s="873"/>
      <c r="E97" s="522"/>
      <c r="F97" s="523"/>
      <c r="G97" s="524"/>
      <c r="H97" s="524"/>
      <c r="I97" s="524"/>
      <c r="J97" s="524"/>
    </row>
    <row r="98" spans="1:10" ht="20.100000000000001" customHeight="1">
      <c r="A98" s="527"/>
      <c r="B98" s="873" t="s">
        <v>340</v>
      </c>
      <c r="C98" s="873"/>
      <c r="D98" s="873"/>
      <c r="E98" s="522" t="s">
        <v>35</v>
      </c>
      <c r="F98" s="872" t="str">
        <f>VLOOKUP(M$7,d,14,FALSE)</f>
        <v>SLANDEN</v>
      </c>
      <c r="G98" s="872"/>
      <c r="H98" s="872"/>
      <c r="I98" s="872"/>
      <c r="J98" s="524"/>
    </row>
    <row r="99" spans="1:10" ht="20.100000000000001" customHeight="1">
      <c r="A99" s="527"/>
      <c r="B99" s="873" t="s">
        <v>341</v>
      </c>
      <c r="C99" s="873"/>
      <c r="D99" s="873"/>
      <c r="E99" s="522" t="s">
        <v>35</v>
      </c>
      <c r="F99" s="872" t="str">
        <f>VLOOKUP(M$7,d,15,FALSE)</f>
        <v>BANJAROYA</v>
      </c>
      <c r="G99" s="872"/>
      <c r="H99" s="872"/>
      <c r="I99" s="872"/>
      <c r="J99" s="524"/>
    </row>
    <row r="100" spans="1:10" ht="20.100000000000001" customHeight="1">
      <c r="A100" s="527"/>
      <c r="B100" s="873" t="s">
        <v>45</v>
      </c>
      <c r="C100" s="873"/>
      <c r="D100" s="873"/>
      <c r="E100" s="522" t="s">
        <v>35</v>
      </c>
      <c r="F100" s="872" t="str">
        <f>VLOOKUP(M$7,d,16,FALSE)</f>
        <v>Kec. Kalibawang</v>
      </c>
      <c r="G100" s="872"/>
      <c r="H100" s="872"/>
      <c r="I100" s="872"/>
      <c r="J100" s="524"/>
    </row>
    <row r="101" spans="1:10" ht="20.100000000000001" customHeight="1">
      <c r="A101" s="527"/>
      <c r="B101" s="873" t="s">
        <v>342</v>
      </c>
      <c r="C101" s="873"/>
      <c r="D101" s="873"/>
      <c r="E101" s="522" t="s">
        <v>35</v>
      </c>
      <c r="F101" s="872" t="str">
        <f>VLOOKUP(M$7,d,17,FALSE)</f>
        <v>Kulon Progo</v>
      </c>
      <c r="G101" s="872"/>
      <c r="H101" s="872"/>
      <c r="I101" s="872"/>
      <c r="J101" s="524"/>
    </row>
    <row r="102" spans="1:10" ht="20.100000000000001" customHeight="1">
      <c r="A102" s="527"/>
      <c r="B102" s="873" t="s">
        <v>343</v>
      </c>
      <c r="C102" s="873"/>
      <c r="D102" s="873"/>
      <c r="E102" s="522" t="s">
        <v>35</v>
      </c>
      <c r="F102" s="872" t="str">
        <f>VLOOKUP(M$7,d,18,FALSE)</f>
        <v>D. I. Yogyakarta</v>
      </c>
      <c r="G102" s="872"/>
      <c r="H102" s="872"/>
      <c r="I102" s="872"/>
      <c r="J102" s="524"/>
    </row>
    <row r="103" spans="1:10" ht="20.100000000000001" customHeight="1">
      <c r="A103" s="873" t="s">
        <v>345</v>
      </c>
      <c r="B103" s="873"/>
      <c r="C103" s="873"/>
      <c r="D103" s="873"/>
      <c r="E103" s="522"/>
      <c r="F103" s="524"/>
      <c r="G103" s="524"/>
      <c r="H103" s="524"/>
      <c r="I103" s="524"/>
      <c r="J103" s="524"/>
    </row>
    <row r="104" spans="1:10" ht="20.100000000000001" customHeight="1">
      <c r="A104" s="527"/>
      <c r="B104" s="873" t="s">
        <v>346</v>
      </c>
      <c r="C104" s="873"/>
      <c r="D104" s="873"/>
      <c r="E104" s="522" t="s">
        <v>35</v>
      </c>
      <c r="F104" s="872" t="str">
        <f>VLOOKUP(M$7,d,20,FALSE)</f>
        <v>-</v>
      </c>
      <c r="G104" s="872"/>
      <c r="H104" s="524"/>
      <c r="I104" s="524"/>
      <c r="J104" s="524"/>
    </row>
    <row r="105" spans="1:10" ht="20.100000000000001" customHeight="1">
      <c r="A105" s="527"/>
      <c r="B105" s="873" t="s">
        <v>347</v>
      </c>
      <c r="C105" s="873"/>
      <c r="D105" s="873"/>
      <c r="E105" s="522" t="s">
        <v>35</v>
      </c>
      <c r="F105" s="872" t="str">
        <f>VLOOKUP(M$7,d,21,FALSE)</f>
        <v>-</v>
      </c>
      <c r="G105" s="872"/>
      <c r="H105" s="524"/>
      <c r="I105" s="524"/>
      <c r="J105" s="524"/>
    </row>
    <row r="106" spans="1:10" ht="20.100000000000001" customHeight="1">
      <c r="A106" s="527"/>
      <c r="B106" s="873" t="s">
        <v>348</v>
      </c>
      <c r="C106" s="873"/>
      <c r="D106" s="873"/>
      <c r="E106" s="522" t="s">
        <v>35</v>
      </c>
      <c r="F106" s="875" t="str">
        <f>VLOOKUP(M7,d,22,FALSE)</f>
        <v>-</v>
      </c>
      <c r="G106" s="875"/>
      <c r="H106" s="875"/>
      <c r="I106" s="875"/>
      <c r="J106" s="875"/>
    </row>
    <row r="107" spans="1:10" ht="20.100000000000001" customHeight="1">
      <c r="A107" s="527"/>
      <c r="B107" s="465"/>
      <c r="D107" s="465"/>
      <c r="E107" s="465"/>
      <c r="F107" s="875"/>
      <c r="G107" s="875"/>
      <c r="H107" s="875"/>
      <c r="I107" s="875"/>
      <c r="J107" s="875"/>
    </row>
    <row r="108" spans="1:10" ht="20.100000000000001" customHeight="1">
      <c r="A108" s="528"/>
      <c r="B108" s="86"/>
      <c r="D108" s="86"/>
      <c r="E108" s="86"/>
      <c r="F108" s="86"/>
      <c r="G108" s="86"/>
      <c r="H108" s="86"/>
      <c r="I108" s="86"/>
      <c r="J108" s="86"/>
    </row>
    <row r="109" spans="1:10" ht="20.100000000000001" customHeight="1">
      <c r="A109" s="528"/>
      <c r="B109" s="86"/>
      <c r="D109" s="86"/>
      <c r="E109" s="86"/>
      <c r="F109" s="86"/>
      <c r="G109" s="363">
        <f>MENU!N31</f>
        <v>0</v>
      </c>
      <c r="H109" s="86"/>
      <c r="I109" s="86"/>
      <c r="J109" s="86"/>
    </row>
    <row r="110" spans="1:10" ht="20.100000000000001" customHeight="1">
      <c r="A110" s="86"/>
      <c r="B110" s="528"/>
      <c r="C110" s="86"/>
      <c r="D110" s="86"/>
      <c r="E110" s="86"/>
      <c r="F110" s="86"/>
      <c r="G110" s="527" t="s">
        <v>349</v>
      </c>
      <c r="H110" s="86"/>
      <c r="I110" s="86"/>
      <c r="J110" s="86"/>
    </row>
    <row r="111" spans="1:10" ht="20.100000000000001" customHeight="1">
      <c r="A111" s="86"/>
      <c r="B111" s="528"/>
      <c r="C111" s="86"/>
      <c r="D111" s="86"/>
      <c r="E111" s="86"/>
      <c r="F111" s="86"/>
      <c r="G111" s="465"/>
      <c r="H111" s="529"/>
      <c r="I111" s="86"/>
      <c r="J111" s="86"/>
    </row>
    <row r="112" spans="1:10" ht="20.100000000000001" customHeight="1">
      <c r="A112" s="86"/>
      <c r="B112" s="528"/>
      <c r="C112" s="86"/>
      <c r="D112" s="86"/>
      <c r="E112" s="86"/>
      <c r="F112" s="86"/>
      <c r="G112" s="465"/>
      <c r="H112" s="530"/>
      <c r="I112" s="86"/>
      <c r="J112" s="86"/>
    </row>
    <row r="113" spans="1:11" ht="20.100000000000001" customHeight="1">
      <c r="A113" s="86"/>
      <c r="B113" s="528"/>
      <c r="C113" s="86"/>
      <c r="D113" s="86"/>
      <c r="E113" s="86"/>
      <c r="F113" s="86"/>
      <c r="G113" s="465"/>
      <c r="H113" s="530"/>
      <c r="I113" s="86"/>
      <c r="J113" s="86"/>
    </row>
    <row r="114" spans="1:11" ht="20.100000000000001" customHeight="1">
      <c r="A114" s="86"/>
      <c r="B114" s="528"/>
      <c r="C114" s="86"/>
      <c r="D114" s="86"/>
      <c r="E114" s="86"/>
      <c r="F114" s="86"/>
      <c r="G114" s="465"/>
      <c r="H114" s="530"/>
      <c r="I114" s="86"/>
      <c r="J114" s="86"/>
    </row>
    <row r="115" spans="1:11" ht="20.100000000000001" customHeight="1">
      <c r="A115" s="86"/>
      <c r="B115" s="528"/>
      <c r="C115" s="86"/>
      <c r="D115" s="86"/>
      <c r="E115" s="86"/>
      <c r="F115" s="86"/>
      <c r="G115" s="531" t="str">
        <f>MENU!N27</f>
        <v>SRILESTARI, S.PdI</v>
      </c>
      <c r="H115" s="86"/>
      <c r="I115" s="86"/>
      <c r="J115" s="86"/>
    </row>
    <row r="116" spans="1:11" ht="20.100000000000001" customHeight="1">
      <c r="A116" s="86"/>
      <c r="B116" s="528"/>
      <c r="C116" s="86"/>
      <c r="D116" s="86"/>
      <c r="E116" s="86"/>
      <c r="F116" s="530"/>
      <c r="G116" s="874" t="str">
        <f>"NIP. "&amp;MENU!N28</f>
        <v>NIP. 954033</v>
      </c>
      <c r="H116" s="874"/>
      <c r="I116" s="874"/>
      <c r="J116" s="874"/>
    </row>
    <row r="117" spans="1:11" ht="20.100000000000001" customHeight="1">
      <c r="A117" s="86"/>
      <c r="B117" s="528"/>
      <c r="C117" s="86"/>
      <c r="D117" s="86"/>
      <c r="E117" s="86"/>
      <c r="F117" s="530"/>
      <c r="G117" s="86"/>
      <c r="H117" s="86"/>
      <c r="I117" s="86"/>
      <c r="J117" s="86"/>
    </row>
    <row r="118" spans="1:11" ht="20.100000000000001" customHeight="1">
      <c r="B118" s="494"/>
    </row>
    <row r="119" spans="1:11" ht="20.100000000000001" customHeight="1">
      <c r="B119" s="494"/>
      <c r="K119" t="s">
        <v>350</v>
      </c>
    </row>
    <row r="120" spans="1:11" ht="20.100000000000001" customHeight="1">
      <c r="B120" s="494"/>
    </row>
    <row r="121" spans="1:11" ht="20.100000000000001" customHeight="1">
      <c r="B121" s="871" t="s">
        <v>351</v>
      </c>
      <c r="C121" s="871"/>
      <c r="D121" s="871"/>
      <c r="E121" s="871"/>
      <c r="F121" s="871"/>
      <c r="G121" s="871"/>
      <c r="H121" s="871"/>
      <c r="I121" s="871"/>
      <c r="J121" s="871"/>
    </row>
    <row r="122" spans="1:11" ht="20.100000000000001" customHeight="1"/>
    <row r="123" spans="1:11" ht="35.1" customHeight="1">
      <c r="A123" s="532">
        <v>1</v>
      </c>
      <c r="B123" s="870" t="s">
        <v>448</v>
      </c>
      <c r="C123" s="870"/>
      <c r="D123" s="870"/>
      <c r="E123" s="870"/>
      <c r="F123" s="870"/>
      <c r="G123" s="870"/>
      <c r="H123" s="870"/>
      <c r="I123" s="870"/>
      <c r="J123" s="870"/>
      <c r="K123" s="870"/>
    </row>
    <row r="124" spans="1:11" ht="20.100000000000001" customHeight="1">
      <c r="A124" s="532">
        <v>2</v>
      </c>
      <c r="B124" s="870" t="s">
        <v>449</v>
      </c>
      <c r="C124" s="870"/>
      <c r="D124" s="870"/>
      <c r="E124" s="870"/>
      <c r="F124" s="870"/>
      <c r="G124" s="870"/>
      <c r="H124" s="870"/>
      <c r="I124" s="870"/>
      <c r="J124" s="870"/>
      <c r="K124" s="870"/>
    </row>
    <row r="125" spans="1:11" ht="20.100000000000001" customHeight="1">
      <c r="A125" s="532">
        <v>3</v>
      </c>
      <c r="B125" s="855" t="s">
        <v>450</v>
      </c>
      <c r="C125" s="855"/>
      <c r="D125" s="855"/>
      <c r="E125" s="855"/>
      <c r="F125" s="855"/>
      <c r="G125" s="855"/>
      <c r="H125" s="855"/>
      <c r="I125" s="855"/>
      <c r="J125" s="855"/>
      <c r="K125" s="855"/>
    </row>
    <row r="126" spans="1:11" ht="20.100000000000001" customHeight="1">
      <c r="A126" s="532">
        <v>4</v>
      </c>
      <c r="B126" s="855" t="s">
        <v>352</v>
      </c>
      <c r="C126" s="855"/>
      <c r="D126" s="855"/>
      <c r="E126" s="855"/>
      <c r="F126" s="855"/>
      <c r="G126" s="855"/>
      <c r="H126" s="855"/>
      <c r="I126" s="855"/>
      <c r="J126" s="855"/>
      <c r="K126" s="855"/>
    </row>
    <row r="127" spans="1:11" ht="35.1" customHeight="1">
      <c r="A127" s="532">
        <v>5</v>
      </c>
      <c r="B127" s="855" t="s">
        <v>353</v>
      </c>
      <c r="C127" s="855"/>
      <c r="D127" s="855"/>
      <c r="E127" s="855"/>
      <c r="F127" s="855"/>
      <c r="G127" s="855"/>
      <c r="H127" s="855"/>
      <c r="I127" s="855"/>
      <c r="J127" s="855"/>
      <c r="K127" s="855"/>
    </row>
    <row r="128" spans="1:11" ht="35.1" customHeight="1">
      <c r="A128" s="532">
        <v>6</v>
      </c>
      <c r="B128" s="855" t="s">
        <v>451</v>
      </c>
      <c r="C128" s="855"/>
      <c r="D128" s="855"/>
      <c r="E128" s="855"/>
      <c r="F128" s="855"/>
      <c r="G128" s="855"/>
      <c r="H128" s="855"/>
      <c r="I128" s="855"/>
      <c r="J128" s="855"/>
      <c r="K128" s="855"/>
    </row>
    <row r="129" spans="1:11" ht="35.1" customHeight="1">
      <c r="A129" s="532">
        <v>7</v>
      </c>
      <c r="B129" s="855" t="s">
        <v>452</v>
      </c>
      <c r="C129" s="855"/>
      <c r="D129" s="855"/>
      <c r="E129" s="855"/>
      <c r="F129" s="855"/>
      <c r="G129" s="855"/>
      <c r="H129" s="855"/>
      <c r="I129" s="855"/>
      <c r="J129" s="855"/>
      <c r="K129" s="855"/>
    </row>
    <row r="130" spans="1:11" ht="35.1" customHeight="1">
      <c r="A130" s="532">
        <v>8</v>
      </c>
      <c r="B130" s="855" t="s">
        <v>354</v>
      </c>
      <c r="C130" s="855"/>
      <c r="D130" s="855"/>
      <c r="E130" s="855"/>
      <c r="F130" s="855"/>
      <c r="G130" s="855"/>
      <c r="H130" s="855"/>
      <c r="I130" s="855"/>
      <c r="J130" s="855"/>
      <c r="K130" s="855"/>
    </row>
    <row r="131" spans="1:11" ht="35.1" customHeight="1">
      <c r="A131" s="532">
        <v>9</v>
      </c>
      <c r="B131" s="855" t="s">
        <v>453</v>
      </c>
      <c r="C131" s="855"/>
      <c r="D131" s="855"/>
      <c r="E131" s="855"/>
      <c r="F131" s="855"/>
      <c r="G131" s="855"/>
      <c r="H131" s="855"/>
      <c r="I131" s="855"/>
      <c r="J131" s="855"/>
      <c r="K131" s="855"/>
    </row>
    <row r="132" spans="1:11" ht="20.100000000000001" customHeight="1">
      <c r="A132" s="532">
        <v>10</v>
      </c>
      <c r="B132" s="855" t="s">
        <v>454</v>
      </c>
      <c r="C132" s="855"/>
      <c r="D132" s="855"/>
      <c r="E132" s="855"/>
      <c r="F132" s="855"/>
      <c r="G132" s="855"/>
      <c r="H132" s="855"/>
      <c r="I132" s="855"/>
      <c r="J132" s="855"/>
      <c r="K132" s="855"/>
    </row>
    <row r="133" spans="1:11" ht="20.100000000000001" customHeight="1">
      <c r="A133" s="532">
        <v>11</v>
      </c>
      <c r="B133" s="855" t="s">
        <v>355</v>
      </c>
      <c r="C133" s="855"/>
      <c r="D133" s="855"/>
      <c r="E133" s="855"/>
      <c r="F133" s="855"/>
      <c r="G133" s="855"/>
      <c r="H133" s="855"/>
      <c r="I133" s="855"/>
      <c r="J133" s="855"/>
      <c r="K133" s="855"/>
    </row>
    <row r="134" spans="1:11" ht="20.100000000000001" customHeight="1">
      <c r="A134" s="532"/>
      <c r="C134" s="533" t="s">
        <v>356</v>
      </c>
    </row>
    <row r="135" spans="1:11" ht="20.100000000000001" customHeight="1">
      <c r="A135" s="532"/>
      <c r="C135" s="533" t="s">
        <v>357</v>
      </c>
    </row>
    <row r="136" spans="1:11" ht="20.100000000000001" customHeight="1">
      <c r="A136" s="532"/>
      <c r="C136" s="533" t="s">
        <v>358</v>
      </c>
    </row>
    <row r="137" spans="1:11" ht="20.100000000000001" customHeight="1">
      <c r="A137" s="532"/>
      <c r="C137" s="533" t="s">
        <v>359</v>
      </c>
    </row>
    <row r="138" spans="1:11" ht="95.1" customHeight="1">
      <c r="A138" s="532">
        <v>12</v>
      </c>
      <c r="B138" s="855" t="s">
        <v>360</v>
      </c>
      <c r="C138" s="855"/>
      <c r="D138" s="855"/>
      <c r="E138" s="855"/>
      <c r="F138" s="855"/>
      <c r="G138" s="855"/>
      <c r="H138" s="855"/>
      <c r="I138" s="855"/>
      <c r="J138" s="855"/>
      <c r="K138" s="855"/>
    </row>
    <row r="139" spans="1:11" ht="20.100000000000001" customHeight="1">
      <c r="A139" s="532">
        <v>13</v>
      </c>
      <c r="B139" s="855" t="s">
        <v>361</v>
      </c>
      <c r="C139" s="855"/>
      <c r="D139" s="855"/>
      <c r="E139" s="855"/>
      <c r="F139" s="855"/>
      <c r="G139" s="855"/>
      <c r="H139" s="855"/>
      <c r="I139" s="855"/>
      <c r="J139" s="855"/>
      <c r="K139" s="855"/>
    </row>
    <row r="140" spans="1:11" ht="35.1" customHeight="1">
      <c r="A140" s="532">
        <v>14</v>
      </c>
      <c r="B140" s="855" t="s">
        <v>362</v>
      </c>
      <c r="C140" s="855"/>
      <c r="D140" s="855"/>
      <c r="E140" s="855"/>
      <c r="F140" s="855"/>
      <c r="G140" s="855"/>
      <c r="H140" s="855"/>
      <c r="I140" s="855"/>
      <c r="J140" s="855"/>
      <c r="K140" s="855"/>
    </row>
    <row r="141" spans="1:11" ht="35.1" customHeight="1">
      <c r="A141" s="532">
        <v>15</v>
      </c>
      <c r="B141" s="855" t="s">
        <v>455</v>
      </c>
      <c r="C141" s="855"/>
      <c r="D141" s="855"/>
      <c r="E141" s="855"/>
      <c r="F141" s="855"/>
      <c r="G141" s="855"/>
      <c r="H141" s="855"/>
      <c r="I141" s="855"/>
      <c r="J141" s="855"/>
      <c r="K141" s="855"/>
    </row>
    <row r="142" spans="1:11" ht="35.1" customHeight="1">
      <c r="A142" s="532">
        <v>16</v>
      </c>
      <c r="B142" s="855" t="s">
        <v>363</v>
      </c>
      <c r="C142" s="855"/>
      <c r="D142" s="855"/>
      <c r="E142" s="855"/>
      <c r="F142" s="855"/>
      <c r="G142" s="855"/>
      <c r="H142" s="855"/>
      <c r="I142" s="855"/>
      <c r="J142" s="855"/>
      <c r="K142" s="855"/>
    </row>
    <row r="143" spans="1:11" ht="20.100000000000001" customHeight="1">
      <c r="A143" s="532">
        <v>17</v>
      </c>
      <c r="B143" s="855" t="s">
        <v>364</v>
      </c>
      <c r="C143" s="855"/>
      <c r="D143" s="855"/>
      <c r="E143" s="855"/>
      <c r="F143" s="855"/>
      <c r="G143" s="855"/>
      <c r="H143" s="855"/>
      <c r="I143" s="855"/>
      <c r="J143" s="855"/>
      <c r="K143" s="855"/>
    </row>
    <row r="144" spans="1:11" ht="35.1" customHeight="1">
      <c r="A144" s="532">
        <v>18</v>
      </c>
      <c r="B144" s="855" t="s">
        <v>365</v>
      </c>
      <c r="C144" s="855"/>
      <c r="D144" s="855"/>
      <c r="E144" s="855"/>
      <c r="F144" s="855"/>
      <c r="G144" s="855"/>
      <c r="H144" s="855"/>
      <c r="I144" s="855"/>
      <c r="J144" s="855"/>
      <c r="K144" s="855"/>
    </row>
    <row r="145" spans="1:11" ht="20.100000000000001" customHeight="1">
      <c r="A145" s="532">
        <v>19</v>
      </c>
      <c r="B145" s="855" t="s">
        <v>366</v>
      </c>
      <c r="C145" s="855"/>
      <c r="D145" s="855"/>
      <c r="E145" s="855"/>
      <c r="F145" s="855"/>
      <c r="G145" s="855"/>
      <c r="H145" s="855"/>
      <c r="I145" s="855"/>
      <c r="J145" s="855"/>
      <c r="K145" s="855"/>
    </row>
    <row r="146" spans="1:11" ht="20.100000000000001" customHeight="1">
      <c r="A146" s="532">
        <v>20</v>
      </c>
      <c r="B146" s="855" t="s">
        <v>456</v>
      </c>
      <c r="C146" s="856"/>
      <c r="D146" s="856"/>
      <c r="E146" s="856"/>
      <c r="F146" s="856"/>
      <c r="G146" s="856"/>
      <c r="H146" s="856"/>
      <c r="I146" s="856"/>
      <c r="J146" s="856"/>
      <c r="K146" s="856"/>
    </row>
    <row r="147" spans="1:11" ht="20.100000000000001" customHeight="1">
      <c r="F147" s="490"/>
      <c r="J147" s="121"/>
      <c r="K147" t="s">
        <v>367</v>
      </c>
    </row>
    <row r="148" spans="1:11" ht="20.100000000000001" customHeight="1"/>
    <row r="149" spans="1:11" ht="20.100000000000001" customHeight="1"/>
    <row r="150" spans="1:11" ht="20.100000000000001" customHeight="1"/>
    <row r="151" spans="1:11" ht="20.100000000000001" hidden="1" customHeight="1"/>
    <row r="152" spans="1:11" ht="20.100000000000001" hidden="1" customHeight="1"/>
    <row r="153" spans="1:11" ht="20.100000000000001" customHeight="1"/>
    <row r="154" spans="1:11" ht="20.100000000000001" customHeight="1"/>
    <row r="155" spans="1:11" ht="20.100000000000001" customHeight="1"/>
    <row r="156" spans="1:11" ht="20.100000000000001" customHeight="1"/>
    <row r="157" spans="1:11" ht="20.100000000000001" customHeight="1"/>
    <row r="158" spans="1:11" ht="20.100000000000001" customHeight="1"/>
    <row r="159" spans="1:11" ht="20.100000000000001" customHeight="1"/>
    <row r="160" spans="1:11"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sheetData>
  <sheetProtection password="CA9C" sheet="1" objects="1" scenarios="1"/>
  <mergeCells count="81">
    <mergeCell ref="B19:J19"/>
    <mergeCell ref="M7:M9"/>
    <mergeCell ref="A13:K13"/>
    <mergeCell ref="A14:K14"/>
    <mergeCell ref="A15:K15"/>
    <mergeCell ref="A16:K16"/>
    <mergeCell ref="A83:D83"/>
    <mergeCell ref="A34:K34"/>
    <mergeCell ref="A35:K35"/>
    <mergeCell ref="A42:K42"/>
    <mergeCell ref="A43:K43"/>
    <mergeCell ref="A44:K44"/>
    <mergeCell ref="A45:K45"/>
    <mergeCell ref="F52:H52"/>
    <mergeCell ref="F56:K57"/>
    <mergeCell ref="G58:H58"/>
    <mergeCell ref="G59:J59"/>
    <mergeCell ref="A81:K81"/>
    <mergeCell ref="A36:K36"/>
    <mergeCell ref="A84:D84"/>
    <mergeCell ref="A85:D85"/>
    <mergeCell ref="A86:D86"/>
    <mergeCell ref="A87:D87"/>
    <mergeCell ref="A88:D88"/>
    <mergeCell ref="B101:D101"/>
    <mergeCell ref="F101:I101"/>
    <mergeCell ref="B102:D102"/>
    <mergeCell ref="A97:D97"/>
    <mergeCell ref="F89:J90"/>
    <mergeCell ref="A91:D91"/>
    <mergeCell ref="B92:D92"/>
    <mergeCell ref="F92:I92"/>
    <mergeCell ref="B93:D93"/>
    <mergeCell ref="F93:I93"/>
    <mergeCell ref="A89:D89"/>
    <mergeCell ref="A94:D94"/>
    <mergeCell ref="B95:D95"/>
    <mergeCell ref="F95:I95"/>
    <mergeCell ref="B96:D96"/>
    <mergeCell ref="F96:I96"/>
    <mergeCell ref="B98:D98"/>
    <mergeCell ref="F98:I98"/>
    <mergeCell ref="B99:D99"/>
    <mergeCell ref="F99:I99"/>
    <mergeCell ref="B100:D100"/>
    <mergeCell ref="F100:I100"/>
    <mergeCell ref="F102:I102"/>
    <mergeCell ref="A103:D103"/>
    <mergeCell ref="B130:K130"/>
    <mergeCell ref="B131:K131"/>
    <mergeCell ref="B132:K132"/>
    <mergeCell ref="G116:J116"/>
    <mergeCell ref="B104:D104"/>
    <mergeCell ref="F104:G104"/>
    <mergeCell ref="B105:D105"/>
    <mergeCell ref="F105:G105"/>
    <mergeCell ref="B106:D106"/>
    <mergeCell ref="F106:J107"/>
    <mergeCell ref="B133:K133"/>
    <mergeCell ref="B121:J121"/>
    <mergeCell ref="B125:K125"/>
    <mergeCell ref="B126:K126"/>
    <mergeCell ref="B127:K127"/>
    <mergeCell ref="B128:K128"/>
    <mergeCell ref="B129:K129"/>
    <mergeCell ref="B146:K146"/>
    <mergeCell ref="B20:J21"/>
    <mergeCell ref="B23:J23"/>
    <mergeCell ref="G24:G25"/>
    <mergeCell ref="H24:J25"/>
    <mergeCell ref="B24:F25"/>
    <mergeCell ref="B145:K145"/>
    <mergeCell ref="B139:K139"/>
    <mergeCell ref="B140:K140"/>
    <mergeCell ref="B141:K141"/>
    <mergeCell ref="B142:K142"/>
    <mergeCell ref="B143:K143"/>
    <mergeCell ref="B144:K144"/>
    <mergeCell ref="B138:K138"/>
    <mergeCell ref="B123:K123"/>
    <mergeCell ref="B124:K124"/>
  </mergeCells>
  <pageMargins left="0.87" right="0.57999999999999996" top="0.42" bottom="0.52" header="0.3" footer="0.3"/>
  <pageSetup paperSize="9" orientation="portrait" horizontalDpi="4294967294" verticalDpi="4294967294" r:id="rId1"/>
  <drawing r:id="rId2"/>
  <legacyDrawing r:id="rId3"/>
  <mc:AlternateContent xmlns:mc="http://schemas.openxmlformats.org/markup-compatibility/2006">
    <mc:Choice Requires="x14">
      <controls>
        <mc:AlternateContent xmlns:mc="http://schemas.openxmlformats.org/markup-compatibility/2006">
          <mc:Choice Requires="x14">
            <control shapeId="43009" r:id="rId4" name="Spinner 1">
              <controlPr defaultSize="0" print="0" autoPict="0">
                <anchor moveWithCells="1" sizeWithCells="1">
                  <from>
                    <xdr:col>13</xdr:col>
                    <xdr:colOff>114300</xdr:colOff>
                    <xdr:row>4</xdr:row>
                    <xdr:rowOff>171450</xdr:rowOff>
                  </from>
                  <to>
                    <xdr:col>13</xdr:col>
                    <xdr:colOff>581025</xdr:colOff>
                    <xdr:row>8</xdr:row>
                    <xdr:rowOff>180975</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92D050"/>
  </sheetPr>
  <dimension ref="A1:P41"/>
  <sheetViews>
    <sheetView zoomScale="90" zoomScaleNormal="90" workbookViewId="0">
      <pane xSplit="2" ySplit="9" topLeftCell="C12" activePane="bottomRight" state="frozen"/>
      <selection pane="topRight" activeCell="C1" sqref="C1"/>
      <selection pane="bottomLeft" activeCell="A10" sqref="A10"/>
      <selection pane="bottomRight" activeCell="C27" sqref="C27:D27"/>
    </sheetView>
  </sheetViews>
  <sheetFormatPr defaultColWidth="0" defaultRowHeight="15" zeroHeight="1"/>
  <cols>
    <col min="1" max="1" width="9.140625" customWidth="1"/>
    <col min="2" max="2" width="74" customWidth="1"/>
    <col min="3" max="5" width="9.140625" customWidth="1"/>
    <col min="6" max="16384" width="9.140625" hidden="1"/>
  </cols>
  <sheetData>
    <row r="1" spans="1:4">
      <c r="B1" s="894" t="s">
        <v>302</v>
      </c>
      <c r="C1" s="894"/>
    </row>
    <row r="2" spans="1:4"/>
    <row r="3" spans="1:4"/>
    <row r="4" spans="1:4">
      <c r="A4" t="s">
        <v>51</v>
      </c>
      <c r="B4" t="str">
        <f>": "&amp;MENU!M7</f>
        <v>: SD MUHAMMADIYAH BENDO</v>
      </c>
    </row>
    <row r="5" spans="1:4">
      <c r="A5" t="s">
        <v>27</v>
      </c>
      <c r="B5" t="str">
        <f>": "&amp;MENU!N20</f>
        <v>: V ( Lima )</v>
      </c>
    </row>
    <row r="6" spans="1:4">
      <c r="A6" t="s">
        <v>28</v>
      </c>
      <c r="B6" t="str">
        <f>": "&amp;MENU!N22</f>
        <v>: 2019/2020</v>
      </c>
    </row>
    <row r="7" spans="1:4"/>
    <row r="8" spans="1:4" ht="20.25">
      <c r="A8" s="895" t="s">
        <v>29</v>
      </c>
      <c r="B8" s="895" t="s">
        <v>303</v>
      </c>
      <c r="C8" s="897" t="s">
        <v>304</v>
      </c>
      <c r="D8" s="898"/>
    </row>
    <row r="9" spans="1:4" ht="20.25">
      <c r="A9" s="896"/>
      <c r="B9" s="896"/>
      <c r="C9" s="501" t="s">
        <v>211</v>
      </c>
      <c r="D9" s="501" t="s">
        <v>305</v>
      </c>
    </row>
    <row r="10" spans="1:4" ht="20.25">
      <c r="A10" s="504">
        <v>1</v>
      </c>
      <c r="B10" s="505" t="s">
        <v>284</v>
      </c>
      <c r="C10" s="502"/>
      <c r="D10" s="502"/>
    </row>
    <row r="11" spans="1:4" ht="20.25">
      <c r="A11" s="504"/>
      <c r="B11" s="505" t="s">
        <v>507</v>
      </c>
      <c r="C11" s="502">
        <v>75</v>
      </c>
      <c r="D11" s="502">
        <v>75</v>
      </c>
    </row>
    <row r="12" spans="1:4" ht="20.25">
      <c r="A12" s="504"/>
      <c r="B12" s="505" t="s">
        <v>508</v>
      </c>
      <c r="C12" s="502">
        <v>75</v>
      </c>
      <c r="D12" s="502">
        <v>75</v>
      </c>
    </row>
    <row r="13" spans="1:4" ht="20.25">
      <c r="A13" s="504"/>
      <c r="B13" s="505" t="s">
        <v>509</v>
      </c>
      <c r="C13" s="502">
        <v>75</v>
      </c>
      <c r="D13" s="502">
        <v>75</v>
      </c>
    </row>
    <row r="14" spans="1:4" ht="20.25">
      <c r="A14" s="504"/>
      <c r="B14" s="505" t="s">
        <v>510</v>
      </c>
      <c r="C14" s="502">
        <v>75</v>
      </c>
      <c r="D14" s="502">
        <v>75</v>
      </c>
    </row>
    <row r="15" spans="1:4" ht="20.25">
      <c r="A15" s="504"/>
      <c r="B15" s="505" t="s">
        <v>511</v>
      </c>
      <c r="C15" s="502">
        <v>75</v>
      </c>
      <c r="D15" s="502">
        <v>75</v>
      </c>
    </row>
    <row r="16" spans="1:4" ht="20.25">
      <c r="A16" s="504">
        <v>2</v>
      </c>
      <c r="B16" s="505" t="s">
        <v>512</v>
      </c>
      <c r="C16" s="502">
        <v>75</v>
      </c>
      <c r="D16" s="502">
        <v>75</v>
      </c>
    </row>
    <row r="17" spans="1:16" ht="20.25">
      <c r="A17" s="504">
        <v>3</v>
      </c>
      <c r="B17" s="505" t="s">
        <v>429</v>
      </c>
      <c r="C17" s="502">
        <v>75</v>
      </c>
      <c r="D17" s="502">
        <v>75</v>
      </c>
    </row>
    <row r="18" spans="1:16" ht="20.25">
      <c r="A18" s="504">
        <v>4</v>
      </c>
      <c r="B18" s="505" t="s">
        <v>306</v>
      </c>
      <c r="C18" s="502">
        <v>75</v>
      </c>
      <c r="D18" s="502">
        <v>75</v>
      </c>
    </row>
    <row r="19" spans="1:16" ht="20.25">
      <c r="A19" s="504">
        <v>5</v>
      </c>
      <c r="B19" s="505" t="s">
        <v>225</v>
      </c>
      <c r="C19" s="502">
        <v>75</v>
      </c>
      <c r="D19" s="502">
        <v>75</v>
      </c>
    </row>
    <row r="20" spans="1:16" ht="20.25">
      <c r="A20" s="504">
        <v>6</v>
      </c>
      <c r="B20" s="505" t="s">
        <v>226</v>
      </c>
      <c r="C20" s="502">
        <v>75</v>
      </c>
      <c r="D20" s="502">
        <v>75</v>
      </c>
    </row>
    <row r="21" spans="1:16" ht="20.25">
      <c r="A21" s="504">
        <v>7</v>
      </c>
      <c r="B21" s="505" t="s">
        <v>307</v>
      </c>
      <c r="C21" s="502">
        <v>75</v>
      </c>
      <c r="D21" s="502">
        <v>75</v>
      </c>
    </row>
    <row r="22" spans="1:16" ht="20.25">
      <c r="A22" s="504">
        <v>8</v>
      </c>
      <c r="B22" s="505" t="s">
        <v>308</v>
      </c>
      <c r="C22" s="502">
        <v>75</v>
      </c>
      <c r="D22" s="502">
        <v>75</v>
      </c>
    </row>
    <row r="23" spans="1:16" ht="20.25">
      <c r="A23" s="504">
        <v>9</v>
      </c>
      <c r="B23" s="505" t="s">
        <v>309</v>
      </c>
      <c r="C23" s="502">
        <v>75</v>
      </c>
      <c r="D23" s="502">
        <v>75</v>
      </c>
    </row>
    <row r="24" spans="1:16" ht="20.25">
      <c r="A24" s="504">
        <v>10</v>
      </c>
      <c r="B24" s="505" t="s">
        <v>310</v>
      </c>
      <c r="C24" s="502">
        <v>75</v>
      </c>
      <c r="D24" s="502">
        <v>75</v>
      </c>
    </row>
    <row r="25" spans="1:16" ht="20.25">
      <c r="A25" s="504">
        <v>11</v>
      </c>
      <c r="B25" s="505" t="s">
        <v>232</v>
      </c>
      <c r="C25" s="502">
        <v>75</v>
      </c>
      <c r="D25" s="502">
        <v>75</v>
      </c>
    </row>
    <row r="26" spans="1:16" ht="16.5" customHeight="1">
      <c r="A26" s="503"/>
      <c r="B26" s="503"/>
    </row>
    <row r="27" spans="1:16" ht="18.75">
      <c r="B27" s="645" t="s">
        <v>434</v>
      </c>
      <c r="C27" s="899">
        <v>75</v>
      </c>
      <c r="D27" s="899"/>
    </row>
    <row r="28" spans="1:16"/>
    <row r="29" spans="1:16" ht="18" customHeight="1">
      <c r="A29" s="647">
        <f>(100-C27)/3</f>
        <v>8.3333333333333339</v>
      </c>
      <c r="B29" s="891" t="s">
        <v>435</v>
      </c>
      <c r="C29" s="646" t="s">
        <v>504</v>
      </c>
      <c r="D29" s="265">
        <f>100-I29</f>
        <v>92</v>
      </c>
      <c r="G29" s="710"/>
      <c r="H29" s="711" t="s">
        <v>498</v>
      </c>
      <c r="I29" s="710">
        <f>IF(I31=0,J32+1,IF(I31=0.34,J32-1,IF(I31=0.67,J32,"")))</f>
        <v>8</v>
      </c>
      <c r="J29" s="710"/>
      <c r="K29" s="711" t="s">
        <v>499</v>
      </c>
      <c r="L29" s="712">
        <f>J32</f>
        <v>9</v>
      </c>
      <c r="M29" s="710"/>
      <c r="N29" s="711" t="s">
        <v>500</v>
      </c>
      <c r="O29" s="712">
        <f>J32</f>
        <v>9</v>
      </c>
      <c r="P29" s="710"/>
    </row>
    <row r="30" spans="1:16" ht="18.75">
      <c r="B30" s="892"/>
      <c r="C30" s="646" t="s">
        <v>505</v>
      </c>
      <c r="D30" s="713">
        <f>D29-L29</f>
        <v>83</v>
      </c>
      <c r="G30" s="710"/>
      <c r="H30" s="710"/>
      <c r="I30" s="710">
        <f>IF(I31=0,J32+1,IF(I31=0.34,J32-1,IF(I31=0.67,J32,"")))</f>
        <v>8</v>
      </c>
      <c r="J30" s="710"/>
      <c r="K30" s="710"/>
      <c r="L30" s="710"/>
      <c r="M30" s="710"/>
      <c r="N30" s="710"/>
      <c r="O30" s="710"/>
      <c r="P30" s="710"/>
    </row>
    <row r="31" spans="1:16" ht="18.75">
      <c r="B31" s="892"/>
      <c r="C31" s="646" t="s">
        <v>506</v>
      </c>
      <c r="D31" s="713">
        <f>C27</f>
        <v>75</v>
      </c>
      <c r="G31" s="710"/>
      <c r="H31" s="714" t="s">
        <v>501</v>
      </c>
      <c r="I31" s="715">
        <f>H32-J33</f>
        <v>0.33999999999999986</v>
      </c>
      <c r="J31" s="710"/>
      <c r="K31" s="710"/>
      <c r="L31" s="710"/>
      <c r="M31" s="710"/>
      <c r="N31" s="710"/>
      <c r="O31" s="710"/>
      <c r="P31" s="710"/>
    </row>
    <row r="32" spans="1:16" ht="18.75">
      <c r="B32" s="893"/>
      <c r="C32" s="646" t="s">
        <v>436</v>
      </c>
      <c r="D32" s="265">
        <f>C27</f>
        <v>75</v>
      </c>
      <c r="G32" s="716">
        <f>100-C27</f>
        <v>25</v>
      </c>
      <c r="H32" s="715">
        <f>ROUNDUP(G32/3,2)</f>
        <v>8.34</v>
      </c>
      <c r="I32" s="710" t="s">
        <v>502</v>
      </c>
      <c r="J32" s="712">
        <f>ROUNDUP(H32,0)</f>
        <v>9</v>
      </c>
      <c r="K32" s="710"/>
      <c r="L32" s="710"/>
      <c r="M32" s="710"/>
      <c r="N32" s="710"/>
      <c r="O32" s="710"/>
      <c r="P32" s="710"/>
    </row>
    <row r="33" spans="3:16">
      <c r="G33" s="710"/>
      <c r="H33" s="710"/>
      <c r="I33" s="710" t="s">
        <v>503</v>
      </c>
      <c r="J33" s="712">
        <f>ROUNDDOWN(H32,0)</f>
        <v>8</v>
      </c>
      <c r="K33" s="710"/>
      <c r="L33" s="710"/>
      <c r="M33" s="710"/>
      <c r="N33" s="710"/>
      <c r="O33" s="710"/>
      <c r="P33" s="710"/>
    </row>
    <row r="34" spans="3:16" ht="15.75">
      <c r="C34" s="465" t="s">
        <v>63</v>
      </c>
    </row>
    <row r="35" spans="3:16"/>
    <row r="36" spans="3:16"/>
    <row r="37" spans="3:16"/>
    <row r="38" spans="3:16"/>
    <row r="39" spans="3:16">
      <c r="C39" s="530" t="str">
        <f>MENU!N24</f>
        <v>TUTIK RAHAYU, S.Pd</v>
      </c>
    </row>
    <row r="40" spans="3:16">
      <c r="C40" s="530" t="str">
        <f>"NIP "&amp;MENU!N25</f>
        <v>NIP 1295423</v>
      </c>
    </row>
    <row r="41" spans="3:16"/>
  </sheetData>
  <sheetProtection password="CA9C" sheet="1" objects="1" scenarios="1"/>
  <mergeCells count="6">
    <mergeCell ref="B29:B32"/>
    <mergeCell ref="B1:C1"/>
    <mergeCell ref="A8:A9"/>
    <mergeCell ref="B8:B9"/>
    <mergeCell ref="C8:D8"/>
    <mergeCell ref="C27:D27"/>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C000"/>
  </sheetPr>
  <dimension ref="A1:AA49"/>
  <sheetViews>
    <sheetView workbookViewId="0">
      <pane xSplit="2" ySplit="5" topLeftCell="I6" activePane="bottomRight" state="frozen"/>
      <selection pane="topRight" activeCell="C1" sqref="C1"/>
      <selection pane="bottomLeft" activeCell="A6" sqref="A6"/>
      <selection pane="bottomRight" activeCell="M10" sqref="M10"/>
    </sheetView>
  </sheetViews>
  <sheetFormatPr defaultColWidth="0" defaultRowHeight="15" zeroHeight="1"/>
  <cols>
    <col min="1" max="1" width="4.7109375" customWidth="1"/>
    <col min="2" max="2" width="40.140625" customWidth="1"/>
    <col min="3" max="3" width="11.42578125" customWidth="1"/>
    <col min="4" max="5" width="18.85546875" customWidth="1"/>
    <col min="6" max="6" width="28.140625" customWidth="1"/>
    <col min="7" max="7" width="11.5703125" customWidth="1"/>
    <col min="8" max="8" width="10.28515625" customWidth="1"/>
    <col min="9" max="9" width="46.42578125" customWidth="1"/>
    <col min="10" max="11" width="25.7109375" customWidth="1"/>
    <col min="12" max="12" width="17.5703125" customWidth="1"/>
    <col min="13" max="13" width="15.7109375" customWidth="1"/>
    <col min="14" max="14" width="16.5703125" customWidth="1"/>
    <col min="15" max="15" width="10.85546875" customWidth="1"/>
    <col min="16" max="16" width="14.28515625" customWidth="1"/>
    <col min="17" max="17" width="13.5703125" customWidth="1"/>
    <col min="18" max="18" width="16.5703125" customWidth="1"/>
    <col min="19" max="20" width="20.7109375" customWidth="1"/>
    <col min="21" max="21" width="15.7109375" customWidth="1"/>
    <col min="22" max="22" width="40.7109375" customWidth="1"/>
    <col min="23" max="24" width="5.7109375" customWidth="1"/>
    <col min="25" max="27" width="3.7109375" customWidth="1"/>
    <col min="28" max="16384" width="9.140625" hidden="1"/>
  </cols>
  <sheetData>
    <row r="1" spans="1:27">
      <c r="A1" s="158"/>
      <c r="B1" s="159" t="s">
        <v>26</v>
      </c>
      <c r="C1" s="158"/>
      <c r="D1" s="158"/>
      <c r="E1" s="158"/>
    </row>
    <row r="2" spans="1:27">
      <c r="A2" s="158"/>
      <c r="B2" s="159" t="s">
        <v>27</v>
      </c>
      <c r="C2" s="158" t="str">
        <f>MENU!N20</f>
        <v>V ( Lima )</v>
      </c>
      <c r="D2" s="158"/>
      <c r="E2" s="158"/>
    </row>
    <row r="3" spans="1:27">
      <c r="A3" s="158"/>
      <c r="B3" s="159" t="s">
        <v>28</v>
      </c>
      <c r="C3" s="158" t="str">
        <f>MENU!N22</f>
        <v>2019/2020</v>
      </c>
      <c r="D3" s="158"/>
      <c r="E3" s="158"/>
    </row>
    <row r="4" spans="1:27" ht="15" customHeight="1">
      <c r="A4" s="902" t="s">
        <v>29</v>
      </c>
      <c r="B4" s="902" t="s">
        <v>495</v>
      </c>
      <c r="C4" s="902" t="s">
        <v>30</v>
      </c>
      <c r="D4" s="902" t="s">
        <v>31</v>
      </c>
      <c r="E4" s="906" t="s">
        <v>496</v>
      </c>
      <c r="F4" s="901" t="s">
        <v>287</v>
      </c>
      <c r="G4" s="904" t="s">
        <v>288</v>
      </c>
      <c r="H4" s="901" t="s">
        <v>289</v>
      </c>
      <c r="I4" s="901" t="s">
        <v>290</v>
      </c>
      <c r="J4" s="905" t="s">
        <v>291</v>
      </c>
      <c r="K4" s="905"/>
      <c r="L4" s="901" t="s">
        <v>292</v>
      </c>
      <c r="M4" s="901" t="s">
        <v>293</v>
      </c>
      <c r="N4" s="900" t="s">
        <v>294</v>
      </c>
      <c r="O4" s="900"/>
      <c r="P4" s="900"/>
      <c r="Q4" s="900"/>
      <c r="R4" s="900"/>
      <c r="S4" s="901" t="s">
        <v>295</v>
      </c>
      <c r="T4" s="901" t="s">
        <v>296</v>
      </c>
      <c r="U4" s="901" t="s">
        <v>297</v>
      </c>
      <c r="V4" s="901" t="s">
        <v>298</v>
      </c>
    </row>
    <row r="5" spans="1:27" ht="15" customHeight="1">
      <c r="A5" s="903"/>
      <c r="B5" s="903"/>
      <c r="C5" s="903"/>
      <c r="D5" s="903"/>
      <c r="E5" s="907"/>
      <c r="F5" s="901"/>
      <c r="G5" s="904"/>
      <c r="H5" s="901"/>
      <c r="I5" s="901"/>
      <c r="J5" s="496" t="s">
        <v>299</v>
      </c>
      <c r="K5" s="496" t="s">
        <v>300</v>
      </c>
      <c r="L5" s="901"/>
      <c r="M5" s="901"/>
      <c r="N5" s="496" t="s">
        <v>382</v>
      </c>
      <c r="O5" s="496" t="s">
        <v>301</v>
      </c>
      <c r="P5" s="496" t="s">
        <v>45</v>
      </c>
      <c r="Q5" s="496" t="s">
        <v>46</v>
      </c>
      <c r="R5" s="496" t="s">
        <v>48</v>
      </c>
      <c r="S5" s="901"/>
      <c r="T5" s="901"/>
      <c r="U5" s="901"/>
      <c r="V5" s="901"/>
    </row>
    <row r="6" spans="1:27">
      <c r="A6" s="87">
        <v>1</v>
      </c>
      <c r="B6" s="793" t="s">
        <v>656</v>
      </c>
      <c r="C6" s="89">
        <v>1279</v>
      </c>
      <c r="D6" s="796" t="s">
        <v>669</v>
      </c>
      <c r="E6" s="707" t="s">
        <v>684</v>
      </c>
      <c r="F6" s="795" t="s">
        <v>699</v>
      </c>
      <c r="G6" s="793" t="s">
        <v>714</v>
      </c>
      <c r="H6" s="534" t="s">
        <v>331</v>
      </c>
      <c r="I6" s="795" t="s">
        <v>715</v>
      </c>
      <c r="J6" s="795" t="s">
        <v>720</v>
      </c>
      <c r="K6" s="535" t="s">
        <v>747</v>
      </c>
      <c r="L6" s="88" t="s">
        <v>748</v>
      </c>
      <c r="M6" s="535" t="s">
        <v>748</v>
      </c>
      <c r="N6" s="795" t="s">
        <v>715</v>
      </c>
      <c r="O6" s="795" t="s">
        <v>733</v>
      </c>
      <c r="P6" s="795" t="s">
        <v>734</v>
      </c>
      <c r="Q6" s="535" t="s">
        <v>47</v>
      </c>
      <c r="R6" s="535" t="s">
        <v>344</v>
      </c>
      <c r="S6" s="535" t="s">
        <v>761</v>
      </c>
      <c r="T6" s="535" t="s">
        <v>338</v>
      </c>
      <c r="U6" s="535" t="s">
        <v>338</v>
      </c>
      <c r="V6" s="535" t="s">
        <v>338</v>
      </c>
      <c r="W6" s="27"/>
      <c r="X6" s="27"/>
      <c r="Y6" s="27"/>
      <c r="Z6" s="27"/>
      <c r="AA6" s="27"/>
    </row>
    <row r="7" spans="1:27">
      <c r="A7" s="91">
        <v>2</v>
      </c>
      <c r="B7" s="794" t="s">
        <v>658</v>
      </c>
      <c r="C7" s="89">
        <v>1355</v>
      </c>
      <c r="D7" s="797" t="s">
        <v>670</v>
      </c>
      <c r="E7" s="707" t="s">
        <v>688</v>
      </c>
      <c r="F7" s="795" t="s">
        <v>700</v>
      </c>
      <c r="G7" s="794" t="s">
        <v>714</v>
      </c>
      <c r="H7" s="64" t="s">
        <v>331</v>
      </c>
      <c r="I7" s="795" t="s">
        <v>716</v>
      </c>
      <c r="J7" s="798" t="s">
        <v>735</v>
      </c>
      <c r="K7" s="64" t="s">
        <v>741</v>
      </c>
      <c r="L7" s="64" t="s">
        <v>742</v>
      </c>
      <c r="M7" s="64" t="s">
        <v>743</v>
      </c>
      <c r="N7" s="795" t="s">
        <v>716</v>
      </c>
      <c r="O7" s="795" t="s">
        <v>733</v>
      </c>
      <c r="P7" s="795" t="s">
        <v>734</v>
      </c>
      <c r="Q7" s="64" t="s">
        <v>47</v>
      </c>
      <c r="R7" s="64" t="s">
        <v>344</v>
      </c>
      <c r="S7" s="64" t="s">
        <v>761</v>
      </c>
      <c r="T7" s="64"/>
      <c r="U7" s="64"/>
      <c r="V7" s="64"/>
      <c r="W7" s="27"/>
      <c r="X7" s="27"/>
      <c r="Y7" s="27"/>
      <c r="Z7" s="27"/>
      <c r="AA7" s="27"/>
    </row>
    <row r="8" spans="1:27">
      <c r="A8" s="87">
        <v>3</v>
      </c>
      <c r="B8" s="794" t="s">
        <v>654</v>
      </c>
      <c r="C8" s="89">
        <v>1356</v>
      </c>
      <c r="D8" s="797" t="s">
        <v>671</v>
      </c>
      <c r="E8" s="707" t="s">
        <v>689</v>
      </c>
      <c r="F8" s="794" t="s">
        <v>701</v>
      </c>
      <c r="G8" s="794" t="s">
        <v>260</v>
      </c>
      <c r="H8" s="534" t="s">
        <v>331</v>
      </c>
      <c r="I8" s="795" t="s">
        <v>717</v>
      </c>
      <c r="J8" s="798" t="s">
        <v>736</v>
      </c>
      <c r="K8" s="64" t="s">
        <v>739</v>
      </c>
      <c r="L8" s="64" t="s">
        <v>740</v>
      </c>
      <c r="M8" s="64" t="s">
        <v>740</v>
      </c>
      <c r="N8" s="795" t="s">
        <v>717</v>
      </c>
      <c r="O8" s="795" t="s">
        <v>733</v>
      </c>
      <c r="P8" s="795" t="s">
        <v>734</v>
      </c>
      <c r="Q8" s="535" t="s">
        <v>47</v>
      </c>
      <c r="R8" s="535" t="s">
        <v>344</v>
      </c>
      <c r="S8" s="64" t="s">
        <v>762</v>
      </c>
      <c r="T8" s="64"/>
      <c r="U8" s="64"/>
      <c r="V8" s="64"/>
      <c r="W8" s="27"/>
      <c r="X8" s="27"/>
      <c r="Y8" s="27"/>
      <c r="Z8" s="27"/>
      <c r="AA8" s="27"/>
    </row>
    <row r="9" spans="1:27">
      <c r="A9" s="87">
        <v>4</v>
      </c>
      <c r="B9" s="794" t="s">
        <v>655</v>
      </c>
      <c r="C9" s="89">
        <v>1255</v>
      </c>
      <c r="D9" s="796" t="s">
        <v>672</v>
      </c>
      <c r="E9" s="90" t="s">
        <v>690</v>
      </c>
      <c r="F9" s="795" t="s">
        <v>702</v>
      </c>
      <c r="G9" s="794" t="s">
        <v>714</v>
      </c>
      <c r="H9" s="64" t="s">
        <v>331</v>
      </c>
      <c r="I9" s="795" t="s">
        <v>715</v>
      </c>
      <c r="J9" s="795"/>
      <c r="K9" s="64" t="s">
        <v>756</v>
      </c>
      <c r="L9" s="64"/>
      <c r="M9" s="64" t="s">
        <v>743</v>
      </c>
      <c r="N9" s="795" t="s">
        <v>715</v>
      </c>
      <c r="O9" s="795" t="s">
        <v>733</v>
      </c>
      <c r="P9" s="795" t="s">
        <v>734</v>
      </c>
      <c r="Q9" s="64" t="s">
        <v>47</v>
      </c>
      <c r="R9" s="64" t="s">
        <v>344</v>
      </c>
      <c r="S9" s="64" t="s">
        <v>763</v>
      </c>
      <c r="T9" s="64" t="s">
        <v>721</v>
      </c>
      <c r="U9" s="64" t="s">
        <v>746</v>
      </c>
      <c r="V9" s="64" t="s">
        <v>715</v>
      </c>
      <c r="W9" s="27"/>
      <c r="X9" s="27"/>
      <c r="Y9" s="27"/>
      <c r="Z9" s="27"/>
      <c r="AA9" s="27"/>
    </row>
    <row r="10" spans="1:27">
      <c r="A10" s="87">
        <v>5</v>
      </c>
      <c r="B10" s="794" t="s">
        <v>659</v>
      </c>
      <c r="C10" s="89">
        <v>1274</v>
      </c>
      <c r="D10" s="796" t="s">
        <v>673</v>
      </c>
      <c r="E10" s="90" t="s">
        <v>691</v>
      </c>
      <c r="F10" s="795" t="s">
        <v>703</v>
      </c>
      <c r="G10" s="794" t="s">
        <v>260</v>
      </c>
      <c r="H10" s="534" t="s">
        <v>331</v>
      </c>
      <c r="I10" s="795" t="s">
        <v>718</v>
      </c>
      <c r="J10" s="795" t="s">
        <v>749</v>
      </c>
      <c r="K10" s="64" t="s">
        <v>750</v>
      </c>
      <c r="L10" s="64" t="s">
        <v>748</v>
      </c>
      <c r="M10" s="64"/>
      <c r="N10" s="795" t="s">
        <v>718</v>
      </c>
      <c r="O10" s="795" t="s">
        <v>733</v>
      </c>
      <c r="P10" s="795" t="s">
        <v>734</v>
      </c>
      <c r="Q10" s="535" t="s">
        <v>47</v>
      </c>
      <c r="R10" s="535" t="s">
        <v>344</v>
      </c>
      <c r="S10" s="64" t="s">
        <v>763</v>
      </c>
      <c r="T10" s="64" t="s">
        <v>722</v>
      </c>
      <c r="U10" s="64" t="s">
        <v>746</v>
      </c>
      <c r="V10" s="64" t="s">
        <v>718</v>
      </c>
      <c r="W10" s="27"/>
      <c r="X10" s="27"/>
      <c r="Y10" s="27"/>
      <c r="Z10" s="27"/>
      <c r="AA10" s="27"/>
    </row>
    <row r="11" spans="1:27">
      <c r="A11" s="87">
        <v>6</v>
      </c>
      <c r="B11" s="794" t="s">
        <v>660</v>
      </c>
      <c r="C11" s="89">
        <v>1280</v>
      </c>
      <c r="D11" s="796" t="s">
        <v>674</v>
      </c>
      <c r="E11" s="90" t="s">
        <v>685</v>
      </c>
      <c r="F11" s="795" t="s">
        <v>704</v>
      </c>
      <c r="G11" s="794" t="s">
        <v>260</v>
      </c>
      <c r="H11" s="64" t="s">
        <v>331</v>
      </c>
      <c r="I11" s="795" t="s">
        <v>715</v>
      </c>
      <c r="J11" s="795" t="s">
        <v>723</v>
      </c>
      <c r="K11" s="64" t="s">
        <v>759</v>
      </c>
      <c r="L11" s="64" t="s">
        <v>760</v>
      </c>
      <c r="M11" s="64" t="s">
        <v>743</v>
      </c>
      <c r="N11" s="795" t="s">
        <v>715</v>
      </c>
      <c r="O11" s="795" t="s">
        <v>733</v>
      </c>
      <c r="P11" s="795" t="s">
        <v>734</v>
      </c>
      <c r="Q11" s="64" t="s">
        <v>47</v>
      </c>
      <c r="R11" s="64" t="s">
        <v>344</v>
      </c>
      <c r="S11" s="64" t="s">
        <v>763</v>
      </c>
      <c r="T11" s="64"/>
      <c r="U11" s="64"/>
      <c r="V11" s="64"/>
      <c r="W11" s="27"/>
      <c r="X11" s="27"/>
      <c r="Y11" s="27"/>
      <c r="Z11" s="27"/>
      <c r="AA11" s="27"/>
    </row>
    <row r="12" spans="1:27">
      <c r="A12" s="87">
        <v>7</v>
      </c>
      <c r="B12" s="794" t="s">
        <v>657</v>
      </c>
      <c r="C12" s="89">
        <v>1273</v>
      </c>
      <c r="D12" s="796" t="s">
        <v>675</v>
      </c>
      <c r="E12" s="90" t="s">
        <v>686</v>
      </c>
      <c r="F12" s="795" t="s">
        <v>705</v>
      </c>
      <c r="G12" s="794" t="s">
        <v>260</v>
      </c>
      <c r="H12" s="534" t="s">
        <v>331</v>
      </c>
      <c r="I12" s="795" t="s">
        <v>717</v>
      </c>
      <c r="J12" s="795" t="s">
        <v>724</v>
      </c>
      <c r="K12" s="64" t="s">
        <v>755</v>
      </c>
      <c r="L12" s="64" t="s">
        <v>740</v>
      </c>
      <c r="M12" s="64" t="s">
        <v>743</v>
      </c>
      <c r="N12" s="795" t="s">
        <v>717</v>
      </c>
      <c r="O12" s="795" t="s">
        <v>733</v>
      </c>
      <c r="P12" s="795" t="s">
        <v>734</v>
      </c>
      <c r="Q12" s="535" t="s">
        <v>47</v>
      </c>
      <c r="R12" s="535" t="s">
        <v>344</v>
      </c>
      <c r="S12" s="64" t="s">
        <v>764</v>
      </c>
      <c r="T12" s="64"/>
      <c r="U12" s="64"/>
      <c r="V12" s="64"/>
      <c r="W12" s="27"/>
      <c r="X12" s="27"/>
      <c r="Y12" s="27"/>
      <c r="Z12" s="27"/>
      <c r="AA12" s="27"/>
    </row>
    <row r="13" spans="1:27">
      <c r="A13" s="87">
        <v>8</v>
      </c>
      <c r="B13" s="794" t="s">
        <v>661</v>
      </c>
      <c r="C13" s="89">
        <v>1263</v>
      </c>
      <c r="D13" s="796" t="s">
        <v>676</v>
      </c>
      <c r="E13" s="90" t="s">
        <v>692</v>
      </c>
      <c r="F13" s="795" t="s">
        <v>706</v>
      </c>
      <c r="G13" s="794" t="s">
        <v>714</v>
      </c>
      <c r="H13" s="64" t="s">
        <v>331</v>
      </c>
      <c r="I13" s="795" t="s">
        <v>716</v>
      </c>
      <c r="J13" s="795" t="s">
        <v>744</v>
      </c>
      <c r="K13" s="64" t="s">
        <v>745</v>
      </c>
      <c r="L13" s="64"/>
      <c r="M13" s="64" t="s">
        <v>746</v>
      </c>
      <c r="N13" s="795" t="s">
        <v>716</v>
      </c>
      <c r="O13" s="795" t="s">
        <v>733</v>
      </c>
      <c r="P13" s="795" t="s">
        <v>734</v>
      </c>
      <c r="Q13" s="64" t="s">
        <v>47</v>
      </c>
      <c r="R13" s="64" t="s">
        <v>344</v>
      </c>
      <c r="S13" s="64" t="s">
        <v>763</v>
      </c>
      <c r="T13" s="64" t="s">
        <v>725</v>
      </c>
      <c r="U13" s="64" t="s">
        <v>746</v>
      </c>
      <c r="V13" s="64" t="s">
        <v>716</v>
      </c>
      <c r="W13" s="27"/>
      <c r="X13" s="27"/>
      <c r="Y13" s="27"/>
      <c r="Z13" s="27"/>
      <c r="AA13" s="27"/>
    </row>
    <row r="14" spans="1:27">
      <c r="A14" s="87">
        <v>9</v>
      </c>
      <c r="B14" s="794" t="s">
        <v>662</v>
      </c>
      <c r="C14" s="89">
        <v>1269</v>
      </c>
      <c r="D14" s="796" t="s">
        <v>677</v>
      </c>
      <c r="E14" s="90" t="s">
        <v>694</v>
      </c>
      <c r="F14" s="795" t="s">
        <v>707</v>
      </c>
      <c r="G14" s="794" t="s">
        <v>714</v>
      </c>
      <c r="H14" s="534" t="s">
        <v>331</v>
      </c>
      <c r="I14" s="795" t="s">
        <v>718</v>
      </c>
      <c r="J14" s="795" t="s">
        <v>726</v>
      </c>
      <c r="K14" s="64" t="s">
        <v>754</v>
      </c>
      <c r="L14" s="64" t="s">
        <v>746</v>
      </c>
      <c r="M14" s="64" t="s">
        <v>746</v>
      </c>
      <c r="N14" s="795" t="s">
        <v>718</v>
      </c>
      <c r="O14" s="795" t="s">
        <v>733</v>
      </c>
      <c r="P14" s="795" t="s">
        <v>734</v>
      </c>
      <c r="Q14" s="535" t="s">
        <v>47</v>
      </c>
      <c r="R14" s="535" t="s">
        <v>344</v>
      </c>
      <c r="S14" s="64" t="s">
        <v>763</v>
      </c>
      <c r="T14" s="64"/>
      <c r="U14" s="64"/>
      <c r="V14" s="64"/>
      <c r="W14" s="27"/>
      <c r="X14" s="27"/>
      <c r="Y14" s="27"/>
      <c r="Z14" s="27"/>
      <c r="AA14" s="27"/>
    </row>
    <row r="15" spans="1:27">
      <c r="A15" s="87">
        <v>10</v>
      </c>
      <c r="B15" s="794" t="s">
        <v>663</v>
      </c>
      <c r="C15" s="89">
        <v>1278</v>
      </c>
      <c r="D15" s="796" t="s">
        <v>678</v>
      </c>
      <c r="E15" s="90" t="s">
        <v>693</v>
      </c>
      <c r="F15" s="795" t="s">
        <v>708</v>
      </c>
      <c r="G15" s="794" t="s">
        <v>714</v>
      </c>
      <c r="H15" s="64" t="s">
        <v>331</v>
      </c>
      <c r="I15" s="795" t="s">
        <v>719</v>
      </c>
      <c r="J15" s="795" t="s">
        <v>727</v>
      </c>
      <c r="K15" s="64" t="s">
        <v>737</v>
      </c>
      <c r="L15" s="64" t="s">
        <v>738</v>
      </c>
      <c r="M15" s="64" t="s">
        <v>738</v>
      </c>
      <c r="N15" s="795" t="s">
        <v>719</v>
      </c>
      <c r="O15" s="795" t="s">
        <v>733</v>
      </c>
      <c r="P15" s="795" t="s">
        <v>734</v>
      </c>
      <c r="Q15" s="64" t="s">
        <v>47</v>
      </c>
      <c r="R15" s="64" t="s">
        <v>344</v>
      </c>
      <c r="S15" s="64" t="s">
        <v>765</v>
      </c>
      <c r="T15" s="64"/>
      <c r="U15" s="64"/>
      <c r="V15" s="64"/>
      <c r="W15" s="27"/>
      <c r="X15" s="27"/>
      <c r="Y15" s="27"/>
      <c r="Z15" s="27"/>
      <c r="AA15" s="27"/>
    </row>
    <row r="16" spans="1:27">
      <c r="A16" s="87">
        <v>11</v>
      </c>
      <c r="B16" s="795" t="s">
        <v>664</v>
      </c>
      <c r="C16" s="89">
        <v>1275</v>
      </c>
      <c r="D16" s="796" t="s">
        <v>679</v>
      </c>
      <c r="E16" s="90" t="s">
        <v>695</v>
      </c>
      <c r="F16" s="795" t="s">
        <v>709</v>
      </c>
      <c r="G16" s="794" t="s">
        <v>714</v>
      </c>
      <c r="H16" s="534" t="s">
        <v>331</v>
      </c>
      <c r="I16" s="795" t="s">
        <v>715</v>
      </c>
      <c r="J16" s="795" t="s">
        <v>728</v>
      </c>
      <c r="K16" s="64" t="s">
        <v>753</v>
      </c>
      <c r="L16" s="64" t="s">
        <v>746</v>
      </c>
      <c r="M16" s="64" t="s">
        <v>746</v>
      </c>
      <c r="N16" s="795" t="s">
        <v>715</v>
      </c>
      <c r="O16" s="795" t="s">
        <v>733</v>
      </c>
      <c r="P16" s="795" t="s">
        <v>734</v>
      </c>
      <c r="Q16" s="535" t="s">
        <v>47</v>
      </c>
      <c r="R16" s="535" t="s">
        <v>344</v>
      </c>
      <c r="S16" s="64" t="s">
        <v>763</v>
      </c>
      <c r="T16" s="64"/>
      <c r="U16" s="64"/>
      <c r="V16" s="64"/>
      <c r="W16" s="27"/>
      <c r="X16" s="27"/>
      <c r="Y16" s="27"/>
      <c r="Z16" s="27"/>
      <c r="AA16" s="27"/>
    </row>
    <row r="17" spans="1:27">
      <c r="A17" s="87">
        <v>12</v>
      </c>
      <c r="B17" s="795" t="s">
        <v>665</v>
      </c>
      <c r="C17" s="89">
        <v>1281</v>
      </c>
      <c r="D17" s="796" t="s">
        <v>680</v>
      </c>
      <c r="E17" s="90" t="s">
        <v>696</v>
      </c>
      <c r="F17" s="795" t="s">
        <v>710</v>
      </c>
      <c r="G17" s="794" t="s">
        <v>260</v>
      </c>
      <c r="H17" s="64" t="s">
        <v>331</v>
      </c>
      <c r="I17" s="795" t="s">
        <v>715</v>
      </c>
      <c r="J17" s="795" t="s">
        <v>729</v>
      </c>
      <c r="K17" s="64" t="s">
        <v>757</v>
      </c>
      <c r="L17" s="64" t="s">
        <v>746</v>
      </c>
      <c r="M17" s="64" t="s">
        <v>746</v>
      </c>
      <c r="N17" s="795" t="s">
        <v>715</v>
      </c>
      <c r="O17" s="795" t="s">
        <v>733</v>
      </c>
      <c r="P17" s="795" t="s">
        <v>734</v>
      </c>
      <c r="Q17" s="64" t="s">
        <v>47</v>
      </c>
      <c r="R17" s="64" t="s">
        <v>344</v>
      </c>
      <c r="S17" s="64" t="s">
        <v>765</v>
      </c>
      <c r="T17" s="64"/>
      <c r="U17" s="64"/>
      <c r="V17" s="64"/>
      <c r="W17" s="27"/>
      <c r="X17" s="27"/>
      <c r="Y17" s="27"/>
      <c r="Z17" s="27"/>
      <c r="AA17" s="27"/>
    </row>
    <row r="18" spans="1:27">
      <c r="A18" s="87">
        <v>13</v>
      </c>
      <c r="B18" s="795" t="s">
        <v>666</v>
      </c>
      <c r="C18" s="89">
        <v>1268</v>
      </c>
      <c r="D18" s="796" t="s">
        <v>681</v>
      </c>
      <c r="E18" s="90" t="s">
        <v>697</v>
      </c>
      <c r="F18" s="795" t="s">
        <v>711</v>
      </c>
      <c r="G18" s="794" t="s">
        <v>714</v>
      </c>
      <c r="H18" s="534" t="s">
        <v>331</v>
      </c>
      <c r="I18" s="795" t="s">
        <v>715</v>
      </c>
      <c r="J18" s="795" t="s">
        <v>730</v>
      </c>
      <c r="K18" s="64" t="s">
        <v>752</v>
      </c>
      <c r="L18" s="64" t="s">
        <v>740</v>
      </c>
      <c r="M18" s="64" t="s">
        <v>743</v>
      </c>
      <c r="N18" s="795" t="s">
        <v>715</v>
      </c>
      <c r="O18" s="795" t="s">
        <v>733</v>
      </c>
      <c r="P18" s="795" t="s">
        <v>734</v>
      </c>
      <c r="Q18" s="535" t="s">
        <v>47</v>
      </c>
      <c r="R18" s="535" t="s">
        <v>344</v>
      </c>
      <c r="S18" s="64" t="s">
        <v>763</v>
      </c>
      <c r="T18" s="64"/>
      <c r="U18" s="64"/>
      <c r="V18" s="64"/>
      <c r="W18" s="27"/>
      <c r="X18" s="27"/>
      <c r="Y18" s="27"/>
      <c r="Z18" s="27"/>
      <c r="AA18" s="27"/>
    </row>
    <row r="19" spans="1:27">
      <c r="A19" s="87">
        <v>14</v>
      </c>
      <c r="B19" s="795" t="s">
        <v>667</v>
      </c>
      <c r="C19" s="89">
        <v>1277</v>
      </c>
      <c r="D19" s="796" t="s">
        <v>682</v>
      </c>
      <c r="E19" s="90" t="s">
        <v>698</v>
      </c>
      <c r="F19" s="795" t="s">
        <v>712</v>
      </c>
      <c r="G19" s="794" t="s">
        <v>260</v>
      </c>
      <c r="H19" s="64" t="s">
        <v>331</v>
      </c>
      <c r="I19" s="795" t="s">
        <v>718</v>
      </c>
      <c r="J19" s="795" t="s">
        <v>731</v>
      </c>
      <c r="K19" s="64" t="s">
        <v>758</v>
      </c>
      <c r="L19" s="64" t="s">
        <v>746</v>
      </c>
      <c r="M19" s="64" t="s">
        <v>746</v>
      </c>
      <c r="N19" s="795" t="s">
        <v>718</v>
      </c>
      <c r="O19" s="795" t="s">
        <v>733</v>
      </c>
      <c r="P19" s="795" t="s">
        <v>734</v>
      </c>
      <c r="Q19" s="64" t="s">
        <v>47</v>
      </c>
      <c r="R19" s="64" t="s">
        <v>344</v>
      </c>
      <c r="S19" s="64" t="s">
        <v>763</v>
      </c>
      <c r="T19" s="64"/>
      <c r="U19" s="64"/>
      <c r="V19" s="64"/>
      <c r="W19" s="27"/>
      <c r="X19" s="27"/>
      <c r="Y19" s="27"/>
      <c r="Z19" s="27"/>
      <c r="AA19" s="27"/>
    </row>
    <row r="20" spans="1:27">
      <c r="A20" s="87">
        <v>15</v>
      </c>
      <c r="B20" s="795" t="s">
        <v>668</v>
      </c>
      <c r="C20" s="89">
        <v>1270</v>
      </c>
      <c r="D20" s="796" t="s">
        <v>683</v>
      </c>
      <c r="E20" s="90" t="s">
        <v>687</v>
      </c>
      <c r="F20" s="795" t="s">
        <v>713</v>
      </c>
      <c r="G20" s="794" t="s">
        <v>714</v>
      </c>
      <c r="H20" s="534" t="s">
        <v>331</v>
      </c>
      <c r="I20" s="795" t="s">
        <v>715</v>
      </c>
      <c r="J20" s="795" t="s">
        <v>732</v>
      </c>
      <c r="K20" s="64" t="s">
        <v>751</v>
      </c>
      <c r="L20" s="64" t="s">
        <v>740</v>
      </c>
      <c r="M20" s="64" t="s">
        <v>740</v>
      </c>
      <c r="N20" s="795" t="s">
        <v>715</v>
      </c>
      <c r="O20" s="795" t="s">
        <v>733</v>
      </c>
      <c r="P20" s="795" t="s">
        <v>734</v>
      </c>
      <c r="Q20" s="535" t="s">
        <v>47</v>
      </c>
      <c r="R20" s="535" t="s">
        <v>344</v>
      </c>
      <c r="S20" s="64" t="s">
        <v>763</v>
      </c>
      <c r="T20" s="64"/>
      <c r="U20" s="64"/>
      <c r="V20" s="64"/>
      <c r="W20" s="27"/>
      <c r="X20" s="27"/>
      <c r="Y20" s="27"/>
      <c r="Z20" s="27"/>
      <c r="AA20" s="27"/>
    </row>
    <row r="21" spans="1:27">
      <c r="A21" s="87">
        <v>16</v>
      </c>
      <c r="B21" s="469"/>
      <c r="C21" s="89"/>
      <c r="D21" s="90"/>
      <c r="E21" s="90"/>
      <c r="F21" s="64"/>
      <c r="G21" s="64"/>
      <c r="H21" s="64"/>
      <c r="I21" s="64"/>
      <c r="J21" s="64"/>
      <c r="K21" s="64"/>
      <c r="L21" s="64"/>
      <c r="M21" s="64"/>
      <c r="N21" s="64"/>
      <c r="O21" s="64"/>
      <c r="P21" s="64"/>
      <c r="Q21" s="64"/>
      <c r="R21" s="64"/>
      <c r="S21" s="64"/>
      <c r="T21" s="64"/>
      <c r="U21" s="64"/>
      <c r="V21" s="64"/>
      <c r="W21" s="27"/>
      <c r="X21" s="27"/>
      <c r="Y21" s="27"/>
      <c r="Z21" s="27"/>
      <c r="AA21" s="27"/>
    </row>
    <row r="22" spans="1:27">
      <c r="A22" s="87">
        <v>17</v>
      </c>
      <c r="B22" s="469"/>
      <c r="C22" s="89"/>
      <c r="D22" s="90"/>
      <c r="E22" s="90"/>
      <c r="F22" s="64"/>
      <c r="G22" s="64"/>
      <c r="H22" s="64"/>
      <c r="I22" s="64"/>
      <c r="J22" s="64"/>
      <c r="K22" s="64"/>
      <c r="L22" s="64"/>
      <c r="M22" s="64"/>
      <c r="N22" s="64"/>
      <c r="O22" s="64"/>
      <c r="P22" s="64"/>
      <c r="Q22" s="64"/>
      <c r="R22" s="64"/>
      <c r="S22" s="64"/>
      <c r="T22" s="64"/>
      <c r="U22" s="64"/>
      <c r="V22" s="64"/>
      <c r="W22" s="27"/>
      <c r="X22" s="27"/>
      <c r="Y22" s="27"/>
      <c r="Z22" s="27"/>
      <c r="AA22" s="27"/>
    </row>
    <row r="23" spans="1:27">
      <c r="A23" s="87">
        <v>18</v>
      </c>
      <c r="B23" s="469"/>
      <c r="C23" s="89"/>
      <c r="D23" s="90"/>
      <c r="E23" s="90"/>
      <c r="F23" s="64"/>
      <c r="G23" s="64"/>
      <c r="H23" s="64"/>
      <c r="I23" s="64"/>
      <c r="J23" s="64"/>
      <c r="K23" s="64"/>
      <c r="L23" s="64"/>
      <c r="M23" s="64"/>
      <c r="N23" s="64"/>
      <c r="O23" s="64"/>
      <c r="P23" s="64"/>
      <c r="Q23" s="64"/>
      <c r="R23" s="64"/>
      <c r="S23" s="64"/>
      <c r="T23" s="64"/>
      <c r="U23" s="64"/>
      <c r="V23" s="64"/>
      <c r="W23" s="27"/>
      <c r="X23" s="27"/>
      <c r="Y23" s="27"/>
      <c r="Z23" s="27"/>
      <c r="AA23" s="27"/>
    </row>
    <row r="24" spans="1:27">
      <c r="A24" s="87">
        <v>19</v>
      </c>
      <c r="B24" s="469"/>
      <c r="C24" s="89"/>
      <c r="D24" s="90"/>
      <c r="E24" s="90"/>
      <c r="F24" s="64"/>
      <c r="G24" s="64"/>
      <c r="H24" s="64"/>
      <c r="I24" s="64"/>
      <c r="J24" s="64"/>
      <c r="K24" s="64"/>
      <c r="L24" s="64"/>
      <c r="M24" s="64"/>
      <c r="N24" s="64"/>
      <c r="O24" s="64"/>
      <c r="P24" s="64"/>
      <c r="Q24" s="64"/>
      <c r="R24" s="64"/>
      <c r="S24" s="64"/>
      <c r="T24" s="64"/>
      <c r="U24" s="64"/>
      <c r="V24" s="64"/>
      <c r="W24" s="27"/>
      <c r="X24" s="27"/>
      <c r="Y24" s="27"/>
      <c r="Z24" s="27"/>
      <c r="AA24" s="27"/>
    </row>
    <row r="25" spans="1:27">
      <c r="A25" s="87">
        <v>20</v>
      </c>
      <c r="B25" s="469"/>
      <c r="C25" s="89"/>
      <c r="D25" s="90"/>
      <c r="E25" s="90"/>
      <c r="F25" s="64"/>
      <c r="G25" s="64"/>
      <c r="H25" s="64"/>
      <c r="I25" s="64"/>
      <c r="J25" s="64"/>
      <c r="K25" s="64"/>
      <c r="L25" s="64"/>
      <c r="M25" s="64"/>
      <c r="N25" s="64"/>
      <c r="O25" s="64"/>
      <c r="P25" s="64"/>
      <c r="Q25" s="64"/>
      <c r="R25" s="64"/>
      <c r="S25" s="64"/>
      <c r="T25" s="64"/>
      <c r="U25" s="64"/>
      <c r="V25" s="64"/>
      <c r="W25" s="27"/>
      <c r="X25" s="27"/>
      <c r="Y25" s="27"/>
      <c r="Z25" s="27"/>
      <c r="AA25" s="27"/>
    </row>
    <row r="26" spans="1:27">
      <c r="A26" s="87">
        <v>21</v>
      </c>
      <c r="B26" s="469"/>
      <c r="C26" s="89"/>
      <c r="D26" s="90"/>
      <c r="E26" s="90"/>
      <c r="F26" s="64"/>
      <c r="G26" s="64"/>
      <c r="H26" s="64"/>
      <c r="I26" s="64"/>
      <c r="J26" s="64"/>
      <c r="K26" s="64"/>
      <c r="L26" s="64"/>
      <c r="M26" s="64"/>
      <c r="N26" s="64"/>
      <c r="O26" s="64"/>
      <c r="P26" s="64"/>
      <c r="Q26" s="64"/>
      <c r="R26" s="64"/>
      <c r="S26" s="64"/>
      <c r="T26" s="64"/>
      <c r="U26" s="64"/>
      <c r="V26" s="64"/>
      <c r="W26" s="27"/>
      <c r="X26" s="27"/>
      <c r="Y26" s="27"/>
      <c r="Z26" s="27"/>
      <c r="AA26" s="27"/>
    </row>
    <row r="27" spans="1:27">
      <c r="A27" s="87">
        <v>22</v>
      </c>
      <c r="B27" s="469"/>
      <c r="C27" s="89"/>
      <c r="D27" s="90"/>
      <c r="E27" s="90"/>
      <c r="F27" s="64"/>
      <c r="G27" s="64"/>
      <c r="H27" s="64"/>
      <c r="I27" s="64"/>
      <c r="J27" s="64"/>
      <c r="K27" s="64"/>
      <c r="L27" s="64"/>
      <c r="M27" s="64"/>
      <c r="N27" s="64"/>
      <c r="O27" s="64"/>
      <c r="P27" s="64"/>
      <c r="Q27" s="64"/>
      <c r="R27" s="64"/>
      <c r="S27" s="64"/>
      <c r="T27" s="64"/>
      <c r="U27" s="64"/>
      <c r="V27" s="64"/>
      <c r="W27" s="27"/>
      <c r="X27" s="27"/>
      <c r="Y27" s="27"/>
      <c r="Z27" s="27"/>
      <c r="AA27" s="27"/>
    </row>
    <row r="28" spans="1:27">
      <c r="A28" s="87">
        <v>23</v>
      </c>
      <c r="B28" s="469"/>
      <c r="C28" s="89"/>
      <c r="D28" s="90"/>
      <c r="E28" s="90"/>
      <c r="F28" s="64"/>
      <c r="G28" s="64"/>
      <c r="H28" s="64"/>
      <c r="I28" s="64"/>
      <c r="J28" s="64"/>
      <c r="K28" s="64"/>
      <c r="L28" s="64"/>
      <c r="M28" s="64"/>
      <c r="N28" s="64"/>
      <c r="O28" s="64"/>
      <c r="P28" s="64"/>
      <c r="Q28" s="64"/>
      <c r="R28" s="64"/>
      <c r="S28" s="64"/>
      <c r="T28" s="64"/>
      <c r="U28" s="64"/>
      <c r="V28" s="64"/>
      <c r="W28" s="27"/>
      <c r="X28" s="27"/>
      <c r="Y28" s="27"/>
      <c r="Z28" s="27"/>
      <c r="AA28" s="27"/>
    </row>
    <row r="29" spans="1:27">
      <c r="A29" s="87">
        <v>24</v>
      </c>
      <c r="B29" s="469"/>
      <c r="C29" s="89"/>
      <c r="D29" s="90"/>
      <c r="E29" s="90"/>
      <c r="F29" s="64"/>
      <c r="G29" s="64"/>
      <c r="H29" s="64"/>
      <c r="I29" s="64"/>
      <c r="J29" s="64"/>
      <c r="K29" s="64"/>
      <c r="L29" s="64"/>
      <c r="M29" s="64"/>
      <c r="N29" s="64"/>
      <c r="O29" s="64"/>
      <c r="P29" s="64"/>
      <c r="Q29" s="64"/>
      <c r="R29" s="64"/>
      <c r="S29" s="64"/>
      <c r="T29" s="64"/>
      <c r="U29" s="64"/>
      <c r="V29" s="64"/>
      <c r="W29" s="27"/>
      <c r="X29" s="27"/>
      <c r="Y29" s="27"/>
      <c r="Z29" s="27"/>
      <c r="AA29" s="27"/>
    </row>
    <row r="30" spans="1:27">
      <c r="A30" s="87">
        <v>25</v>
      </c>
      <c r="B30" s="469"/>
      <c r="C30" s="89"/>
      <c r="D30" s="90"/>
      <c r="E30" s="90"/>
      <c r="F30" s="64"/>
      <c r="G30" s="64"/>
      <c r="H30" s="64"/>
      <c r="I30" s="64"/>
      <c r="J30" s="64"/>
      <c r="K30" s="64"/>
      <c r="L30" s="64"/>
      <c r="M30" s="64"/>
      <c r="N30" s="64"/>
      <c r="O30" s="64"/>
      <c r="P30" s="64"/>
      <c r="Q30" s="64"/>
      <c r="R30" s="64"/>
      <c r="S30" s="64"/>
      <c r="T30" s="64"/>
      <c r="U30" s="64"/>
      <c r="V30" s="64"/>
      <c r="W30" s="27"/>
      <c r="X30" s="27"/>
      <c r="Y30" s="27"/>
      <c r="Z30" s="27"/>
      <c r="AA30" s="27"/>
    </row>
    <row r="31" spans="1:27">
      <c r="A31" s="87">
        <v>26</v>
      </c>
      <c r="B31" s="88"/>
      <c r="C31" s="89"/>
      <c r="D31" s="90"/>
      <c r="E31" s="90"/>
      <c r="F31" s="64"/>
      <c r="G31" s="64"/>
      <c r="H31" s="64"/>
      <c r="I31" s="64"/>
      <c r="J31" s="64"/>
      <c r="K31" s="64"/>
      <c r="L31" s="64"/>
      <c r="M31" s="64"/>
      <c r="N31" s="64"/>
      <c r="O31" s="64"/>
      <c r="P31" s="64"/>
      <c r="Q31" s="64"/>
      <c r="R31" s="64"/>
      <c r="S31" s="64"/>
      <c r="T31" s="64"/>
      <c r="U31" s="64"/>
      <c r="V31" s="64"/>
      <c r="W31" s="27"/>
      <c r="X31" s="27"/>
      <c r="Y31" s="27"/>
      <c r="Z31" s="27"/>
      <c r="AA31" s="27"/>
    </row>
    <row r="32" spans="1:27">
      <c r="A32" s="87">
        <v>27</v>
      </c>
      <c r="B32" s="88"/>
      <c r="C32" s="89"/>
      <c r="D32" s="90"/>
      <c r="E32" s="90"/>
      <c r="F32" s="64"/>
      <c r="G32" s="64"/>
      <c r="H32" s="64"/>
      <c r="I32" s="64"/>
      <c r="J32" s="64"/>
      <c r="K32" s="64"/>
      <c r="L32" s="64"/>
      <c r="M32" s="64"/>
      <c r="N32" s="64"/>
      <c r="O32" s="64"/>
      <c r="P32" s="64"/>
      <c r="Q32" s="64"/>
      <c r="R32" s="64"/>
      <c r="S32" s="64"/>
      <c r="T32" s="64"/>
      <c r="U32" s="64"/>
      <c r="V32" s="64"/>
      <c r="W32" s="27"/>
      <c r="X32" s="27"/>
      <c r="Y32" s="27"/>
      <c r="Z32" s="27"/>
      <c r="AA32" s="27"/>
    </row>
    <row r="33" spans="1:27">
      <c r="A33" s="87">
        <v>28</v>
      </c>
      <c r="B33" s="88"/>
      <c r="C33" s="89"/>
      <c r="D33" s="90"/>
      <c r="E33" s="90"/>
      <c r="F33" s="64"/>
      <c r="G33" s="64"/>
      <c r="H33" s="64"/>
      <c r="I33" s="64"/>
      <c r="J33" s="64"/>
      <c r="K33" s="64"/>
      <c r="L33" s="64"/>
      <c r="M33" s="64"/>
      <c r="N33" s="64"/>
      <c r="O33" s="64"/>
      <c r="P33" s="64"/>
      <c r="Q33" s="64"/>
      <c r="R33" s="64"/>
      <c r="S33" s="64"/>
      <c r="T33" s="64"/>
      <c r="U33" s="64"/>
      <c r="V33" s="64"/>
      <c r="W33" s="27"/>
      <c r="X33" s="27"/>
      <c r="Y33" s="27"/>
      <c r="Z33" s="27"/>
      <c r="AA33" s="27"/>
    </row>
    <row r="34" spans="1:27">
      <c r="A34" s="87">
        <v>29</v>
      </c>
      <c r="B34" s="356"/>
      <c r="C34" s="89"/>
      <c r="D34" s="90"/>
      <c r="E34" s="90"/>
      <c r="F34" s="64"/>
      <c r="G34" s="64"/>
      <c r="H34" s="64"/>
      <c r="I34" s="64"/>
      <c r="J34" s="64"/>
      <c r="K34" s="64"/>
      <c r="L34" s="64"/>
      <c r="M34" s="64"/>
      <c r="N34" s="64"/>
      <c r="O34" s="64"/>
      <c r="P34" s="64"/>
      <c r="Q34" s="64"/>
      <c r="R34" s="64"/>
      <c r="S34" s="64"/>
      <c r="T34" s="64"/>
      <c r="U34" s="64"/>
      <c r="V34" s="64"/>
      <c r="W34" s="27"/>
      <c r="X34" s="27"/>
      <c r="Y34" s="27"/>
      <c r="Z34" s="27"/>
      <c r="AA34" s="27"/>
    </row>
    <row r="35" spans="1:27">
      <c r="A35" s="87">
        <v>30</v>
      </c>
      <c r="B35" s="92"/>
      <c r="C35" s="89"/>
      <c r="D35" s="90"/>
      <c r="E35" s="90"/>
      <c r="F35" s="64"/>
      <c r="G35" s="64"/>
      <c r="H35" s="64"/>
      <c r="I35" s="64"/>
      <c r="J35" s="64"/>
      <c r="K35" s="64"/>
      <c r="L35" s="64"/>
      <c r="M35" s="64"/>
      <c r="N35" s="64"/>
      <c r="O35" s="64"/>
      <c r="P35" s="64"/>
      <c r="Q35" s="64"/>
      <c r="R35" s="64"/>
      <c r="S35" s="64"/>
      <c r="T35" s="64"/>
      <c r="U35" s="64"/>
      <c r="V35" s="64"/>
      <c r="W35" s="27"/>
      <c r="X35" s="27"/>
      <c r="Y35" s="27"/>
      <c r="Z35" s="27"/>
      <c r="AA35" s="27"/>
    </row>
    <row r="36" spans="1:27">
      <c r="A36" s="87">
        <v>31</v>
      </c>
      <c r="B36" s="92"/>
      <c r="C36" s="89"/>
      <c r="D36" s="90"/>
      <c r="E36" s="90"/>
      <c r="F36" s="64"/>
      <c r="G36" s="64"/>
      <c r="H36" s="64"/>
      <c r="I36" s="64"/>
      <c r="J36" s="64"/>
      <c r="K36" s="64"/>
      <c r="L36" s="64"/>
      <c r="M36" s="64"/>
      <c r="N36" s="64"/>
      <c r="O36" s="64"/>
      <c r="P36" s="64"/>
      <c r="Q36" s="64"/>
      <c r="R36" s="64"/>
      <c r="S36" s="64"/>
      <c r="T36" s="64"/>
      <c r="U36" s="64"/>
      <c r="V36" s="64"/>
      <c r="W36" s="27"/>
      <c r="X36" s="27"/>
      <c r="Y36" s="27"/>
      <c r="Z36" s="27"/>
      <c r="AA36" s="27"/>
    </row>
    <row r="37" spans="1:27">
      <c r="A37" s="87">
        <v>32</v>
      </c>
      <c r="B37" s="92"/>
      <c r="C37" s="89"/>
      <c r="D37" s="90"/>
      <c r="E37" s="90"/>
      <c r="F37" s="64"/>
      <c r="G37" s="64"/>
      <c r="H37" s="64"/>
      <c r="I37" s="64"/>
      <c r="J37" s="64"/>
      <c r="K37" s="64"/>
      <c r="L37" s="64"/>
      <c r="M37" s="64"/>
      <c r="N37" s="64"/>
      <c r="O37" s="64"/>
      <c r="P37" s="64"/>
      <c r="Q37" s="64"/>
      <c r="R37" s="64"/>
      <c r="S37" s="64"/>
      <c r="T37" s="64"/>
      <c r="U37" s="64"/>
      <c r="V37" s="64"/>
      <c r="W37" s="27"/>
      <c r="X37" s="27"/>
      <c r="Y37" s="27"/>
      <c r="Z37" s="27"/>
      <c r="AA37" s="27"/>
    </row>
    <row r="38" spans="1:27">
      <c r="A38" s="87">
        <v>33</v>
      </c>
      <c r="B38" s="92"/>
      <c r="C38" s="89"/>
      <c r="D38" s="90"/>
      <c r="E38" s="90"/>
      <c r="F38" s="64"/>
      <c r="G38" s="64"/>
      <c r="H38" s="64"/>
      <c r="I38" s="64"/>
      <c r="J38" s="64"/>
      <c r="K38" s="64"/>
      <c r="L38" s="64"/>
      <c r="M38" s="64"/>
      <c r="N38" s="64"/>
      <c r="O38" s="64"/>
      <c r="P38" s="64"/>
      <c r="Q38" s="64"/>
      <c r="R38" s="64"/>
      <c r="S38" s="64"/>
      <c r="T38" s="64"/>
      <c r="U38" s="64"/>
      <c r="V38" s="64"/>
      <c r="W38" s="27"/>
      <c r="X38" s="27"/>
      <c r="Y38" s="27"/>
      <c r="Z38" s="27"/>
      <c r="AA38" s="27"/>
    </row>
    <row r="39" spans="1:27">
      <c r="A39" s="87">
        <v>34</v>
      </c>
      <c r="B39" s="92"/>
      <c r="C39" s="89"/>
      <c r="D39" s="90"/>
      <c r="E39" s="90"/>
      <c r="F39" s="64"/>
      <c r="G39" s="64"/>
      <c r="H39" s="64"/>
      <c r="I39" s="64"/>
      <c r="J39" s="64"/>
      <c r="K39" s="64"/>
      <c r="L39" s="64"/>
      <c r="M39" s="64"/>
      <c r="N39" s="64"/>
      <c r="O39" s="64"/>
      <c r="P39" s="64"/>
      <c r="Q39" s="64"/>
      <c r="R39" s="64"/>
      <c r="S39" s="64"/>
      <c r="T39" s="64"/>
      <c r="U39" s="64"/>
      <c r="V39" s="64"/>
      <c r="W39" s="27"/>
      <c r="X39" s="27"/>
      <c r="Y39" s="27"/>
      <c r="Z39" s="27"/>
      <c r="AA39" s="27"/>
    </row>
    <row r="40" spans="1:27">
      <c r="A40" s="87">
        <v>35</v>
      </c>
      <c r="B40" s="92"/>
      <c r="C40" s="89"/>
      <c r="D40" s="90"/>
      <c r="E40" s="90"/>
      <c r="F40" s="64"/>
      <c r="G40" s="64"/>
      <c r="H40" s="64"/>
      <c r="I40" s="64"/>
      <c r="J40" s="64"/>
      <c r="K40" s="64"/>
      <c r="L40" s="64"/>
      <c r="M40" s="64"/>
      <c r="N40" s="64"/>
      <c r="O40" s="64"/>
      <c r="P40" s="64"/>
      <c r="Q40" s="64"/>
      <c r="R40" s="64"/>
      <c r="S40" s="64"/>
      <c r="T40" s="64"/>
      <c r="U40" s="64"/>
      <c r="V40" s="64"/>
      <c r="W40" s="27"/>
      <c r="X40" s="27"/>
      <c r="Y40" s="27"/>
      <c r="Z40" s="27"/>
      <c r="AA40" s="27"/>
    </row>
    <row r="41" spans="1:27">
      <c r="A41" s="87">
        <v>36</v>
      </c>
      <c r="B41" s="92"/>
      <c r="C41" s="92"/>
      <c r="D41" s="92"/>
      <c r="E41" s="92"/>
      <c r="F41" s="64"/>
      <c r="G41" s="64"/>
      <c r="H41" s="64"/>
      <c r="I41" s="64"/>
      <c r="J41" s="64"/>
      <c r="K41" s="64"/>
      <c r="L41" s="64"/>
      <c r="M41" s="64"/>
      <c r="N41" s="64"/>
      <c r="O41" s="64"/>
      <c r="P41" s="64"/>
      <c r="Q41" s="64"/>
      <c r="R41" s="64"/>
      <c r="S41" s="64"/>
      <c r="T41" s="64"/>
      <c r="U41" s="64"/>
      <c r="V41" s="64"/>
      <c r="W41" s="27"/>
      <c r="X41" s="27"/>
      <c r="Y41" s="27"/>
      <c r="Z41" s="27"/>
      <c r="AA41" s="27"/>
    </row>
    <row r="42" spans="1:27">
      <c r="A42" s="87">
        <v>37</v>
      </c>
      <c r="B42" s="92"/>
      <c r="C42" s="92"/>
      <c r="D42" s="92"/>
      <c r="E42" s="92"/>
      <c r="F42" s="64"/>
      <c r="G42" s="64"/>
      <c r="H42" s="64"/>
      <c r="I42" s="64"/>
      <c r="J42" s="64"/>
      <c r="K42" s="64"/>
      <c r="L42" s="64"/>
      <c r="M42" s="64"/>
      <c r="N42" s="64"/>
      <c r="O42" s="64"/>
      <c r="P42" s="64"/>
      <c r="Q42" s="64"/>
      <c r="R42" s="64"/>
      <c r="S42" s="64"/>
      <c r="T42" s="64"/>
      <c r="U42" s="64"/>
      <c r="V42" s="64"/>
      <c r="W42" s="27"/>
      <c r="X42" s="27"/>
      <c r="Y42" s="27"/>
      <c r="Z42" s="27"/>
      <c r="AA42" s="27"/>
    </row>
    <row r="43" spans="1:27">
      <c r="A43" s="87">
        <v>38</v>
      </c>
      <c r="B43" s="39"/>
      <c r="C43" s="39"/>
      <c r="D43" s="39"/>
      <c r="E43" s="39"/>
      <c r="F43" s="39"/>
      <c r="G43" s="39"/>
      <c r="H43" s="39"/>
      <c r="I43" s="39"/>
      <c r="J43" s="39"/>
      <c r="K43" s="39"/>
      <c r="L43" s="39"/>
      <c r="M43" s="39"/>
      <c r="N43" s="39"/>
      <c r="O43" s="39"/>
      <c r="P43" s="39"/>
      <c r="Q43" s="39"/>
      <c r="R43" s="39"/>
      <c r="S43" s="39"/>
      <c r="T43" s="39"/>
      <c r="U43" s="39"/>
      <c r="V43" s="39"/>
    </row>
    <row r="44" spans="1:27">
      <c r="A44" s="87">
        <v>39</v>
      </c>
      <c r="B44" s="39"/>
      <c r="C44" s="39"/>
      <c r="D44" s="39"/>
      <c r="E44" s="39"/>
      <c r="F44" s="39"/>
      <c r="G44" s="39"/>
      <c r="H44" s="39"/>
      <c r="I44" s="39"/>
      <c r="J44" s="39"/>
      <c r="K44" s="39"/>
      <c r="L44" s="39"/>
      <c r="M44" s="39"/>
      <c r="N44" s="39"/>
      <c r="O44" s="39"/>
      <c r="P44" s="39"/>
      <c r="Q44" s="39"/>
      <c r="R44" s="39"/>
      <c r="S44" s="39"/>
      <c r="T44" s="39"/>
      <c r="U44" s="39"/>
      <c r="V44" s="39"/>
    </row>
    <row r="45" spans="1:27">
      <c r="A45" s="87">
        <v>40</v>
      </c>
      <c r="B45" s="39"/>
      <c r="C45" s="39"/>
      <c r="D45" s="39"/>
      <c r="E45" s="39"/>
      <c r="F45" s="39"/>
      <c r="G45" s="39"/>
      <c r="H45" s="39"/>
      <c r="I45" s="39"/>
      <c r="J45" s="39"/>
      <c r="K45" s="39"/>
      <c r="L45" s="39"/>
      <c r="M45" s="39"/>
      <c r="N45" s="39"/>
      <c r="O45" s="39"/>
      <c r="P45" s="39"/>
      <c r="Q45" s="39"/>
      <c r="R45" s="39"/>
      <c r="S45" s="39"/>
      <c r="T45" s="39"/>
      <c r="U45" s="39"/>
      <c r="V45" s="39"/>
    </row>
    <row r="46" spans="1:27">
      <c r="A46" s="87">
        <v>41</v>
      </c>
      <c r="B46" s="39"/>
      <c r="C46" s="39"/>
      <c r="D46" s="39"/>
      <c r="E46" s="39"/>
      <c r="F46" s="39"/>
      <c r="G46" s="39"/>
      <c r="H46" s="39"/>
      <c r="I46" s="39"/>
      <c r="J46" s="39"/>
      <c r="K46" s="39"/>
      <c r="L46" s="39"/>
      <c r="M46" s="39"/>
      <c r="N46" s="39"/>
      <c r="O46" s="39"/>
      <c r="P46" s="39"/>
      <c r="Q46" s="39"/>
      <c r="R46" s="39"/>
      <c r="S46" s="39"/>
      <c r="T46" s="39"/>
      <c r="U46" s="39"/>
      <c r="V46" s="39"/>
    </row>
    <row r="47" spans="1:27"/>
    <row r="48" spans="1:27"/>
    <row r="49"/>
  </sheetData>
  <sheetProtection formatCells="0" formatColumns="0" formatRows="0"/>
  <mergeCells count="17">
    <mergeCell ref="D4:D5"/>
    <mergeCell ref="C4:C5"/>
    <mergeCell ref="B4:B5"/>
    <mergeCell ref="A4:A5"/>
    <mergeCell ref="M4:M5"/>
    <mergeCell ref="F4:F5"/>
    <mergeCell ref="G4:G5"/>
    <mergeCell ref="H4:H5"/>
    <mergeCell ref="I4:I5"/>
    <mergeCell ref="J4:K4"/>
    <mergeCell ref="L4:L5"/>
    <mergeCell ref="E4:E5"/>
    <mergeCell ref="N4:R4"/>
    <mergeCell ref="S4:S5"/>
    <mergeCell ref="T4:T5"/>
    <mergeCell ref="U4:U5"/>
    <mergeCell ref="V4:V5"/>
  </mergeCells>
  <dataValidations count="3">
    <dataValidation type="textLength" operator="equal" showInputMessage="1" showErrorMessage="1" errorTitle="Kesalahan Pengisian" error="NISN harus terdiri dari 10 digit. Tidak boleh mengandung karakter lain selain angka, baik karakter spasi ( ), karakter titik (.), karakter koma (,), karakter strip (-), dll." promptTitle="Petunjuk Pengisian" prompt="NISN harus terdiri dari 10 digit. Mohon cek NISN siswa yang bersangkutan di website Kemdikbud : nisn.data.kemdikbud.go.id. Kosongkan jika belum punya NISN. " sqref="D6 D9:D11">
      <formula1>10</formula1>
    </dataValidation>
    <dataValidation allowBlank="1" showInputMessage="1" showErrorMessage="1" promptTitle="Petunjuk Pengisian" prompt="Isikan Tempat Lahir siswa sesuai dengan akte kelahiran." sqref="F6 F9:F12"/>
    <dataValidation allowBlank="1" showInputMessage="1" showErrorMessage="1" promptTitle="Petunjuk Pengisian" prompt="Isikan dengan Nama Lengkap ayah/wali siswa. Untuk nama yang mengandung tanda petik, gunakan tanda petik di bawah tombol Esc (`)." sqref="J6 J9:J11"/>
  </dataValidations>
  <pageMargins left="0.7" right="0.7" top="0.75" bottom="0.75" header="0.3" footer="0.3"/>
  <pageSetup paperSize="9"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00B0F0"/>
  </sheetPr>
  <dimension ref="A1:BV55"/>
  <sheetViews>
    <sheetView showRowColHeaders="0" showZeros="0" workbookViewId="0">
      <pane ySplit="7" topLeftCell="A8" activePane="bottomLeft" state="frozen"/>
      <selection pane="bottomLeft" activeCell="C22" sqref="C22"/>
    </sheetView>
  </sheetViews>
  <sheetFormatPr defaultColWidth="0" defaultRowHeight="15" zeroHeight="1"/>
  <cols>
    <col min="1" max="1" width="4.5703125" customWidth="1"/>
    <col min="2" max="2" width="17" customWidth="1"/>
    <col min="3" max="4" width="10.7109375" customWidth="1"/>
    <col min="5" max="5" width="12.7109375" customWidth="1"/>
    <col min="6" max="6" width="10.7109375" customWidth="1"/>
    <col min="7" max="7" width="70.7109375" customWidth="1"/>
    <col min="8" max="8" width="3.7109375" customWidth="1"/>
    <col min="9" max="72" width="3.7109375" hidden="1" customWidth="1"/>
    <col min="73" max="16384" width="9.140625" hidden="1"/>
  </cols>
  <sheetData>
    <row r="1" spans="1:74">
      <c r="B1" s="118" t="s">
        <v>50</v>
      </c>
      <c r="C1" s="119" t="s">
        <v>457</v>
      </c>
    </row>
    <row r="2" spans="1:74">
      <c r="B2" s="121" t="s">
        <v>27</v>
      </c>
      <c r="C2" t="s">
        <v>35</v>
      </c>
      <c r="D2" s="4" t="str">
        <f>MENU!N20</f>
        <v>V ( Lima )</v>
      </c>
    </row>
    <row r="3" spans="1:74">
      <c r="B3" s="121" t="s">
        <v>52</v>
      </c>
      <c r="C3" t="s">
        <v>35</v>
      </c>
      <c r="D3" s="4" t="str">
        <f>MENU!N21</f>
        <v>1 ( satu )</v>
      </c>
      <c r="F3" t="s">
        <v>462</v>
      </c>
      <c r="G3" t="str">
        <f>MENU!N22</f>
        <v>2019/2020</v>
      </c>
    </row>
    <row r="4" spans="1:74">
      <c r="B4" t="s">
        <v>54</v>
      </c>
    </row>
    <row r="5" spans="1:74">
      <c r="A5" s="908" t="s">
        <v>55</v>
      </c>
      <c r="B5" s="908" t="s">
        <v>10</v>
      </c>
      <c r="C5" s="917" t="s">
        <v>56</v>
      </c>
      <c r="D5" s="918"/>
      <c r="E5" s="918"/>
      <c r="F5" s="918"/>
      <c r="G5" s="909" t="s">
        <v>57</v>
      </c>
    </row>
    <row r="6" spans="1:74" ht="35.1" customHeight="1">
      <c r="A6" s="908"/>
      <c r="B6" s="908"/>
      <c r="C6" s="911" t="s">
        <v>58</v>
      </c>
      <c r="D6" s="913" t="s">
        <v>59</v>
      </c>
      <c r="E6" s="915" t="s">
        <v>60</v>
      </c>
      <c r="F6" s="911" t="s">
        <v>372</v>
      </c>
      <c r="G6" s="910"/>
      <c r="J6" t="s">
        <v>374</v>
      </c>
      <c r="R6" t="s">
        <v>101</v>
      </c>
      <c r="AA6" t="s">
        <v>465</v>
      </c>
      <c r="AH6" t="s">
        <v>375</v>
      </c>
      <c r="AP6" s="39" t="s">
        <v>374</v>
      </c>
      <c r="AQ6" s="39" t="s">
        <v>101</v>
      </c>
      <c r="AR6" s="39" t="s">
        <v>465</v>
      </c>
      <c r="AS6" s="39" t="s">
        <v>466</v>
      </c>
      <c r="AT6" s="656"/>
      <c r="BR6" s="39"/>
      <c r="BS6" s="39"/>
      <c r="BT6" s="39"/>
      <c r="BU6" s="39"/>
      <c r="BV6" s="39"/>
    </row>
    <row r="7" spans="1:74" ht="35.1" customHeight="1">
      <c r="A7" s="908"/>
      <c r="B7" s="908"/>
      <c r="C7" s="912"/>
      <c r="D7" s="914"/>
      <c r="E7" s="916"/>
      <c r="F7" s="912"/>
      <c r="G7" s="910"/>
      <c r="J7" s="538" t="str">
        <f>C6</f>
        <v>ketaatan beribadah</v>
      </c>
      <c r="K7" s="538" t="str">
        <f>D6</f>
        <v>perilaku bersyukur</v>
      </c>
      <c r="L7" s="538" t="str">
        <f>E6</f>
        <v>berdoa sebelum dan sesudah melakukan kegiatan</v>
      </c>
      <c r="M7" s="538" t="str">
        <f>F6</f>
        <v>toleransi dalam beribadah</v>
      </c>
      <c r="N7" s="538"/>
      <c r="O7" s="538"/>
      <c r="P7" s="538"/>
      <c r="Q7" s="4"/>
      <c r="R7" s="538" t="str">
        <f>J7</f>
        <v>ketaatan beribadah</v>
      </c>
      <c r="S7" s="538" t="str">
        <f t="shared" ref="S7:U7" si="0">K7</f>
        <v>perilaku bersyukur</v>
      </c>
      <c r="T7" s="538" t="str">
        <f t="shared" si="0"/>
        <v>berdoa sebelum dan sesudah melakukan kegiatan</v>
      </c>
      <c r="U7" s="538" t="str">
        <f t="shared" si="0"/>
        <v>toleransi dalam beribadah</v>
      </c>
      <c r="V7" s="538"/>
      <c r="W7" s="538"/>
      <c r="X7" s="538"/>
      <c r="Y7" s="537"/>
      <c r="Z7" s="536" t="str">
        <f>R7</f>
        <v>ketaatan beribadah</v>
      </c>
      <c r="AA7" s="536" t="str">
        <f t="shared" ref="AA7:AC7" si="1">S7</f>
        <v>perilaku bersyukur</v>
      </c>
      <c r="AB7" s="536" t="str">
        <f t="shared" si="1"/>
        <v>berdoa sebelum dan sesudah melakukan kegiatan</v>
      </c>
      <c r="AC7" s="536" t="str">
        <f t="shared" si="1"/>
        <v>toleransi dalam beribadah</v>
      </c>
      <c r="AD7" s="536"/>
      <c r="AE7" s="536"/>
      <c r="AF7" s="537"/>
      <c r="AG7" s="4"/>
      <c r="AH7" s="539" t="str">
        <f>Z7</f>
        <v>ketaatan beribadah</v>
      </c>
      <c r="AI7" s="539" t="str">
        <f t="shared" ref="AI7:AK7" si="2">AA7</f>
        <v>perilaku bersyukur</v>
      </c>
      <c r="AJ7" s="539" t="str">
        <f t="shared" si="2"/>
        <v>berdoa sebelum dan sesudah melakukan kegiatan</v>
      </c>
      <c r="AK7" s="539" t="str">
        <f t="shared" si="2"/>
        <v>toleransi dalam beribadah</v>
      </c>
      <c r="AL7" s="539"/>
      <c r="AM7" s="539"/>
      <c r="AN7" s="539"/>
      <c r="AO7" s="4"/>
      <c r="AP7" s="66" t="s">
        <v>458</v>
      </c>
      <c r="AQ7" s="66" t="s">
        <v>459</v>
      </c>
      <c r="AR7" s="66" t="s">
        <v>460</v>
      </c>
      <c r="AS7" s="66" t="s">
        <v>461</v>
      </c>
      <c r="AT7" s="4"/>
      <c r="AU7" s="4"/>
      <c r="AV7" s="66"/>
      <c r="AW7" s="66"/>
      <c r="AX7" s="66"/>
      <c r="AY7" s="66"/>
      <c r="AZ7" s="4"/>
      <c r="BA7" s="66" t="s">
        <v>368</v>
      </c>
      <c r="BB7" s="66" t="s">
        <v>369</v>
      </c>
      <c r="BC7" s="66" t="s">
        <v>460</v>
      </c>
      <c r="BD7" s="66" t="s">
        <v>461</v>
      </c>
      <c r="BE7" s="66"/>
      <c r="BF7" s="46" t="s">
        <v>371</v>
      </c>
    </row>
    <row r="8" spans="1:74" ht="30" customHeight="1">
      <c r="A8" s="30">
        <v>1</v>
      </c>
      <c r="B8" s="122" t="str">
        <f>SISWA!B6</f>
        <v>Afif Rafiudin</v>
      </c>
      <c r="C8" s="295" t="s">
        <v>2</v>
      </c>
      <c r="D8" s="295" t="s">
        <v>2</v>
      </c>
      <c r="E8" s="295" t="s">
        <v>2</v>
      </c>
      <c r="F8" s="295" t="s">
        <v>2</v>
      </c>
      <c r="G8" s="294" t="str">
        <f>IFERROR(BF8," ")</f>
        <v xml:space="preserve">Ananda Afif baik dalam ketaatan beribadah, perilaku bersyukur, berdoa sebelum dan sesudah melakukan kegiatan, toleransi dalam beribadah, </v>
      </c>
      <c r="J8" s="540" t="str">
        <f>IF(C8="A",J$7&amp;", ","")</f>
        <v/>
      </c>
      <c r="K8" s="540" t="str">
        <f>IF(D8="A",K$7&amp;", ","")</f>
        <v/>
      </c>
      <c r="L8" s="540" t="str">
        <f>IF(E8="A",L$7&amp;", ","")</f>
        <v/>
      </c>
      <c r="M8" s="540" t="str">
        <f>IF(F8="A",M$7&amp;", ","")</f>
        <v/>
      </c>
      <c r="N8" s="540"/>
      <c r="O8" s="540"/>
      <c r="P8" s="540"/>
      <c r="Q8" s="4"/>
      <c r="R8" s="540" t="str">
        <f>IF(C8="B",R$7&amp;", ","")</f>
        <v xml:space="preserve">ketaatan beribadah, </v>
      </c>
      <c r="S8" s="540" t="str">
        <f>IF(D8="B",S$7&amp;", ","")</f>
        <v xml:space="preserve">perilaku bersyukur, </v>
      </c>
      <c r="T8" s="540" t="str">
        <f>IF(E8="B",T$7&amp;", ","")</f>
        <v xml:space="preserve">berdoa sebelum dan sesudah melakukan kegiatan, </v>
      </c>
      <c r="U8" s="540" t="str">
        <f>IF(F8="B",U$7&amp;", ","")</f>
        <v xml:space="preserve">toleransi dalam beribadah, </v>
      </c>
      <c r="V8" s="540"/>
      <c r="W8" s="540"/>
      <c r="X8" s="540"/>
      <c r="Y8" s="653"/>
      <c r="Z8" s="540" t="str">
        <f>IF(C8="C",Z$7&amp;", ","")</f>
        <v/>
      </c>
      <c r="AA8" s="540" t="str">
        <f>IF(D8="C",AA$7&amp;", ","")</f>
        <v/>
      </c>
      <c r="AB8" s="540" t="str">
        <f>IF(E8="C",AB$7&amp;", ","")</f>
        <v/>
      </c>
      <c r="AC8" s="540" t="str">
        <f>IF(F8="C",AC$7&amp;", ","")</f>
        <v/>
      </c>
      <c r="AD8" s="540"/>
      <c r="AE8" s="540"/>
      <c r="AF8" s="540"/>
      <c r="AG8" s="4"/>
      <c r="AH8" s="540" t="str">
        <f>IF(C8="D",AH$7&amp;", ","")</f>
        <v/>
      </c>
      <c r="AI8" s="540" t="str">
        <f>IF(D8="D",AI$7&amp;", ","")</f>
        <v/>
      </c>
      <c r="AJ8" s="540" t="str">
        <f>IF(E8="D",AJ$7&amp;", ","")</f>
        <v/>
      </c>
      <c r="AK8" s="540" t="str">
        <f>IF(F8="D",AK$7&amp;", ","")</f>
        <v/>
      </c>
      <c r="AL8" s="540"/>
      <c r="AM8" s="540"/>
      <c r="AN8" s="540"/>
      <c r="AO8" s="541"/>
      <c r="AP8" s="542" t="str">
        <f>("sangat baik dalam   "&amp;J8&amp;K8&amp;L8&amp;M8&amp;N8&amp;O8&amp;P8)</f>
        <v xml:space="preserve">sangat baik dalam   </v>
      </c>
      <c r="AQ8" s="542" t="str">
        <f>("baik dalam "&amp;R8&amp;S8&amp;T8&amp;U8&amp;V8&amp;W8&amp;X8)</f>
        <v xml:space="preserve">baik dalam ketaatan beribadah, perilaku bersyukur, berdoa sebelum dan sesudah melakukan kegiatan, toleransi dalam beribadah, </v>
      </c>
      <c r="AR8" s="542" t="str">
        <f>("cukup dalam "&amp;Z8&amp;AA8&amp;AB8&amp;AC8&amp;AD8&amp;AE8&amp;Y8)</f>
        <v xml:space="preserve">cukup dalam </v>
      </c>
      <c r="AS8" s="542" t="str">
        <f>("sudah mampu meningkatkan "&amp;AH8&amp;AI8&amp;AJ8&amp;AK8&amp;AL8&amp;AM8&amp;AN8)</f>
        <v xml:space="preserve">sudah mampu meningkatkan </v>
      </c>
      <c r="AT8" s="542"/>
      <c r="AU8" s="4" t="str">
        <f>IF(AZ8&gt;=1,"Ananda "&amp;BH8,"")</f>
        <v>Ananda Afif</v>
      </c>
      <c r="AV8" s="66">
        <f>COUNTIF(C8:F8,"A")</f>
        <v>0</v>
      </c>
      <c r="AW8" s="66">
        <f>COUNTIF(C8:F8,"B")</f>
        <v>4</v>
      </c>
      <c r="AX8" s="66">
        <f>COUNTIF(C8:F8,"C")</f>
        <v>0</v>
      </c>
      <c r="AY8" s="66">
        <f>COUNTIF(C8:F8,"D")</f>
        <v>0</v>
      </c>
      <c r="AZ8" s="4">
        <f>SUM(AV8:AY8)</f>
        <v>4</v>
      </c>
      <c r="BA8" s="66" t="str">
        <f>IF(AV8&gt;6,"",IF(AV8&gt;=1,AP8,""))</f>
        <v/>
      </c>
      <c r="BB8" s="66" t="str">
        <f t="shared" ref="BB8:BD8" si="3">IF(AW8&gt;6,"",IF(AW8&gt;=1,AQ8,""))</f>
        <v xml:space="preserve">baik dalam ketaatan beribadah, perilaku bersyukur, berdoa sebelum dan sesudah melakukan kegiatan, toleransi dalam beribadah, </v>
      </c>
      <c r="BC8" s="66" t="str">
        <f t="shared" si="3"/>
        <v/>
      </c>
      <c r="BD8" s="66" t="str">
        <f t="shared" si="3"/>
        <v/>
      </c>
      <c r="BE8" s="4"/>
      <c r="BF8" s="349" t="str">
        <f>CONCATENATE(AU8&amp;" "&amp;BA8&amp;BB8&amp;BD8)</f>
        <v xml:space="preserve">Ananda Afif baik dalam ketaatan beribadah, perilaku bersyukur, berdoa sebelum dan sesudah melakukan kegiatan, toleransi dalam beribadah, </v>
      </c>
      <c r="BG8" s="541"/>
      <c r="BH8" s="66" t="str">
        <f>SISWA!E6</f>
        <v>Afif</v>
      </c>
      <c r="BI8" s="542" t="str">
        <f>(" Baik dalam "&amp;AV8&amp;AW8&amp;AX8&amp;AY8)</f>
        <v xml:space="preserve"> Baik dalam 0400</v>
      </c>
      <c r="BJ8" s="542" t="str">
        <f>(", dengan bimbingan yang lebih mampu meningkatkan "&amp;BB8&amp;BC8&amp;BD8&amp;BE8)</f>
        <v xml:space="preserve">, dengan bimbingan yang lebih mampu meningkatkan baik dalam ketaatan beribadah, perilaku bersyukur, berdoa sebelum dan sesudah melakukan kegiatan, toleransi dalam beribadah, </v>
      </c>
      <c r="BK8" s="4"/>
      <c r="BL8" s="4" t="str">
        <f>IF(AL8&gt;0,BH8,"")</f>
        <v/>
      </c>
      <c r="BM8" s="4" t="str">
        <f>IF(AM8&gt;=1,BI8,"")</f>
        <v/>
      </c>
      <c r="BN8" s="4" t="str">
        <f>IF(AN8&gt;0,BJ8,"")</f>
        <v/>
      </c>
      <c r="BO8" s="4"/>
      <c r="BP8" s="349" t="str">
        <f>CONCATENATE(BL8&amp;BM8&amp;BN8&amp;".")</f>
        <v>.</v>
      </c>
    </row>
    <row r="9" spans="1:74" ht="30" customHeight="1">
      <c r="A9" s="30">
        <v>2</v>
      </c>
      <c r="B9" s="122" t="str">
        <f>SISWA!B7</f>
        <v>Ahmad Faiq Athaya</v>
      </c>
      <c r="C9" s="295" t="s">
        <v>2</v>
      </c>
      <c r="D9" s="295" t="s">
        <v>2</v>
      </c>
      <c r="E9" s="295" t="s">
        <v>2</v>
      </c>
      <c r="F9" s="295" t="s">
        <v>2</v>
      </c>
      <c r="G9" s="294" t="str">
        <f t="shared" ref="G9:G42" si="4">IFERROR(BF9," ")</f>
        <v xml:space="preserve">Ananda Athaya baik dalam ketaatan beribadah, perilaku bersyukur, berdoa sebelum dan sesudah melakukan kegiatan, toleransi dalam beribadah, </v>
      </c>
      <c r="J9" s="540" t="str">
        <f t="shared" ref="J9:J42" si="5">IF(C9="A",J$7&amp;", ","")</f>
        <v/>
      </c>
      <c r="K9" s="540" t="str">
        <f t="shared" ref="K9:K42" si="6">IF(D9="A",K$7&amp;", ","")</f>
        <v/>
      </c>
      <c r="L9" s="540" t="str">
        <f t="shared" ref="L9:L42" si="7">IF(E9="A",L$7&amp;", ","")</f>
        <v/>
      </c>
      <c r="M9" s="540" t="str">
        <f t="shared" ref="M9:M42" si="8">IF(F9="A",M$7&amp;", ","")</f>
        <v/>
      </c>
      <c r="N9" s="540"/>
      <c r="O9" s="540"/>
      <c r="P9" s="540"/>
      <c r="Q9" s="4"/>
      <c r="R9" s="540" t="str">
        <f t="shared" ref="R9:R42" si="9">IF(C9="B",R$7&amp;", ","")</f>
        <v xml:space="preserve">ketaatan beribadah, </v>
      </c>
      <c r="S9" s="540" t="str">
        <f t="shared" ref="S9:S42" si="10">IF(D9="B",S$7&amp;", ","")</f>
        <v xml:space="preserve">perilaku bersyukur, </v>
      </c>
      <c r="T9" s="540" t="str">
        <f t="shared" ref="T9:T42" si="11">IF(E9="B",T$7&amp;", ","")</f>
        <v xml:space="preserve">berdoa sebelum dan sesudah melakukan kegiatan, </v>
      </c>
      <c r="U9" s="540" t="str">
        <f t="shared" ref="U9:U42" si="12">IF(F9="B",U$7&amp;", ","")</f>
        <v xml:space="preserve">toleransi dalam beribadah, </v>
      </c>
      <c r="V9" s="540"/>
      <c r="W9" s="540"/>
      <c r="X9" s="540"/>
      <c r="Y9" s="653"/>
      <c r="Z9" s="540" t="str">
        <f t="shared" ref="Z9:Z42" si="13">IF(C9="C",Z$7&amp;", ","")</f>
        <v/>
      </c>
      <c r="AA9" s="540" t="str">
        <f t="shared" ref="AA9:AA42" si="14">IF(D9="C",AA$7&amp;", ","")</f>
        <v/>
      </c>
      <c r="AB9" s="540" t="str">
        <f t="shared" ref="AB9:AB42" si="15">IF(E9="C",AB$7&amp;", ","")</f>
        <v/>
      </c>
      <c r="AC9" s="540" t="str">
        <f t="shared" ref="AC9:AC42" si="16">IF(F9="C",AC$7&amp;", ","")</f>
        <v/>
      </c>
      <c r="AD9" s="540"/>
      <c r="AE9" s="540"/>
      <c r="AF9" s="540"/>
      <c r="AG9" s="4"/>
      <c r="AH9" s="540" t="str">
        <f t="shared" ref="AH9:AH42" si="17">IF(C9="D",AH$7&amp;", ","")</f>
        <v/>
      </c>
      <c r="AI9" s="540" t="str">
        <f t="shared" ref="AI9:AI42" si="18">IF(D9="D",AI$7&amp;", ","")</f>
        <v/>
      </c>
      <c r="AJ9" s="540" t="str">
        <f t="shared" ref="AJ9:AJ42" si="19">IF(E9="D",AJ$7&amp;", ","")</f>
        <v/>
      </c>
      <c r="AK9" s="540" t="str">
        <f t="shared" ref="AK9:AK42" si="20">IF(F9="D",AK$7&amp;", ","")</f>
        <v/>
      </c>
      <c r="AL9" s="540"/>
      <c r="AM9" s="540"/>
      <c r="AN9" s="540"/>
      <c r="AO9" s="541"/>
      <c r="AP9" s="542" t="str">
        <f t="shared" ref="AP9:AP42" si="21">("sangat baik dalam   "&amp;J9&amp;K9&amp;L9&amp;M9&amp;N9&amp;O9&amp;P9)</f>
        <v xml:space="preserve">sangat baik dalam   </v>
      </c>
      <c r="AQ9" s="542" t="str">
        <f t="shared" ref="AQ9:AQ42" si="22">("baik dalam "&amp;R9&amp;S9&amp;T9&amp;U9&amp;V9&amp;W9&amp;X9)</f>
        <v xml:space="preserve">baik dalam ketaatan beribadah, perilaku bersyukur, berdoa sebelum dan sesudah melakukan kegiatan, toleransi dalam beribadah, </v>
      </c>
      <c r="AR9" s="542" t="str">
        <f t="shared" ref="AR9:AR42" si="23">("cukup dalam "&amp;Z9&amp;AA9&amp;AB9&amp;AC9&amp;AD9&amp;AE9&amp;Y9)</f>
        <v xml:space="preserve">cukup dalam </v>
      </c>
      <c r="AS9" s="542" t="str">
        <f t="shared" ref="AS9:AS42" si="24">("sudah mampu meningkatkan "&amp;AH9&amp;AI9&amp;AJ9&amp;AK9&amp;AL9&amp;AM9&amp;AN9)</f>
        <v xml:space="preserve">sudah mampu meningkatkan </v>
      </c>
      <c r="AT9" s="542"/>
      <c r="AU9" s="4" t="str">
        <f t="shared" ref="AU9:AU42" si="25">IF(AZ9&gt;=1,"Ananda "&amp;BH9,"")</f>
        <v>Ananda Athaya</v>
      </c>
      <c r="AV9" s="66">
        <f t="shared" ref="AV9:AV42" si="26">COUNTIF(C9:F9,"A")</f>
        <v>0</v>
      </c>
      <c r="AW9" s="66">
        <f t="shared" ref="AW9:AW42" si="27">COUNTIF(C9:F9,"B")</f>
        <v>4</v>
      </c>
      <c r="AX9" s="66">
        <f t="shared" ref="AX9:AX42" si="28">COUNTIF(C9:F9,"C")</f>
        <v>0</v>
      </c>
      <c r="AY9" s="66">
        <f t="shared" ref="AY9:AY42" si="29">COUNTIF(C9:F9,"D")</f>
        <v>0</v>
      </c>
      <c r="AZ9" s="4">
        <f t="shared" ref="AZ9:AZ42" si="30">SUM(AV9:AY9)</f>
        <v>4</v>
      </c>
      <c r="BA9" s="66" t="str">
        <f t="shared" ref="BA9:BA42" si="31">IF(AV9&gt;6,"",IF(AV9&gt;=1,AP9,""))</f>
        <v/>
      </c>
      <c r="BB9" s="66" t="str">
        <f t="shared" ref="BB9:BB42" si="32">IF(AW9&gt;6,"",IF(AW9&gt;=1,AQ9,""))</f>
        <v xml:space="preserve">baik dalam ketaatan beribadah, perilaku bersyukur, berdoa sebelum dan sesudah melakukan kegiatan, toleransi dalam beribadah, </v>
      </c>
      <c r="BC9" s="66" t="str">
        <f t="shared" ref="BC9:BC42" si="33">IF(AX9&gt;6,"",IF(AX9&gt;=1,AR9,""))</f>
        <v/>
      </c>
      <c r="BD9" s="66" t="str">
        <f t="shared" ref="BD9:BD42" si="34">IF(AY9&gt;6,"",IF(AY9&gt;=1,AS9,""))</f>
        <v/>
      </c>
      <c r="BE9" s="4"/>
      <c r="BF9" s="349" t="str">
        <f t="shared" ref="BF9:BF42" si="35">CONCATENATE(AU9&amp;" "&amp;BA9&amp;BB9&amp;BD9)</f>
        <v xml:space="preserve">Ananda Athaya baik dalam ketaatan beribadah, perilaku bersyukur, berdoa sebelum dan sesudah melakukan kegiatan, toleransi dalam beribadah, </v>
      </c>
      <c r="BG9" s="541"/>
      <c r="BH9" s="66" t="str">
        <f>SISWA!E7</f>
        <v>Athaya</v>
      </c>
      <c r="BI9" s="542" t="str">
        <f t="shared" ref="BI9:BI42" si="36">(" Baik dalam "&amp;AV9&amp;AW9&amp;AX9&amp;AY9)</f>
        <v xml:space="preserve"> Baik dalam 0400</v>
      </c>
      <c r="BJ9" s="542" t="str">
        <f t="shared" ref="BJ9:BJ42" si="37">(", dengan bimbingan yang lebih mampu meningkatkan "&amp;BB9&amp;BC9&amp;BD9&amp;BE9)</f>
        <v xml:space="preserve">, dengan bimbingan yang lebih mampu meningkatkan baik dalam ketaatan beribadah, perilaku bersyukur, berdoa sebelum dan sesudah melakukan kegiatan, toleransi dalam beribadah, </v>
      </c>
      <c r="BK9" s="4"/>
      <c r="BL9" s="4" t="str">
        <f t="shared" ref="BL9:BL42" si="38">IF(AL9&gt;0,BH9,"")</f>
        <v/>
      </c>
      <c r="BM9" s="4" t="str">
        <f t="shared" ref="BM9:BM42" si="39">IF(AM9&gt;=1,BI9,"")</f>
        <v/>
      </c>
      <c r="BN9" s="4" t="str">
        <f t="shared" ref="BN9:BN42" si="40">IF(AN9&gt;0,BJ9,"")</f>
        <v/>
      </c>
      <c r="BO9" s="4"/>
      <c r="BP9" s="349" t="str">
        <f t="shared" ref="BP9:BP42" si="41">CONCATENATE(BL9&amp;BM9&amp;BN9&amp;".")</f>
        <v>.</v>
      </c>
    </row>
    <row r="10" spans="1:74" ht="30">
      <c r="A10" s="30">
        <v>3</v>
      </c>
      <c r="B10" s="122" t="str">
        <f>SISWA!B8</f>
        <v>Amira Zerlinda</v>
      </c>
      <c r="C10" s="295" t="s">
        <v>2</v>
      </c>
      <c r="D10" s="295" t="s">
        <v>2</v>
      </c>
      <c r="E10" s="295" t="s">
        <v>2</v>
      </c>
      <c r="F10" s="295" t="s">
        <v>2</v>
      </c>
      <c r="G10" s="294" t="str">
        <f t="shared" si="4"/>
        <v xml:space="preserve">Ananda Amira baik dalam ketaatan beribadah, perilaku bersyukur, berdoa sebelum dan sesudah melakukan kegiatan, toleransi dalam beribadah, </v>
      </c>
      <c r="J10" s="540" t="str">
        <f t="shared" si="5"/>
        <v/>
      </c>
      <c r="K10" s="540" t="str">
        <f t="shared" si="6"/>
        <v/>
      </c>
      <c r="L10" s="540" t="str">
        <f t="shared" si="7"/>
        <v/>
      </c>
      <c r="M10" s="540" t="str">
        <f t="shared" si="8"/>
        <v/>
      </c>
      <c r="N10" s="540"/>
      <c r="O10" s="540"/>
      <c r="P10" s="540"/>
      <c r="Q10" s="4"/>
      <c r="R10" s="540" t="str">
        <f t="shared" si="9"/>
        <v xml:space="preserve">ketaatan beribadah, </v>
      </c>
      <c r="S10" s="540" t="str">
        <f t="shared" si="10"/>
        <v xml:space="preserve">perilaku bersyukur, </v>
      </c>
      <c r="T10" s="540" t="str">
        <f t="shared" si="11"/>
        <v xml:space="preserve">berdoa sebelum dan sesudah melakukan kegiatan, </v>
      </c>
      <c r="U10" s="540" t="str">
        <f t="shared" si="12"/>
        <v xml:space="preserve">toleransi dalam beribadah, </v>
      </c>
      <c r="V10" s="540"/>
      <c r="W10" s="540"/>
      <c r="X10" s="540"/>
      <c r="Y10" s="653"/>
      <c r="Z10" s="540" t="str">
        <f t="shared" si="13"/>
        <v/>
      </c>
      <c r="AA10" s="540" t="str">
        <f t="shared" si="14"/>
        <v/>
      </c>
      <c r="AB10" s="540" t="str">
        <f t="shared" si="15"/>
        <v/>
      </c>
      <c r="AC10" s="540" t="str">
        <f t="shared" si="16"/>
        <v/>
      </c>
      <c r="AD10" s="540"/>
      <c r="AE10" s="540"/>
      <c r="AF10" s="540"/>
      <c r="AG10" s="4"/>
      <c r="AH10" s="540" t="str">
        <f t="shared" si="17"/>
        <v/>
      </c>
      <c r="AI10" s="540" t="str">
        <f t="shared" si="18"/>
        <v/>
      </c>
      <c r="AJ10" s="540" t="str">
        <f t="shared" si="19"/>
        <v/>
      </c>
      <c r="AK10" s="540" t="str">
        <f t="shared" si="20"/>
        <v/>
      </c>
      <c r="AL10" s="540"/>
      <c r="AM10" s="540"/>
      <c r="AN10" s="540"/>
      <c r="AO10" s="541"/>
      <c r="AP10" s="542" t="str">
        <f t="shared" si="21"/>
        <v xml:space="preserve">sangat baik dalam   </v>
      </c>
      <c r="AQ10" s="542" t="str">
        <f t="shared" si="22"/>
        <v xml:space="preserve">baik dalam ketaatan beribadah, perilaku bersyukur, berdoa sebelum dan sesudah melakukan kegiatan, toleransi dalam beribadah, </v>
      </c>
      <c r="AR10" s="542" t="str">
        <f t="shared" si="23"/>
        <v xml:space="preserve">cukup dalam </v>
      </c>
      <c r="AS10" s="542" t="str">
        <f t="shared" si="24"/>
        <v xml:space="preserve">sudah mampu meningkatkan </v>
      </c>
      <c r="AT10" s="542"/>
      <c r="AU10" s="4" t="str">
        <f t="shared" si="25"/>
        <v>Ananda Amira</v>
      </c>
      <c r="AV10" s="66">
        <f t="shared" si="26"/>
        <v>0</v>
      </c>
      <c r="AW10" s="66">
        <f t="shared" si="27"/>
        <v>4</v>
      </c>
      <c r="AX10" s="66">
        <f t="shared" si="28"/>
        <v>0</v>
      </c>
      <c r="AY10" s="66">
        <f t="shared" si="29"/>
        <v>0</v>
      </c>
      <c r="AZ10" s="4">
        <f t="shared" si="30"/>
        <v>4</v>
      </c>
      <c r="BA10" s="66" t="str">
        <f t="shared" si="31"/>
        <v/>
      </c>
      <c r="BB10" s="66" t="str">
        <f t="shared" si="32"/>
        <v xml:space="preserve">baik dalam ketaatan beribadah, perilaku bersyukur, berdoa sebelum dan sesudah melakukan kegiatan, toleransi dalam beribadah, </v>
      </c>
      <c r="BC10" s="66" t="str">
        <f t="shared" si="33"/>
        <v/>
      </c>
      <c r="BD10" s="66" t="str">
        <f t="shared" si="34"/>
        <v/>
      </c>
      <c r="BE10" s="4"/>
      <c r="BF10" s="349" t="str">
        <f t="shared" si="35"/>
        <v xml:space="preserve">Ananda Amira baik dalam ketaatan beribadah, perilaku bersyukur, berdoa sebelum dan sesudah melakukan kegiatan, toleransi dalam beribadah, </v>
      </c>
      <c r="BG10" s="541"/>
      <c r="BH10" s="66" t="str">
        <f>SISWA!E8</f>
        <v>Amira</v>
      </c>
      <c r="BI10" s="542" t="str">
        <f t="shared" si="36"/>
        <v xml:space="preserve"> Baik dalam 0400</v>
      </c>
      <c r="BJ10" s="542" t="str">
        <f t="shared" si="37"/>
        <v xml:space="preserve">, dengan bimbingan yang lebih mampu meningkatkan baik dalam ketaatan beribadah, perilaku bersyukur, berdoa sebelum dan sesudah melakukan kegiatan, toleransi dalam beribadah, </v>
      </c>
      <c r="BK10" s="4"/>
      <c r="BL10" s="4" t="str">
        <f t="shared" si="38"/>
        <v/>
      </c>
      <c r="BM10" s="4" t="str">
        <f t="shared" si="39"/>
        <v/>
      </c>
      <c r="BN10" s="4" t="str">
        <f t="shared" si="40"/>
        <v/>
      </c>
      <c r="BO10" s="4"/>
      <c r="BP10" s="349" t="str">
        <f t="shared" si="41"/>
        <v>.</v>
      </c>
    </row>
    <row r="11" spans="1:74" ht="30">
      <c r="A11" s="30">
        <v>4</v>
      </c>
      <c r="B11" s="122" t="str">
        <f>SISWA!B9</f>
        <v>Andrian Putra Pangestu</v>
      </c>
      <c r="C11" s="295" t="s">
        <v>2</v>
      </c>
      <c r="D11" s="295" t="s">
        <v>2</v>
      </c>
      <c r="E11" s="295" t="s">
        <v>2</v>
      </c>
      <c r="F11" s="295" t="s">
        <v>2</v>
      </c>
      <c r="G11" s="294" t="str">
        <f t="shared" si="4"/>
        <v xml:space="preserve">Ananda Andri baik dalam ketaatan beribadah, perilaku bersyukur, berdoa sebelum dan sesudah melakukan kegiatan, toleransi dalam beribadah, </v>
      </c>
      <c r="J11" s="540" t="str">
        <f t="shared" si="5"/>
        <v/>
      </c>
      <c r="K11" s="540" t="str">
        <f t="shared" si="6"/>
        <v/>
      </c>
      <c r="L11" s="540" t="str">
        <f t="shared" si="7"/>
        <v/>
      </c>
      <c r="M11" s="540" t="str">
        <f t="shared" si="8"/>
        <v/>
      </c>
      <c r="N11" s="540"/>
      <c r="O11" s="540"/>
      <c r="P11" s="540"/>
      <c r="Q11" s="4"/>
      <c r="R11" s="540" t="str">
        <f t="shared" si="9"/>
        <v xml:space="preserve">ketaatan beribadah, </v>
      </c>
      <c r="S11" s="540" t="str">
        <f t="shared" si="10"/>
        <v xml:space="preserve">perilaku bersyukur, </v>
      </c>
      <c r="T11" s="540" t="str">
        <f t="shared" si="11"/>
        <v xml:space="preserve">berdoa sebelum dan sesudah melakukan kegiatan, </v>
      </c>
      <c r="U11" s="540" t="str">
        <f t="shared" si="12"/>
        <v xml:space="preserve">toleransi dalam beribadah, </v>
      </c>
      <c r="V11" s="540"/>
      <c r="W11" s="540"/>
      <c r="X11" s="540"/>
      <c r="Y11" s="653"/>
      <c r="Z11" s="540" t="str">
        <f t="shared" si="13"/>
        <v/>
      </c>
      <c r="AA11" s="540" t="str">
        <f t="shared" si="14"/>
        <v/>
      </c>
      <c r="AB11" s="540" t="str">
        <f t="shared" si="15"/>
        <v/>
      </c>
      <c r="AC11" s="540" t="str">
        <f t="shared" si="16"/>
        <v/>
      </c>
      <c r="AD11" s="540"/>
      <c r="AE11" s="540"/>
      <c r="AF11" s="540"/>
      <c r="AG11" s="4"/>
      <c r="AH11" s="540" t="str">
        <f t="shared" si="17"/>
        <v/>
      </c>
      <c r="AI11" s="540" t="str">
        <f t="shared" si="18"/>
        <v/>
      </c>
      <c r="AJ11" s="540" t="str">
        <f t="shared" si="19"/>
        <v/>
      </c>
      <c r="AK11" s="540" t="str">
        <f t="shared" si="20"/>
        <v/>
      </c>
      <c r="AL11" s="540"/>
      <c r="AM11" s="540"/>
      <c r="AN11" s="540"/>
      <c r="AO11" s="541"/>
      <c r="AP11" s="542" t="str">
        <f t="shared" si="21"/>
        <v xml:space="preserve">sangat baik dalam   </v>
      </c>
      <c r="AQ11" s="542" t="str">
        <f t="shared" si="22"/>
        <v xml:space="preserve">baik dalam ketaatan beribadah, perilaku bersyukur, berdoa sebelum dan sesudah melakukan kegiatan, toleransi dalam beribadah, </v>
      </c>
      <c r="AR11" s="542" t="str">
        <f t="shared" si="23"/>
        <v xml:space="preserve">cukup dalam </v>
      </c>
      <c r="AS11" s="542" t="str">
        <f t="shared" si="24"/>
        <v xml:space="preserve">sudah mampu meningkatkan </v>
      </c>
      <c r="AT11" s="542"/>
      <c r="AU11" s="4" t="str">
        <f t="shared" si="25"/>
        <v>Ananda Andri</v>
      </c>
      <c r="AV11" s="66">
        <f t="shared" si="26"/>
        <v>0</v>
      </c>
      <c r="AW11" s="66">
        <f t="shared" si="27"/>
        <v>4</v>
      </c>
      <c r="AX11" s="66">
        <f t="shared" si="28"/>
        <v>0</v>
      </c>
      <c r="AY11" s="66">
        <f t="shared" si="29"/>
        <v>0</v>
      </c>
      <c r="AZ11" s="4">
        <f t="shared" si="30"/>
        <v>4</v>
      </c>
      <c r="BA11" s="66" t="str">
        <f t="shared" si="31"/>
        <v/>
      </c>
      <c r="BB11" s="66" t="str">
        <f t="shared" si="32"/>
        <v xml:space="preserve">baik dalam ketaatan beribadah, perilaku bersyukur, berdoa sebelum dan sesudah melakukan kegiatan, toleransi dalam beribadah, </v>
      </c>
      <c r="BC11" s="66" t="str">
        <f t="shared" si="33"/>
        <v/>
      </c>
      <c r="BD11" s="66" t="str">
        <f t="shared" si="34"/>
        <v/>
      </c>
      <c r="BE11" s="4"/>
      <c r="BF11" s="349" t="str">
        <f t="shared" si="35"/>
        <v xml:space="preserve">Ananda Andri baik dalam ketaatan beribadah, perilaku bersyukur, berdoa sebelum dan sesudah melakukan kegiatan, toleransi dalam beribadah, </v>
      </c>
      <c r="BG11" s="541"/>
      <c r="BH11" s="66" t="str">
        <f>SISWA!E9</f>
        <v>Andri</v>
      </c>
      <c r="BI11" s="542" t="str">
        <f t="shared" si="36"/>
        <v xml:space="preserve"> Baik dalam 0400</v>
      </c>
      <c r="BJ11" s="542" t="str">
        <f t="shared" si="37"/>
        <v xml:space="preserve">, dengan bimbingan yang lebih mampu meningkatkan baik dalam ketaatan beribadah, perilaku bersyukur, berdoa sebelum dan sesudah melakukan kegiatan, toleransi dalam beribadah, </v>
      </c>
      <c r="BK11" s="4"/>
      <c r="BL11" s="4" t="str">
        <f t="shared" si="38"/>
        <v/>
      </c>
      <c r="BM11" s="4" t="str">
        <f t="shared" si="39"/>
        <v/>
      </c>
      <c r="BN11" s="4" t="str">
        <f t="shared" si="40"/>
        <v/>
      </c>
      <c r="BO11" s="4"/>
      <c r="BP11" s="349" t="str">
        <f t="shared" si="41"/>
        <v>.</v>
      </c>
    </row>
    <row r="12" spans="1:74" ht="30">
      <c r="A12" s="30">
        <v>5</v>
      </c>
      <c r="B12" s="122" t="str">
        <f>SISWA!B10</f>
        <v>Gresiya Suma Safitri</v>
      </c>
      <c r="C12" s="295" t="s">
        <v>2</v>
      </c>
      <c r="D12" s="295" t="s">
        <v>2</v>
      </c>
      <c r="E12" s="295" t="s">
        <v>2</v>
      </c>
      <c r="F12" s="295" t="s">
        <v>2</v>
      </c>
      <c r="G12" s="294" t="str">
        <f t="shared" si="4"/>
        <v xml:space="preserve">Ananda Gresia baik dalam ketaatan beribadah, perilaku bersyukur, berdoa sebelum dan sesudah melakukan kegiatan, toleransi dalam beribadah, </v>
      </c>
      <c r="J12" s="540" t="str">
        <f t="shared" si="5"/>
        <v/>
      </c>
      <c r="K12" s="540" t="str">
        <f t="shared" si="6"/>
        <v/>
      </c>
      <c r="L12" s="540" t="str">
        <f t="shared" si="7"/>
        <v/>
      </c>
      <c r="M12" s="540" t="str">
        <f t="shared" si="8"/>
        <v/>
      </c>
      <c r="N12" s="540"/>
      <c r="O12" s="540"/>
      <c r="P12" s="540"/>
      <c r="Q12" s="4"/>
      <c r="R12" s="540" t="str">
        <f t="shared" si="9"/>
        <v xml:space="preserve">ketaatan beribadah, </v>
      </c>
      <c r="S12" s="540" t="str">
        <f t="shared" si="10"/>
        <v xml:space="preserve">perilaku bersyukur, </v>
      </c>
      <c r="T12" s="540" t="str">
        <f t="shared" si="11"/>
        <v xml:space="preserve">berdoa sebelum dan sesudah melakukan kegiatan, </v>
      </c>
      <c r="U12" s="540" t="str">
        <f t="shared" si="12"/>
        <v xml:space="preserve">toleransi dalam beribadah, </v>
      </c>
      <c r="V12" s="540"/>
      <c r="W12" s="540"/>
      <c r="X12" s="540"/>
      <c r="Y12" s="653"/>
      <c r="Z12" s="540" t="str">
        <f t="shared" si="13"/>
        <v/>
      </c>
      <c r="AA12" s="540" t="str">
        <f t="shared" si="14"/>
        <v/>
      </c>
      <c r="AB12" s="540" t="str">
        <f t="shared" si="15"/>
        <v/>
      </c>
      <c r="AC12" s="540" t="str">
        <f t="shared" si="16"/>
        <v/>
      </c>
      <c r="AD12" s="540"/>
      <c r="AE12" s="540"/>
      <c r="AF12" s="540"/>
      <c r="AG12" s="4"/>
      <c r="AH12" s="540" t="str">
        <f t="shared" si="17"/>
        <v/>
      </c>
      <c r="AI12" s="540" t="str">
        <f t="shared" si="18"/>
        <v/>
      </c>
      <c r="AJ12" s="540" t="str">
        <f t="shared" si="19"/>
        <v/>
      </c>
      <c r="AK12" s="540" t="str">
        <f t="shared" si="20"/>
        <v/>
      </c>
      <c r="AL12" s="540"/>
      <c r="AM12" s="540"/>
      <c r="AN12" s="540"/>
      <c r="AO12" s="541"/>
      <c r="AP12" s="542" t="str">
        <f t="shared" si="21"/>
        <v xml:space="preserve">sangat baik dalam   </v>
      </c>
      <c r="AQ12" s="542" t="str">
        <f t="shared" si="22"/>
        <v xml:space="preserve">baik dalam ketaatan beribadah, perilaku bersyukur, berdoa sebelum dan sesudah melakukan kegiatan, toleransi dalam beribadah, </v>
      </c>
      <c r="AR12" s="542" t="str">
        <f t="shared" si="23"/>
        <v xml:space="preserve">cukup dalam </v>
      </c>
      <c r="AS12" s="542" t="str">
        <f t="shared" si="24"/>
        <v xml:space="preserve">sudah mampu meningkatkan </v>
      </c>
      <c r="AT12" s="542"/>
      <c r="AU12" s="4" t="str">
        <f t="shared" si="25"/>
        <v>Ananda Gresia</v>
      </c>
      <c r="AV12" s="66">
        <f t="shared" si="26"/>
        <v>0</v>
      </c>
      <c r="AW12" s="66">
        <f t="shared" si="27"/>
        <v>4</v>
      </c>
      <c r="AX12" s="66">
        <f t="shared" si="28"/>
        <v>0</v>
      </c>
      <c r="AY12" s="66">
        <f t="shared" si="29"/>
        <v>0</v>
      </c>
      <c r="AZ12" s="4">
        <f t="shared" si="30"/>
        <v>4</v>
      </c>
      <c r="BA12" s="66" t="str">
        <f t="shared" si="31"/>
        <v/>
      </c>
      <c r="BB12" s="66" t="str">
        <f t="shared" si="32"/>
        <v xml:space="preserve">baik dalam ketaatan beribadah, perilaku bersyukur, berdoa sebelum dan sesudah melakukan kegiatan, toleransi dalam beribadah, </v>
      </c>
      <c r="BC12" s="66" t="str">
        <f t="shared" si="33"/>
        <v/>
      </c>
      <c r="BD12" s="66" t="str">
        <f t="shared" si="34"/>
        <v/>
      </c>
      <c r="BE12" s="4"/>
      <c r="BF12" s="349" t="str">
        <f t="shared" si="35"/>
        <v xml:space="preserve">Ananda Gresia baik dalam ketaatan beribadah, perilaku bersyukur, berdoa sebelum dan sesudah melakukan kegiatan, toleransi dalam beribadah, </v>
      </c>
      <c r="BG12" s="541"/>
      <c r="BH12" s="66" t="str">
        <f>SISWA!E10</f>
        <v>Gresia</v>
      </c>
      <c r="BI12" s="542" t="str">
        <f t="shared" si="36"/>
        <v xml:space="preserve"> Baik dalam 0400</v>
      </c>
      <c r="BJ12" s="542" t="str">
        <f t="shared" si="37"/>
        <v xml:space="preserve">, dengan bimbingan yang lebih mampu meningkatkan baik dalam ketaatan beribadah, perilaku bersyukur, berdoa sebelum dan sesudah melakukan kegiatan, toleransi dalam beribadah, </v>
      </c>
      <c r="BK12" s="4"/>
      <c r="BL12" s="4" t="str">
        <f t="shared" si="38"/>
        <v/>
      </c>
      <c r="BM12" s="4" t="str">
        <f t="shared" si="39"/>
        <v/>
      </c>
      <c r="BN12" s="4" t="str">
        <f t="shared" si="40"/>
        <v/>
      </c>
      <c r="BO12" s="4"/>
      <c r="BP12" s="349" t="str">
        <f t="shared" si="41"/>
        <v>.</v>
      </c>
    </row>
    <row r="13" spans="1:74" ht="30">
      <c r="A13" s="30">
        <v>6</v>
      </c>
      <c r="B13" s="122" t="str">
        <f>SISWA!B11</f>
        <v>Hasna Fathitya Sabrina</v>
      </c>
      <c r="C13" s="295" t="s">
        <v>2</v>
      </c>
      <c r="D13" s="295" t="s">
        <v>2</v>
      </c>
      <c r="E13" s="295" t="s">
        <v>2</v>
      </c>
      <c r="F13" s="295" t="s">
        <v>2</v>
      </c>
      <c r="G13" s="294" t="str">
        <f t="shared" si="4"/>
        <v xml:space="preserve">Ananda Hasna baik dalam ketaatan beribadah, perilaku bersyukur, berdoa sebelum dan sesudah melakukan kegiatan, toleransi dalam beribadah, </v>
      </c>
      <c r="J13" s="540" t="str">
        <f t="shared" si="5"/>
        <v/>
      </c>
      <c r="K13" s="540" t="str">
        <f t="shared" si="6"/>
        <v/>
      </c>
      <c r="L13" s="540" t="str">
        <f t="shared" si="7"/>
        <v/>
      </c>
      <c r="M13" s="540" t="str">
        <f t="shared" si="8"/>
        <v/>
      </c>
      <c r="N13" s="540"/>
      <c r="O13" s="540"/>
      <c r="P13" s="540"/>
      <c r="Q13" s="4"/>
      <c r="R13" s="540" t="str">
        <f t="shared" si="9"/>
        <v xml:space="preserve">ketaatan beribadah, </v>
      </c>
      <c r="S13" s="540" t="str">
        <f t="shared" si="10"/>
        <v xml:space="preserve">perilaku bersyukur, </v>
      </c>
      <c r="T13" s="540" t="str">
        <f t="shared" si="11"/>
        <v xml:space="preserve">berdoa sebelum dan sesudah melakukan kegiatan, </v>
      </c>
      <c r="U13" s="540" t="str">
        <f t="shared" si="12"/>
        <v xml:space="preserve">toleransi dalam beribadah, </v>
      </c>
      <c r="V13" s="540"/>
      <c r="W13" s="540"/>
      <c r="X13" s="540"/>
      <c r="Y13" s="653"/>
      <c r="Z13" s="540" t="str">
        <f t="shared" si="13"/>
        <v/>
      </c>
      <c r="AA13" s="540" t="str">
        <f t="shared" si="14"/>
        <v/>
      </c>
      <c r="AB13" s="540" t="str">
        <f t="shared" si="15"/>
        <v/>
      </c>
      <c r="AC13" s="540" t="str">
        <f t="shared" si="16"/>
        <v/>
      </c>
      <c r="AD13" s="540"/>
      <c r="AE13" s="540"/>
      <c r="AF13" s="540"/>
      <c r="AG13" s="4"/>
      <c r="AH13" s="540" t="str">
        <f t="shared" si="17"/>
        <v/>
      </c>
      <c r="AI13" s="540" t="str">
        <f t="shared" si="18"/>
        <v/>
      </c>
      <c r="AJ13" s="540" t="str">
        <f t="shared" si="19"/>
        <v/>
      </c>
      <c r="AK13" s="540" t="str">
        <f t="shared" si="20"/>
        <v/>
      </c>
      <c r="AL13" s="540"/>
      <c r="AM13" s="540"/>
      <c r="AN13" s="540"/>
      <c r="AO13" s="541"/>
      <c r="AP13" s="542" t="str">
        <f t="shared" si="21"/>
        <v xml:space="preserve">sangat baik dalam   </v>
      </c>
      <c r="AQ13" s="542" t="str">
        <f t="shared" si="22"/>
        <v xml:space="preserve">baik dalam ketaatan beribadah, perilaku bersyukur, berdoa sebelum dan sesudah melakukan kegiatan, toleransi dalam beribadah, </v>
      </c>
      <c r="AR13" s="542" t="str">
        <f t="shared" si="23"/>
        <v xml:space="preserve">cukup dalam </v>
      </c>
      <c r="AS13" s="542" t="str">
        <f t="shared" si="24"/>
        <v xml:space="preserve">sudah mampu meningkatkan </v>
      </c>
      <c r="AT13" s="542"/>
      <c r="AU13" s="4" t="str">
        <f t="shared" si="25"/>
        <v>Ananda Hasna</v>
      </c>
      <c r="AV13" s="66">
        <f t="shared" si="26"/>
        <v>0</v>
      </c>
      <c r="AW13" s="66">
        <f t="shared" si="27"/>
        <v>4</v>
      </c>
      <c r="AX13" s="66">
        <f t="shared" si="28"/>
        <v>0</v>
      </c>
      <c r="AY13" s="66">
        <f t="shared" si="29"/>
        <v>0</v>
      </c>
      <c r="AZ13" s="4">
        <f t="shared" si="30"/>
        <v>4</v>
      </c>
      <c r="BA13" s="66" t="str">
        <f t="shared" si="31"/>
        <v/>
      </c>
      <c r="BB13" s="66" t="str">
        <f t="shared" si="32"/>
        <v xml:space="preserve">baik dalam ketaatan beribadah, perilaku bersyukur, berdoa sebelum dan sesudah melakukan kegiatan, toleransi dalam beribadah, </v>
      </c>
      <c r="BC13" s="66" t="str">
        <f t="shared" si="33"/>
        <v/>
      </c>
      <c r="BD13" s="66" t="str">
        <f t="shared" si="34"/>
        <v/>
      </c>
      <c r="BE13" s="4"/>
      <c r="BF13" s="349" t="str">
        <f t="shared" si="35"/>
        <v xml:space="preserve">Ananda Hasna baik dalam ketaatan beribadah, perilaku bersyukur, berdoa sebelum dan sesudah melakukan kegiatan, toleransi dalam beribadah, </v>
      </c>
      <c r="BG13" s="541"/>
      <c r="BH13" s="66" t="str">
        <f>SISWA!E11</f>
        <v>Hasna</v>
      </c>
      <c r="BI13" s="542" t="str">
        <f t="shared" si="36"/>
        <v xml:space="preserve"> Baik dalam 0400</v>
      </c>
      <c r="BJ13" s="542" t="str">
        <f t="shared" si="37"/>
        <v xml:space="preserve">, dengan bimbingan yang lebih mampu meningkatkan baik dalam ketaatan beribadah, perilaku bersyukur, berdoa sebelum dan sesudah melakukan kegiatan, toleransi dalam beribadah, </v>
      </c>
      <c r="BK13" s="4"/>
      <c r="BL13" s="4" t="str">
        <f t="shared" si="38"/>
        <v/>
      </c>
      <c r="BM13" s="4" t="str">
        <f t="shared" si="39"/>
        <v/>
      </c>
      <c r="BN13" s="4" t="str">
        <f t="shared" si="40"/>
        <v/>
      </c>
      <c r="BO13" s="4"/>
      <c r="BP13" s="349" t="str">
        <f t="shared" si="41"/>
        <v>.</v>
      </c>
    </row>
    <row r="14" spans="1:74" ht="30">
      <c r="A14" s="30">
        <v>7</v>
      </c>
      <c r="B14" s="122" t="str">
        <f>SISWA!B12</f>
        <v>Indah Fitria Ningrum</v>
      </c>
      <c r="C14" s="295" t="s">
        <v>2</v>
      </c>
      <c r="D14" s="295" t="s">
        <v>2</v>
      </c>
      <c r="E14" s="295" t="s">
        <v>2</v>
      </c>
      <c r="F14" s="295" t="s">
        <v>2</v>
      </c>
      <c r="G14" s="294" t="str">
        <f t="shared" si="4"/>
        <v xml:space="preserve">Ananda Indah baik dalam ketaatan beribadah, perilaku bersyukur, berdoa sebelum dan sesudah melakukan kegiatan, toleransi dalam beribadah, </v>
      </c>
      <c r="J14" s="540" t="str">
        <f t="shared" si="5"/>
        <v/>
      </c>
      <c r="K14" s="540" t="str">
        <f t="shared" si="6"/>
        <v/>
      </c>
      <c r="L14" s="540" t="str">
        <f t="shared" si="7"/>
        <v/>
      </c>
      <c r="M14" s="540" t="str">
        <f t="shared" si="8"/>
        <v/>
      </c>
      <c r="N14" s="540"/>
      <c r="O14" s="540"/>
      <c r="P14" s="540"/>
      <c r="Q14" s="4"/>
      <c r="R14" s="540" t="str">
        <f t="shared" si="9"/>
        <v xml:space="preserve">ketaatan beribadah, </v>
      </c>
      <c r="S14" s="540" t="str">
        <f t="shared" si="10"/>
        <v xml:space="preserve">perilaku bersyukur, </v>
      </c>
      <c r="T14" s="540" t="str">
        <f t="shared" si="11"/>
        <v xml:space="preserve">berdoa sebelum dan sesudah melakukan kegiatan, </v>
      </c>
      <c r="U14" s="540" t="str">
        <f t="shared" si="12"/>
        <v xml:space="preserve">toleransi dalam beribadah, </v>
      </c>
      <c r="V14" s="540"/>
      <c r="W14" s="540"/>
      <c r="X14" s="540"/>
      <c r="Y14" s="653"/>
      <c r="Z14" s="540" t="str">
        <f t="shared" si="13"/>
        <v/>
      </c>
      <c r="AA14" s="540" t="str">
        <f t="shared" si="14"/>
        <v/>
      </c>
      <c r="AB14" s="540" t="str">
        <f t="shared" si="15"/>
        <v/>
      </c>
      <c r="AC14" s="540" t="str">
        <f t="shared" si="16"/>
        <v/>
      </c>
      <c r="AD14" s="540"/>
      <c r="AE14" s="540"/>
      <c r="AF14" s="540"/>
      <c r="AG14" s="4"/>
      <c r="AH14" s="540" t="str">
        <f t="shared" si="17"/>
        <v/>
      </c>
      <c r="AI14" s="540" t="str">
        <f t="shared" si="18"/>
        <v/>
      </c>
      <c r="AJ14" s="540" t="str">
        <f t="shared" si="19"/>
        <v/>
      </c>
      <c r="AK14" s="540" t="str">
        <f t="shared" si="20"/>
        <v/>
      </c>
      <c r="AL14" s="540"/>
      <c r="AM14" s="540"/>
      <c r="AN14" s="540"/>
      <c r="AO14" s="541"/>
      <c r="AP14" s="542" t="str">
        <f t="shared" si="21"/>
        <v xml:space="preserve">sangat baik dalam   </v>
      </c>
      <c r="AQ14" s="542" t="str">
        <f t="shared" si="22"/>
        <v xml:space="preserve">baik dalam ketaatan beribadah, perilaku bersyukur, berdoa sebelum dan sesudah melakukan kegiatan, toleransi dalam beribadah, </v>
      </c>
      <c r="AR14" s="542" t="str">
        <f t="shared" si="23"/>
        <v xml:space="preserve">cukup dalam </v>
      </c>
      <c r="AS14" s="542" t="str">
        <f t="shared" si="24"/>
        <v xml:space="preserve">sudah mampu meningkatkan </v>
      </c>
      <c r="AT14" s="542"/>
      <c r="AU14" s="4" t="str">
        <f t="shared" si="25"/>
        <v>Ananda Indah</v>
      </c>
      <c r="AV14" s="66">
        <f t="shared" si="26"/>
        <v>0</v>
      </c>
      <c r="AW14" s="66">
        <f t="shared" si="27"/>
        <v>4</v>
      </c>
      <c r="AX14" s="66">
        <f t="shared" si="28"/>
        <v>0</v>
      </c>
      <c r="AY14" s="66">
        <f t="shared" si="29"/>
        <v>0</v>
      </c>
      <c r="AZ14" s="4">
        <f t="shared" si="30"/>
        <v>4</v>
      </c>
      <c r="BA14" s="66" t="str">
        <f t="shared" si="31"/>
        <v/>
      </c>
      <c r="BB14" s="66" t="str">
        <f t="shared" si="32"/>
        <v xml:space="preserve">baik dalam ketaatan beribadah, perilaku bersyukur, berdoa sebelum dan sesudah melakukan kegiatan, toleransi dalam beribadah, </v>
      </c>
      <c r="BC14" s="66" t="str">
        <f t="shared" si="33"/>
        <v/>
      </c>
      <c r="BD14" s="66" t="str">
        <f t="shared" si="34"/>
        <v/>
      </c>
      <c r="BE14" s="4"/>
      <c r="BF14" s="349" t="str">
        <f t="shared" si="35"/>
        <v xml:space="preserve">Ananda Indah baik dalam ketaatan beribadah, perilaku bersyukur, berdoa sebelum dan sesudah melakukan kegiatan, toleransi dalam beribadah, </v>
      </c>
      <c r="BG14" s="541"/>
      <c r="BH14" s="66" t="str">
        <f>SISWA!E12</f>
        <v>Indah</v>
      </c>
      <c r="BI14" s="542" t="str">
        <f t="shared" si="36"/>
        <v xml:space="preserve"> Baik dalam 0400</v>
      </c>
      <c r="BJ14" s="542" t="str">
        <f t="shared" si="37"/>
        <v xml:space="preserve">, dengan bimbingan yang lebih mampu meningkatkan baik dalam ketaatan beribadah, perilaku bersyukur, berdoa sebelum dan sesudah melakukan kegiatan, toleransi dalam beribadah, </v>
      </c>
      <c r="BK14" s="4"/>
      <c r="BL14" s="4" t="str">
        <f t="shared" si="38"/>
        <v/>
      </c>
      <c r="BM14" s="4" t="str">
        <f t="shared" si="39"/>
        <v/>
      </c>
      <c r="BN14" s="4" t="str">
        <f t="shared" si="40"/>
        <v/>
      </c>
      <c r="BO14" s="4"/>
      <c r="BP14" s="349" t="str">
        <f t="shared" si="41"/>
        <v>.</v>
      </c>
    </row>
    <row r="15" spans="1:74" ht="30">
      <c r="A15" s="30">
        <v>8</v>
      </c>
      <c r="B15" s="122" t="str">
        <f>SISWA!B13</f>
        <v>Muhammad Ilham Sarifuddin</v>
      </c>
      <c r="C15" s="295" t="s">
        <v>2</v>
      </c>
      <c r="D15" s="295" t="s">
        <v>2</v>
      </c>
      <c r="E15" s="295" t="s">
        <v>2</v>
      </c>
      <c r="F15" s="295" t="s">
        <v>2</v>
      </c>
      <c r="G15" s="294" t="str">
        <f t="shared" si="4"/>
        <v xml:space="preserve">Ananda Ilham baik dalam ketaatan beribadah, perilaku bersyukur, berdoa sebelum dan sesudah melakukan kegiatan, toleransi dalam beribadah, </v>
      </c>
      <c r="J15" s="540" t="str">
        <f t="shared" si="5"/>
        <v/>
      </c>
      <c r="K15" s="540" t="str">
        <f t="shared" si="6"/>
        <v/>
      </c>
      <c r="L15" s="540" t="str">
        <f t="shared" si="7"/>
        <v/>
      </c>
      <c r="M15" s="540" t="str">
        <f t="shared" si="8"/>
        <v/>
      </c>
      <c r="N15" s="540"/>
      <c r="O15" s="540"/>
      <c r="P15" s="540"/>
      <c r="Q15" s="4"/>
      <c r="R15" s="540" t="str">
        <f t="shared" si="9"/>
        <v xml:space="preserve">ketaatan beribadah, </v>
      </c>
      <c r="S15" s="540" t="str">
        <f t="shared" si="10"/>
        <v xml:space="preserve">perilaku bersyukur, </v>
      </c>
      <c r="T15" s="540" t="str">
        <f t="shared" si="11"/>
        <v xml:space="preserve">berdoa sebelum dan sesudah melakukan kegiatan, </v>
      </c>
      <c r="U15" s="540" t="str">
        <f t="shared" si="12"/>
        <v xml:space="preserve">toleransi dalam beribadah, </v>
      </c>
      <c r="V15" s="540"/>
      <c r="W15" s="540"/>
      <c r="X15" s="540"/>
      <c r="Y15" s="653"/>
      <c r="Z15" s="540" t="str">
        <f t="shared" si="13"/>
        <v/>
      </c>
      <c r="AA15" s="540" t="str">
        <f t="shared" si="14"/>
        <v/>
      </c>
      <c r="AB15" s="540" t="str">
        <f t="shared" si="15"/>
        <v/>
      </c>
      <c r="AC15" s="540" t="str">
        <f t="shared" si="16"/>
        <v/>
      </c>
      <c r="AD15" s="540"/>
      <c r="AE15" s="540"/>
      <c r="AF15" s="540"/>
      <c r="AG15" s="4"/>
      <c r="AH15" s="540" t="str">
        <f t="shared" si="17"/>
        <v/>
      </c>
      <c r="AI15" s="540" t="str">
        <f t="shared" si="18"/>
        <v/>
      </c>
      <c r="AJ15" s="540" t="str">
        <f t="shared" si="19"/>
        <v/>
      </c>
      <c r="AK15" s="540" t="str">
        <f t="shared" si="20"/>
        <v/>
      </c>
      <c r="AL15" s="540"/>
      <c r="AM15" s="540"/>
      <c r="AN15" s="540"/>
      <c r="AO15" s="541"/>
      <c r="AP15" s="542" t="str">
        <f t="shared" si="21"/>
        <v xml:space="preserve">sangat baik dalam   </v>
      </c>
      <c r="AQ15" s="542" t="str">
        <f t="shared" si="22"/>
        <v xml:space="preserve">baik dalam ketaatan beribadah, perilaku bersyukur, berdoa sebelum dan sesudah melakukan kegiatan, toleransi dalam beribadah, </v>
      </c>
      <c r="AR15" s="542" t="str">
        <f t="shared" si="23"/>
        <v xml:space="preserve">cukup dalam </v>
      </c>
      <c r="AS15" s="542" t="str">
        <f t="shared" si="24"/>
        <v xml:space="preserve">sudah mampu meningkatkan </v>
      </c>
      <c r="AT15" s="542"/>
      <c r="AU15" s="4" t="str">
        <f t="shared" si="25"/>
        <v>Ananda Ilham</v>
      </c>
      <c r="AV15" s="66">
        <f t="shared" si="26"/>
        <v>0</v>
      </c>
      <c r="AW15" s="66">
        <f t="shared" si="27"/>
        <v>4</v>
      </c>
      <c r="AX15" s="66">
        <f t="shared" si="28"/>
        <v>0</v>
      </c>
      <c r="AY15" s="66">
        <f t="shared" si="29"/>
        <v>0</v>
      </c>
      <c r="AZ15" s="4">
        <f t="shared" si="30"/>
        <v>4</v>
      </c>
      <c r="BA15" s="66" t="str">
        <f t="shared" si="31"/>
        <v/>
      </c>
      <c r="BB15" s="66" t="str">
        <f t="shared" si="32"/>
        <v xml:space="preserve">baik dalam ketaatan beribadah, perilaku bersyukur, berdoa sebelum dan sesudah melakukan kegiatan, toleransi dalam beribadah, </v>
      </c>
      <c r="BC15" s="66" t="str">
        <f t="shared" si="33"/>
        <v/>
      </c>
      <c r="BD15" s="66" t="str">
        <f t="shared" si="34"/>
        <v/>
      </c>
      <c r="BE15" s="4"/>
      <c r="BF15" s="349" t="str">
        <f t="shared" si="35"/>
        <v xml:space="preserve">Ananda Ilham baik dalam ketaatan beribadah, perilaku bersyukur, berdoa sebelum dan sesudah melakukan kegiatan, toleransi dalam beribadah, </v>
      </c>
      <c r="BG15" s="541"/>
      <c r="BH15" s="66" t="str">
        <f>SISWA!E13</f>
        <v>Ilham</v>
      </c>
      <c r="BI15" s="542" t="str">
        <f t="shared" si="36"/>
        <v xml:space="preserve"> Baik dalam 0400</v>
      </c>
      <c r="BJ15" s="542" t="str">
        <f t="shared" si="37"/>
        <v xml:space="preserve">, dengan bimbingan yang lebih mampu meningkatkan baik dalam ketaatan beribadah, perilaku bersyukur, berdoa sebelum dan sesudah melakukan kegiatan, toleransi dalam beribadah, </v>
      </c>
      <c r="BK15" s="4"/>
      <c r="BL15" s="4" t="str">
        <f t="shared" si="38"/>
        <v/>
      </c>
      <c r="BM15" s="4" t="str">
        <f t="shared" si="39"/>
        <v/>
      </c>
      <c r="BN15" s="4" t="str">
        <f t="shared" si="40"/>
        <v/>
      </c>
      <c r="BO15" s="4"/>
      <c r="BP15" s="349" t="str">
        <f t="shared" si="41"/>
        <v>.</v>
      </c>
    </row>
    <row r="16" spans="1:74" ht="45">
      <c r="A16" s="30">
        <v>9</v>
      </c>
      <c r="B16" s="122" t="str">
        <f>SISWA!B14</f>
        <v>Muhammad Raditya Ainul Yaqin</v>
      </c>
      <c r="C16" s="295" t="s">
        <v>2</v>
      </c>
      <c r="D16" s="295" t="s">
        <v>2</v>
      </c>
      <c r="E16" s="295" t="s">
        <v>2</v>
      </c>
      <c r="F16" s="295" t="s">
        <v>2</v>
      </c>
      <c r="G16" s="294" t="str">
        <f t="shared" si="4"/>
        <v xml:space="preserve">Ananda Radit baik dalam ketaatan beribadah, perilaku bersyukur, berdoa sebelum dan sesudah melakukan kegiatan, toleransi dalam beribadah, </v>
      </c>
      <c r="J16" s="540" t="str">
        <f t="shared" si="5"/>
        <v/>
      </c>
      <c r="K16" s="540" t="str">
        <f t="shared" si="6"/>
        <v/>
      </c>
      <c r="L16" s="540" t="str">
        <f t="shared" si="7"/>
        <v/>
      </c>
      <c r="M16" s="540" t="str">
        <f t="shared" si="8"/>
        <v/>
      </c>
      <c r="N16" s="540"/>
      <c r="O16" s="540"/>
      <c r="P16" s="540"/>
      <c r="Q16" s="4"/>
      <c r="R16" s="540" t="str">
        <f t="shared" si="9"/>
        <v xml:space="preserve">ketaatan beribadah, </v>
      </c>
      <c r="S16" s="540" t="str">
        <f t="shared" si="10"/>
        <v xml:space="preserve">perilaku bersyukur, </v>
      </c>
      <c r="T16" s="540" t="str">
        <f t="shared" si="11"/>
        <v xml:space="preserve">berdoa sebelum dan sesudah melakukan kegiatan, </v>
      </c>
      <c r="U16" s="540" t="str">
        <f t="shared" si="12"/>
        <v xml:space="preserve">toleransi dalam beribadah, </v>
      </c>
      <c r="V16" s="540"/>
      <c r="W16" s="540"/>
      <c r="X16" s="540"/>
      <c r="Y16" s="653"/>
      <c r="Z16" s="540" t="str">
        <f t="shared" si="13"/>
        <v/>
      </c>
      <c r="AA16" s="540" t="str">
        <f t="shared" si="14"/>
        <v/>
      </c>
      <c r="AB16" s="540" t="str">
        <f t="shared" si="15"/>
        <v/>
      </c>
      <c r="AC16" s="540" t="str">
        <f t="shared" si="16"/>
        <v/>
      </c>
      <c r="AD16" s="540"/>
      <c r="AE16" s="540"/>
      <c r="AF16" s="540"/>
      <c r="AG16" s="4"/>
      <c r="AH16" s="540" t="str">
        <f t="shared" si="17"/>
        <v/>
      </c>
      <c r="AI16" s="540" t="str">
        <f t="shared" si="18"/>
        <v/>
      </c>
      <c r="AJ16" s="540" t="str">
        <f t="shared" si="19"/>
        <v/>
      </c>
      <c r="AK16" s="540" t="str">
        <f t="shared" si="20"/>
        <v/>
      </c>
      <c r="AL16" s="540"/>
      <c r="AM16" s="540"/>
      <c r="AN16" s="540"/>
      <c r="AO16" s="541"/>
      <c r="AP16" s="542" t="str">
        <f t="shared" si="21"/>
        <v xml:space="preserve">sangat baik dalam   </v>
      </c>
      <c r="AQ16" s="542" t="str">
        <f t="shared" si="22"/>
        <v xml:space="preserve">baik dalam ketaatan beribadah, perilaku bersyukur, berdoa sebelum dan sesudah melakukan kegiatan, toleransi dalam beribadah, </v>
      </c>
      <c r="AR16" s="542" t="str">
        <f t="shared" si="23"/>
        <v xml:space="preserve">cukup dalam </v>
      </c>
      <c r="AS16" s="542" t="str">
        <f t="shared" si="24"/>
        <v xml:space="preserve">sudah mampu meningkatkan </v>
      </c>
      <c r="AT16" s="542"/>
      <c r="AU16" s="4" t="str">
        <f t="shared" si="25"/>
        <v>Ananda Radit</v>
      </c>
      <c r="AV16" s="66">
        <f t="shared" si="26"/>
        <v>0</v>
      </c>
      <c r="AW16" s="66">
        <f t="shared" si="27"/>
        <v>4</v>
      </c>
      <c r="AX16" s="66">
        <f t="shared" si="28"/>
        <v>0</v>
      </c>
      <c r="AY16" s="66">
        <f t="shared" si="29"/>
        <v>0</v>
      </c>
      <c r="AZ16" s="4">
        <f t="shared" si="30"/>
        <v>4</v>
      </c>
      <c r="BA16" s="66" t="str">
        <f t="shared" si="31"/>
        <v/>
      </c>
      <c r="BB16" s="66" t="str">
        <f t="shared" si="32"/>
        <v xml:space="preserve">baik dalam ketaatan beribadah, perilaku bersyukur, berdoa sebelum dan sesudah melakukan kegiatan, toleransi dalam beribadah, </v>
      </c>
      <c r="BC16" s="66" t="str">
        <f t="shared" si="33"/>
        <v/>
      </c>
      <c r="BD16" s="66" t="str">
        <f t="shared" si="34"/>
        <v/>
      </c>
      <c r="BE16" s="4"/>
      <c r="BF16" s="349" t="str">
        <f t="shared" si="35"/>
        <v xml:space="preserve">Ananda Radit baik dalam ketaatan beribadah, perilaku bersyukur, berdoa sebelum dan sesudah melakukan kegiatan, toleransi dalam beribadah, </v>
      </c>
      <c r="BG16" s="541"/>
      <c r="BH16" s="66" t="str">
        <f>SISWA!E14</f>
        <v>Radit</v>
      </c>
      <c r="BI16" s="542" t="str">
        <f t="shared" si="36"/>
        <v xml:space="preserve"> Baik dalam 0400</v>
      </c>
      <c r="BJ16" s="542" t="str">
        <f t="shared" si="37"/>
        <v xml:space="preserve">, dengan bimbingan yang lebih mampu meningkatkan baik dalam ketaatan beribadah, perilaku bersyukur, berdoa sebelum dan sesudah melakukan kegiatan, toleransi dalam beribadah, </v>
      </c>
      <c r="BK16" s="4"/>
      <c r="BL16" s="4" t="str">
        <f t="shared" si="38"/>
        <v/>
      </c>
      <c r="BM16" s="4" t="str">
        <f t="shared" si="39"/>
        <v/>
      </c>
      <c r="BN16" s="4" t="str">
        <f t="shared" si="40"/>
        <v/>
      </c>
      <c r="BO16" s="4"/>
      <c r="BP16" s="349" t="str">
        <f t="shared" si="41"/>
        <v>.</v>
      </c>
    </row>
    <row r="17" spans="1:68" ht="30">
      <c r="A17" s="30">
        <v>10</v>
      </c>
      <c r="B17" s="122" t="str">
        <f>SISWA!B15</f>
        <v>Muhammad Shulhan Al-farisi</v>
      </c>
      <c r="C17" s="295" t="s">
        <v>2</v>
      </c>
      <c r="D17" s="295" t="s">
        <v>2</v>
      </c>
      <c r="E17" s="295" t="s">
        <v>2</v>
      </c>
      <c r="F17" s="295" t="s">
        <v>2</v>
      </c>
      <c r="G17" s="294" t="str">
        <f t="shared" si="4"/>
        <v xml:space="preserve">Ananda Shulhan baik dalam ketaatan beribadah, perilaku bersyukur, berdoa sebelum dan sesudah melakukan kegiatan, toleransi dalam beribadah, </v>
      </c>
      <c r="J17" s="540" t="str">
        <f t="shared" si="5"/>
        <v/>
      </c>
      <c r="K17" s="540" t="str">
        <f t="shared" si="6"/>
        <v/>
      </c>
      <c r="L17" s="540" t="str">
        <f t="shared" si="7"/>
        <v/>
      </c>
      <c r="M17" s="540" t="str">
        <f t="shared" si="8"/>
        <v/>
      </c>
      <c r="N17" s="540"/>
      <c r="O17" s="540"/>
      <c r="P17" s="540"/>
      <c r="Q17" s="4"/>
      <c r="R17" s="540" t="str">
        <f t="shared" si="9"/>
        <v xml:space="preserve">ketaatan beribadah, </v>
      </c>
      <c r="S17" s="540" t="str">
        <f t="shared" si="10"/>
        <v xml:space="preserve">perilaku bersyukur, </v>
      </c>
      <c r="T17" s="540" t="str">
        <f t="shared" si="11"/>
        <v xml:space="preserve">berdoa sebelum dan sesudah melakukan kegiatan, </v>
      </c>
      <c r="U17" s="540" t="str">
        <f t="shared" si="12"/>
        <v xml:space="preserve">toleransi dalam beribadah, </v>
      </c>
      <c r="V17" s="540"/>
      <c r="W17" s="540"/>
      <c r="X17" s="540"/>
      <c r="Y17" s="653"/>
      <c r="Z17" s="540" t="str">
        <f t="shared" si="13"/>
        <v/>
      </c>
      <c r="AA17" s="540" t="str">
        <f t="shared" si="14"/>
        <v/>
      </c>
      <c r="AB17" s="540" t="str">
        <f t="shared" si="15"/>
        <v/>
      </c>
      <c r="AC17" s="540" t="str">
        <f t="shared" si="16"/>
        <v/>
      </c>
      <c r="AD17" s="540"/>
      <c r="AE17" s="540"/>
      <c r="AF17" s="540"/>
      <c r="AG17" s="4"/>
      <c r="AH17" s="540" t="str">
        <f t="shared" si="17"/>
        <v/>
      </c>
      <c r="AI17" s="540" t="str">
        <f t="shared" si="18"/>
        <v/>
      </c>
      <c r="AJ17" s="540" t="str">
        <f t="shared" si="19"/>
        <v/>
      </c>
      <c r="AK17" s="540" t="str">
        <f t="shared" si="20"/>
        <v/>
      </c>
      <c r="AL17" s="540"/>
      <c r="AM17" s="540"/>
      <c r="AN17" s="540"/>
      <c r="AO17" s="541"/>
      <c r="AP17" s="542" t="str">
        <f t="shared" si="21"/>
        <v xml:space="preserve">sangat baik dalam   </v>
      </c>
      <c r="AQ17" s="542" t="str">
        <f t="shared" si="22"/>
        <v xml:space="preserve">baik dalam ketaatan beribadah, perilaku bersyukur, berdoa sebelum dan sesudah melakukan kegiatan, toleransi dalam beribadah, </v>
      </c>
      <c r="AR17" s="542" t="str">
        <f t="shared" si="23"/>
        <v xml:space="preserve">cukup dalam </v>
      </c>
      <c r="AS17" s="542" t="str">
        <f t="shared" si="24"/>
        <v xml:space="preserve">sudah mampu meningkatkan </v>
      </c>
      <c r="AT17" s="542"/>
      <c r="AU17" s="4" t="str">
        <f t="shared" si="25"/>
        <v>Ananda Shulhan</v>
      </c>
      <c r="AV17" s="66">
        <f t="shared" si="26"/>
        <v>0</v>
      </c>
      <c r="AW17" s="66">
        <f t="shared" si="27"/>
        <v>4</v>
      </c>
      <c r="AX17" s="66">
        <f t="shared" si="28"/>
        <v>0</v>
      </c>
      <c r="AY17" s="66">
        <f t="shared" si="29"/>
        <v>0</v>
      </c>
      <c r="AZ17" s="4">
        <f t="shared" si="30"/>
        <v>4</v>
      </c>
      <c r="BA17" s="66" t="str">
        <f t="shared" si="31"/>
        <v/>
      </c>
      <c r="BB17" s="66" t="str">
        <f t="shared" si="32"/>
        <v xml:space="preserve">baik dalam ketaatan beribadah, perilaku bersyukur, berdoa sebelum dan sesudah melakukan kegiatan, toleransi dalam beribadah, </v>
      </c>
      <c r="BC17" s="66" t="str">
        <f t="shared" si="33"/>
        <v/>
      </c>
      <c r="BD17" s="66" t="str">
        <f t="shared" si="34"/>
        <v/>
      </c>
      <c r="BE17" s="4"/>
      <c r="BF17" s="349" t="str">
        <f t="shared" si="35"/>
        <v xml:space="preserve">Ananda Shulhan baik dalam ketaatan beribadah, perilaku bersyukur, berdoa sebelum dan sesudah melakukan kegiatan, toleransi dalam beribadah, </v>
      </c>
      <c r="BG17" s="541"/>
      <c r="BH17" s="66" t="str">
        <f>SISWA!E15</f>
        <v>Shulhan</v>
      </c>
      <c r="BI17" s="542" t="str">
        <f t="shared" si="36"/>
        <v xml:space="preserve"> Baik dalam 0400</v>
      </c>
      <c r="BJ17" s="542" t="str">
        <f t="shared" si="37"/>
        <v xml:space="preserve">, dengan bimbingan yang lebih mampu meningkatkan baik dalam ketaatan beribadah, perilaku bersyukur, berdoa sebelum dan sesudah melakukan kegiatan, toleransi dalam beribadah, </v>
      </c>
      <c r="BK17" s="4"/>
      <c r="BL17" s="4" t="str">
        <f t="shared" si="38"/>
        <v/>
      </c>
      <c r="BM17" s="4" t="str">
        <f t="shared" si="39"/>
        <v/>
      </c>
      <c r="BN17" s="4" t="str">
        <f t="shared" si="40"/>
        <v/>
      </c>
      <c r="BO17" s="4"/>
      <c r="BP17" s="349" t="str">
        <f t="shared" si="41"/>
        <v>.</v>
      </c>
    </row>
    <row r="18" spans="1:68" ht="30">
      <c r="A18" s="30">
        <v>11</v>
      </c>
      <c r="B18" s="122" t="str">
        <f>SISWA!B16</f>
        <v>Novaris Dwi Firmansyah</v>
      </c>
      <c r="C18" s="295" t="s">
        <v>2</v>
      </c>
      <c r="D18" s="295" t="s">
        <v>2</v>
      </c>
      <c r="E18" s="295" t="s">
        <v>2</v>
      </c>
      <c r="F18" s="295" t="s">
        <v>2</v>
      </c>
      <c r="G18" s="294" t="str">
        <f t="shared" si="4"/>
        <v xml:space="preserve">Ananda Varis baik dalam ketaatan beribadah, perilaku bersyukur, berdoa sebelum dan sesudah melakukan kegiatan, toleransi dalam beribadah, </v>
      </c>
      <c r="J18" s="540" t="str">
        <f t="shared" si="5"/>
        <v/>
      </c>
      <c r="K18" s="540" t="str">
        <f t="shared" si="6"/>
        <v/>
      </c>
      <c r="L18" s="540" t="str">
        <f t="shared" si="7"/>
        <v/>
      </c>
      <c r="M18" s="540" t="str">
        <f t="shared" si="8"/>
        <v/>
      </c>
      <c r="N18" s="540"/>
      <c r="O18" s="540"/>
      <c r="P18" s="540"/>
      <c r="Q18" s="4"/>
      <c r="R18" s="540" t="str">
        <f t="shared" si="9"/>
        <v xml:space="preserve">ketaatan beribadah, </v>
      </c>
      <c r="S18" s="540" t="str">
        <f t="shared" si="10"/>
        <v xml:space="preserve">perilaku bersyukur, </v>
      </c>
      <c r="T18" s="540" t="str">
        <f t="shared" si="11"/>
        <v xml:space="preserve">berdoa sebelum dan sesudah melakukan kegiatan, </v>
      </c>
      <c r="U18" s="540" t="str">
        <f t="shared" si="12"/>
        <v xml:space="preserve">toleransi dalam beribadah, </v>
      </c>
      <c r="V18" s="540"/>
      <c r="W18" s="540"/>
      <c r="X18" s="540"/>
      <c r="Y18" s="653"/>
      <c r="Z18" s="540" t="str">
        <f t="shared" si="13"/>
        <v/>
      </c>
      <c r="AA18" s="540" t="str">
        <f t="shared" si="14"/>
        <v/>
      </c>
      <c r="AB18" s="540" t="str">
        <f t="shared" si="15"/>
        <v/>
      </c>
      <c r="AC18" s="540" t="str">
        <f t="shared" si="16"/>
        <v/>
      </c>
      <c r="AD18" s="540"/>
      <c r="AE18" s="540"/>
      <c r="AF18" s="540"/>
      <c r="AG18" s="4"/>
      <c r="AH18" s="540" t="str">
        <f t="shared" si="17"/>
        <v/>
      </c>
      <c r="AI18" s="540" t="str">
        <f t="shared" si="18"/>
        <v/>
      </c>
      <c r="AJ18" s="540" t="str">
        <f t="shared" si="19"/>
        <v/>
      </c>
      <c r="AK18" s="540" t="str">
        <f t="shared" si="20"/>
        <v/>
      </c>
      <c r="AL18" s="540"/>
      <c r="AM18" s="540"/>
      <c r="AN18" s="540"/>
      <c r="AO18" s="541"/>
      <c r="AP18" s="542" t="str">
        <f t="shared" si="21"/>
        <v xml:space="preserve">sangat baik dalam   </v>
      </c>
      <c r="AQ18" s="542" t="str">
        <f t="shared" si="22"/>
        <v xml:space="preserve">baik dalam ketaatan beribadah, perilaku bersyukur, berdoa sebelum dan sesudah melakukan kegiatan, toleransi dalam beribadah, </v>
      </c>
      <c r="AR18" s="542" t="str">
        <f t="shared" si="23"/>
        <v xml:space="preserve">cukup dalam </v>
      </c>
      <c r="AS18" s="542" t="str">
        <f t="shared" si="24"/>
        <v xml:space="preserve">sudah mampu meningkatkan </v>
      </c>
      <c r="AT18" s="542"/>
      <c r="AU18" s="4" t="str">
        <f t="shared" si="25"/>
        <v>Ananda Varis</v>
      </c>
      <c r="AV18" s="66">
        <f t="shared" si="26"/>
        <v>0</v>
      </c>
      <c r="AW18" s="66">
        <f t="shared" si="27"/>
        <v>4</v>
      </c>
      <c r="AX18" s="66">
        <f t="shared" si="28"/>
        <v>0</v>
      </c>
      <c r="AY18" s="66">
        <f t="shared" si="29"/>
        <v>0</v>
      </c>
      <c r="AZ18" s="4">
        <f t="shared" si="30"/>
        <v>4</v>
      </c>
      <c r="BA18" s="66" t="str">
        <f t="shared" si="31"/>
        <v/>
      </c>
      <c r="BB18" s="66" t="str">
        <f t="shared" si="32"/>
        <v xml:space="preserve">baik dalam ketaatan beribadah, perilaku bersyukur, berdoa sebelum dan sesudah melakukan kegiatan, toleransi dalam beribadah, </v>
      </c>
      <c r="BC18" s="66" t="str">
        <f t="shared" si="33"/>
        <v/>
      </c>
      <c r="BD18" s="66" t="str">
        <f t="shared" si="34"/>
        <v/>
      </c>
      <c r="BE18" s="4"/>
      <c r="BF18" s="349" t="str">
        <f t="shared" si="35"/>
        <v xml:space="preserve">Ananda Varis baik dalam ketaatan beribadah, perilaku bersyukur, berdoa sebelum dan sesudah melakukan kegiatan, toleransi dalam beribadah, </v>
      </c>
      <c r="BG18" s="541"/>
      <c r="BH18" s="66" t="str">
        <f>SISWA!E16</f>
        <v>Varis</v>
      </c>
      <c r="BI18" s="542" t="str">
        <f t="shared" si="36"/>
        <v xml:space="preserve"> Baik dalam 0400</v>
      </c>
      <c r="BJ18" s="542" t="str">
        <f t="shared" si="37"/>
        <v xml:space="preserve">, dengan bimbingan yang lebih mampu meningkatkan baik dalam ketaatan beribadah, perilaku bersyukur, berdoa sebelum dan sesudah melakukan kegiatan, toleransi dalam beribadah, </v>
      </c>
      <c r="BK18" s="4"/>
      <c r="BL18" s="4" t="str">
        <f t="shared" si="38"/>
        <v/>
      </c>
      <c r="BM18" s="4" t="str">
        <f t="shared" si="39"/>
        <v/>
      </c>
      <c r="BN18" s="4" t="str">
        <f t="shared" si="40"/>
        <v/>
      </c>
      <c r="BO18" s="4"/>
      <c r="BP18" s="349" t="str">
        <f t="shared" si="41"/>
        <v>.</v>
      </c>
    </row>
    <row r="19" spans="1:68" ht="30">
      <c r="A19" s="30">
        <v>12</v>
      </c>
      <c r="B19" s="122" t="str">
        <f>SISWA!B17</f>
        <v>Oktafiya Duwi Safitri</v>
      </c>
      <c r="C19" s="295" t="s">
        <v>2</v>
      </c>
      <c r="D19" s="295" t="s">
        <v>2</v>
      </c>
      <c r="E19" s="295" t="s">
        <v>2</v>
      </c>
      <c r="F19" s="295" t="s">
        <v>2</v>
      </c>
      <c r="G19" s="294" t="str">
        <f t="shared" si="4"/>
        <v xml:space="preserve">Ananda Fitri baik dalam ketaatan beribadah, perilaku bersyukur, berdoa sebelum dan sesudah melakukan kegiatan, toleransi dalam beribadah, </v>
      </c>
      <c r="J19" s="540" t="str">
        <f t="shared" si="5"/>
        <v/>
      </c>
      <c r="K19" s="540" t="str">
        <f t="shared" si="6"/>
        <v/>
      </c>
      <c r="L19" s="540" t="str">
        <f t="shared" si="7"/>
        <v/>
      </c>
      <c r="M19" s="540" t="str">
        <f t="shared" si="8"/>
        <v/>
      </c>
      <c r="N19" s="540"/>
      <c r="O19" s="540"/>
      <c r="P19" s="540"/>
      <c r="Q19" s="4"/>
      <c r="R19" s="540" t="str">
        <f t="shared" si="9"/>
        <v xml:space="preserve">ketaatan beribadah, </v>
      </c>
      <c r="S19" s="540" t="str">
        <f t="shared" si="10"/>
        <v xml:space="preserve">perilaku bersyukur, </v>
      </c>
      <c r="T19" s="540" t="str">
        <f t="shared" si="11"/>
        <v xml:space="preserve">berdoa sebelum dan sesudah melakukan kegiatan, </v>
      </c>
      <c r="U19" s="540" t="str">
        <f t="shared" si="12"/>
        <v xml:space="preserve">toleransi dalam beribadah, </v>
      </c>
      <c r="V19" s="540"/>
      <c r="W19" s="540"/>
      <c r="X19" s="540"/>
      <c r="Y19" s="653"/>
      <c r="Z19" s="540" t="str">
        <f t="shared" si="13"/>
        <v/>
      </c>
      <c r="AA19" s="540" t="str">
        <f t="shared" si="14"/>
        <v/>
      </c>
      <c r="AB19" s="540" t="str">
        <f t="shared" si="15"/>
        <v/>
      </c>
      <c r="AC19" s="540" t="str">
        <f t="shared" si="16"/>
        <v/>
      </c>
      <c r="AD19" s="540"/>
      <c r="AE19" s="540"/>
      <c r="AF19" s="540"/>
      <c r="AG19" s="4"/>
      <c r="AH19" s="540" t="str">
        <f t="shared" si="17"/>
        <v/>
      </c>
      <c r="AI19" s="540" t="str">
        <f t="shared" si="18"/>
        <v/>
      </c>
      <c r="AJ19" s="540" t="str">
        <f t="shared" si="19"/>
        <v/>
      </c>
      <c r="AK19" s="540" t="str">
        <f t="shared" si="20"/>
        <v/>
      </c>
      <c r="AL19" s="540"/>
      <c r="AM19" s="540"/>
      <c r="AN19" s="540"/>
      <c r="AO19" s="541"/>
      <c r="AP19" s="542" t="str">
        <f t="shared" si="21"/>
        <v xml:space="preserve">sangat baik dalam   </v>
      </c>
      <c r="AQ19" s="542" t="str">
        <f t="shared" si="22"/>
        <v xml:space="preserve">baik dalam ketaatan beribadah, perilaku bersyukur, berdoa sebelum dan sesudah melakukan kegiatan, toleransi dalam beribadah, </v>
      </c>
      <c r="AR19" s="542" t="str">
        <f t="shared" si="23"/>
        <v xml:space="preserve">cukup dalam </v>
      </c>
      <c r="AS19" s="542" t="str">
        <f t="shared" si="24"/>
        <v xml:space="preserve">sudah mampu meningkatkan </v>
      </c>
      <c r="AT19" s="542"/>
      <c r="AU19" s="4" t="str">
        <f t="shared" si="25"/>
        <v>Ananda Fitri</v>
      </c>
      <c r="AV19" s="66">
        <f t="shared" si="26"/>
        <v>0</v>
      </c>
      <c r="AW19" s="66">
        <f t="shared" si="27"/>
        <v>4</v>
      </c>
      <c r="AX19" s="66">
        <f t="shared" si="28"/>
        <v>0</v>
      </c>
      <c r="AY19" s="66">
        <f t="shared" si="29"/>
        <v>0</v>
      </c>
      <c r="AZ19" s="4">
        <f t="shared" si="30"/>
        <v>4</v>
      </c>
      <c r="BA19" s="66" t="str">
        <f t="shared" si="31"/>
        <v/>
      </c>
      <c r="BB19" s="66" t="str">
        <f t="shared" si="32"/>
        <v xml:space="preserve">baik dalam ketaatan beribadah, perilaku bersyukur, berdoa sebelum dan sesudah melakukan kegiatan, toleransi dalam beribadah, </v>
      </c>
      <c r="BC19" s="66" t="str">
        <f t="shared" si="33"/>
        <v/>
      </c>
      <c r="BD19" s="66" t="str">
        <f t="shared" si="34"/>
        <v/>
      </c>
      <c r="BE19" s="4"/>
      <c r="BF19" s="349" t="str">
        <f t="shared" si="35"/>
        <v xml:space="preserve">Ananda Fitri baik dalam ketaatan beribadah, perilaku bersyukur, berdoa sebelum dan sesudah melakukan kegiatan, toleransi dalam beribadah, </v>
      </c>
      <c r="BG19" s="541"/>
      <c r="BH19" s="66" t="str">
        <f>SISWA!E17</f>
        <v>Fitri</v>
      </c>
      <c r="BI19" s="542" t="str">
        <f t="shared" si="36"/>
        <v xml:space="preserve"> Baik dalam 0400</v>
      </c>
      <c r="BJ19" s="542" t="str">
        <f t="shared" si="37"/>
        <v xml:space="preserve">, dengan bimbingan yang lebih mampu meningkatkan baik dalam ketaatan beribadah, perilaku bersyukur, berdoa sebelum dan sesudah melakukan kegiatan, toleransi dalam beribadah, </v>
      </c>
      <c r="BK19" s="4"/>
      <c r="BL19" s="4" t="str">
        <f t="shared" si="38"/>
        <v/>
      </c>
      <c r="BM19" s="4" t="str">
        <f t="shared" si="39"/>
        <v/>
      </c>
      <c r="BN19" s="4" t="str">
        <f t="shared" si="40"/>
        <v/>
      </c>
      <c r="BO19" s="4"/>
      <c r="BP19" s="349" t="str">
        <f t="shared" si="41"/>
        <v>.</v>
      </c>
    </row>
    <row r="20" spans="1:68" ht="30">
      <c r="A20" s="30">
        <v>13</v>
      </c>
      <c r="B20" s="122" t="str">
        <f>SISWA!B18</f>
        <v>Prastika Guntur Firmansyah</v>
      </c>
      <c r="C20" s="295" t="s">
        <v>2</v>
      </c>
      <c r="D20" s="295" t="s">
        <v>2</v>
      </c>
      <c r="E20" s="295" t="s">
        <v>2</v>
      </c>
      <c r="F20" s="295" t="s">
        <v>2</v>
      </c>
      <c r="G20" s="294" t="str">
        <f t="shared" si="4"/>
        <v xml:space="preserve">Ananda Pras baik dalam ketaatan beribadah, perilaku bersyukur, berdoa sebelum dan sesudah melakukan kegiatan, toleransi dalam beribadah, </v>
      </c>
      <c r="J20" s="540" t="str">
        <f t="shared" si="5"/>
        <v/>
      </c>
      <c r="K20" s="540" t="str">
        <f t="shared" si="6"/>
        <v/>
      </c>
      <c r="L20" s="540" t="str">
        <f t="shared" si="7"/>
        <v/>
      </c>
      <c r="M20" s="540" t="str">
        <f t="shared" si="8"/>
        <v/>
      </c>
      <c r="N20" s="540"/>
      <c r="O20" s="540"/>
      <c r="P20" s="540"/>
      <c r="Q20" s="4"/>
      <c r="R20" s="540" t="str">
        <f t="shared" si="9"/>
        <v xml:space="preserve">ketaatan beribadah, </v>
      </c>
      <c r="S20" s="540" t="str">
        <f t="shared" si="10"/>
        <v xml:space="preserve">perilaku bersyukur, </v>
      </c>
      <c r="T20" s="540" t="str">
        <f t="shared" si="11"/>
        <v xml:space="preserve">berdoa sebelum dan sesudah melakukan kegiatan, </v>
      </c>
      <c r="U20" s="540" t="str">
        <f t="shared" si="12"/>
        <v xml:space="preserve">toleransi dalam beribadah, </v>
      </c>
      <c r="V20" s="540"/>
      <c r="W20" s="540"/>
      <c r="X20" s="540"/>
      <c r="Y20" s="653"/>
      <c r="Z20" s="540" t="str">
        <f t="shared" si="13"/>
        <v/>
      </c>
      <c r="AA20" s="540" t="str">
        <f t="shared" si="14"/>
        <v/>
      </c>
      <c r="AB20" s="540" t="str">
        <f t="shared" si="15"/>
        <v/>
      </c>
      <c r="AC20" s="540" t="str">
        <f t="shared" si="16"/>
        <v/>
      </c>
      <c r="AD20" s="540"/>
      <c r="AE20" s="540"/>
      <c r="AF20" s="540"/>
      <c r="AG20" s="4"/>
      <c r="AH20" s="540" t="str">
        <f t="shared" si="17"/>
        <v/>
      </c>
      <c r="AI20" s="540" t="str">
        <f t="shared" si="18"/>
        <v/>
      </c>
      <c r="AJ20" s="540" t="str">
        <f t="shared" si="19"/>
        <v/>
      </c>
      <c r="AK20" s="540" t="str">
        <f t="shared" si="20"/>
        <v/>
      </c>
      <c r="AL20" s="540"/>
      <c r="AM20" s="540"/>
      <c r="AN20" s="540"/>
      <c r="AO20" s="541"/>
      <c r="AP20" s="542" t="str">
        <f t="shared" si="21"/>
        <v xml:space="preserve">sangat baik dalam   </v>
      </c>
      <c r="AQ20" s="542" t="str">
        <f t="shared" si="22"/>
        <v xml:space="preserve">baik dalam ketaatan beribadah, perilaku bersyukur, berdoa sebelum dan sesudah melakukan kegiatan, toleransi dalam beribadah, </v>
      </c>
      <c r="AR20" s="542" t="str">
        <f t="shared" si="23"/>
        <v xml:space="preserve">cukup dalam </v>
      </c>
      <c r="AS20" s="542" t="str">
        <f t="shared" si="24"/>
        <v xml:space="preserve">sudah mampu meningkatkan </v>
      </c>
      <c r="AT20" s="542"/>
      <c r="AU20" s="4" t="str">
        <f t="shared" si="25"/>
        <v>Ananda Pras</v>
      </c>
      <c r="AV20" s="66">
        <f t="shared" si="26"/>
        <v>0</v>
      </c>
      <c r="AW20" s="66">
        <f t="shared" si="27"/>
        <v>4</v>
      </c>
      <c r="AX20" s="66">
        <f t="shared" si="28"/>
        <v>0</v>
      </c>
      <c r="AY20" s="66">
        <f t="shared" si="29"/>
        <v>0</v>
      </c>
      <c r="AZ20" s="4">
        <f t="shared" si="30"/>
        <v>4</v>
      </c>
      <c r="BA20" s="66" t="str">
        <f t="shared" si="31"/>
        <v/>
      </c>
      <c r="BB20" s="66" t="str">
        <f t="shared" si="32"/>
        <v xml:space="preserve">baik dalam ketaatan beribadah, perilaku bersyukur, berdoa sebelum dan sesudah melakukan kegiatan, toleransi dalam beribadah, </v>
      </c>
      <c r="BC20" s="66" t="str">
        <f t="shared" si="33"/>
        <v/>
      </c>
      <c r="BD20" s="66" t="str">
        <f t="shared" si="34"/>
        <v/>
      </c>
      <c r="BE20" s="4"/>
      <c r="BF20" s="349" t="str">
        <f t="shared" si="35"/>
        <v xml:space="preserve">Ananda Pras baik dalam ketaatan beribadah, perilaku bersyukur, berdoa sebelum dan sesudah melakukan kegiatan, toleransi dalam beribadah, </v>
      </c>
      <c r="BG20" s="541"/>
      <c r="BH20" s="66" t="str">
        <f>SISWA!E18</f>
        <v>Pras</v>
      </c>
      <c r="BI20" s="542" t="str">
        <f t="shared" si="36"/>
        <v xml:space="preserve"> Baik dalam 0400</v>
      </c>
      <c r="BJ20" s="542" t="str">
        <f t="shared" si="37"/>
        <v xml:space="preserve">, dengan bimbingan yang lebih mampu meningkatkan baik dalam ketaatan beribadah, perilaku bersyukur, berdoa sebelum dan sesudah melakukan kegiatan, toleransi dalam beribadah, </v>
      </c>
      <c r="BK20" s="4"/>
      <c r="BL20" s="4" t="str">
        <f t="shared" si="38"/>
        <v/>
      </c>
      <c r="BM20" s="4" t="str">
        <f t="shared" si="39"/>
        <v/>
      </c>
      <c r="BN20" s="4" t="str">
        <f t="shared" si="40"/>
        <v/>
      </c>
      <c r="BO20" s="4"/>
      <c r="BP20" s="349" t="str">
        <f t="shared" si="41"/>
        <v>.</v>
      </c>
    </row>
    <row r="21" spans="1:68" ht="30">
      <c r="A21" s="30">
        <v>14</v>
      </c>
      <c r="B21" s="122" t="str">
        <f>SISWA!B19</f>
        <v>Siti Musyafiani</v>
      </c>
      <c r="C21" s="295" t="s">
        <v>2</v>
      </c>
      <c r="D21" s="295" t="s">
        <v>2</v>
      </c>
      <c r="E21" s="295" t="s">
        <v>2</v>
      </c>
      <c r="F21" s="295" t="s">
        <v>2</v>
      </c>
      <c r="G21" s="294" t="str">
        <f t="shared" si="4"/>
        <v xml:space="preserve">Ananda Fifi baik dalam ketaatan beribadah, perilaku bersyukur, berdoa sebelum dan sesudah melakukan kegiatan, toleransi dalam beribadah, </v>
      </c>
      <c r="J21" s="540" t="str">
        <f t="shared" si="5"/>
        <v/>
      </c>
      <c r="K21" s="540" t="str">
        <f t="shared" si="6"/>
        <v/>
      </c>
      <c r="L21" s="540" t="str">
        <f t="shared" si="7"/>
        <v/>
      </c>
      <c r="M21" s="540" t="str">
        <f t="shared" si="8"/>
        <v/>
      </c>
      <c r="N21" s="540"/>
      <c r="O21" s="540"/>
      <c r="P21" s="540"/>
      <c r="Q21" s="4"/>
      <c r="R21" s="540" t="str">
        <f t="shared" si="9"/>
        <v xml:space="preserve">ketaatan beribadah, </v>
      </c>
      <c r="S21" s="540" t="str">
        <f t="shared" si="10"/>
        <v xml:space="preserve">perilaku bersyukur, </v>
      </c>
      <c r="T21" s="540" t="str">
        <f t="shared" si="11"/>
        <v xml:space="preserve">berdoa sebelum dan sesudah melakukan kegiatan, </v>
      </c>
      <c r="U21" s="540" t="str">
        <f t="shared" si="12"/>
        <v xml:space="preserve">toleransi dalam beribadah, </v>
      </c>
      <c r="V21" s="540"/>
      <c r="W21" s="540"/>
      <c r="X21" s="540"/>
      <c r="Y21" s="653"/>
      <c r="Z21" s="540" t="str">
        <f t="shared" si="13"/>
        <v/>
      </c>
      <c r="AA21" s="540" t="str">
        <f t="shared" si="14"/>
        <v/>
      </c>
      <c r="AB21" s="540" t="str">
        <f t="shared" si="15"/>
        <v/>
      </c>
      <c r="AC21" s="540" t="str">
        <f t="shared" si="16"/>
        <v/>
      </c>
      <c r="AD21" s="540"/>
      <c r="AE21" s="540"/>
      <c r="AF21" s="540"/>
      <c r="AG21" s="4"/>
      <c r="AH21" s="540" t="str">
        <f t="shared" si="17"/>
        <v/>
      </c>
      <c r="AI21" s="540" t="str">
        <f t="shared" si="18"/>
        <v/>
      </c>
      <c r="AJ21" s="540" t="str">
        <f t="shared" si="19"/>
        <v/>
      </c>
      <c r="AK21" s="540" t="str">
        <f t="shared" si="20"/>
        <v/>
      </c>
      <c r="AL21" s="540"/>
      <c r="AM21" s="540"/>
      <c r="AN21" s="540"/>
      <c r="AO21" s="541"/>
      <c r="AP21" s="542" t="str">
        <f t="shared" si="21"/>
        <v xml:space="preserve">sangat baik dalam   </v>
      </c>
      <c r="AQ21" s="542" t="str">
        <f t="shared" si="22"/>
        <v xml:space="preserve">baik dalam ketaatan beribadah, perilaku bersyukur, berdoa sebelum dan sesudah melakukan kegiatan, toleransi dalam beribadah, </v>
      </c>
      <c r="AR21" s="542" t="str">
        <f t="shared" si="23"/>
        <v xml:space="preserve">cukup dalam </v>
      </c>
      <c r="AS21" s="542" t="str">
        <f t="shared" si="24"/>
        <v xml:space="preserve">sudah mampu meningkatkan </v>
      </c>
      <c r="AT21" s="542"/>
      <c r="AU21" s="4" t="str">
        <f t="shared" si="25"/>
        <v>Ananda Fifi</v>
      </c>
      <c r="AV21" s="66">
        <f t="shared" si="26"/>
        <v>0</v>
      </c>
      <c r="AW21" s="66">
        <f t="shared" si="27"/>
        <v>4</v>
      </c>
      <c r="AX21" s="66">
        <f t="shared" si="28"/>
        <v>0</v>
      </c>
      <c r="AY21" s="66">
        <f t="shared" si="29"/>
        <v>0</v>
      </c>
      <c r="AZ21" s="4">
        <f t="shared" si="30"/>
        <v>4</v>
      </c>
      <c r="BA21" s="66" t="str">
        <f t="shared" si="31"/>
        <v/>
      </c>
      <c r="BB21" s="66" t="str">
        <f t="shared" si="32"/>
        <v xml:space="preserve">baik dalam ketaatan beribadah, perilaku bersyukur, berdoa sebelum dan sesudah melakukan kegiatan, toleransi dalam beribadah, </v>
      </c>
      <c r="BC21" s="66" t="str">
        <f t="shared" si="33"/>
        <v/>
      </c>
      <c r="BD21" s="66" t="str">
        <f t="shared" si="34"/>
        <v/>
      </c>
      <c r="BE21" s="4"/>
      <c r="BF21" s="349" t="str">
        <f t="shared" si="35"/>
        <v xml:space="preserve">Ananda Fifi baik dalam ketaatan beribadah, perilaku bersyukur, berdoa sebelum dan sesudah melakukan kegiatan, toleransi dalam beribadah, </v>
      </c>
      <c r="BG21" s="541"/>
      <c r="BH21" s="66" t="str">
        <f>SISWA!E19</f>
        <v>Fifi</v>
      </c>
      <c r="BI21" s="542" t="str">
        <f t="shared" si="36"/>
        <v xml:space="preserve"> Baik dalam 0400</v>
      </c>
      <c r="BJ21" s="542" t="str">
        <f t="shared" si="37"/>
        <v xml:space="preserve">, dengan bimbingan yang lebih mampu meningkatkan baik dalam ketaatan beribadah, perilaku bersyukur, berdoa sebelum dan sesudah melakukan kegiatan, toleransi dalam beribadah, </v>
      </c>
      <c r="BK21" s="4"/>
      <c r="BL21" s="4" t="str">
        <f t="shared" si="38"/>
        <v/>
      </c>
      <c r="BM21" s="4" t="str">
        <f t="shared" si="39"/>
        <v/>
      </c>
      <c r="BN21" s="4" t="str">
        <f t="shared" si="40"/>
        <v/>
      </c>
      <c r="BO21" s="4"/>
      <c r="BP21" s="349" t="str">
        <f t="shared" si="41"/>
        <v>.</v>
      </c>
    </row>
    <row r="22" spans="1:68" ht="30">
      <c r="A22" s="30">
        <v>15</v>
      </c>
      <c r="B22" s="122" t="str">
        <f>SISWA!B20</f>
        <v>Tegar Arya Pangestu</v>
      </c>
      <c r="C22" s="295" t="s">
        <v>2</v>
      </c>
      <c r="D22" s="295" t="s">
        <v>2</v>
      </c>
      <c r="E22" s="295" t="s">
        <v>2</v>
      </c>
      <c r="F22" s="295" t="s">
        <v>2</v>
      </c>
      <c r="G22" s="294" t="str">
        <f t="shared" si="4"/>
        <v xml:space="preserve">Ananda Tegar baik dalam ketaatan beribadah, perilaku bersyukur, berdoa sebelum dan sesudah melakukan kegiatan, toleransi dalam beribadah, </v>
      </c>
      <c r="J22" s="540" t="str">
        <f t="shared" si="5"/>
        <v/>
      </c>
      <c r="K22" s="540" t="str">
        <f t="shared" si="6"/>
        <v/>
      </c>
      <c r="L22" s="540" t="str">
        <f t="shared" si="7"/>
        <v/>
      </c>
      <c r="M22" s="540" t="str">
        <f t="shared" si="8"/>
        <v/>
      </c>
      <c r="N22" s="540"/>
      <c r="O22" s="540"/>
      <c r="P22" s="540"/>
      <c r="Q22" s="4"/>
      <c r="R22" s="540" t="str">
        <f t="shared" si="9"/>
        <v xml:space="preserve">ketaatan beribadah, </v>
      </c>
      <c r="S22" s="540" t="str">
        <f t="shared" si="10"/>
        <v xml:space="preserve">perilaku bersyukur, </v>
      </c>
      <c r="T22" s="540" t="str">
        <f t="shared" si="11"/>
        <v xml:space="preserve">berdoa sebelum dan sesudah melakukan kegiatan, </v>
      </c>
      <c r="U22" s="540" t="str">
        <f t="shared" si="12"/>
        <v xml:space="preserve">toleransi dalam beribadah, </v>
      </c>
      <c r="V22" s="540"/>
      <c r="W22" s="540"/>
      <c r="X22" s="540"/>
      <c r="Y22" s="653"/>
      <c r="Z22" s="540" t="str">
        <f t="shared" si="13"/>
        <v/>
      </c>
      <c r="AA22" s="540" t="str">
        <f t="shared" si="14"/>
        <v/>
      </c>
      <c r="AB22" s="540" t="str">
        <f t="shared" si="15"/>
        <v/>
      </c>
      <c r="AC22" s="540" t="str">
        <f t="shared" si="16"/>
        <v/>
      </c>
      <c r="AD22" s="540"/>
      <c r="AE22" s="540"/>
      <c r="AF22" s="540"/>
      <c r="AG22" s="4"/>
      <c r="AH22" s="540" t="str">
        <f t="shared" si="17"/>
        <v/>
      </c>
      <c r="AI22" s="540" t="str">
        <f t="shared" si="18"/>
        <v/>
      </c>
      <c r="AJ22" s="540" t="str">
        <f t="shared" si="19"/>
        <v/>
      </c>
      <c r="AK22" s="540" t="str">
        <f t="shared" si="20"/>
        <v/>
      </c>
      <c r="AL22" s="540"/>
      <c r="AM22" s="540"/>
      <c r="AN22" s="540"/>
      <c r="AO22" s="541"/>
      <c r="AP22" s="542" t="str">
        <f t="shared" si="21"/>
        <v xml:space="preserve">sangat baik dalam   </v>
      </c>
      <c r="AQ22" s="542" t="str">
        <f t="shared" si="22"/>
        <v xml:space="preserve">baik dalam ketaatan beribadah, perilaku bersyukur, berdoa sebelum dan sesudah melakukan kegiatan, toleransi dalam beribadah, </v>
      </c>
      <c r="AR22" s="542" t="str">
        <f t="shared" si="23"/>
        <v xml:space="preserve">cukup dalam </v>
      </c>
      <c r="AS22" s="542" t="str">
        <f t="shared" si="24"/>
        <v xml:space="preserve">sudah mampu meningkatkan </v>
      </c>
      <c r="AT22" s="542"/>
      <c r="AU22" s="4" t="str">
        <f t="shared" si="25"/>
        <v>Ananda Tegar</v>
      </c>
      <c r="AV22" s="66">
        <f t="shared" si="26"/>
        <v>0</v>
      </c>
      <c r="AW22" s="66">
        <f t="shared" si="27"/>
        <v>4</v>
      </c>
      <c r="AX22" s="66">
        <f t="shared" si="28"/>
        <v>0</v>
      </c>
      <c r="AY22" s="66">
        <f t="shared" si="29"/>
        <v>0</v>
      </c>
      <c r="AZ22" s="4">
        <f t="shared" si="30"/>
        <v>4</v>
      </c>
      <c r="BA22" s="66" t="str">
        <f t="shared" si="31"/>
        <v/>
      </c>
      <c r="BB22" s="66" t="str">
        <f t="shared" si="32"/>
        <v xml:space="preserve">baik dalam ketaatan beribadah, perilaku bersyukur, berdoa sebelum dan sesudah melakukan kegiatan, toleransi dalam beribadah, </v>
      </c>
      <c r="BC22" s="66" t="str">
        <f t="shared" si="33"/>
        <v/>
      </c>
      <c r="BD22" s="66" t="str">
        <f t="shared" si="34"/>
        <v/>
      </c>
      <c r="BE22" s="4"/>
      <c r="BF22" s="349" t="str">
        <f t="shared" si="35"/>
        <v xml:space="preserve">Ananda Tegar baik dalam ketaatan beribadah, perilaku bersyukur, berdoa sebelum dan sesudah melakukan kegiatan, toleransi dalam beribadah, </v>
      </c>
      <c r="BG22" s="541"/>
      <c r="BH22" s="66" t="str">
        <f>SISWA!E20</f>
        <v>Tegar</v>
      </c>
      <c r="BI22" s="542" t="str">
        <f t="shared" si="36"/>
        <v xml:space="preserve"> Baik dalam 0400</v>
      </c>
      <c r="BJ22" s="542" t="str">
        <f t="shared" si="37"/>
        <v xml:space="preserve">, dengan bimbingan yang lebih mampu meningkatkan baik dalam ketaatan beribadah, perilaku bersyukur, berdoa sebelum dan sesudah melakukan kegiatan, toleransi dalam beribadah, </v>
      </c>
      <c r="BK22" s="4"/>
      <c r="BL22" s="4" t="str">
        <f t="shared" si="38"/>
        <v/>
      </c>
      <c r="BM22" s="4" t="str">
        <f t="shared" si="39"/>
        <v/>
      </c>
      <c r="BN22" s="4" t="str">
        <f t="shared" si="40"/>
        <v/>
      </c>
      <c r="BO22" s="4"/>
      <c r="BP22" s="349" t="str">
        <f t="shared" si="41"/>
        <v>.</v>
      </c>
    </row>
    <row r="23" spans="1:68">
      <c r="A23" s="30">
        <v>16</v>
      </c>
      <c r="B23" s="122">
        <f>SISWA!B21</f>
        <v>0</v>
      </c>
      <c r="C23" s="295"/>
      <c r="D23" s="295"/>
      <c r="E23" s="295"/>
      <c r="F23" s="295"/>
      <c r="G23" s="294" t="str">
        <f t="shared" si="4"/>
        <v xml:space="preserve"> </v>
      </c>
      <c r="J23" s="540" t="str">
        <f t="shared" si="5"/>
        <v/>
      </c>
      <c r="K23" s="540" t="str">
        <f t="shared" si="6"/>
        <v/>
      </c>
      <c r="L23" s="540" t="str">
        <f t="shared" si="7"/>
        <v/>
      </c>
      <c r="M23" s="540" t="str">
        <f t="shared" si="8"/>
        <v/>
      </c>
      <c r="N23" s="540"/>
      <c r="O23" s="540"/>
      <c r="P23" s="540"/>
      <c r="Q23" s="4"/>
      <c r="R23" s="540" t="str">
        <f t="shared" si="9"/>
        <v/>
      </c>
      <c r="S23" s="540" t="str">
        <f t="shared" si="10"/>
        <v/>
      </c>
      <c r="T23" s="540" t="str">
        <f t="shared" si="11"/>
        <v/>
      </c>
      <c r="U23" s="540" t="str">
        <f t="shared" si="12"/>
        <v/>
      </c>
      <c r="V23" s="540"/>
      <c r="W23" s="540"/>
      <c r="X23" s="540"/>
      <c r="Y23" s="653"/>
      <c r="Z23" s="540" t="str">
        <f t="shared" si="13"/>
        <v/>
      </c>
      <c r="AA23" s="540" t="str">
        <f t="shared" si="14"/>
        <v/>
      </c>
      <c r="AB23" s="540" t="str">
        <f t="shared" si="15"/>
        <v/>
      </c>
      <c r="AC23" s="540" t="str">
        <f t="shared" si="16"/>
        <v/>
      </c>
      <c r="AD23" s="540"/>
      <c r="AE23" s="540"/>
      <c r="AF23" s="540"/>
      <c r="AG23" s="4"/>
      <c r="AH23" s="540" t="str">
        <f t="shared" si="17"/>
        <v/>
      </c>
      <c r="AI23" s="540" t="str">
        <f t="shared" si="18"/>
        <v/>
      </c>
      <c r="AJ23" s="540" t="str">
        <f t="shared" si="19"/>
        <v/>
      </c>
      <c r="AK23" s="540" t="str">
        <f t="shared" si="20"/>
        <v/>
      </c>
      <c r="AL23" s="540"/>
      <c r="AM23" s="540"/>
      <c r="AN23" s="540"/>
      <c r="AO23" s="541"/>
      <c r="AP23" s="542" t="str">
        <f t="shared" si="21"/>
        <v xml:space="preserve">sangat baik dalam   </v>
      </c>
      <c r="AQ23" s="542" t="str">
        <f t="shared" si="22"/>
        <v xml:space="preserve">baik dalam </v>
      </c>
      <c r="AR23" s="542" t="str">
        <f t="shared" si="23"/>
        <v xml:space="preserve">cukup dalam </v>
      </c>
      <c r="AS23" s="542" t="str">
        <f t="shared" si="24"/>
        <v xml:space="preserve">sudah mampu meningkatkan </v>
      </c>
      <c r="AT23" s="542"/>
      <c r="AU23" s="4" t="str">
        <f t="shared" si="25"/>
        <v/>
      </c>
      <c r="AV23" s="66">
        <f t="shared" si="26"/>
        <v>0</v>
      </c>
      <c r="AW23" s="66">
        <f t="shared" si="27"/>
        <v>0</v>
      </c>
      <c r="AX23" s="66">
        <f t="shared" si="28"/>
        <v>0</v>
      </c>
      <c r="AY23" s="66">
        <f t="shared" si="29"/>
        <v>0</v>
      </c>
      <c r="AZ23" s="4">
        <f t="shared" si="30"/>
        <v>0</v>
      </c>
      <c r="BA23" s="66" t="str">
        <f t="shared" si="31"/>
        <v/>
      </c>
      <c r="BB23" s="66" t="str">
        <f t="shared" si="32"/>
        <v/>
      </c>
      <c r="BC23" s="66" t="str">
        <f t="shared" si="33"/>
        <v/>
      </c>
      <c r="BD23" s="66" t="str">
        <f t="shared" si="34"/>
        <v/>
      </c>
      <c r="BE23" s="4"/>
      <c r="BF23" s="349" t="str">
        <f t="shared" si="35"/>
        <v xml:space="preserve"> </v>
      </c>
      <c r="BG23" s="541"/>
      <c r="BH23" s="66">
        <f>SISWA!E21</f>
        <v>0</v>
      </c>
      <c r="BI23" s="542" t="str">
        <f t="shared" si="36"/>
        <v xml:space="preserve"> Baik dalam 0000</v>
      </c>
      <c r="BJ23" s="542" t="str">
        <f t="shared" si="37"/>
        <v xml:space="preserve">, dengan bimbingan yang lebih mampu meningkatkan </v>
      </c>
      <c r="BK23" s="4"/>
      <c r="BL23" s="4" t="str">
        <f t="shared" si="38"/>
        <v/>
      </c>
      <c r="BM23" s="4" t="str">
        <f t="shared" si="39"/>
        <v/>
      </c>
      <c r="BN23" s="4" t="str">
        <f t="shared" si="40"/>
        <v/>
      </c>
      <c r="BO23" s="4"/>
      <c r="BP23" s="349" t="str">
        <f t="shared" si="41"/>
        <v>.</v>
      </c>
    </row>
    <row r="24" spans="1:68">
      <c r="A24" s="30">
        <v>17</v>
      </c>
      <c r="B24" s="122">
        <f>SISWA!B22</f>
        <v>0</v>
      </c>
      <c r="C24" s="295"/>
      <c r="D24" s="295"/>
      <c r="E24" s="295"/>
      <c r="F24" s="295"/>
      <c r="G24" s="294" t="str">
        <f t="shared" si="4"/>
        <v xml:space="preserve"> </v>
      </c>
      <c r="J24" s="540" t="str">
        <f t="shared" si="5"/>
        <v/>
      </c>
      <c r="K24" s="540" t="str">
        <f t="shared" si="6"/>
        <v/>
      </c>
      <c r="L24" s="540" t="str">
        <f t="shared" si="7"/>
        <v/>
      </c>
      <c r="M24" s="540" t="str">
        <f t="shared" si="8"/>
        <v/>
      </c>
      <c r="N24" s="540"/>
      <c r="O24" s="540"/>
      <c r="P24" s="540"/>
      <c r="Q24" s="4"/>
      <c r="R24" s="540" t="str">
        <f t="shared" si="9"/>
        <v/>
      </c>
      <c r="S24" s="540" t="str">
        <f t="shared" si="10"/>
        <v/>
      </c>
      <c r="T24" s="540" t="str">
        <f t="shared" si="11"/>
        <v/>
      </c>
      <c r="U24" s="540" t="str">
        <f t="shared" si="12"/>
        <v/>
      </c>
      <c r="V24" s="540"/>
      <c r="W24" s="540"/>
      <c r="X24" s="540"/>
      <c r="Y24" s="653"/>
      <c r="Z24" s="540" t="str">
        <f t="shared" si="13"/>
        <v/>
      </c>
      <c r="AA24" s="540" t="str">
        <f t="shared" si="14"/>
        <v/>
      </c>
      <c r="AB24" s="540" t="str">
        <f t="shared" si="15"/>
        <v/>
      </c>
      <c r="AC24" s="540" t="str">
        <f t="shared" si="16"/>
        <v/>
      </c>
      <c r="AD24" s="540"/>
      <c r="AE24" s="540"/>
      <c r="AF24" s="540"/>
      <c r="AG24" s="4"/>
      <c r="AH24" s="540" t="str">
        <f t="shared" si="17"/>
        <v/>
      </c>
      <c r="AI24" s="540" t="str">
        <f t="shared" si="18"/>
        <v/>
      </c>
      <c r="AJ24" s="540" t="str">
        <f t="shared" si="19"/>
        <v/>
      </c>
      <c r="AK24" s="540" t="str">
        <f t="shared" si="20"/>
        <v/>
      </c>
      <c r="AL24" s="540"/>
      <c r="AM24" s="540"/>
      <c r="AN24" s="540"/>
      <c r="AO24" s="541"/>
      <c r="AP24" s="542" t="str">
        <f t="shared" si="21"/>
        <v xml:space="preserve">sangat baik dalam   </v>
      </c>
      <c r="AQ24" s="542" t="str">
        <f t="shared" si="22"/>
        <v xml:space="preserve">baik dalam </v>
      </c>
      <c r="AR24" s="542" t="str">
        <f t="shared" si="23"/>
        <v xml:space="preserve">cukup dalam </v>
      </c>
      <c r="AS24" s="542" t="str">
        <f t="shared" si="24"/>
        <v xml:space="preserve">sudah mampu meningkatkan </v>
      </c>
      <c r="AT24" s="542"/>
      <c r="AU24" s="4" t="str">
        <f t="shared" si="25"/>
        <v/>
      </c>
      <c r="AV24" s="66">
        <f t="shared" si="26"/>
        <v>0</v>
      </c>
      <c r="AW24" s="66">
        <f t="shared" si="27"/>
        <v>0</v>
      </c>
      <c r="AX24" s="66">
        <f t="shared" si="28"/>
        <v>0</v>
      </c>
      <c r="AY24" s="66">
        <f t="shared" si="29"/>
        <v>0</v>
      </c>
      <c r="AZ24" s="4">
        <f t="shared" si="30"/>
        <v>0</v>
      </c>
      <c r="BA24" s="66" t="str">
        <f t="shared" si="31"/>
        <v/>
      </c>
      <c r="BB24" s="66" t="str">
        <f t="shared" si="32"/>
        <v/>
      </c>
      <c r="BC24" s="66" t="str">
        <f t="shared" si="33"/>
        <v/>
      </c>
      <c r="BD24" s="66" t="str">
        <f t="shared" si="34"/>
        <v/>
      </c>
      <c r="BE24" s="4"/>
      <c r="BF24" s="349" t="str">
        <f t="shared" si="35"/>
        <v xml:space="preserve"> </v>
      </c>
      <c r="BG24" s="541"/>
      <c r="BH24" s="66">
        <f>SISWA!E22</f>
        <v>0</v>
      </c>
      <c r="BI24" s="542" t="str">
        <f t="shared" si="36"/>
        <v xml:space="preserve"> Baik dalam 0000</v>
      </c>
      <c r="BJ24" s="542" t="str">
        <f t="shared" si="37"/>
        <v xml:space="preserve">, dengan bimbingan yang lebih mampu meningkatkan </v>
      </c>
      <c r="BK24" s="4"/>
      <c r="BL24" s="4" t="str">
        <f t="shared" si="38"/>
        <v/>
      </c>
      <c r="BM24" s="4" t="str">
        <f t="shared" si="39"/>
        <v/>
      </c>
      <c r="BN24" s="4" t="str">
        <f t="shared" si="40"/>
        <v/>
      </c>
      <c r="BO24" s="4"/>
      <c r="BP24" s="349" t="str">
        <f t="shared" si="41"/>
        <v>.</v>
      </c>
    </row>
    <row r="25" spans="1:68">
      <c r="A25" s="30">
        <v>18</v>
      </c>
      <c r="B25" s="122">
        <f>SISWA!B23</f>
        <v>0</v>
      </c>
      <c r="C25" s="295"/>
      <c r="D25" s="295"/>
      <c r="E25" s="295"/>
      <c r="F25" s="295"/>
      <c r="G25" s="294" t="str">
        <f t="shared" si="4"/>
        <v xml:space="preserve"> </v>
      </c>
      <c r="J25" s="540" t="str">
        <f t="shared" si="5"/>
        <v/>
      </c>
      <c r="K25" s="540" t="str">
        <f t="shared" si="6"/>
        <v/>
      </c>
      <c r="L25" s="540" t="str">
        <f t="shared" si="7"/>
        <v/>
      </c>
      <c r="M25" s="540" t="str">
        <f t="shared" si="8"/>
        <v/>
      </c>
      <c r="N25" s="540"/>
      <c r="O25" s="540"/>
      <c r="P25" s="540"/>
      <c r="Q25" s="4"/>
      <c r="R25" s="540" t="str">
        <f t="shared" si="9"/>
        <v/>
      </c>
      <c r="S25" s="540" t="str">
        <f t="shared" si="10"/>
        <v/>
      </c>
      <c r="T25" s="540" t="str">
        <f t="shared" si="11"/>
        <v/>
      </c>
      <c r="U25" s="540" t="str">
        <f t="shared" si="12"/>
        <v/>
      </c>
      <c r="V25" s="540"/>
      <c r="W25" s="540"/>
      <c r="X25" s="540"/>
      <c r="Y25" s="653"/>
      <c r="Z25" s="540" t="str">
        <f t="shared" si="13"/>
        <v/>
      </c>
      <c r="AA25" s="540" t="str">
        <f t="shared" si="14"/>
        <v/>
      </c>
      <c r="AB25" s="540" t="str">
        <f t="shared" si="15"/>
        <v/>
      </c>
      <c r="AC25" s="540" t="str">
        <f t="shared" si="16"/>
        <v/>
      </c>
      <c r="AD25" s="540"/>
      <c r="AE25" s="540"/>
      <c r="AF25" s="540"/>
      <c r="AG25" s="4"/>
      <c r="AH25" s="540" t="str">
        <f t="shared" si="17"/>
        <v/>
      </c>
      <c r="AI25" s="540" t="str">
        <f t="shared" si="18"/>
        <v/>
      </c>
      <c r="AJ25" s="540" t="str">
        <f t="shared" si="19"/>
        <v/>
      </c>
      <c r="AK25" s="540" t="str">
        <f t="shared" si="20"/>
        <v/>
      </c>
      <c r="AL25" s="540"/>
      <c r="AM25" s="540"/>
      <c r="AN25" s="540"/>
      <c r="AO25" s="541"/>
      <c r="AP25" s="542" t="str">
        <f t="shared" si="21"/>
        <v xml:space="preserve">sangat baik dalam   </v>
      </c>
      <c r="AQ25" s="542" t="str">
        <f t="shared" si="22"/>
        <v xml:space="preserve">baik dalam </v>
      </c>
      <c r="AR25" s="542" t="str">
        <f t="shared" si="23"/>
        <v xml:space="preserve">cukup dalam </v>
      </c>
      <c r="AS25" s="542" t="str">
        <f t="shared" si="24"/>
        <v xml:space="preserve">sudah mampu meningkatkan </v>
      </c>
      <c r="AT25" s="542"/>
      <c r="AU25" s="4" t="str">
        <f t="shared" si="25"/>
        <v/>
      </c>
      <c r="AV25" s="66">
        <f t="shared" si="26"/>
        <v>0</v>
      </c>
      <c r="AW25" s="66">
        <f t="shared" si="27"/>
        <v>0</v>
      </c>
      <c r="AX25" s="66">
        <f t="shared" si="28"/>
        <v>0</v>
      </c>
      <c r="AY25" s="66">
        <f t="shared" si="29"/>
        <v>0</v>
      </c>
      <c r="AZ25" s="4">
        <f t="shared" si="30"/>
        <v>0</v>
      </c>
      <c r="BA25" s="66" t="str">
        <f t="shared" si="31"/>
        <v/>
      </c>
      <c r="BB25" s="66" t="str">
        <f t="shared" si="32"/>
        <v/>
      </c>
      <c r="BC25" s="66" t="str">
        <f t="shared" si="33"/>
        <v/>
      </c>
      <c r="BD25" s="66" t="str">
        <f t="shared" si="34"/>
        <v/>
      </c>
      <c r="BE25" s="4"/>
      <c r="BF25" s="349" t="str">
        <f t="shared" si="35"/>
        <v xml:space="preserve"> </v>
      </c>
      <c r="BG25" s="541"/>
      <c r="BH25" s="66">
        <f>SISWA!E23</f>
        <v>0</v>
      </c>
      <c r="BI25" s="542" t="str">
        <f t="shared" si="36"/>
        <v xml:space="preserve"> Baik dalam 0000</v>
      </c>
      <c r="BJ25" s="542" t="str">
        <f t="shared" si="37"/>
        <v xml:space="preserve">, dengan bimbingan yang lebih mampu meningkatkan </v>
      </c>
      <c r="BK25" s="4"/>
      <c r="BL25" s="4" t="str">
        <f t="shared" si="38"/>
        <v/>
      </c>
      <c r="BM25" s="4" t="str">
        <f t="shared" si="39"/>
        <v/>
      </c>
      <c r="BN25" s="4" t="str">
        <f t="shared" si="40"/>
        <v/>
      </c>
      <c r="BO25" s="4"/>
      <c r="BP25" s="349" t="str">
        <f t="shared" si="41"/>
        <v>.</v>
      </c>
    </row>
    <row r="26" spans="1:68">
      <c r="A26" s="30">
        <v>19</v>
      </c>
      <c r="B26" s="122">
        <f>SISWA!B24</f>
        <v>0</v>
      </c>
      <c r="C26" s="295"/>
      <c r="D26" s="295"/>
      <c r="E26" s="295"/>
      <c r="F26" s="295"/>
      <c r="G26" s="294" t="str">
        <f t="shared" si="4"/>
        <v xml:space="preserve"> </v>
      </c>
      <c r="J26" s="540" t="str">
        <f t="shared" si="5"/>
        <v/>
      </c>
      <c r="K26" s="540" t="str">
        <f t="shared" si="6"/>
        <v/>
      </c>
      <c r="L26" s="540" t="str">
        <f t="shared" si="7"/>
        <v/>
      </c>
      <c r="M26" s="540" t="str">
        <f t="shared" si="8"/>
        <v/>
      </c>
      <c r="N26" s="540"/>
      <c r="O26" s="540"/>
      <c r="P26" s="540"/>
      <c r="Q26" s="4"/>
      <c r="R26" s="540" t="str">
        <f t="shared" si="9"/>
        <v/>
      </c>
      <c r="S26" s="540" t="str">
        <f t="shared" si="10"/>
        <v/>
      </c>
      <c r="T26" s="540" t="str">
        <f t="shared" si="11"/>
        <v/>
      </c>
      <c r="U26" s="540" t="str">
        <f t="shared" si="12"/>
        <v/>
      </c>
      <c r="V26" s="540"/>
      <c r="W26" s="540"/>
      <c r="X26" s="540"/>
      <c r="Y26" s="653"/>
      <c r="Z26" s="540" t="str">
        <f t="shared" si="13"/>
        <v/>
      </c>
      <c r="AA26" s="540" t="str">
        <f t="shared" si="14"/>
        <v/>
      </c>
      <c r="AB26" s="540" t="str">
        <f t="shared" si="15"/>
        <v/>
      </c>
      <c r="AC26" s="540" t="str">
        <f t="shared" si="16"/>
        <v/>
      </c>
      <c r="AD26" s="540"/>
      <c r="AE26" s="540"/>
      <c r="AF26" s="540"/>
      <c r="AG26" s="4"/>
      <c r="AH26" s="540" t="str">
        <f t="shared" si="17"/>
        <v/>
      </c>
      <c r="AI26" s="540" t="str">
        <f t="shared" si="18"/>
        <v/>
      </c>
      <c r="AJ26" s="540" t="str">
        <f t="shared" si="19"/>
        <v/>
      </c>
      <c r="AK26" s="540" t="str">
        <f t="shared" si="20"/>
        <v/>
      </c>
      <c r="AL26" s="540"/>
      <c r="AM26" s="540"/>
      <c r="AN26" s="540"/>
      <c r="AO26" s="541"/>
      <c r="AP26" s="542" t="str">
        <f t="shared" si="21"/>
        <v xml:space="preserve">sangat baik dalam   </v>
      </c>
      <c r="AQ26" s="542" t="str">
        <f t="shared" si="22"/>
        <v xml:space="preserve">baik dalam </v>
      </c>
      <c r="AR26" s="542" t="str">
        <f t="shared" si="23"/>
        <v xml:space="preserve">cukup dalam </v>
      </c>
      <c r="AS26" s="542" t="str">
        <f t="shared" si="24"/>
        <v xml:space="preserve">sudah mampu meningkatkan </v>
      </c>
      <c r="AT26" s="542"/>
      <c r="AU26" s="4" t="str">
        <f t="shared" si="25"/>
        <v/>
      </c>
      <c r="AV26" s="66">
        <f t="shared" si="26"/>
        <v>0</v>
      </c>
      <c r="AW26" s="66">
        <f t="shared" si="27"/>
        <v>0</v>
      </c>
      <c r="AX26" s="66">
        <f t="shared" si="28"/>
        <v>0</v>
      </c>
      <c r="AY26" s="66">
        <f t="shared" si="29"/>
        <v>0</v>
      </c>
      <c r="AZ26" s="4">
        <f t="shared" si="30"/>
        <v>0</v>
      </c>
      <c r="BA26" s="66" t="str">
        <f t="shared" si="31"/>
        <v/>
      </c>
      <c r="BB26" s="66" t="str">
        <f t="shared" si="32"/>
        <v/>
      </c>
      <c r="BC26" s="66" t="str">
        <f t="shared" si="33"/>
        <v/>
      </c>
      <c r="BD26" s="66" t="str">
        <f t="shared" si="34"/>
        <v/>
      </c>
      <c r="BE26" s="4"/>
      <c r="BF26" s="349" t="str">
        <f t="shared" si="35"/>
        <v xml:space="preserve"> </v>
      </c>
      <c r="BG26" s="541"/>
      <c r="BH26" s="66">
        <f>SISWA!E24</f>
        <v>0</v>
      </c>
      <c r="BI26" s="542" t="str">
        <f t="shared" si="36"/>
        <v xml:space="preserve"> Baik dalam 0000</v>
      </c>
      <c r="BJ26" s="542" t="str">
        <f t="shared" si="37"/>
        <v xml:space="preserve">, dengan bimbingan yang lebih mampu meningkatkan </v>
      </c>
      <c r="BK26" s="4"/>
      <c r="BL26" s="4" t="str">
        <f t="shared" si="38"/>
        <v/>
      </c>
      <c r="BM26" s="4" t="str">
        <f t="shared" si="39"/>
        <v/>
      </c>
      <c r="BN26" s="4" t="str">
        <f t="shared" si="40"/>
        <v/>
      </c>
      <c r="BO26" s="4"/>
      <c r="BP26" s="349" t="str">
        <f t="shared" si="41"/>
        <v>.</v>
      </c>
    </row>
    <row r="27" spans="1:68">
      <c r="A27" s="30">
        <v>20</v>
      </c>
      <c r="B27" s="122">
        <f>SISWA!B25</f>
        <v>0</v>
      </c>
      <c r="C27" s="295"/>
      <c r="D27" s="295"/>
      <c r="E27" s="295"/>
      <c r="F27" s="295"/>
      <c r="G27" s="294" t="str">
        <f t="shared" si="4"/>
        <v xml:space="preserve"> </v>
      </c>
      <c r="J27" s="540" t="str">
        <f t="shared" si="5"/>
        <v/>
      </c>
      <c r="K27" s="540" t="str">
        <f t="shared" si="6"/>
        <v/>
      </c>
      <c r="L27" s="540" t="str">
        <f t="shared" si="7"/>
        <v/>
      </c>
      <c r="M27" s="540" t="str">
        <f t="shared" si="8"/>
        <v/>
      </c>
      <c r="N27" s="540"/>
      <c r="O27" s="540"/>
      <c r="P27" s="540"/>
      <c r="Q27" s="4"/>
      <c r="R27" s="540" t="str">
        <f t="shared" si="9"/>
        <v/>
      </c>
      <c r="S27" s="540" t="str">
        <f t="shared" si="10"/>
        <v/>
      </c>
      <c r="T27" s="540" t="str">
        <f t="shared" si="11"/>
        <v/>
      </c>
      <c r="U27" s="540" t="str">
        <f t="shared" si="12"/>
        <v/>
      </c>
      <c r="V27" s="540"/>
      <c r="W27" s="540"/>
      <c r="X27" s="540"/>
      <c r="Y27" s="653"/>
      <c r="Z27" s="540" t="str">
        <f t="shared" si="13"/>
        <v/>
      </c>
      <c r="AA27" s="540" t="str">
        <f t="shared" si="14"/>
        <v/>
      </c>
      <c r="AB27" s="540" t="str">
        <f t="shared" si="15"/>
        <v/>
      </c>
      <c r="AC27" s="540" t="str">
        <f t="shared" si="16"/>
        <v/>
      </c>
      <c r="AD27" s="540"/>
      <c r="AE27" s="540"/>
      <c r="AF27" s="540"/>
      <c r="AG27" s="4"/>
      <c r="AH27" s="540" t="str">
        <f t="shared" si="17"/>
        <v/>
      </c>
      <c r="AI27" s="540" t="str">
        <f t="shared" si="18"/>
        <v/>
      </c>
      <c r="AJ27" s="540" t="str">
        <f t="shared" si="19"/>
        <v/>
      </c>
      <c r="AK27" s="540" t="str">
        <f t="shared" si="20"/>
        <v/>
      </c>
      <c r="AL27" s="540"/>
      <c r="AM27" s="540"/>
      <c r="AN27" s="540"/>
      <c r="AO27" s="541"/>
      <c r="AP27" s="542" t="str">
        <f t="shared" si="21"/>
        <v xml:space="preserve">sangat baik dalam   </v>
      </c>
      <c r="AQ27" s="542" t="str">
        <f t="shared" si="22"/>
        <v xml:space="preserve">baik dalam </v>
      </c>
      <c r="AR27" s="542" t="str">
        <f t="shared" si="23"/>
        <v xml:space="preserve">cukup dalam </v>
      </c>
      <c r="AS27" s="542" t="str">
        <f t="shared" si="24"/>
        <v xml:space="preserve">sudah mampu meningkatkan </v>
      </c>
      <c r="AT27" s="542"/>
      <c r="AU27" s="4" t="str">
        <f t="shared" si="25"/>
        <v/>
      </c>
      <c r="AV27" s="66">
        <f t="shared" si="26"/>
        <v>0</v>
      </c>
      <c r="AW27" s="66">
        <f t="shared" si="27"/>
        <v>0</v>
      </c>
      <c r="AX27" s="66">
        <f t="shared" si="28"/>
        <v>0</v>
      </c>
      <c r="AY27" s="66">
        <f t="shared" si="29"/>
        <v>0</v>
      </c>
      <c r="AZ27" s="4">
        <f t="shared" si="30"/>
        <v>0</v>
      </c>
      <c r="BA27" s="66" t="str">
        <f t="shared" si="31"/>
        <v/>
      </c>
      <c r="BB27" s="66" t="str">
        <f t="shared" si="32"/>
        <v/>
      </c>
      <c r="BC27" s="66" t="str">
        <f t="shared" si="33"/>
        <v/>
      </c>
      <c r="BD27" s="66" t="str">
        <f t="shared" si="34"/>
        <v/>
      </c>
      <c r="BE27" s="4"/>
      <c r="BF27" s="349" t="str">
        <f t="shared" si="35"/>
        <v xml:space="preserve"> </v>
      </c>
      <c r="BG27" s="541"/>
      <c r="BH27" s="66">
        <f>SISWA!E25</f>
        <v>0</v>
      </c>
      <c r="BI27" s="542" t="str">
        <f t="shared" si="36"/>
        <v xml:space="preserve"> Baik dalam 0000</v>
      </c>
      <c r="BJ27" s="542" t="str">
        <f t="shared" si="37"/>
        <v xml:space="preserve">, dengan bimbingan yang lebih mampu meningkatkan </v>
      </c>
      <c r="BK27" s="4"/>
      <c r="BL27" s="4" t="str">
        <f t="shared" si="38"/>
        <v/>
      </c>
      <c r="BM27" s="4" t="str">
        <f t="shared" si="39"/>
        <v/>
      </c>
      <c r="BN27" s="4" t="str">
        <f t="shared" si="40"/>
        <v/>
      </c>
      <c r="BO27" s="4"/>
      <c r="BP27" s="349" t="str">
        <f t="shared" si="41"/>
        <v>.</v>
      </c>
    </row>
    <row r="28" spans="1:68">
      <c r="A28" s="30">
        <v>21</v>
      </c>
      <c r="B28" s="122">
        <f>SISWA!B26</f>
        <v>0</v>
      </c>
      <c r="C28" s="295"/>
      <c r="D28" s="295"/>
      <c r="E28" s="295"/>
      <c r="F28" s="295"/>
      <c r="G28" s="294" t="str">
        <f t="shared" si="4"/>
        <v xml:space="preserve"> </v>
      </c>
      <c r="J28" s="540" t="str">
        <f t="shared" si="5"/>
        <v/>
      </c>
      <c r="K28" s="540" t="str">
        <f t="shared" si="6"/>
        <v/>
      </c>
      <c r="L28" s="540" t="str">
        <f t="shared" si="7"/>
        <v/>
      </c>
      <c r="M28" s="540" t="str">
        <f t="shared" si="8"/>
        <v/>
      </c>
      <c r="N28" s="540"/>
      <c r="O28" s="540"/>
      <c r="P28" s="540"/>
      <c r="Q28" s="4"/>
      <c r="R28" s="540" t="str">
        <f t="shared" si="9"/>
        <v/>
      </c>
      <c r="S28" s="540" t="str">
        <f t="shared" si="10"/>
        <v/>
      </c>
      <c r="T28" s="540" t="str">
        <f t="shared" si="11"/>
        <v/>
      </c>
      <c r="U28" s="540" t="str">
        <f t="shared" si="12"/>
        <v/>
      </c>
      <c r="V28" s="540"/>
      <c r="W28" s="540"/>
      <c r="X28" s="540"/>
      <c r="Y28" s="653"/>
      <c r="Z28" s="540" t="str">
        <f t="shared" si="13"/>
        <v/>
      </c>
      <c r="AA28" s="540" t="str">
        <f t="shared" si="14"/>
        <v/>
      </c>
      <c r="AB28" s="540" t="str">
        <f t="shared" si="15"/>
        <v/>
      </c>
      <c r="AC28" s="540" t="str">
        <f t="shared" si="16"/>
        <v/>
      </c>
      <c r="AD28" s="540"/>
      <c r="AE28" s="540"/>
      <c r="AF28" s="540"/>
      <c r="AG28" s="4"/>
      <c r="AH28" s="540" t="str">
        <f t="shared" si="17"/>
        <v/>
      </c>
      <c r="AI28" s="540" t="str">
        <f t="shared" si="18"/>
        <v/>
      </c>
      <c r="AJ28" s="540" t="str">
        <f t="shared" si="19"/>
        <v/>
      </c>
      <c r="AK28" s="540" t="str">
        <f t="shared" si="20"/>
        <v/>
      </c>
      <c r="AL28" s="540"/>
      <c r="AM28" s="540"/>
      <c r="AN28" s="540"/>
      <c r="AO28" s="541"/>
      <c r="AP28" s="542" t="str">
        <f t="shared" si="21"/>
        <v xml:space="preserve">sangat baik dalam   </v>
      </c>
      <c r="AQ28" s="542" t="str">
        <f t="shared" si="22"/>
        <v xml:space="preserve">baik dalam </v>
      </c>
      <c r="AR28" s="542" t="str">
        <f t="shared" si="23"/>
        <v xml:space="preserve">cukup dalam </v>
      </c>
      <c r="AS28" s="542" t="str">
        <f t="shared" si="24"/>
        <v xml:space="preserve">sudah mampu meningkatkan </v>
      </c>
      <c r="AT28" s="542"/>
      <c r="AU28" s="4" t="str">
        <f t="shared" si="25"/>
        <v/>
      </c>
      <c r="AV28" s="66">
        <f t="shared" si="26"/>
        <v>0</v>
      </c>
      <c r="AW28" s="66">
        <f t="shared" si="27"/>
        <v>0</v>
      </c>
      <c r="AX28" s="66">
        <f t="shared" si="28"/>
        <v>0</v>
      </c>
      <c r="AY28" s="66">
        <f t="shared" si="29"/>
        <v>0</v>
      </c>
      <c r="AZ28" s="4">
        <f t="shared" si="30"/>
        <v>0</v>
      </c>
      <c r="BA28" s="66" t="str">
        <f t="shared" si="31"/>
        <v/>
      </c>
      <c r="BB28" s="66" t="str">
        <f t="shared" si="32"/>
        <v/>
      </c>
      <c r="BC28" s="66" t="str">
        <f t="shared" si="33"/>
        <v/>
      </c>
      <c r="BD28" s="66" t="str">
        <f t="shared" si="34"/>
        <v/>
      </c>
      <c r="BE28" s="4"/>
      <c r="BF28" s="349" t="str">
        <f t="shared" si="35"/>
        <v xml:space="preserve"> </v>
      </c>
      <c r="BG28" s="541"/>
      <c r="BH28" s="66">
        <f>SISWA!E26</f>
        <v>0</v>
      </c>
      <c r="BI28" s="542" t="str">
        <f t="shared" si="36"/>
        <v xml:space="preserve"> Baik dalam 0000</v>
      </c>
      <c r="BJ28" s="542" t="str">
        <f t="shared" si="37"/>
        <v xml:space="preserve">, dengan bimbingan yang lebih mampu meningkatkan </v>
      </c>
      <c r="BK28" s="4"/>
      <c r="BL28" s="4" t="str">
        <f t="shared" si="38"/>
        <v/>
      </c>
      <c r="BM28" s="4" t="str">
        <f t="shared" si="39"/>
        <v/>
      </c>
      <c r="BN28" s="4" t="str">
        <f t="shared" si="40"/>
        <v/>
      </c>
      <c r="BO28" s="4"/>
      <c r="BP28" s="349" t="str">
        <f t="shared" si="41"/>
        <v>.</v>
      </c>
    </row>
    <row r="29" spans="1:68">
      <c r="A29" s="30">
        <v>22</v>
      </c>
      <c r="B29" s="122">
        <f>SISWA!B27</f>
        <v>0</v>
      </c>
      <c r="C29" s="295"/>
      <c r="D29" s="295"/>
      <c r="E29" s="295"/>
      <c r="F29" s="295"/>
      <c r="G29" s="294" t="str">
        <f t="shared" si="4"/>
        <v xml:space="preserve"> </v>
      </c>
      <c r="J29" s="540" t="str">
        <f t="shared" si="5"/>
        <v/>
      </c>
      <c r="K29" s="540" t="str">
        <f t="shared" si="6"/>
        <v/>
      </c>
      <c r="L29" s="540" t="str">
        <f t="shared" si="7"/>
        <v/>
      </c>
      <c r="M29" s="540" t="str">
        <f t="shared" si="8"/>
        <v/>
      </c>
      <c r="N29" s="540"/>
      <c r="O29" s="540"/>
      <c r="P29" s="540"/>
      <c r="Q29" s="4"/>
      <c r="R29" s="540" t="str">
        <f t="shared" si="9"/>
        <v/>
      </c>
      <c r="S29" s="540" t="str">
        <f t="shared" si="10"/>
        <v/>
      </c>
      <c r="T29" s="540" t="str">
        <f t="shared" si="11"/>
        <v/>
      </c>
      <c r="U29" s="540" t="str">
        <f t="shared" si="12"/>
        <v/>
      </c>
      <c r="V29" s="540"/>
      <c r="W29" s="540"/>
      <c r="X29" s="540"/>
      <c r="Y29" s="653"/>
      <c r="Z29" s="540" t="str">
        <f t="shared" si="13"/>
        <v/>
      </c>
      <c r="AA29" s="540" t="str">
        <f t="shared" si="14"/>
        <v/>
      </c>
      <c r="AB29" s="540" t="str">
        <f t="shared" si="15"/>
        <v/>
      </c>
      <c r="AC29" s="540" t="str">
        <f t="shared" si="16"/>
        <v/>
      </c>
      <c r="AD29" s="540"/>
      <c r="AE29" s="540"/>
      <c r="AF29" s="540"/>
      <c r="AG29" s="4"/>
      <c r="AH29" s="540" t="str">
        <f t="shared" si="17"/>
        <v/>
      </c>
      <c r="AI29" s="540" t="str">
        <f t="shared" si="18"/>
        <v/>
      </c>
      <c r="AJ29" s="540" t="str">
        <f t="shared" si="19"/>
        <v/>
      </c>
      <c r="AK29" s="540" t="str">
        <f t="shared" si="20"/>
        <v/>
      </c>
      <c r="AL29" s="540"/>
      <c r="AM29" s="540"/>
      <c r="AN29" s="540"/>
      <c r="AO29" s="541"/>
      <c r="AP29" s="542" t="str">
        <f t="shared" si="21"/>
        <v xml:space="preserve">sangat baik dalam   </v>
      </c>
      <c r="AQ29" s="542" t="str">
        <f t="shared" si="22"/>
        <v xml:space="preserve">baik dalam </v>
      </c>
      <c r="AR29" s="542" t="str">
        <f t="shared" si="23"/>
        <v xml:space="preserve">cukup dalam </v>
      </c>
      <c r="AS29" s="542" t="str">
        <f t="shared" si="24"/>
        <v xml:space="preserve">sudah mampu meningkatkan </v>
      </c>
      <c r="AT29" s="542"/>
      <c r="AU29" s="4" t="str">
        <f t="shared" si="25"/>
        <v/>
      </c>
      <c r="AV29" s="66">
        <f t="shared" si="26"/>
        <v>0</v>
      </c>
      <c r="AW29" s="66">
        <f t="shared" si="27"/>
        <v>0</v>
      </c>
      <c r="AX29" s="66">
        <f t="shared" si="28"/>
        <v>0</v>
      </c>
      <c r="AY29" s="66">
        <f t="shared" si="29"/>
        <v>0</v>
      </c>
      <c r="AZ29" s="4">
        <f t="shared" si="30"/>
        <v>0</v>
      </c>
      <c r="BA29" s="66" t="str">
        <f t="shared" si="31"/>
        <v/>
      </c>
      <c r="BB29" s="66" t="str">
        <f t="shared" si="32"/>
        <v/>
      </c>
      <c r="BC29" s="66" t="str">
        <f t="shared" si="33"/>
        <v/>
      </c>
      <c r="BD29" s="66" t="str">
        <f t="shared" si="34"/>
        <v/>
      </c>
      <c r="BE29" s="4"/>
      <c r="BF29" s="349" t="str">
        <f t="shared" si="35"/>
        <v xml:space="preserve"> </v>
      </c>
      <c r="BG29" s="541"/>
      <c r="BH29" s="66">
        <f>SISWA!E27</f>
        <v>0</v>
      </c>
      <c r="BI29" s="542" t="str">
        <f t="shared" si="36"/>
        <v xml:space="preserve"> Baik dalam 0000</v>
      </c>
      <c r="BJ29" s="542" t="str">
        <f t="shared" si="37"/>
        <v xml:space="preserve">, dengan bimbingan yang lebih mampu meningkatkan </v>
      </c>
      <c r="BK29" s="4"/>
      <c r="BL29" s="4" t="str">
        <f t="shared" si="38"/>
        <v/>
      </c>
      <c r="BM29" s="4" t="str">
        <f t="shared" si="39"/>
        <v/>
      </c>
      <c r="BN29" s="4" t="str">
        <f t="shared" si="40"/>
        <v/>
      </c>
      <c r="BO29" s="4"/>
      <c r="BP29" s="349" t="str">
        <f t="shared" si="41"/>
        <v>.</v>
      </c>
    </row>
    <row r="30" spans="1:68">
      <c r="A30" s="30">
        <v>23</v>
      </c>
      <c r="B30" s="122">
        <f>SISWA!B28</f>
        <v>0</v>
      </c>
      <c r="C30" s="295"/>
      <c r="D30" s="295"/>
      <c r="E30" s="295"/>
      <c r="F30" s="295"/>
      <c r="G30" s="294" t="str">
        <f t="shared" si="4"/>
        <v xml:space="preserve"> </v>
      </c>
      <c r="J30" s="540" t="str">
        <f t="shared" si="5"/>
        <v/>
      </c>
      <c r="K30" s="540" t="str">
        <f t="shared" si="6"/>
        <v/>
      </c>
      <c r="L30" s="540" t="str">
        <f t="shared" si="7"/>
        <v/>
      </c>
      <c r="M30" s="540" t="str">
        <f t="shared" si="8"/>
        <v/>
      </c>
      <c r="N30" s="540"/>
      <c r="O30" s="540"/>
      <c r="P30" s="540"/>
      <c r="Q30" s="4"/>
      <c r="R30" s="540" t="str">
        <f t="shared" si="9"/>
        <v/>
      </c>
      <c r="S30" s="540" t="str">
        <f t="shared" si="10"/>
        <v/>
      </c>
      <c r="T30" s="540" t="str">
        <f t="shared" si="11"/>
        <v/>
      </c>
      <c r="U30" s="540" t="str">
        <f t="shared" si="12"/>
        <v/>
      </c>
      <c r="V30" s="540"/>
      <c r="W30" s="540"/>
      <c r="X30" s="540"/>
      <c r="Y30" s="653"/>
      <c r="Z30" s="540" t="str">
        <f t="shared" si="13"/>
        <v/>
      </c>
      <c r="AA30" s="540" t="str">
        <f t="shared" si="14"/>
        <v/>
      </c>
      <c r="AB30" s="540" t="str">
        <f t="shared" si="15"/>
        <v/>
      </c>
      <c r="AC30" s="540" t="str">
        <f t="shared" si="16"/>
        <v/>
      </c>
      <c r="AD30" s="540"/>
      <c r="AE30" s="540"/>
      <c r="AF30" s="540"/>
      <c r="AG30" s="4"/>
      <c r="AH30" s="540" t="str">
        <f t="shared" si="17"/>
        <v/>
      </c>
      <c r="AI30" s="540" t="str">
        <f t="shared" si="18"/>
        <v/>
      </c>
      <c r="AJ30" s="540" t="str">
        <f t="shared" si="19"/>
        <v/>
      </c>
      <c r="AK30" s="540" t="str">
        <f t="shared" si="20"/>
        <v/>
      </c>
      <c r="AL30" s="540"/>
      <c r="AM30" s="540"/>
      <c r="AN30" s="540"/>
      <c r="AO30" s="541"/>
      <c r="AP30" s="542" t="str">
        <f t="shared" si="21"/>
        <v xml:space="preserve">sangat baik dalam   </v>
      </c>
      <c r="AQ30" s="542" t="str">
        <f t="shared" si="22"/>
        <v xml:space="preserve">baik dalam </v>
      </c>
      <c r="AR30" s="542" t="str">
        <f t="shared" si="23"/>
        <v xml:space="preserve">cukup dalam </v>
      </c>
      <c r="AS30" s="542" t="str">
        <f t="shared" si="24"/>
        <v xml:space="preserve">sudah mampu meningkatkan </v>
      </c>
      <c r="AT30" s="542"/>
      <c r="AU30" s="4" t="str">
        <f t="shared" si="25"/>
        <v/>
      </c>
      <c r="AV30" s="66">
        <f t="shared" si="26"/>
        <v>0</v>
      </c>
      <c r="AW30" s="66">
        <f t="shared" si="27"/>
        <v>0</v>
      </c>
      <c r="AX30" s="66">
        <f t="shared" si="28"/>
        <v>0</v>
      </c>
      <c r="AY30" s="66">
        <f t="shared" si="29"/>
        <v>0</v>
      </c>
      <c r="AZ30" s="4">
        <f t="shared" si="30"/>
        <v>0</v>
      </c>
      <c r="BA30" s="66" t="str">
        <f t="shared" si="31"/>
        <v/>
      </c>
      <c r="BB30" s="66" t="str">
        <f t="shared" si="32"/>
        <v/>
      </c>
      <c r="BC30" s="66" t="str">
        <f t="shared" si="33"/>
        <v/>
      </c>
      <c r="BD30" s="66" t="str">
        <f t="shared" si="34"/>
        <v/>
      </c>
      <c r="BE30" s="4"/>
      <c r="BF30" s="349" t="str">
        <f t="shared" si="35"/>
        <v xml:space="preserve"> </v>
      </c>
      <c r="BG30" s="541"/>
      <c r="BH30" s="66">
        <f>SISWA!E28</f>
        <v>0</v>
      </c>
      <c r="BI30" s="542" t="str">
        <f t="shared" si="36"/>
        <v xml:space="preserve"> Baik dalam 0000</v>
      </c>
      <c r="BJ30" s="542" t="str">
        <f t="shared" si="37"/>
        <v xml:space="preserve">, dengan bimbingan yang lebih mampu meningkatkan </v>
      </c>
      <c r="BK30" s="4"/>
      <c r="BL30" s="4" t="str">
        <f t="shared" si="38"/>
        <v/>
      </c>
      <c r="BM30" s="4" t="str">
        <f t="shared" si="39"/>
        <v/>
      </c>
      <c r="BN30" s="4" t="str">
        <f t="shared" si="40"/>
        <v/>
      </c>
      <c r="BO30" s="4"/>
      <c r="BP30" s="349" t="str">
        <f t="shared" si="41"/>
        <v>.</v>
      </c>
    </row>
    <row r="31" spans="1:68">
      <c r="A31" s="30">
        <v>24</v>
      </c>
      <c r="B31" s="122">
        <f>SISWA!B29</f>
        <v>0</v>
      </c>
      <c r="C31" s="295"/>
      <c r="D31" s="295"/>
      <c r="E31" s="295"/>
      <c r="F31" s="295"/>
      <c r="G31" s="294" t="str">
        <f t="shared" si="4"/>
        <v xml:space="preserve"> </v>
      </c>
      <c r="J31" s="540" t="str">
        <f t="shared" si="5"/>
        <v/>
      </c>
      <c r="K31" s="540" t="str">
        <f t="shared" si="6"/>
        <v/>
      </c>
      <c r="L31" s="540" t="str">
        <f t="shared" si="7"/>
        <v/>
      </c>
      <c r="M31" s="540" t="str">
        <f t="shared" si="8"/>
        <v/>
      </c>
      <c r="N31" s="540"/>
      <c r="O31" s="540"/>
      <c r="P31" s="540"/>
      <c r="Q31" s="4"/>
      <c r="R31" s="540" t="str">
        <f t="shared" si="9"/>
        <v/>
      </c>
      <c r="S31" s="540" t="str">
        <f t="shared" si="10"/>
        <v/>
      </c>
      <c r="T31" s="540" t="str">
        <f t="shared" si="11"/>
        <v/>
      </c>
      <c r="U31" s="540" t="str">
        <f t="shared" si="12"/>
        <v/>
      </c>
      <c r="V31" s="540"/>
      <c r="W31" s="540"/>
      <c r="X31" s="540"/>
      <c r="Y31" s="653"/>
      <c r="Z31" s="540" t="str">
        <f t="shared" si="13"/>
        <v/>
      </c>
      <c r="AA31" s="540" t="str">
        <f t="shared" si="14"/>
        <v/>
      </c>
      <c r="AB31" s="540" t="str">
        <f t="shared" si="15"/>
        <v/>
      </c>
      <c r="AC31" s="540" t="str">
        <f t="shared" si="16"/>
        <v/>
      </c>
      <c r="AD31" s="540"/>
      <c r="AE31" s="540"/>
      <c r="AF31" s="540"/>
      <c r="AG31" s="4"/>
      <c r="AH31" s="540" t="str">
        <f t="shared" si="17"/>
        <v/>
      </c>
      <c r="AI31" s="540" t="str">
        <f t="shared" si="18"/>
        <v/>
      </c>
      <c r="AJ31" s="540" t="str">
        <f t="shared" si="19"/>
        <v/>
      </c>
      <c r="AK31" s="540" t="str">
        <f t="shared" si="20"/>
        <v/>
      </c>
      <c r="AL31" s="540"/>
      <c r="AM31" s="540"/>
      <c r="AN31" s="540"/>
      <c r="AO31" s="541"/>
      <c r="AP31" s="542" t="str">
        <f t="shared" si="21"/>
        <v xml:space="preserve">sangat baik dalam   </v>
      </c>
      <c r="AQ31" s="542" t="str">
        <f t="shared" si="22"/>
        <v xml:space="preserve">baik dalam </v>
      </c>
      <c r="AR31" s="542" t="str">
        <f t="shared" si="23"/>
        <v xml:space="preserve">cukup dalam </v>
      </c>
      <c r="AS31" s="542" t="str">
        <f t="shared" si="24"/>
        <v xml:space="preserve">sudah mampu meningkatkan </v>
      </c>
      <c r="AT31" s="542"/>
      <c r="AU31" s="4" t="str">
        <f t="shared" si="25"/>
        <v/>
      </c>
      <c r="AV31" s="66">
        <f t="shared" si="26"/>
        <v>0</v>
      </c>
      <c r="AW31" s="66">
        <f t="shared" si="27"/>
        <v>0</v>
      </c>
      <c r="AX31" s="66">
        <f t="shared" si="28"/>
        <v>0</v>
      </c>
      <c r="AY31" s="66">
        <f t="shared" si="29"/>
        <v>0</v>
      </c>
      <c r="AZ31" s="4">
        <f t="shared" si="30"/>
        <v>0</v>
      </c>
      <c r="BA31" s="66" t="str">
        <f t="shared" si="31"/>
        <v/>
      </c>
      <c r="BB31" s="66" t="str">
        <f t="shared" si="32"/>
        <v/>
      </c>
      <c r="BC31" s="66" t="str">
        <f t="shared" si="33"/>
        <v/>
      </c>
      <c r="BD31" s="66" t="str">
        <f t="shared" si="34"/>
        <v/>
      </c>
      <c r="BE31" s="4"/>
      <c r="BF31" s="349" t="str">
        <f t="shared" si="35"/>
        <v xml:space="preserve"> </v>
      </c>
      <c r="BG31" s="541"/>
      <c r="BH31" s="66">
        <f>SISWA!E29</f>
        <v>0</v>
      </c>
      <c r="BI31" s="542" t="str">
        <f t="shared" si="36"/>
        <v xml:space="preserve"> Baik dalam 0000</v>
      </c>
      <c r="BJ31" s="542" t="str">
        <f t="shared" si="37"/>
        <v xml:space="preserve">, dengan bimbingan yang lebih mampu meningkatkan </v>
      </c>
      <c r="BK31" s="4"/>
      <c r="BL31" s="4" t="str">
        <f t="shared" si="38"/>
        <v/>
      </c>
      <c r="BM31" s="4" t="str">
        <f t="shared" si="39"/>
        <v/>
      </c>
      <c r="BN31" s="4" t="str">
        <f t="shared" si="40"/>
        <v/>
      </c>
      <c r="BO31" s="4"/>
      <c r="BP31" s="349" t="str">
        <f t="shared" si="41"/>
        <v>.</v>
      </c>
    </row>
    <row r="32" spans="1:68">
      <c r="A32" s="30">
        <v>25</v>
      </c>
      <c r="B32" s="122">
        <f>SISWA!B30</f>
        <v>0</v>
      </c>
      <c r="C32" s="295"/>
      <c r="D32" s="295"/>
      <c r="E32" s="295"/>
      <c r="F32" s="295"/>
      <c r="G32" s="294" t="str">
        <f t="shared" si="4"/>
        <v xml:space="preserve"> </v>
      </c>
      <c r="J32" s="540" t="str">
        <f t="shared" si="5"/>
        <v/>
      </c>
      <c r="K32" s="540" t="str">
        <f t="shared" si="6"/>
        <v/>
      </c>
      <c r="L32" s="540" t="str">
        <f t="shared" si="7"/>
        <v/>
      </c>
      <c r="M32" s="540" t="str">
        <f t="shared" si="8"/>
        <v/>
      </c>
      <c r="N32" s="540"/>
      <c r="O32" s="540"/>
      <c r="P32" s="540"/>
      <c r="Q32" s="4"/>
      <c r="R32" s="540" t="str">
        <f t="shared" si="9"/>
        <v/>
      </c>
      <c r="S32" s="540" t="str">
        <f t="shared" si="10"/>
        <v/>
      </c>
      <c r="T32" s="540" t="str">
        <f t="shared" si="11"/>
        <v/>
      </c>
      <c r="U32" s="540" t="str">
        <f t="shared" si="12"/>
        <v/>
      </c>
      <c r="V32" s="540"/>
      <c r="W32" s="540"/>
      <c r="X32" s="540"/>
      <c r="Y32" s="653"/>
      <c r="Z32" s="540" t="str">
        <f t="shared" si="13"/>
        <v/>
      </c>
      <c r="AA32" s="540" t="str">
        <f t="shared" si="14"/>
        <v/>
      </c>
      <c r="AB32" s="540" t="str">
        <f t="shared" si="15"/>
        <v/>
      </c>
      <c r="AC32" s="540" t="str">
        <f t="shared" si="16"/>
        <v/>
      </c>
      <c r="AD32" s="540"/>
      <c r="AE32" s="540"/>
      <c r="AF32" s="540"/>
      <c r="AG32" s="4"/>
      <c r="AH32" s="540" t="str">
        <f t="shared" si="17"/>
        <v/>
      </c>
      <c r="AI32" s="540" t="str">
        <f t="shared" si="18"/>
        <v/>
      </c>
      <c r="AJ32" s="540" t="str">
        <f t="shared" si="19"/>
        <v/>
      </c>
      <c r="AK32" s="540" t="str">
        <f t="shared" si="20"/>
        <v/>
      </c>
      <c r="AL32" s="540"/>
      <c r="AM32" s="540"/>
      <c r="AN32" s="540"/>
      <c r="AO32" s="541"/>
      <c r="AP32" s="542" t="str">
        <f t="shared" si="21"/>
        <v xml:space="preserve">sangat baik dalam   </v>
      </c>
      <c r="AQ32" s="542" t="str">
        <f t="shared" si="22"/>
        <v xml:space="preserve">baik dalam </v>
      </c>
      <c r="AR32" s="542" t="str">
        <f t="shared" si="23"/>
        <v xml:space="preserve">cukup dalam </v>
      </c>
      <c r="AS32" s="542" t="str">
        <f t="shared" si="24"/>
        <v xml:space="preserve">sudah mampu meningkatkan </v>
      </c>
      <c r="AT32" s="542"/>
      <c r="AU32" s="4" t="str">
        <f t="shared" si="25"/>
        <v/>
      </c>
      <c r="AV32" s="66">
        <f t="shared" si="26"/>
        <v>0</v>
      </c>
      <c r="AW32" s="66">
        <f t="shared" si="27"/>
        <v>0</v>
      </c>
      <c r="AX32" s="66">
        <f t="shared" si="28"/>
        <v>0</v>
      </c>
      <c r="AY32" s="66">
        <f t="shared" si="29"/>
        <v>0</v>
      </c>
      <c r="AZ32" s="4">
        <f t="shared" si="30"/>
        <v>0</v>
      </c>
      <c r="BA32" s="66" t="str">
        <f t="shared" si="31"/>
        <v/>
      </c>
      <c r="BB32" s="66" t="str">
        <f t="shared" si="32"/>
        <v/>
      </c>
      <c r="BC32" s="66" t="str">
        <f t="shared" si="33"/>
        <v/>
      </c>
      <c r="BD32" s="66" t="str">
        <f t="shared" si="34"/>
        <v/>
      </c>
      <c r="BE32" s="4"/>
      <c r="BF32" s="349" t="str">
        <f t="shared" si="35"/>
        <v xml:space="preserve"> </v>
      </c>
      <c r="BG32" s="541"/>
      <c r="BH32" s="66">
        <f>SISWA!E30</f>
        <v>0</v>
      </c>
      <c r="BI32" s="542" t="str">
        <f t="shared" si="36"/>
        <v xml:space="preserve"> Baik dalam 0000</v>
      </c>
      <c r="BJ32" s="542" t="str">
        <f t="shared" si="37"/>
        <v xml:space="preserve">, dengan bimbingan yang lebih mampu meningkatkan </v>
      </c>
      <c r="BK32" s="4"/>
      <c r="BL32" s="4" t="str">
        <f t="shared" si="38"/>
        <v/>
      </c>
      <c r="BM32" s="4" t="str">
        <f t="shared" si="39"/>
        <v/>
      </c>
      <c r="BN32" s="4" t="str">
        <f t="shared" si="40"/>
        <v/>
      </c>
      <c r="BO32" s="4"/>
      <c r="BP32" s="349" t="str">
        <f t="shared" si="41"/>
        <v>.</v>
      </c>
    </row>
    <row r="33" spans="1:68">
      <c r="A33" s="30">
        <v>26</v>
      </c>
      <c r="B33" s="122">
        <f>SISWA!B31</f>
        <v>0</v>
      </c>
      <c r="C33" s="295"/>
      <c r="D33" s="295"/>
      <c r="E33" s="295"/>
      <c r="F33" s="295"/>
      <c r="G33" s="294" t="str">
        <f t="shared" si="4"/>
        <v xml:space="preserve"> </v>
      </c>
      <c r="J33" s="540" t="str">
        <f t="shared" si="5"/>
        <v/>
      </c>
      <c r="K33" s="540" t="str">
        <f t="shared" si="6"/>
        <v/>
      </c>
      <c r="L33" s="540" t="str">
        <f t="shared" si="7"/>
        <v/>
      </c>
      <c r="M33" s="540" t="str">
        <f t="shared" si="8"/>
        <v/>
      </c>
      <c r="N33" s="540"/>
      <c r="O33" s="540"/>
      <c r="P33" s="540"/>
      <c r="Q33" s="4"/>
      <c r="R33" s="540" t="str">
        <f t="shared" si="9"/>
        <v/>
      </c>
      <c r="S33" s="540" t="str">
        <f t="shared" si="10"/>
        <v/>
      </c>
      <c r="T33" s="540" t="str">
        <f t="shared" si="11"/>
        <v/>
      </c>
      <c r="U33" s="540" t="str">
        <f t="shared" si="12"/>
        <v/>
      </c>
      <c r="V33" s="540"/>
      <c r="W33" s="540"/>
      <c r="X33" s="540"/>
      <c r="Y33" s="653"/>
      <c r="Z33" s="540" t="str">
        <f t="shared" si="13"/>
        <v/>
      </c>
      <c r="AA33" s="540" t="str">
        <f t="shared" si="14"/>
        <v/>
      </c>
      <c r="AB33" s="540" t="str">
        <f t="shared" si="15"/>
        <v/>
      </c>
      <c r="AC33" s="540" t="str">
        <f t="shared" si="16"/>
        <v/>
      </c>
      <c r="AD33" s="540"/>
      <c r="AE33" s="540"/>
      <c r="AF33" s="540"/>
      <c r="AG33" s="4"/>
      <c r="AH33" s="540" t="str">
        <f t="shared" si="17"/>
        <v/>
      </c>
      <c r="AI33" s="540" t="str">
        <f t="shared" si="18"/>
        <v/>
      </c>
      <c r="AJ33" s="540" t="str">
        <f t="shared" si="19"/>
        <v/>
      </c>
      <c r="AK33" s="540" t="str">
        <f t="shared" si="20"/>
        <v/>
      </c>
      <c r="AL33" s="540"/>
      <c r="AM33" s="540"/>
      <c r="AN33" s="540"/>
      <c r="AO33" s="541"/>
      <c r="AP33" s="542" t="str">
        <f t="shared" si="21"/>
        <v xml:space="preserve">sangat baik dalam   </v>
      </c>
      <c r="AQ33" s="542" t="str">
        <f t="shared" si="22"/>
        <v xml:space="preserve">baik dalam </v>
      </c>
      <c r="AR33" s="542" t="str">
        <f t="shared" si="23"/>
        <v xml:space="preserve">cukup dalam </v>
      </c>
      <c r="AS33" s="542" t="str">
        <f t="shared" si="24"/>
        <v xml:space="preserve">sudah mampu meningkatkan </v>
      </c>
      <c r="AT33" s="542"/>
      <c r="AU33" s="4" t="str">
        <f t="shared" si="25"/>
        <v/>
      </c>
      <c r="AV33" s="66">
        <f t="shared" si="26"/>
        <v>0</v>
      </c>
      <c r="AW33" s="66">
        <f t="shared" si="27"/>
        <v>0</v>
      </c>
      <c r="AX33" s="66">
        <f t="shared" si="28"/>
        <v>0</v>
      </c>
      <c r="AY33" s="66">
        <f t="shared" si="29"/>
        <v>0</v>
      </c>
      <c r="AZ33" s="4">
        <f t="shared" si="30"/>
        <v>0</v>
      </c>
      <c r="BA33" s="66" t="str">
        <f t="shared" si="31"/>
        <v/>
      </c>
      <c r="BB33" s="66" t="str">
        <f t="shared" si="32"/>
        <v/>
      </c>
      <c r="BC33" s="66" t="str">
        <f t="shared" si="33"/>
        <v/>
      </c>
      <c r="BD33" s="66" t="str">
        <f t="shared" si="34"/>
        <v/>
      </c>
      <c r="BE33" s="4"/>
      <c r="BF33" s="349" t="str">
        <f t="shared" si="35"/>
        <v xml:space="preserve"> </v>
      </c>
      <c r="BG33" s="541"/>
      <c r="BH33" s="66">
        <f>SISWA!E31</f>
        <v>0</v>
      </c>
      <c r="BI33" s="542" t="str">
        <f t="shared" si="36"/>
        <v xml:space="preserve"> Baik dalam 0000</v>
      </c>
      <c r="BJ33" s="542" t="str">
        <f t="shared" si="37"/>
        <v xml:space="preserve">, dengan bimbingan yang lebih mampu meningkatkan </v>
      </c>
      <c r="BK33" s="4"/>
      <c r="BL33" s="4" t="str">
        <f t="shared" si="38"/>
        <v/>
      </c>
      <c r="BM33" s="4" t="str">
        <f t="shared" si="39"/>
        <v/>
      </c>
      <c r="BN33" s="4" t="str">
        <f t="shared" si="40"/>
        <v/>
      </c>
      <c r="BO33" s="4"/>
      <c r="BP33" s="349" t="str">
        <f t="shared" si="41"/>
        <v>.</v>
      </c>
    </row>
    <row r="34" spans="1:68">
      <c r="A34" s="30">
        <v>27</v>
      </c>
      <c r="B34" s="122">
        <f>SISWA!B32</f>
        <v>0</v>
      </c>
      <c r="C34" s="295"/>
      <c r="D34" s="295"/>
      <c r="E34" s="295"/>
      <c r="F34" s="295"/>
      <c r="G34" s="294" t="str">
        <f t="shared" si="4"/>
        <v xml:space="preserve"> </v>
      </c>
      <c r="J34" s="540" t="str">
        <f t="shared" si="5"/>
        <v/>
      </c>
      <c r="K34" s="540" t="str">
        <f t="shared" si="6"/>
        <v/>
      </c>
      <c r="L34" s="540" t="str">
        <f t="shared" si="7"/>
        <v/>
      </c>
      <c r="M34" s="540" t="str">
        <f t="shared" si="8"/>
        <v/>
      </c>
      <c r="N34" s="540"/>
      <c r="O34" s="540"/>
      <c r="P34" s="540"/>
      <c r="Q34" s="4"/>
      <c r="R34" s="540" t="str">
        <f t="shared" si="9"/>
        <v/>
      </c>
      <c r="S34" s="540" t="str">
        <f t="shared" si="10"/>
        <v/>
      </c>
      <c r="T34" s="540" t="str">
        <f t="shared" si="11"/>
        <v/>
      </c>
      <c r="U34" s="540" t="str">
        <f t="shared" si="12"/>
        <v/>
      </c>
      <c r="V34" s="540"/>
      <c r="W34" s="540"/>
      <c r="X34" s="540"/>
      <c r="Y34" s="653"/>
      <c r="Z34" s="540" t="str">
        <f t="shared" si="13"/>
        <v/>
      </c>
      <c r="AA34" s="540" t="str">
        <f t="shared" si="14"/>
        <v/>
      </c>
      <c r="AB34" s="540" t="str">
        <f t="shared" si="15"/>
        <v/>
      </c>
      <c r="AC34" s="540" t="str">
        <f t="shared" si="16"/>
        <v/>
      </c>
      <c r="AD34" s="540"/>
      <c r="AE34" s="540"/>
      <c r="AF34" s="540"/>
      <c r="AG34" s="4"/>
      <c r="AH34" s="540" t="str">
        <f t="shared" si="17"/>
        <v/>
      </c>
      <c r="AI34" s="540" t="str">
        <f t="shared" si="18"/>
        <v/>
      </c>
      <c r="AJ34" s="540" t="str">
        <f t="shared" si="19"/>
        <v/>
      </c>
      <c r="AK34" s="540" t="str">
        <f t="shared" si="20"/>
        <v/>
      </c>
      <c r="AL34" s="540"/>
      <c r="AM34" s="540"/>
      <c r="AN34" s="540"/>
      <c r="AO34" s="541"/>
      <c r="AP34" s="542" t="str">
        <f t="shared" si="21"/>
        <v xml:space="preserve">sangat baik dalam   </v>
      </c>
      <c r="AQ34" s="542" t="str">
        <f t="shared" si="22"/>
        <v xml:space="preserve">baik dalam </v>
      </c>
      <c r="AR34" s="542" t="str">
        <f t="shared" si="23"/>
        <v xml:space="preserve">cukup dalam </v>
      </c>
      <c r="AS34" s="542" t="str">
        <f t="shared" si="24"/>
        <v xml:space="preserve">sudah mampu meningkatkan </v>
      </c>
      <c r="AT34" s="542"/>
      <c r="AU34" s="4" t="str">
        <f t="shared" si="25"/>
        <v/>
      </c>
      <c r="AV34" s="66">
        <f t="shared" si="26"/>
        <v>0</v>
      </c>
      <c r="AW34" s="66">
        <f t="shared" si="27"/>
        <v>0</v>
      </c>
      <c r="AX34" s="66">
        <f t="shared" si="28"/>
        <v>0</v>
      </c>
      <c r="AY34" s="66">
        <f t="shared" si="29"/>
        <v>0</v>
      </c>
      <c r="AZ34" s="4">
        <f t="shared" si="30"/>
        <v>0</v>
      </c>
      <c r="BA34" s="66" t="str">
        <f t="shared" si="31"/>
        <v/>
      </c>
      <c r="BB34" s="66" t="str">
        <f t="shared" si="32"/>
        <v/>
      </c>
      <c r="BC34" s="66" t="str">
        <f t="shared" si="33"/>
        <v/>
      </c>
      <c r="BD34" s="66" t="str">
        <f t="shared" si="34"/>
        <v/>
      </c>
      <c r="BE34" s="4"/>
      <c r="BF34" s="349" t="str">
        <f t="shared" si="35"/>
        <v xml:space="preserve"> </v>
      </c>
      <c r="BG34" s="541"/>
      <c r="BH34" s="66">
        <f>SISWA!E32</f>
        <v>0</v>
      </c>
      <c r="BI34" s="542" t="str">
        <f t="shared" si="36"/>
        <v xml:space="preserve"> Baik dalam 0000</v>
      </c>
      <c r="BJ34" s="542" t="str">
        <f t="shared" si="37"/>
        <v xml:space="preserve">, dengan bimbingan yang lebih mampu meningkatkan </v>
      </c>
      <c r="BK34" s="4"/>
      <c r="BL34" s="4" t="str">
        <f t="shared" si="38"/>
        <v/>
      </c>
      <c r="BM34" s="4" t="str">
        <f t="shared" si="39"/>
        <v/>
      </c>
      <c r="BN34" s="4" t="str">
        <f t="shared" si="40"/>
        <v/>
      </c>
      <c r="BO34" s="4"/>
      <c r="BP34" s="349" t="str">
        <f t="shared" si="41"/>
        <v>.</v>
      </c>
    </row>
    <row r="35" spans="1:68">
      <c r="A35" s="30">
        <v>28</v>
      </c>
      <c r="B35" s="122">
        <f>SISWA!B33</f>
        <v>0</v>
      </c>
      <c r="C35" s="295"/>
      <c r="D35" s="295"/>
      <c r="E35" s="295"/>
      <c r="F35" s="295"/>
      <c r="G35" s="294" t="str">
        <f t="shared" si="4"/>
        <v xml:space="preserve"> </v>
      </c>
      <c r="J35" s="540" t="str">
        <f t="shared" si="5"/>
        <v/>
      </c>
      <c r="K35" s="540" t="str">
        <f t="shared" si="6"/>
        <v/>
      </c>
      <c r="L35" s="540" t="str">
        <f t="shared" si="7"/>
        <v/>
      </c>
      <c r="M35" s="540" t="str">
        <f t="shared" si="8"/>
        <v/>
      </c>
      <c r="N35" s="540"/>
      <c r="O35" s="540"/>
      <c r="P35" s="540"/>
      <c r="Q35" s="4"/>
      <c r="R35" s="540" t="str">
        <f t="shared" si="9"/>
        <v/>
      </c>
      <c r="S35" s="540" t="str">
        <f t="shared" si="10"/>
        <v/>
      </c>
      <c r="T35" s="540" t="str">
        <f t="shared" si="11"/>
        <v/>
      </c>
      <c r="U35" s="540" t="str">
        <f t="shared" si="12"/>
        <v/>
      </c>
      <c r="V35" s="540"/>
      <c r="W35" s="540"/>
      <c r="X35" s="540"/>
      <c r="Y35" s="653"/>
      <c r="Z35" s="540" t="str">
        <f t="shared" si="13"/>
        <v/>
      </c>
      <c r="AA35" s="540" t="str">
        <f t="shared" si="14"/>
        <v/>
      </c>
      <c r="AB35" s="540" t="str">
        <f t="shared" si="15"/>
        <v/>
      </c>
      <c r="AC35" s="540" t="str">
        <f t="shared" si="16"/>
        <v/>
      </c>
      <c r="AD35" s="540"/>
      <c r="AE35" s="540"/>
      <c r="AF35" s="540"/>
      <c r="AG35" s="4"/>
      <c r="AH35" s="540" t="str">
        <f t="shared" si="17"/>
        <v/>
      </c>
      <c r="AI35" s="540" t="str">
        <f t="shared" si="18"/>
        <v/>
      </c>
      <c r="AJ35" s="540" t="str">
        <f t="shared" si="19"/>
        <v/>
      </c>
      <c r="AK35" s="540" t="str">
        <f t="shared" si="20"/>
        <v/>
      </c>
      <c r="AL35" s="540"/>
      <c r="AM35" s="540"/>
      <c r="AN35" s="540"/>
      <c r="AO35" s="541"/>
      <c r="AP35" s="542" t="str">
        <f t="shared" si="21"/>
        <v xml:space="preserve">sangat baik dalam   </v>
      </c>
      <c r="AQ35" s="542" t="str">
        <f t="shared" si="22"/>
        <v xml:space="preserve">baik dalam </v>
      </c>
      <c r="AR35" s="542" t="str">
        <f t="shared" si="23"/>
        <v xml:space="preserve">cukup dalam </v>
      </c>
      <c r="AS35" s="542" t="str">
        <f t="shared" si="24"/>
        <v xml:space="preserve">sudah mampu meningkatkan </v>
      </c>
      <c r="AT35" s="542"/>
      <c r="AU35" s="4" t="str">
        <f t="shared" si="25"/>
        <v/>
      </c>
      <c r="AV35" s="66">
        <f t="shared" si="26"/>
        <v>0</v>
      </c>
      <c r="AW35" s="66">
        <f t="shared" si="27"/>
        <v>0</v>
      </c>
      <c r="AX35" s="66">
        <f t="shared" si="28"/>
        <v>0</v>
      </c>
      <c r="AY35" s="66">
        <f t="shared" si="29"/>
        <v>0</v>
      </c>
      <c r="AZ35" s="4">
        <f t="shared" si="30"/>
        <v>0</v>
      </c>
      <c r="BA35" s="66" t="str">
        <f t="shared" si="31"/>
        <v/>
      </c>
      <c r="BB35" s="66" t="str">
        <f t="shared" si="32"/>
        <v/>
      </c>
      <c r="BC35" s="66" t="str">
        <f t="shared" si="33"/>
        <v/>
      </c>
      <c r="BD35" s="66" t="str">
        <f t="shared" si="34"/>
        <v/>
      </c>
      <c r="BE35" s="4"/>
      <c r="BF35" s="349" t="str">
        <f t="shared" si="35"/>
        <v xml:space="preserve"> </v>
      </c>
      <c r="BG35" s="541"/>
      <c r="BH35" s="66">
        <f>SISWA!E33</f>
        <v>0</v>
      </c>
      <c r="BI35" s="542" t="str">
        <f t="shared" si="36"/>
        <v xml:space="preserve"> Baik dalam 0000</v>
      </c>
      <c r="BJ35" s="542" t="str">
        <f t="shared" si="37"/>
        <v xml:space="preserve">, dengan bimbingan yang lebih mampu meningkatkan </v>
      </c>
      <c r="BK35" s="4"/>
      <c r="BL35" s="4" t="str">
        <f t="shared" si="38"/>
        <v/>
      </c>
      <c r="BM35" s="4" t="str">
        <f t="shared" si="39"/>
        <v/>
      </c>
      <c r="BN35" s="4" t="str">
        <f t="shared" si="40"/>
        <v/>
      </c>
      <c r="BO35" s="4"/>
      <c r="BP35" s="349" t="str">
        <f t="shared" si="41"/>
        <v>.</v>
      </c>
    </row>
    <row r="36" spans="1:68">
      <c r="A36" s="30">
        <v>29</v>
      </c>
      <c r="B36" s="122">
        <f>SISWA!B34</f>
        <v>0</v>
      </c>
      <c r="C36" s="295"/>
      <c r="D36" s="295"/>
      <c r="E36" s="295"/>
      <c r="F36" s="295"/>
      <c r="G36" s="294" t="str">
        <f t="shared" si="4"/>
        <v xml:space="preserve"> </v>
      </c>
      <c r="J36" s="540" t="str">
        <f t="shared" si="5"/>
        <v/>
      </c>
      <c r="K36" s="540" t="str">
        <f t="shared" si="6"/>
        <v/>
      </c>
      <c r="L36" s="540" t="str">
        <f t="shared" si="7"/>
        <v/>
      </c>
      <c r="M36" s="540" t="str">
        <f t="shared" si="8"/>
        <v/>
      </c>
      <c r="N36" s="540"/>
      <c r="O36" s="540"/>
      <c r="P36" s="540"/>
      <c r="Q36" s="4"/>
      <c r="R36" s="540" t="str">
        <f t="shared" si="9"/>
        <v/>
      </c>
      <c r="S36" s="540" t="str">
        <f t="shared" si="10"/>
        <v/>
      </c>
      <c r="T36" s="540" t="str">
        <f t="shared" si="11"/>
        <v/>
      </c>
      <c r="U36" s="540" t="str">
        <f t="shared" si="12"/>
        <v/>
      </c>
      <c r="V36" s="540"/>
      <c r="W36" s="540"/>
      <c r="X36" s="540"/>
      <c r="Y36" s="653"/>
      <c r="Z36" s="540" t="str">
        <f t="shared" si="13"/>
        <v/>
      </c>
      <c r="AA36" s="540" t="str">
        <f t="shared" si="14"/>
        <v/>
      </c>
      <c r="AB36" s="540" t="str">
        <f t="shared" si="15"/>
        <v/>
      </c>
      <c r="AC36" s="540" t="str">
        <f t="shared" si="16"/>
        <v/>
      </c>
      <c r="AD36" s="540"/>
      <c r="AE36" s="540"/>
      <c r="AF36" s="540"/>
      <c r="AG36" s="4"/>
      <c r="AH36" s="540" t="str">
        <f t="shared" si="17"/>
        <v/>
      </c>
      <c r="AI36" s="540" t="str">
        <f t="shared" si="18"/>
        <v/>
      </c>
      <c r="AJ36" s="540" t="str">
        <f t="shared" si="19"/>
        <v/>
      </c>
      <c r="AK36" s="540" t="str">
        <f t="shared" si="20"/>
        <v/>
      </c>
      <c r="AL36" s="540"/>
      <c r="AM36" s="540"/>
      <c r="AN36" s="540"/>
      <c r="AO36" s="541"/>
      <c r="AP36" s="542" t="str">
        <f t="shared" si="21"/>
        <v xml:space="preserve">sangat baik dalam   </v>
      </c>
      <c r="AQ36" s="542" t="str">
        <f t="shared" si="22"/>
        <v xml:space="preserve">baik dalam </v>
      </c>
      <c r="AR36" s="542" t="str">
        <f t="shared" si="23"/>
        <v xml:space="preserve">cukup dalam </v>
      </c>
      <c r="AS36" s="542" t="str">
        <f t="shared" si="24"/>
        <v xml:space="preserve">sudah mampu meningkatkan </v>
      </c>
      <c r="AT36" s="542"/>
      <c r="AU36" s="4" t="str">
        <f t="shared" si="25"/>
        <v/>
      </c>
      <c r="AV36" s="66">
        <f t="shared" si="26"/>
        <v>0</v>
      </c>
      <c r="AW36" s="66">
        <f t="shared" si="27"/>
        <v>0</v>
      </c>
      <c r="AX36" s="66">
        <f t="shared" si="28"/>
        <v>0</v>
      </c>
      <c r="AY36" s="66">
        <f t="shared" si="29"/>
        <v>0</v>
      </c>
      <c r="AZ36" s="4">
        <f t="shared" si="30"/>
        <v>0</v>
      </c>
      <c r="BA36" s="66" t="str">
        <f t="shared" si="31"/>
        <v/>
      </c>
      <c r="BB36" s="66" t="str">
        <f t="shared" si="32"/>
        <v/>
      </c>
      <c r="BC36" s="66" t="str">
        <f t="shared" si="33"/>
        <v/>
      </c>
      <c r="BD36" s="66" t="str">
        <f t="shared" si="34"/>
        <v/>
      </c>
      <c r="BE36" s="4"/>
      <c r="BF36" s="349" t="str">
        <f t="shared" si="35"/>
        <v xml:space="preserve"> </v>
      </c>
      <c r="BG36" s="541"/>
      <c r="BH36" s="66">
        <f>SISWA!E34</f>
        <v>0</v>
      </c>
      <c r="BI36" s="542" t="str">
        <f t="shared" si="36"/>
        <v xml:space="preserve"> Baik dalam 0000</v>
      </c>
      <c r="BJ36" s="542" t="str">
        <f t="shared" si="37"/>
        <v xml:space="preserve">, dengan bimbingan yang lebih mampu meningkatkan </v>
      </c>
      <c r="BK36" s="4"/>
      <c r="BL36" s="4" t="str">
        <f t="shared" si="38"/>
        <v/>
      </c>
      <c r="BM36" s="4" t="str">
        <f t="shared" si="39"/>
        <v/>
      </c>
      <c r="BN36" s="4" t="str">
        <f t="shared" si="40"/>
        <v/>
      </c>
      <c r="BO36" s="4"/>
      <c r="BP36" s="349" t="str">
        <f t="shared" si="41"/>
        <v>.</v>
      </c>
    </row>
    <row r="37" spans="1:68">
      <c r="A37" s="30">
        <v>30</v>
      </c>
      <c r="B37" s="122">
        <f>SISWA!B35</f>
        <v>0</v>
      </c>
      <c r="C37" s="295"/>
      <c r="D37" s="295"/>
      <c r="E37" s="295"/>
      <c r="F37" s="295"/>
      <c r="G37" s="294" t="str">
        <f t="shared" si="4"/>
        <v xml:space="preserve"> </v>
      </c>
      <c r="J37" s="540" t="str">
        <f t="shared" si="5"/>
        <v/>
      </c>
      <c r="K37" s="540" t="str">
        <f t="shared" si="6"/>
        <v/>
      </c>
      <c r="L37" s="540" t="str">
        <f t="shared" si="7"/>
        <v/>
      </c>
      <c r="M37" s="540" t="str">
        <f t="shared" si="8"/>
        <v/>
      </c>
      <c r="N37" s="540"/>
      <c r="O37" s="540"/>
      <c r="P37" s="540"/>
      <c r="Q37" s="4"/>
      <c r="R37" s="540" t="str">
        <f t="shared" si="9"/>
        <v/>
      </c>
      <c r="S37" s="540" t="str">
        <f t="shared" si="10"/>
        <v/>
      </c>
      <c r="T37" s="540" t="str">
        <f t="shared" si="11"/>
        <v/>
      </c>
      <c r="U37" s="540" t="str">
        <f t="shared" si="12"/>
        <v/>
      </c>
      <c r="V37" s="540"/>
      <c r="W37" s="540"/>
      <c r="X37" s="540"/>
      <c r="Y37" s="653"/>
      <c r="Z37" s="540" t="str">
        <f t="shared" si="13"/>
        <v/>
      </c>
      <c r="AA37" s="540" t="str">
        <f t="shared" si="14"/>
        <v/>
      </c>
      <c r="AB37" s="540" t="str">
        <f t="shared" si="15"/>
        <v/>
      </c>
      <c r="AC37" s="540" t="str">
        <f t="shared" si="16"/>
        <v/>
      </c>
      <c r="AD37" s="540"/>
      <c r="AE37" s="540"/>
      <c r="AF37" s="540"/>
      <c r="AG37" s="4"/>
      <c r="AH37" s="540" t="str">
        <f t="shared" si="17"/>
        <v/>
      </c>
      <c r="AI37" s="540" t="str">
        <f t="shared" si="18"/>
        <v/>
      </c>
      <c r="AJ37" s="540" t="str">
        <f t="shared" si="19"/>
        <v/>
      </c>
      <c r="AK37" s="540" t="str">
        <f t="shared" si="20"/>
        <v/>
      </c>
      <c r="AL37" s="540"/>
      <c r="AM37" s="540"/>
      <c r="AN37" s="540"/>
      <c r="AO37" s="541"/>
      <c r="AP37" s="542" t="str">
        <f t="shared" si="21"/>
        <v xml:space="preserve">sangat baik dalam   </v>
      </c>
      <c r="AQ37" s="542" t="str">
        <f t="shared" si="22"/>
        <v xml:space="preserve">baik dalam </v>
      </c>
      <c r="AR37" s="542" t="str">
        <f t="shared" si="23"/>
        <v xml:space="preserve">cukup dalam </v>
      </c>
      <c r="AS37" s="542" t="str">
        <f t="shared" si="24"/>
        <v xml:space="preserve">sudah mampu meningkatkan </v>
      </c>
      <c r="AT37" s="542"/>
      <c r="AU37" s="4" t="str">
        <f t="shared" si="25"/>
        <v/>
      </c>
      <c r="AV37" s="66">
        <f t="shared" si="26"/>
        <v>0</v>
      </c>
      <c r="AW37" s="66">
        <f t="shared" si="27"/>
        <v>0</v>
      </c>
      <c r="AX37" s="66">
        <f t="shared" si="28"/>
        <v>0</v>
      </c>
      <c r="AY37" s="66">
        <f t="shared" si="29"/>
        <v>0</v>
      </c>
      <c r="AZ37" s="4">
        <f t="shared" si="30"/>
        <v>0</v>
      </c>
      <c r="BA37" s="66" t="str">
        <f t="shared" si="31"/>
        <v/>
      </c>
      <c r="BB37" s="66" t="str">
        <f t="shared" si="32"/>
        <v/>
      </c>
      <c r="BC37" s="66" t="str">
        <f t="shared" si="33"/>
        <v/>
      </c>
      <c r="BD37" s="66" t="str">
        <f t="shared" si="34"/>
        <v/>
      </c>
      <c r="BE37" s="4"/>
      <c r="BF37" s="349" t="str">
        <f t="shared" si="35"/>
        <v xml:space="preserve"> </v>
      </c>
      <c r="BG37" s="541"/>
      <c r="BH37" s="66">
        <f>SISWA!E35</f>
        <v>0</v>
      </c>
      <c r="BI37" s="542" t="str">
        <f t="shared" si="36"/>
        <v xml:space="preserve"> Baik dalam 0000</v>
      </c>
      <c r="BJ37" s="542" t="str">
        <f t="shared" si="37"/>
        <v xml:space="preserve">, dengan bimbingan yang lebih mampu meningkatkan </v>
      </c>
      <c r="BK37" s="4"/>
      <c r="BL37" s="4" t="str">
        <f t="shared" si="38"/>
        <v/>
      </c>
      <c r="BM37" s="4" t="str">
        <f t="shared" si="39"/>
        <v/>
      </c>
      <c r="BN37" s="4" t="str">
        <f t="shared" si="40"/>
        <v/>
      </c>
      <c r="BO37" s="4"/>
      <c r="BP37" s="349" t="str">
        <f t="shared" si="41"/>
        <v>.</v>
      </c>
    </row>
    <row r="38" spans="1:68">
      <c r="A38" s="30">
        <v>31</v>
      </c>
      <c r="B38" s="122">
        <f>SISWA!B36</f>
        <v>0</v>
      </c>
      <c r="C38" s="295"/>
      <c r="D38" s="295"/>
      <c r="E38" s="295"/>
      <c r="F38" s="295"/>
      <c r="G38" s="294" t="str">
        <f t="shared" si="4"/>
        <v xml:space="preserve"> </v>
      </c>
      <c r="J38" s="540" t="str">
        <f t="shared" si="5"/>
        <v/>
      </c>
      <c r="K38" s="540" t="str">
        <f t="shared" si="6"/>
        <v/>
      </c>
      <c r="L38" s="540" t="str">
        <f t="shared" si="7"/>
        <v/>
      </c>
      <c r="M38" s="540" t="str">
        <f t="shared" si="8"/>
        <v/>
      </c>
      <c r="N38" s="540"/>
      <c r="O38" s="540"/>
      <c r="P38" s="540"/>
      <c r="Q38" s="4"/>
      <c r="R38" s="540" t="str">
        <f t="shared" si="9"/>
        <v/>
      </c>
      <c r="S38" s="540" t="str">
        <f t="shared" si="10"/>
        <v/>
      </c>
      <c r="T38" s="540" t="str">
        <f t="shared" si="11"/>
        <v/>
      </c>
      <c r="U38" s="540" t="str">
        <f t="shared" si="12"/>
        <v/>
      </c>
      <c r="V38" s="540"/>
      <c r="W38" s="540"/>
      <c r="X38" s="540"/>
      <c r="Y38" s="653"/>
      <c r="Z38" s="540" t="str">
        <f t="shared" si="13"/>
        <v/>
      </c>
      <c r="AA38" s="540" t="str">
        <f t="shared" si="14"/>
        <v/>
      </c>
      <c r="AB38" s="540" t="str">
        <f t="shared" si="15"/>
        <v/>
      </c>
      <c r="AC38" s="540" t="str">
        <f t="shared" si="16"/>
        <v/>
      </c>
      <c r="AD38" s="540"/>
      <c r="AE38" s="540"/>
      <c r="AF38" s="540"/>
      <c r="AG38" s="4"/>
      <c r="AH38" s="540" t="str">
        <f t="shared" si="17"/>
        <v/>
      </c>
      <c r="AI38" s="540" t="str">
        <f t="shared" si="18"/>
        <v/>
      </c>
      <c r="AJ38" s="540" t="str">
        <f t="shared" si="19"/>
        <v/>
      </c>
      <c r="AK38" s="540" t="str">
        <f t="shared" si="20"/>
        <v/>
      </c>
      <c r="AL38" s="540"/>
      <c r="AM38" s="540"/>
      <c r="AN38" s="540"/>
      <c r="AO38" s="541"/>
      <c r="AP38" s="542" t="str">
        <f t="shared" si="21"/>
        <v xml:space="preserve">sangat baik dalam   </v>
      </c>
      <c r="AQ38" s="542" t="str">
        <f t="shared" si="22"/>
        <v xml:space="preserve">baik dalam </v>
      </c>
      <c r="AR38" s="542" t="str">
        <f t="shared" si="23"/>
        <v xml:space="preserve">cukup dalam </v>
      </c>
      <c r="AS38" s="542" t="str">
        <f t="shared" si="24"/>
        <v xml:space="preserve">sudah mampu meningkatkan </v>
      </c>
      <c r="AT38" s="542"/>
      <c r="AU38" s="4" t="str">
        <f t="shared" si="25"/>
        <v/>
      </c>
      <c r="AV38" s="66">
        <f t="shared" si="26"/>
        <v>0</v>
      </c>
      <c r="AW38" s="66">
        <f t="shared" si="27"/>
        <v>0</v>
      </c>
      <c r="AX38" s="66">
        <f t="shared" si="28"/>
        <v>0</v>
      </c>
      <c r="AY38" s="66">
        <f t="shared" si="29"/>
        <v>0</v>
      </c>
      <c r="AZ38" s="4">
        <f t="shared" si="30"/>
        <v>0</v>
      </c>
      <c r="BA38" s="66" t="str">
        <f t="shared" si="31"/>
        <v/>
      </c>
      <c r="BB38" s="66" t="str">
        <f t="shared" si="32"/>
        <v/>
      </c>
      <c r="BC38" s="66" t="str">
        <f t="shared" si="33"/>
        <v/>
      </c>
      <c r="BD38" s="66" t="str">
        <f t="shared" si="34"/>
        <v/>
      </c>
      <c r="BE38" s="4"/>
      <c r="BF38" s="349" t="str">
        <f t="shared" si="35"/>
        <v xml:space="preserve"> </v>
      </c>
      <c r="BG38" s="541"/>
      <c r="BH38" s="66">
        <f>SISWA!E36</f>
        <v>0</v>
      </c>
      <c r="BI38" s="542" t="str">
        <f t="shared" si="36"/>
        <v xml:space="preserve"> Baik dalam 0000</v>
      </c>
      <c r="BJ38" s="542" t="str">
        <f t="shared" si="37"/>
        <v xml:space="preserve">, dengan bimbingan yang lebih mampu meningkatkan </v>
      </c>
      <c r="BK38" s="4"/>
      <c r="BL38" s="4" t="str">
        <f t="shared" si="38"/>
        <v/>
      </c>
      <c r="BM38" s="4" t="str">
        <f t="shared" si="39"/>
        <v/>
      </c>
      <c r="BN38" s="4" t="str">
        <f t="shared" si="40"/>
        <v/>
      </c>
      <c r="BO38" s="4"/>
      <c r="BP38" s="349" t="str">
        <f t="shared" si="41"/>
        <v>.</v>
      </c>
    </row>
    <row r="39" spans="1:68">
      <c r="A39" s="30">
        <v>32</v>
      </c>
      <c r="B39" s="122">
        <f>SISWA!B37</f>
        <v>0</v>
      </c>
      <c r="C39" s="295"/>
      <c r="D39" s="295"/>
      <c r="E39" s="295"/>
      <c r="F39" s="295"/>
      <c r="G39" s="294" t="str">
        <f t="shared" si="4"/>
        <v xml:space="preserve"> </v>
      </c>
      <c r="J39" s="540" t="str">
        <f t="shared" si="5"/>
        <v/>
      </c>
      <c r="K39" s="540" t="str">
        <f t="shared" si="6"/>
        <v/>
      </c>
      <c r="L39" s="540" t="str">
        <f t="shared" si="7"/>
        <v/>
      </c>
      <c r="M39" s="540" t="str">
        <f t="shared" si="8"/>
        <v/>
      </c>
      <c r="N39" s="540"/>
      <c r="O39" s="540"/>
      <c r="P39" s="540"/>
      <c r="Q39" s="4"/>
      <c r="R39" s="540" t="str">
        <f t="shared" si="9"/>
        <v/>
      </c>
      <c r="S39" s="540" t="str">
        <f t="shared" si="10"/>
        <v/>
      </c>
      <c r="T39" s="540" t="str">
        <f t="shared" si="11"/>
        <v/>
      </c>
      <c r="U39" s="540" t="str">
        <f t="shared" si="12"/>
        <v/>
      </c>
      <c r="V39" s="540"/>
      <c r="W39" s="540"/>
      <c r="X39" s="540"/>
      <c r="Y39" s="653"/>
      <c r="Z39" s="540" t="str">
        <f t="shared" si="13"/>
        <v/>
      </c>
      <c r="AA39" s="540" t="str">
        <f t="shared" si="14"/>
        <v/>
      </c>
      <c r="AB39" s="540" t="str">
        <f t="shared" si="15"/>
        <v/>
      </c>
      <c r="AC39" s="540" t="str">
        <f t="shared" si="16"/>
        <v/>
      </c>
      <c r="AD39" s="540"/>
      <c r="AE39" s="540"/>
      <c r="AF39" s="540"/>
      <c r="AG39" s="4"/>
      <c r="AH39" s="540" t="str">
        <f t="shared" si="17"/>
        <v/>
      </c>
      <c r="AI39" s="540" t="str">
        <f t="shared" si="18"/>
        <v/>
      </c>
      <c r="AJ39" s="540" t="str">
        <f t="shared" si="19"/>
        <v/>
      </c>
      <c r="AK39" s="540" t="str">
        <f t="shared" si="20"/>
        <v/>
      </c>
      <c r="AL39" s="540"/>
      <c r="AM39" s="540"/>
      <c r="AN39" s="540"/>
      <c r="AO39" s="541"/>
      <c r="AP39" s="542" t="str">
        <f t="shared" si="21"/>
        <v xml:space="preserve">sangat baik dalam   </v>
      </c>
      <c r="AQ39" s="542" t="str">
        <f t="shared" si="22"/>
        <v xml:space="preserve">baik dalam </v>
      </c>
      <c r="AR39" s="542" t="str">
        <f t="shared" si="23"/>
        <v xml:space="preserve">cukup dalam </v>
      </c>
      <c r="AS39" s="542" t="str">
        <f t="shared" si="24"/>
        <v xml:space="preserve">sudah mampu meningkatkan </v>
      </c>
      <c r="AT39" s="542"/>
      <c r="AU39" s="4" t="str">
        <f t="shared" si="25"/>
        <v/>
      </c>
      <c r="AV39" s="66">
        <f t="shared" si="26"/>
        <v>0</v>
      </c>
      <c r="AW39" s="66">
        <f t="shared" si="27"/>
        <v>0</v>
      </c>
      <c r="AX39" s="66">
        <f t="shared" si="28"/>
        <v>0</v>
      </c>
      <c r="AY39" s="66">
        <f t="shared" si="29"/>
        <v>0</v>
      </c>
      <c r="AZ39" s="4">
        <f t="shared" si="30"/>
        <v>0</v>
      </c>
      <c r="BA39" s="66" t="str">
        <f t="shared" si="31"/>
        <v/>
      </c>
      <c r="BB39" s="66" t="str">
        <f t="shared" si="32"/>
        <v/>
      </c>
      <c r="BC39" s="66" t="str">
        <f t="shared" si="33"/>
        <v/>
      </c>
      <c r="BD39" s="66" t="str">
        <f t="shared" si="34"/>
        <v/>
      </c>
      <c r="BE39" s="4"/>
      <c r="BF39" s="349" t="str">
        <f t="shared" si="35"/>
        <v xml:space="preserve"> </v>
      </c>
      <c r="BG39" s="541"/>
      <c r="BH39" s="66">
        <f>SISWA!E37</f>
        <v>0</v>
      </c>
      <c r="BI39" s="542" t="str">
        <f t="shared" si="36"/>
        <v xml:space="preserve"> Baik dalam 0000</v>
      </c>
      <c r="BJ39" s="542" t="str">
        <f t="shared" si="37"/>
        <v xml:space="preserve">, dengan bimbingan yang lebih mampu meningkatkan </v>
      </c>
      <c r="BK39" s="4"/>
      <c r="BL39" s="4" t="str">
        <f t="shared" si="38"/>
        <v/>
      </c>
      <c r="BM39" s="4" t="str">
        <f t="shared" si="39"/>
        <v/>
      </c>
      <c r="BN39" s="4" t="str">
        <f t="shared" si="40"/>
        <v/>
      </c>
      <c r="BO39" s="4"/>
      <c r="BP39" s="349" t="str">
        <f t="shared" si="41"/>
        <v>.</v>
      </c>
    </row>
    <row r="40" spans="1:68">
      <c r="A40" s="30">
        <v>33</v>
      </c>
      <c r="B40" s="122">
        <f>SISWA!B38</f>
        <v>0</v>
      </c>
      <c r="C40" s="295"/>
      <c r="D40" s="295"/>
      <c r="E40" s="295"/>
      <c r="F40" s="295"/>
      <c r="G40" s="294" t="str">
        <f t="shared" si="4"/>
        <v xml:space="preserve"> </v>
      </c>
      <c r="J40" s="540" t="str">
        <f t="shared" si="5"/>
        <v/>
      </c>
      <c r="K40" s="540" t="str">
        <f t="shared" si="6"/>
        <v/>
      </c>
      <c r="L40" s="540" t="str">
        <f t="shared" si="7"/>
        <v/>
      </c>
      <c r="M40" s="540" t="str">
        <f t="shared" si="8"/>
        <v/>
      </c>
      <c r="N40" s="540"/>
      <c r="O40" s="540"/>
      <c r="P40" s="540"/>
      <c r="Q40" s="4"/>
      <c r="R40" s="540" t="str">
        <f t="shared" si="9"/>
        <v/>
      </c>
      <c r="S40" s="540" t="str">
        <f t="shared" si="10"/>
        <v/>
      </c>
      <c r="T40" s="540" t="str">
        <f t="shared" si="11"/>
        <v/>
      </c>
      <c r="U40" s="540" t="str">
        <f t="shared" si="12"/>
        <v/>
      </c>
      <c r="V40" s="540"/>
      <c r="W40" s="540"/>
      <c r="X40" s="540"/>
      <c r="Y40" s="653"/>
      <c r="Z40" s="540" t="str">
        <f t="shared" si="13"/>
        <v/>
      </c>
      <c r="AA40" s="540" t="str">
        <f t="shared" si="14"/>
        <v/>
      </c>
      <c r="AB40" s="540" t="str">
        <f t="shared" si="15"/>
        <v/>
      </c>
      <c r="AC40" s="540" t="str">
        <f t="shared" si="16"/>
        <v/>
      </c>
      <c r="AD40" s="540"/>
      <c r="AE40" s="540"/>
      <c r="AF40" s="540"/>
      <c r="AG40" s="4"/>
      <c r="AH40" s="540" t="str">
        <f t="shared" si="17"/>
        <v/>
      </c>
      <c r="AI40" s="540" t="str">
        <f t="shared" si="18"/>
        <v/>
      </c>
      <c r="AJ40" s="540" t="str">
        <f t="shared" si="19"/>
        <v/>
      </c>
      <c r="AK40" s="540" t="str">
        <f t="shared" si="20"/>
        <v/>
      </c>
      <c r="AL40" s="540"/>
      <c r="AM40" s="540"/>
      <c r="AN40" s="540"/>
      <c r="AO40" s="541"/>
      <c r="AP40" s="542" t="str">
        <f t="shared" si="21"/>
        <v xml:space="preserve">sangat baik dalam   </v>
      </c>
      <c r="AQ40" s="542" t="str">
        <f t="shared" si="22"/>
        <v xml:space="preserve">baik dalam </v>
      </c>
      <c r="AR40" s="542" t="str">
        <f t="shared" si="23"/>
        <v xml:space="preserve">cukup dalam </v>
      </c>
      <c r="AS40" s="542" t="str">
        <f t="shared" si="24"/>
        <v xml:space="preserve">sudah mampu meningkatkan </v>
      </c>
      <c r="AT40" s="542"/>
      <c r="AU40" s="4" t="str">
        <f t="shared" si="25"/>
        <v/>
      </c>
      <c r="AV40" s="66">
        <f t="shared" si="26"/>
        <v>0</v>
      </c>
      <c r="AW40" s="66">
        <f t="shared" si="27"/>
        <v>0</v>
      </c>
      <c r="AX40" s="66">
        <f t="shared" si="28"/>
        <v>0</v>
      </c>
      <c r="AY40" s="66">
        <f t="shared" si="29"/>
        <v>0</v>
      </c>
      <c r="AZ40" s="4">
        <f t="shared" si="30"/>
        <v>0</v>
      </c>
      <c r="BA40" s="66" t="str">
        <f t="shared" si="31"/>
        <v/>
      </c>
      <c r="BB40" s="66" t="str">
        <f t="shared" si="32"/>
        <v/>
      </c>
      <c r="BC40" s="66" t="str">
        <f t="shared" si="33"/>
        <v/>
      </c>
      <c r="BD40" s="66" t="str">
        <f t="shared" si="34"/>
        <v/>
      </c>
      <c r="BE40" s="4"/>
      <c r="BF40" s="349" t="str">
        <f t="shared" si="35"/>
        <v xml:space="preserve"> </v>
      </c>
      <c r="BG40" s="541"/>
      <c r="BH40" s="66">
        <f>SISWA!E38</f>
        <v>0</v>
      </c>
      <c r="BI40" s="542" t="str">
        <f t="shared" si="36"/>
        <v xml:space="preserve"> Baik dalam 0000</v>
      </c>
      <c r="BJ40" s="542" t="str">
        <f t="shared" si="37"/>
        <v xml:space="preserve">, dengan bimbingan yang lebih mampu meningkatkan </v>
      </c>
      <c r="BK40" s="4"/>
      <c r="BL40" s="4" t="str">
        <f t="shared" si="38"/>
        <v/>
      </c>
      <c r="BM40" s="4" t="str">
        <f t="shared" si="39"/>
        <v/>
      </c>
      <c r="BN40" s="4" t="str">
        <f t="shared" si="40"/>
        <v/>
      </c>
      <c r="BO40" s="4"/>
      <c r="BP40" s="349" t="str">
        <f t="shared" si="41"/>
        <v>.</v>
      </c>
    </row>
    <row r="41" spans="1:68">
      <c r="A41" s="30">
        <v>34</v>
      </c>
      <c r="B41" s="122">
        <f>SISWA!B39</f>
        <v>0</v>
      </c>
      <c r="C41" s="295"/>
      <c r="D41" s="295"/>
      <c r="E41" s="295"/>
      <c r="F41" s="295"/>
      <c r="G41" s="294" t="str">
        <f t="shared" si="4"/>
        <v xml:space="preserve"> </v>
      </c>
      <c r="J41" s="540" t="str">
        <f t="shared" si="5"/>
        <v/>
      </c>
      <c r="K41" s="540" t="str">
        <f t="shared" si="6"/>
        <v/>
      </c>
      <c r="L41" s="540" t="str">
        <f t="shared" si="7"/>
        <v/>
      </c>
      <c r="M41" s="540" t="str">
        <f t="shared" si="8"/>
        <v/>
      </c>
      <c r="N41" s="540"/>
      <c r="O41" s="540"/>
      <c r="P41" s="540"/>
      <c r="Q41" s="4"/>
      <c r="R41" s="540" t="str">
        <f t="shared" si="9"/>
        <v/>
      </c>
      <c r="S41" s="540" t="str">
        <f t="shared" si="10"/>
        <v/>
      </c>
      <c r="T41" s="540" t="str">
        <f t="shared" si="11"/>
        <v/>
      </c>
      <c r="U41" s="540" t="str">
        <f t="shared" si="12"/>
        <v/>
      </c>
      <c r="V41" s="540"/>
      <c r="W41" s="540"/>
      <c r="X41" s="540"/>
      <c r="Y41" s="653"/>
      <c r="Z41" s="540" t="str">
        <f t="shared" si="13"/>
        <v/>
      </c>
      <c r="AA41" s="540" t="str">
        <f t="shared" si="14"/>
        <v/>
      </c>
      <c r="AB41" s="540" t="str">
        <f t="shared" si="15"/>
        <v/>
      </c>
      <c r="AC41" s="540" t="str">
        <f t="shared" si="16"/>
        <v/>
      </c>
      <c r="AD41" s="540"/>
      <c r="AE41" s="540"/>
      <c r="AF41" s="540"/>
      <c r="AG41" s="4"/>
      <c r="AH41" s="540" t="str">
        <f t="shared" si="17"/>
        <v/>
      </c>
      <c r="AI41" s="540" t="str">
        <f t="shared" si="18"/>
        <v/>
      </c>
      <c r="AJ41" s="540" t="str">
        <f t="shared" si="19"/>
        <v/>
      </c>
      <c r="AK41" s="540" t="str">
        <f t="shared" si="20"/>
        <v/>
      </c>
      <c r="AL41" s="540"/>
      <c r="AM41" s="540"/>
      <c r="AN41" s="540"/>
      <c r="AO41" s="541"/>
      <c r="AP41" s="542" t="str">
        <f t="shared" si="21"/>
        <v xml:space="preserve">sangat baik dalam   </v>
      </c>
      <c r="AQ41" s="542" t="str">
        <f t="shared" si="22"/>
        <v xml:space="preserve">baik dalam </v>
      </c>
      <c r="AR41" s="542" t="str">
        <f t="shared" si="23"/>
        <v xml:space="preserve">cukup dalam </v>
      </c>
      <c r="AS41" s="542" t="str">
        <f t="shared" si="24"/>
        <v xml:space="preserve">sudah mampu meningkatkan </v>
      </c>
      <c r="AT41" s="542"/>
      <c r="AU41" s="4" t="str">
        <f t="shared" si="25"/>
        <v/>
      </c>
      <c r="AV41" s="66">
        <f t="shared" si="26"/>
        <v>0</v>
      </c>
      <c r="AW41" s="66">
        <f t="shared" si="27"/>
        <v>0</v>
      </c>
      <c r="AX41" s="66">
        <f t="shared" si="28"/>
        <v>0</v>
      </c>
      <c r="AY41" s="66">
        <f t="shared" si="29"/>
        <v>0</v>
      </c>
      <c r="AZ41" s="4">
        <f t="shared" si="30"/>
        <v>0</v>
      </c>
      <c r="BA41" s="66" t="str">
        <f t="shared" si="31"/>
        <v/>
      </c>
      <c r="BB41" s="66" t="str">
        <f t="shared" si="32"/>
        <v/>
      </c>
      <c r="BC41" s="66" t="str">
        <f t="shared" si="33"/>
        <v/>
      </c>
      <c r="BD41" s="66" t="str">
        <f t="shared" si="34"/>
        <v/>
      </c>
      <c r="BE41" s="4"/>
      <c r="BF41" s="349" t="str">
        <f t="shared" si="35"/>
        <v xml:space="preserve"> </v>
      </c>
      <c r="BG41" s="541"/>
      <c r="BH41" s="66">
        <f>SISWA!E39</f>
        <v>0</v>
      </c>
      <c r="BI41" s="542" t="str">
        <f t="shared" si="36"/>
        <v xml:space="preserve"> Baik dalam 0000</v>
      </c>
      <c r="BJ41" s="542" t="str">
        <f t="shared" si="37"/>
        <v xml:space="preserve">, dengan bimbingan yang lebih mampu meningkatkan </v>
      </c>
      <c r="BK41" s="4"/>
      <c r="BL41" s="4" t="str">
        <f t="shared" si="38"/>
        <v/>
      </c>
      <c r="BM41" s="4" t="str">
        <f t="shared" si="39"/>
        <v/>
      </c>
      <c r="BN41" s="4" t="str">
        <f t="shared" si="40"/>
        <v/>
      </c>
      <c r="BO41" s="4"/>
      <c r="BP41" s="349" t="str">
        <f t="shared" si="41"/>
        <v>.</v>
      </c>
    </row>
    <row r="42" spans="1:68">
      <c r="A42" s="30">
        <v>35</v>
      </c>
      <c r="B42" s="122">
        <f>SISWA!B40</f>
        <v>0</v>
      </c>
      <c r="C42" s="295"/>
      <c r="D42" s="295"/>
      <c r="E42" s="295"/>
      <c r="F42" s="295"/>
      <c r="G42" s="294" t="str">
        <f t="shared" si="4"/>
        <v xml:space="preserve"> </v>
      </c>
      <c r="J42" s="540" t="str">
        <f t="shared" si="5"/>
        <v/>
      </c>
      <c r="K42" s="540" t="str">
        <f t="shared" si="6"/>
        <v/>
      </c>
      <c r="L42" s="540" t="str">
        <f t="shared" si="7"/>
        <v/>
      </c>
      <c r="M42" s="540" t="str">
        <f t="shared" si="8"/>
        <v/>
      </c>
      <c r="N42" s="540"/>
      <c r="O42" s="540"/>
      <c r="P42" s="540"/>
      <c r="Q42" s="4"/>
      <c r="R42" s="540" t="str">
        <f t="shared" si="9"/>
        <v/>
      </c>
      <c r="S42" s="540" t="str">
        <f t="shared" si="10"/>
        <v/>
      </c>
      <c r="T42" s="540" t="str">
        <f t="shared" si="11"/>
        <v/>
      </c>
      <c r="U42" s="540" t="str">
        <f t="shared" si="12"/>
        <v/>
      </c>
      <c r="V42" s="540"/>
      <c r="W42" s="540"/>
      <c r="X42" s="540"/>
      <c r="Y42" s="653"/>
      <c r="Z42" s="540" t="str">
        <f t="shared" si="13"/>
        <v/>
      </c>
      <c r="AA42" s="540" t="str">
        <f t="shared" si="14"/>
        <v/>
      </c>
      <c r="AB42" s="540" t="str">
        <f t="shared" si="15"/>
        <v/>
      </c>
      <c r="AC42" s="540" t="str">
        <f t="shared" si="16"/>
        <v/>
      </c>
      <c r="AD42" s="540"/>
      <c r="AE42" s="540"/>
      <c r="AF42" s="540"/>
      <c r="AG42" s="4"/>
      <c r="AH42" s="540" t="str">
        <f t="shared" si="17"/>
        <v/>
      </c>
      <c r="AI42" s="540" t="str">
        <f t="shared" si="18"/>
        <v/>
      </c>
      <c r="AJ42" s="540" t="str">
        <f t="shared" si="19"/>
        <v/>
      </c>
      <c r="AK42" s="540" t="str">
        <f t="shared" si="20"/>
        <v/>
      </c>
      <c r="AL42" s="540"/>
      <c r="AM42" s="540"/>
      <c r="AN42" s="540"/>
      <c r="AO42" s="541"/>
      <c r="AP42" s="542" t="str">
        <f t="shared" si="21"/>
        <v xml:space="preserve">sangat baik dalam   </v>
      </c>
      <c r="AQ42" s="542" t="str">
        <f t="shared" si="22"/>
        <v xml:space="preserve">baik dalam </v>
      </c>
      <c r="AR42" s="542" t="str">
        <f t="shared" si="23"/>
        <v xml:space="preserve">cukup dalam </v>
      </c>
      <c r="AS42" s="542" t="str">
        <f t="shared" si="24"/>
        <v xml:space="preserve">sudah mampu meningkatkan </v>
      </c>
      <c r="AT42" s="542"/>
      <c r="AU42" s="4" t="str">
        <f t="shared" si="25"/>
        <v/>
      </c>
      <c r="AV42" s="66">
        <f t="shared" si="26"/>
        <v>0</v>
      </c>
      <c r="AW42" s="66">
        <f t="shared" si="27"/>
        <v>0</v>
      </c>
      <c r="AX42" s="66">
        <f t="shared" si="28"/>
        <v>0</v>
      </c>
      <c r="AY42" s="66">
        <f t="shared" si="29"/>
        <v>0</v>
      </c>
      <c r="AZ42" s="4">
        <f t="shared" si="30"/>
        <v>0</v>
      </c>
      <c r="BA42" s="66" t="str">
        <f t="shared" si="31"/>
        <v/>
      </c>
      <c r="BB42" s="66" t="str">
        <f t="shared" si="32"/>
        <v/>
      </c>
      <c r="BC42" s="66" t="str">
        <f t="shared" si="33"/>
        <v/>
      </c>
      <c r="BD42" s="66" t="str">
        <f t="shared" si="34"/>
        <v/>
      </c>
      <c r="BE42" s="4"/>
      <c r="BF42" s="349" t="str">
        <f t="shared" si="35"/>
        <v xml:space="preserve"> </v>
      </c>
      <c r="BG42" s="541"/>
      <c r="BH42" s="66">
        <f>SISWA!E40</f>
        <v>0</v>
      </c>
      <c r="BI42" s="542" t="str">
        <f t="shared" si="36"/>
        <v xml:space="preserve"> Baik dalam 0000</v>
      </c>
      <c r="BJ42" s="542" t="str">
        <f t="shared" si="37"/>
        <v xml:space="preserve">, dengan bimbingan yang lebih mampu meningkatkan </v>
      </c>
      <c r="BK42" s="4"/>
      <c r="BL42" s="4" t="str">
        <f t="shared" si="38"/>
        <v/>
      </c>
      <c r="BM42" s="4" t="str">
        <f t="shared" si="39"/>
        <v/>
      </c>
      <c r="BN42" s="4" t="str">
        <f t="shared" si="40"/>
        <v/>
      </c>
      <c r="BO42" s="4"/>
      <c r="BP42" s="349" t="str">
        <f t="shared" si="41"/>
        <v>.</v>
      </c>
    </row>
    <row r="43" spans="1:68"/>
    <row r="44" spans="1:68"/>
    <row r="45" spans="1:68">
      <c r="C45" s="490" t="s">
        <v>91</v>
      </c>
      <c r="G45" s="490" t="s">
        <v>63</v>
      </c>
    </row>
    <row r="46" spans="1:68"/>
    <row r="47" spans="1:68">
      <c r="G47" s="125"/>
    </row>
    <row r="48" spans="1:68">
      <c r="G48" s="125"/>
    </row>
    <row r="49" spans="3:7">
      <c r="C49" s="490" t="str">
        <f>MENU!N27</f>
        <v>SRILESTARI, S.PdI</v>
      </c>
      <c r="G49" s="490" t="str">
        <f>MENU!N24</f>
        <v>TUTIK RAHAYU, S.Pd</v>
      </c>
    </row>
    <row r="50" spans="3:7">
      <c r="C50" s="490" t="str">
        <f>"NIP "&amp;MENU!N28</f>
        <v>NIP 954033</v>
      </c>
      <c r="G50" s="490" t="str">
        <f>"NIP. "&amp;MENU!N25</f>
        <v>NIP. 1295423</v>
      </c>
    </row>
    <row r="51" spans="3:7"/>
    <row r="52" spans="3:7"/>
    <row r="53" spans="3:7"/>
    <row r="54" spans="3:7"/>
    <row r="55" spans="3:7"/>
  </sheetData>
  <sheetProtection password="CA9C" sheet="1" objects="1" scenarios="1" formatCells="0" formatRows="0"/>
  <mergeCells count="8">
    <mergeCell ref="A5:A7"/>
    <mergeCell ref="B5:B7"/>
    <mergeCell ref="G5:G7"/>
    <mergeCell ref="C6:C7"/>
    <mergeCell ref="D6:D7"/>
    <mergeCell ref="E6:E7"/>
    <mergeCell ref="F6:F7"/>
    <mergeCell ref="C5:F5"/>
  </mergeCells>
  <pageMargins left="0.70866141732283472" right="0.70866141732283472" top="0.74803149606299213" bottom="0.74803149606299213" header="0.31496062992125984" footer="0.31496062992125984"/>
  <pageSetup paperSize="5" orientation="landscape" horizontalDpi="4294967294" verticalDpi="4294967294"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FF00"/>
  </sheetPr>
  <dimension ref="A1:DN49"/>
  <sheetViews>
    <sheetView showRowColHeaders="0" showZeros="0" workbookViewId="0">
      <pane xSplit="2" ySplit="7" topLeftCell="C8" activePane="bottomRight" state="frozen"/>
      <selection pane="topRight" activeCell="C1" sqref="C1"/>
      <selection pane="bottomLeft" activeCell="A8" sqref="A8"/>
      <selection pane="bottomRight" activeCell="H23" sqref="H23"/>
    </sheetView>
  </sheetViews>
  <sheetFormatPr defaultColWidth="0" defaultRowHeight="15" zeroHeight="1"/>
  <cols>
    <col min="1" max="1" width="3.85546875" customWidth="1"/>
    <col min="2" max="2" width="20.85546875" customWidth="1"/>
    <col min="3" max="4" width="7.7109375" customWidth="1"/>
    <col min="5" max="6" width="8.7109375" customWidth="1"/>
    <col min="7" max="8" width="7.7109375" customWidth="1"/>
    <col min="9" max="9" width="80.5703125" customWidth="1"/>
    <col min="10" max="10" width="3.7109375" customWidth="1"/>
    <col min="11" max="84" width="3.7109375" hidden="1" customWidth="1"/>
    <col min="85" max="118" width="0" hidden="1" customWidth="1"/>
    <col min="119" max="16384" width="9.140625" hidden="1"/>
  </cols>
  <sheetData>
    <row r="1" spans="1:84" ht="14.25" customHeight="1">
      <c r="C1" s="119" t="s">
        <v>463</v>
      </c>
      <c r="D1" s="120"/>
      <c r="H1" s="221"/>
    </row>
    <row r="2" spans="1:84">
      <c r="B2" s="121" t="s">
        <v>27</v>
      </c>
      <c r="C2" t="s">
        <v>35</v>
      </c>
      <c r="D2" t="str">
        <f>MENU!N20</f>
        <v>V ( Lima )</v>
      </c>
      <c r="H2" s="221"/>
    </row>
    <row r="3" spans="1:84">
      <c r="B3" s="121" t="s">
        <v>52</v>
      </c>
      <c r="C3" t="s">
        <v>35</v>
      </c>
      <c r="D3" t="str">
        <f>MENU!N21</f>
        <v>1 ( satu )</v>
      </c>
      <c r="G3" t="s">
        <v>467</v>
      </c>
      <c r="H3" s="221" t="str">
        <f>MENU!N22</f>
        <v>2019/2020</v>
      </c>
    </row>
    <row r="4" spans="1:84" ht="9.75" customHeight="1"/>
    <row r="5" spans="1:84">
      <c r="A5" s="919" t="s">
        <v>55</v>
      </c>
      <c r="B5" s="919" t="s">
        <v>10</v>
      </c>
      <c r="C5" s="920" t="s">
        <v>56</v>
      </c>
      <c r="D5" s="921"/>
      <c r="E5" s="921"/>
      <c r="F5" s="921"/>
      <c r="G5" s="222"/>
      <c r="H5" s="222"/>
      <c r="I5" s="922" t="s">
        <v>57</v>
      </c>
      <c r="L5" t="s">
        <v>374</v>
      </c>
      <c r="T5" t="s">
        <v>101</v>
      </c>
      <c r="AC5" t="s">
        <v>465</v>
      </c>
      <c r="AJ5" t="s">
        <v>375</v>
      </c>
      <c r="AR5" s="39" t="s">
        <v>374</v>
      </c>
      <c r="AS5" s="39" t="s">
        <v>101</v>
      </c>
      <c r="AT5" s="39" t="s">
        <v>465</v>
      </c>
      <c r="AU5" s="39" t="s">
        <v>466</v>
      </c>
      <c r="AV5" s="656"/>
      <c r="BP5" t="s">
        <v>375</v>
      </c>
      <c r="BX5" s="39" t="s">
        <v>374</v>
      </c>
      <c r="BY5" s="39" t="s">
        <v>101</v>
      </c>
      <c r="BZ5" s="39" t="s">
        <v>376</v>
      </c>
    </row>
    <row r="6" spans="1:84" ht="30" customHeight="1">
      <c r="A6" s="919"/>
      <c r="B6" s="919"/>
      <c r="C6" s="654" t="s">
        <v>166</v>
      </c>
      <c r="D6" s="654" t="s">
        <v>167</v>
      </c>
      <c r="E6" s="654" t="s">
        <v>168</v>
      </c>
      <c r="F6" s="654" t="s">
        <v>169</v>
      </c>
      <c r="G6" s="654" t="s">
        <v>373</v>
      </c>
      <c r="H6" s="655" t="s">
        <v>464</v>
      </c>
      <c r="I6" s="923"/>
      <c r="K6" s="4"/>
      <c r="L6" s="538" t="str">
        <f>C6</f>
        <v>jujur</v>
      </c>
      <c r="M6" s="538" t="str">
        <f t="shared" ref="M6:Q6" si="0">D6</f>
        <v>disiplin</v>
      </c>
      <c r="N6" s="538" t="str">
        <f t="shared" si="0"/>
        <v>percaya diri</v>
      </c>
      <c r="O6" s="538" t="str">
        <f t="shared" si="0"/>
        <v>tanggung jawab</v>
      </c>
      <c r="P6" s="538" t="str">
        <f t="shared" si="0"/>
        <v>sopan santun</v>
      </c>
      <c r="Q6" s="538" t="str">
        <f t="shared" si="0"/>
        <v>kerja sama</v>
      </c>
      <c r="R6" s="538"/>
      <c r="S6" s="4"/>
      <c r="T6" s="538" t="str">
        <f>L6</f>
        <v>jujur</v>
      </c>
      <c r="U6" s="538" t="str">
        <f t="shared" ref="U6:Z6" si="1">M6</f>
        <v>disiplin</v>
      </c>
      <c r="V6" s="538" t="str">
        <f t="shared" si="1"/>
        <v>percaya diri</v>
      </c>
      <c r="W6" s="538" t="str">
        <f t="shared" si="1"/>
        <v>tanggung jawab</v>
      </c>
      <c r="X6" s="538" t="str">
        <f t="shared" si="1"/>
        <v>sopan santun</v>
      </c>
      <c r="Y6" s="538" t="str">
        <f t="shared" si="1"/>
        <v>kerja sama</v>
      </c>
      <c r="Z6" s="538">
        <f t="shared" si="1"/>
        <v>0</v>
      </c>
      <c r="AA6" s="537"/>
      <c r="AB6" s="536" t="str">
        <f>T6</f>
        <v>jujur</v>
      </c>
      <c r="AC6" s="536" t="str">
        <f t="shared" ref="AC6:AG6" si="2">U6</f>
        <v>disiplin</v>
      </c>
      <c r="AD6" s="536" t="str">
        <f t="shared" si="2"/>
        <v>percaya diri</v>
      </c>
      <c r="AE6" s="536" t="str">
        <f t="shared" si="2"/>
        <v>tanggung jawab</v>
      </c>
      <c r="AF6" s="536" t="str">
        <f t="shared" si="2"/>
        <v>sopan santun</v>
      </c>
      <c r="AG6" s="536" t="str">
        <f t="shared" si="2"/>
        <v>kerja sama</v>
      </c>
      <c r="AH6" s="537"/>
      <c r="AI6" s="4"/>
      <c r="AJ6" s="539" t="str">
        <f>AB6</f>
        <v>jujur</v>
      </c>
      <c r="AK6" s="539" t="str">
        <f t="shared" ref="AK6:AP6" si="3">AC6</f>
        <v>disiplin</v>
      </c>
      <c r="AL6" s="539" t="str">
        <f t="shared" si="3"/>
        <v>percaya diri</v>
      </c>
      <c r="AM6" s="539" t="str">
        <f t="shared" si="3"/>
        <v>tanggung jawab</v>
      </c>
      <c r="AN6" s="539" t="str">
        <f t="shared" si="3"/>
        <v>sopan santun</v>
      </c>
      <c r="AO6" s="539" t="str">
        <f t="shared" si="3"/>
        <v>kerja sama</v>
      </c>
      <c r="AP6" s="539">
        <f t="shared" si="3"/>
        <v>0</v>
      </c>
      <c r="AQ6" s="4"/>
      <c r="AR6" s="66" t="s">
        <v>458</v>
      </c>
      <c r="AS6" s="66" t="s">
        <v>459</v>
      </c>
      <c r="AT6" s="66" t="s">
        <v>460</v>
      </c>
      <c r="AU6" s="66" t="s">
        <v>461</v>
      </c>
      <c r="AV6" s="4"/>
      <c r="AW6" s="4"/>
      <c r="AX6" s="66"/>
      <c r="AY6" s="66"/>
      <c r="AZ6" s="66"/>
      <c r="BA6" s="66"/>
      <c r="BB6" s="4"/>
      <c r="BC6" s="66" t="s">
        <v>368</v>
      </c>
      <c r="BD6" s="66" t="s">
        <v>369</v>
      </c>
      <c r="BE6" s="66" t="s">
        <v>460</v>
      </c>
      <c r="BF6" s="66" t="s">
        <v>461</v>
      </c>
      <c r="BG6" s="66"/>
      <c r="BH6" s="46" t="s">
        <v>371</v>
      </c>
      <c r="BX6" s="39"/>
      <c r="BY6" s="39"/>
      <c r="BZ6" s="39"/>
    </row>
    <row r="7" spans="1:84" ht="5.0999999999999996" customHeight="1">
      <c r="A7" s="919"/>
      <c r="B7" s="919"/>
      <c r="C7" s="543"/>
      <c r="D7" s="543"/>
      <c r="E7" s="543"/>
      <c r="F7" s="543"/>
      <c r="G7" s="543"/>
      <c r="H7" s="543"/>
      <c r="I7" s="924"/>
      <c r="K7" s="4"/>
      <c r="L7" s="540" t="str">
        <f t="shared" ref="L7:Q8" si="4">IF(C7="A",L$6&amp;", ","")</f>
        <v/>
      </c>
      <c r="M7" s="540" t="str">
        <f t="shared" si="4"/>
        <v/>
      </c>
      <c r="N7" s="540" t="str">
        <f t="shared" si="4"/>
        <v/>
      </c>
      <c r="O7" s="540" t="str">
        <f t="shared" si="4"/>
        <v/>
      </c>
      <c r="P7" s="540" t="str">
        <f t="shared" si="4"/>
        <v/>
      </c>
      <c r="Q7" s="540" t="str">
        <f t="shared" si="4"/>
        <v/>
      </c>
      <c r="R7" s="540"/>
      <c r="S7" s="4"/>
      <c r="T7" s="540" t="str">
        <f t="shared" ref="T7:Y8" si="5">IF(C7="B",T$6&amp;", ","")</f>
        <v/>
      </c>
      <c r="U7" s="540" t="str">
        <f t="shared" si="5"/>
        <v/>
      </c>
      <c r="V7" s="540" t="str">
        <f t="shared" si="5"/>
        <v/>
      </c>
      <c r="W7" s="540" t="str">
        <f t="shared" si="5"/>
        <v/>
      </c>
      <c r="X7" s="540" t="str">
        <f t="shared" si="5"/>
        <v/>
      </c>
      <c r="Y7" s="540" t="str">
        <f t="shared" si="5"/>
        <v/>
      </c>
      <c r="Z7" s="540"/>
      <c r="AA7" s="653"/>
      <c r="AB7" s="540" t="str">
        <f t="shared" ref="AB7:AG8" si="6">IF(C7="C",AB$6&amp;", ","")</f>
        <v/>
      </c>
      <c r="AC7" s="540" t="str">
        <f t="shared" si="6"/>
        <v/>
      </c>
      <c r="AD7" s="540" t="str">
        <f t="shared" si="6"/>
        <v/>
      </c>
      <c r="AE7" s="540" t="str">
        <f t="shared" si="6"/>
        <v/>
      </c>
      <c r="AF7" s="540" t="str">
        <f t="shared" si="6"/>
        <v/>
      </c>
      <c r="AG7" s="540" t="str">
        <f t="shared" si="6"/>
        <v/>
      </c>
      <c r="AH7" s="540"/>
      <c r="AI7" s="4"/>
      <c r="AJ7" s="540" t="str">
        <f t="shared" ref="AJ7:AO8" si="7">IF(C7="D",AJ$6&amp;", ","")</f>
        <v/>
      </c>
      <c r="AK7" s="540" t="str">
        <f t="shared" si="7"/>
        <v/>
      </c>
      <c r="AL7" s="540" t="str">
        <f t="shared" si="7"/>
        <v/>
      </c>
      <c r="AM7" s="540" t="str">
        <f t="shared" si="7"/>
        <v/>
      </c>
      <c r="AN7" s="540" t="str">
        <f t="shared" si="7"/>
        <v/>
      </c>
      <c r="AO7" s="540" t="str">
        <f t="shared" si="7"/>
        <v/>
      </c>
      <c r="AP7" s="540"/>
      <c r="AQ7" s="541"/>
      <c r="AR7" s="542" t="str">
        <f>("Sangat  "&amp;L7&amp;M7&amp;N7&amp;O7&amp;P7&amp;Q7&amp;R7)</f>
        <v xml:space="preserve">Sangat  </v>
      </c>
      <c r="AS7" s="542" t="str">
        <f>("Baik dalam sikap "&amp;T7&amp;U7&amp;V7&amp;W7&amp;X7&amp;Y7&amp;Z7)</f>
        <v xml:space="preserve">Baik dalam sikap </v>
      </c>
      <c r="AT7" s="542" t="str">
        <f>("cukup dalam sikap "&amp;AB7&amp;AC7&amp;AD7&amp;AE7&amp;AF7&amp;AG7&amp;AA7)</f>
        <v xml:space="preserve">cukup dalam sikap </v>
      </c>
      <c r="AU7" s="542" t="str">
        <f>("sudah mampu meningkatkan sikap "&amp;AJ7&amp;AK7&amp;AL7&amp;AM7&amp;AN7&amp;AO7&amp;AP7)</f>
        <v xml:space="preserve">sudah mampu meningkatkan sikap </v>
      </c>
      <c r="AV7" s="542"/>
      <c r="AW7" s="4"/>
      <c r="AX7" s="66">
        <f>COUNTIF(C7:H7,"A")</f>
        <v>0</v>
      </c>
      <c r="AY7" s="66">
        <f>COUNTIF(C7:H7,"B")</f>
        <v>0</v>
      </c>
      <c r="AZ7" s="66">
        <f>COUNTIF(C7:H7,"C")</f>
        <v>0</v>
      </c>
      <c r="BA7" s="66">
        <f>COUNTIF(C7:H7,"D")</f>
        <v>0</v>
      </c>
      <c r="BB7" s="4"/>
      <c r="BC7" s="66" t="str">
        <f>IF(AX7&gt;6,"",IF(AX7&gt;=1,AR7,""))</f>
        <v/>
      </c>
      <c r="BD7" s="66" t="str">
        <f t="shared" ref="BD7:BF8" si="8">IF(AY7&gt;6,"",IF(AY7&gt;=1,AS7,""))</f>
        <v/>
      </c>
      <c r="BE7" s="66" t="str">
        <f t="shared" si="8"/>
        <v/>
      </c>
      <c r="BF7" s="66" t="str">
        <f t="shared" si="8"/>
        <v/>
      </c>
      <c r="BG7" s="4"/>
      <c r="BH7" s="349" t="str">
        <f>B7&amp;" "&amp;CONCATENATE(BC7&amp;BD7&amp;BE7&amp;BF7)</f>
        <v xml:space="preserve"> </v>
      </c>
      <c r="BI7" s="538" t="str">
        <f t="shared" ref="BI7:BN7" si="9">M7</f>
        <v/>
      </c>
      <c r="BJ7" s="538" t="str">
        <f t="shared" si="9"/>
        <v/>
      </c>
      <c r="BK7" s="538" t="str">
        <f t="shared" si="9"/>
        <v/>
      </c>
      <c r="BL7" s="538" t="str">
        <f t="shared" si="9"/>
        <v/>
      </c>
      <c r="BM7" s="538" t="str">
        <f t="shared" si="9"/>
        <v/>
      </c>
      <c r="BN7" s="538">
        <f t="shared" si="9"/>
        <v>0</v>
      </c>
      <c r="BO7" s="4"/>
      <c r="BP7" s="539" t="str">
        <f t="shared" ref="BP7:BV7" si="10">L7</f>
        <v/>
      </c>
      <c r="BQ7" s="539" t="str">
        <f t="shared" si="10"/>
        <v/>
      </c>
      <c r="BR7" s="539" t="str">
        <f t="shared" si="10"/>
        <v/>
      </c>
      <c r="BS7" s="539" t="str">
        <f t="shared" si="10"/>
        <v/>
      </c>
      <c r="BT7" s="539" t="str">
        <f t="shared" si="10"/>
        <v/>
      </c>
      <c r="BU7" s="539" t="str">
        <f t="shared" si="10"/>
        <v/>
      </c>
      <c r="BV7" s="539">
        <f t="shared" si="10"/>
        <v>0</v>
      </c>
      <c r="BW7" s="4"/>
      <c r="BX7" s="66"/>
      <c r="BY7" s="66"/>
      <c r="BZ7" s="66"/>
      <c r="CA7" s="4"/>
      <c r="CB7" s="66" t="s">
        <v>368</v>
      </c>
      <c r="CC7" s="66" t="s">
        <v>369</v>
      </c>
      <c r="CD7" s="66" t="s">
        <v>370</v>
      </c>
      <c r="CE7" s="4"/>
      <c r="CF7" s="46" t="s">
        <v>371</v>
      </c>
    </row>
    <row r="8" spans="1:84" ht="30" customHeight="1">
      <c r="A8" s="223">
        <v>1</v>
      </c>
      <c r="B8" s="224" t="str">
        <f>SISWA!$B6</f>
        <v>Afif Rafiudin</v>
      </c>
      <c r="C8" s="225" t="s">
        <v>2</v>
      </c>
      <c r="D8" s="225" t="s">
        <v>2</v>
      </c>
      <c r="E8" s="225" t="s">
        <v>64</v>
      </c>
      <c r="F8" s="225" t="s">
        <v>2</v>
      </c>
      <c r="G8" s="225" t="s">
        <v>2</v>
      </c>
      <c r="H8" s="225" t="s">
        <v>2</v>
      </c>
      <c r="I8" s="294" t="str">
        <f>IFERROR(BH8," ")</f>
        <v xml:space="preserve">Ananda Afif baik dalam sikap jujur, disiplin, tanggung jawab, sopan santun, kerja sama, </v>
      </c>
      <c r="K8" s="4"/>
      <c r="L8" s="540" t="str">
        <f t="shared" si="4"/>
        <v/>
      </c>
      <c r="M8" s="540" t="str">
        <f t="shared" si="4"/>
        <v/>
      </c>
      <c r="N8" s="540" t="str">
        <f t="shared" si="4"/>
        <v/>
      </c>
      <c r="O8" s="540" t="str">
        <f t="shared" si="4"/>
        <v/>
      </c>
      <c r="P8" s="540" t="str">
        <f t="shared" si="4"/>
        <v/>
      </c>
      <c r="Q8" s="540" t="str">
        <f t="shared" si="4"/>
        <v/>
      </c>
      <c r="R8" s="540"/>
      <c r="S8" s="4"/>
      <c r="T8" s="540" t="str">
        <f t="shared" si="5"/>
        <v xml:space="preserve">jujur, </v>
      </c>
      <c r="U8" s="540" t="str">
        <f t="shared" si="5"/>
        <v xml:space="preserve">disiplin, </v>
      </c>
      <c r="V8" s="540" t="str">
        <f t="shared" si="5"/>
        <v/>
      </c>
      <c r="W8" s="540" t="str">
        <f t="shared" si="5"/>
        <v xml:space="preserve">tanggung jawab, </v>
      </c>
      <c r="X8" s="540" t="str">
        <f t="shared" si="5"/>
        <v xml:space="preserve">sopan santun, </v>
      </c>
      <c r="Y8" s="540" t="str">
        <f t="shared" si="5"/>
        <v xml:space="preserve">kerja sama, </v>
      </c>
      <c r="Z8" s="540"/>
      <c r="AA8" s="653"/>
      <c r="AB8" s="540" t="str">
        <f t="shared" si="6"/>
        <v/>
      </c>
      <c r="AC8" s="540" t="str">
        <f t="shared" si="6"/>
        <v/>
      </c>
      <c r="AD8" s="540" t="str">
        <f t="shared" si="6"/>
        <v xml:space="preserve">percaya diri, </v>
      </c>
      <c r="AE8" s="540" t="str">
        <f t="shared" si="6"/>
        <v/>
      </c>
      <c r="AF8" s="540" t="str">
        <f t="shared" si="6"/>
        <v/>
      </c>
      <c r="AG8" s="540" t="str">
        <f t="shared" si="6"/>
        <v/>
      </c>
      <c r="AH8" s="540"/>
      <c r="AI8" s="4"/>
      <c r="AJ8" s="540" t="str">
        <f t="shared" si="7"/>
        <v/>
      </c>
      <c r="AK8" s="540" t="str">
        <f t="shared" si="7"/>
        <v/>
      </c>
      <c r="AL8" s="540" t="str">
        <f t="shared" si="7"/>
        <v/>
      </c>
      <c r="AM8" s="540" t="str">
        <f t="shared" si="7"/>
        <v/>
      </c>
      <c r="AN8" s="540" t="str">
        <f t="shared" si="7"/>
        <v/>
      </c>
      <c r="AO8" s="540" t="str">
        <f t="shared" si="7"/>
        <v/>
      </c>
      <c r="AP8" s="540"/>
      <c r="AQ8" s="541"/>
      <c r="AR8" s="542" t="str">
        <f>("sangat  "&amp;L8&amp;M8&amp;N8&amp;O8&amp;P8&amp;Q8&amp;R8)</f>
        <v xml:space="preserve">sangat  </v>
      </c>
      <c r="AS8" s="542" t="str">
        <f>("baik dalam sikap "&amp;T8&amp;U8&amp;V8&amp;W8&amp;X8&amp;Y8&amp;Z8)</f>
        <v xml:space="preserve">baik dalam sikap jujur, disiplin, tanggung jawab, sopan santun, kerja sama, </v>
      </c>
      <c r="AT8" s="542" t="str">
        <f t="shared" ref="AT8" si="11">("cukup dalam sikap "&amp;AB8&amp;AC8&amp;AD8&amp;AE8&amp;AF8&amp;AG8&amp;AA8)</f>
        <v xml:space="preserve">cukup dalam sikap percaya diri, </v>
      </c>
      <c r="AU8" s="542" t="str">
        <f t="shared" ref="AU8" si="12">("sudah mampu meningkatkan sikap "&amp;AJ8&amp;AK8&amp;AL8&amp;AM8&amp;AN8&amp;AO8&amp;AP8)</f>
        <v xml:space="preserve">sudah mampu meningkatkan sikap </v>
      </c>
      <c r="AV8" s="542"/>
      <c r="AW8" s="4" t="str">
        <f>IF(BB8&gt;=1,"Ananda "&amp;BJ8,"")</f>
        <v>Ananda Afif</v>
      </c>
      <c r="AX8" s="66">
        <f t="shared" ref="AX8" si="13">COUNTIF(C8:H8,"A")</f>
        <v>0</v>
      </c>
      <c r="AY8" s="66">
        <f t="shared" ref="AY8" si="14">COUNTIF(C8:H8,"B")</f>
        <v>5</v>
      </c>
      <c r="AZ8" s="66">
        <f t="shared" ref="AZ8" si="15">COUNTIF(C8:H8,"C")</f>
        <v>1</v>
      </c>
      <c r="BA8" s="66">
        <f t="shared" ref="BA8" si="16">COUNTIF(C8:H8,"D")</f>
        <v>0</v>
      </c>
      <c r="BB8" s="4">
        <f>SUM(AX8:BA8)</f>
        <v>6</v>
      </c>
      <c r="BC8" s="66" t="str">
        <f t="shared" ref="BC8" si="17">IF(AX8&gt;6,"",IF(AX8&gt;=1,AR8,""))</f>
        <v/>
      </c>
      <c r="BD8" s="66" t="str">
        <f t="shared" si="8"/>
        <v xml:space="preserve">baik dalam sikap jujur, disiplin, tanggung jawab, sopan santun, kerja sama, </v>
      </c>
      <c r="BE8" s="66" t="str">
        <f t="shared" si="8"/>
        <v xml:space="preserve">cukup dalam sikap percaya diri, </v>
      </c>
      <c r="BF8" s="66" t="str">
        <f t="shared" si="8"/>
        <v/>
      </c>
      <c r="BG8" s="4"/>
      <c r="BH8" s="349" t="str">
        <f>CONCATENATE(AW8&amp;" "&amp;BC8&amp;BD8&amp;BF8)</f>
        <v xml:space="preserve">Ananda Afif baik dalam sikap jujur, disiplin, tanggung jawab, sopan santun, kerja sama, </v>
      </c>
      <c r="BI8" s="540" t="str">
        <f t="shared" ref="BI8:BM8" si="18">IF(AI8=0,", "&amp;BI$7,"")</f>
        <v xml:space="preserve">, </v>
      </c>
      <c r="BJ8" s="540" t="str">
        <f>SISWA!E6</f>
        <v>Afif</v>
      </c>
      <c r="BK8" s="540" t="str">
        <f t="shared" si="18"/>
        <v/>
      </c>
      <c r="BL8" s="540" t="str">
        <f t="shared" si="18"/>
        <v/>
      </c>
      <c r="BM8" s="540" t="str">
        <f t="shared" si="18"/>
        <v/>
      </c>
      <c r="BN8" s="540"/>
      <c r="BO8" s="4"/>
      <c r="BP8" s="540" t="str">
        <f>IF(AO8&gt;0,", "&amp;BP$7,"")</f>
        <v xml:space="preserve">, </v>
      </c>
      <c r="BQ8" s="540" t="str">
        <f t="shared" ref="BQ8:BU8" si="19">IF(AP8&gt;0,", "&amp;BQ$7,"")</f>
        <v/>
      </c>
      <c r="BR8" s="540" t="str">
        <f t="shared" si="19"/>
        <v/>
      </c>
      <c r="BS8" s="540" t="str">
        <f t="shared" si="19"/>
        <v xml:space="preserve">, </v>
      </c>
      <c r="BT8" s="540" t="str">
        <f t="shared" si="19"/>
        <v xml:space="preserve">, </v>
      </c>
      <c r="BU8" s="540" t="str">
        <f t="shared" si="19"/>
        <v xml:space="preserve">, </v>
      </c>
      <c r="BV8" s="540"/>
      <c r="BW8" s="540"/>
      <c r="BX8" s="542" t="str">
        <f>("Sangat baik dalam sikap "&amp;AZ8&amp;BA8&amp;BB8&amp;BC8&amp;BD8&amp;BE8&amp;BF8)</f>
        <v xml:space="preserve">Sangat baik dalam sikap 106baik dalam sikap jujur, disiplin, tanggung jawab, sopan santun, kerja sama, cukup dalam sikap percaya diri, </v>
      </c>
      <c r="BY8" s="542" t="str">
        <f>(" Baik dalam sikap "&amp;BH8&amp;BI8&amp;BJ8&amp;BK8&amp;BL8&amp;BM8&amp;BN8)</f>
        <v xml:space="preserve"> Baik dalam sikap Ananda Afif baik dalam sikap jujur, disiplin, tanggung jawab, sopan santun, kerja sama, , Afif</v>
      </c>
      <c r="BZ8" s="542" t="str">
        <f>(", dengan bimbingan yang lebih mampu meningkatkan sikap "&amp;BP8&amp;BQ8&amp;BR8&amp;BS8&amp;BT8&amp;BU8&amp;BV8)</f>
        <v xml:space="preserve">, dengan bimbingan yang lebih mampu meningkatkan sikap , , , , </v>
      </c>
      <c r="CA8" s="4"/>
      <c r="CB8" s="4" t="str">
        <f>IF(AV8&gt;=1,BX8,"")</f>
        <v/>
      </c>
      <c r="CC8" s="4" t="str">
        <f>IF(AW8&gt;=1,BY8,IF(AW8=0,""))</f>
        <v xml:space="preserve"> Baik dalam sikap Ananda Afif baik dalam sikap jujur, disiplin, tanggung jawab, sopan santun, kerja sama, , Afif</v>
      </c>
      <c r="CD8" s="4" t="str">
        <f>IF(AX8&gt;=1,BZ8,"")</f>
        <v/>
      </c>
      <c r="CE8" s="4"/>
      <c r="CF8" s="349" t="str">
        <f>CONCATENATE(CB8&amp;CC8&amp;CD8&amp;".")</f>
        <v xml:space="preserve"> Baik dalam sikap Ananda Afif baik dalam sikap jujur, disiplin, tanggung jawab, sopan santun, kerja sama, , Afif.</v>
      </c>
    </row>
    <row r="9" spans="1:84" ht="30" customHeight="1">
      <c r="A9" s="223">
        <v>2</v>
      </c>
      <c r="B9" s="224" t="str">
        <f>SISWA!$B7</f>
        <v>Ahmad Faiq Athaya</v>
      </c>
      <c r="C9" s="225" t="s">
        <v>2</v>
      </c>
      <c r="D9" s="225" t="s">
        <v>2</v>
      </c>
      <c r="E9" s="225" t="s">
        <v>2</v>
      </c>
      <c r="F9" s="225" t="s">
        <v>2</v>
      </c>
      <c r="G9" s="225" t="s">
        <v>2</v>
      </c>
      <c r="H9" s="225" t="s">
        <v>2</v>
      </c>
      <c r="I9" s="294" t="str">
        <f t="shared" ref="I9:I42" si="20">IFERROR(BH9," ")</f>
        <v xml:space="preserve">Ananda Athaya baik dalam sikap jujur, disiplin, percaya diri, tanggung jawab, sopan santun, kerja sama, </v>
      </c>
      <c r="K9" s="4"/>
      <c r="L9" s="540" t="str">
        <f t="shared" ref="L9:L42" si="21">IF(C9="A",L$6&amp;", ","")</f>
        <v/>
      </c>
      <c r="M9" s="540" t="str">
        <f t="shared" ref="M9:M42" si="22">IF(D9="A",M$6&amp;", ","")</f>
        <v/>
      </c>
      <c r="N9" s="540" t="str">
        <f t="shared" ref="N9:N42" si="23">IF(E9="A",N$6&amp;", ","")</f>
        <v/>
      </c>
      <c r="O9" s="540" t="str">
        <f t="shared" ref="O9:O42" si="24">IF(F9="A",O$6&amp;", ","")</f>
        <v/>
      </c>
      <c r="P9" s="540" t="str">
        <f t="shared" ref="P9:P42" si="25">IF(G9="A",P$6&amp;", ","")</f>
        <v/>
      </c>
      <c r="Q9" s="540" t="str">
        <f t="shared" ref="Q9:Q42" si="26">IF(H9="A",Q$6&amp;", ","")</f>
        <v/>
      </c>
      <c r="R9" s="540"/>
      <c r="S9" s="4"/>
      <c r="T9" s="540" t="str">
        <f t="shared" ref="T9:T42" si="27">IF(C9="B",T$6&amp;", ","")</f>
        <v xml:space="preserve">jujur, </v>
      </c>
      <c r="U9" s="540" t="str">
        <f t="shared" ref="U9:U42" si="28">IF(D9="B",U$6&amp;", ","")</f>
        <v xml:space="preserve">disiplin, </v>
      </c>
      <c r="V9" s="540" t="str">
        <f t="shared" ref="V9:V42" si="29">IF(E9="B",V$6&amp;", ","")</f>
        <v xml:space="preserve">percaya diri, </v>
      </c>
      <c r="W9" s="540" t="str">
        <f t="shared" ref="W9:W42" si="30">IF(F9="B",W$6&amp;", ","")</f>
        <v xml:space="preserve">tanggung jawab, </v>
      </c>
      <c r="X9" s="540" t="str">
        <f t="shared" ref="X9:X42" si="31">IF(G9="B",X$6&amp;", ","")</f>
        <v xml:space="preserve">sopan santun, </v>
      </c>
      <c r="Y9" s="540" t="str">
        <f t="shared" ref="Y9:Y42" si="32">IF(H9="B",Y$6&amp;", ","")</f>
        <v xml:space="preserve">kerja sama, </v>
      </c>
      <c r="Z9" s="540"/>
      <c r="AA9" s="653"/>
      <c r="AB9" s="540" t="str">
        <f t="shared" ref="AB9:AB42" si="33">IF(C9="C",AB$6&amp;", ","")</f>
        <v/>
      </c>
      <c r="AC9" s="540" t="str">
        <f t="shared" ref="AC9:AC42" si="34">IF(D9="C",AC$6&amp;", ","")</f>
        <v/>
      </c>
      <c r="AD9" s="540" t="str">
        <f t="shared" ref="AD9:AD42" si="35">IF(E9="C",AD$6&amp;", ","")</f>
        <v/>
      </c>
      <c r="AE9" s="540" t="str">
        <f t="shared" ref="AE9:AE42" si="36">IF(F9="C",AE$6&amp;", ","")</f>
        <v/>
      </c>
      <c r="AF9" s="540" t="str">
        <f t="shared" ref="AF9:AF42" si="37">IF(G9="C",AF$6&amp;", ","")</f>
        <v/>
      </c>
      <c r="AG9" s="540" t="str">
        <f t="shared" ref="AG9:AG42" si="38">IF(H9="C",AG$6&amp;", ","")</f>
        <v/>
      </c>
      <c r="AH9" s="540"/>
      <c r="AI9" s="4"/>
      <c r="AJ9" s="540" t="str">
        <f t="shared" ref="AJ9:AJ42" si="39">IF(C9="D",AJ$6&amp;", ","")</f>
        <v/>
      </c>
      <c r="AK9" s="540" t="str">
        <f t="shared" ref="AK9:AK42" si="40">IF(D9="D",AK$6&amp;", ","")</f>
        <v/>
      </c>
      <c r="AL9" s="540" t="str">
        <f t="shared" ref="AL9:AL42" si="41">IF(E9="D",AL$6&amp;", ","")</f>
        <v/>
      </c>
      <c r="AM9" s="540" t="str">
        <f t="shared" ref="AM9:AM42" si="42">IF(F9="D",AM$6&amp;", ","")</f>
        <v/>
      </c>
      <c r="AN9" s="540" t="str">
        <f t="shared" ref="AN9:AN42" si="43">IF(G9="D",AN$6&amp;", ","")</f>
        <v/>
      </c>
      <c r="AO9" s="540" t="str">
        <f t="shared" ref="AO9:AO42" si="44">IF(H9="D",AO$6&amp;", ","")</f>
        <v/>
      </c>
      <c r="AP9" s="540"/>
      <c r="AQ9" s="541"/>
      <c r="AR9" s="542" t="str">
        <f t="shared" ref="AR9:AR42" si="45">("sangat  "&amp;L9&amp;M9&amp;N9&amp;O9&amp;P9&amp;Q9&amp;R9)</f>
        <v xml:space="preserve">sangat  </v>
      </c>
      <c r="AS9" s="542" t="str">
        <f t="shared" ref="AS9:AS42" si="46">("baik dalam sikap "&amp;T9&amp;U9&amp;V9&amp;W9&amp;X9&amp;Y9&amp;Z9)</f>
        <v xml:space="preserve">baik dalam sikap jujur, disiplin, percaya diri, tanggung jawab, sopan santun, kerja sama, </v>
      </c>
      <c r="AT9" s="542" t="str">
        <f t="shared" ref="AT9:AT42" si="47">("cukup dalam sikap "&amp;AB9&amp;AC9&amp;AD9&amp;AE9&amp;AF9&amp;AG9&amp;AA9)</f>
        <v xml:space="preserve">cukup dalam sikap </v>
      </c>
      <c r="AU9" s="542" t="str">
        <f t="shared" ref="AU9:AU42" si="48">("sudah mampu meningkatkan sikap "&amp;AJ9&amp;AK9&amp;AL9&amp;AM9&amp;AN9&amp;AO9&amp;AP9)</f>
        <v xml:space="preserve">sudah mampu meningkatkan sikap </v>
      </c>
      <c r="AV9" s="542"/>
      <c r="AW9" s="4" t="str">
        <f t="shared" ref="AW9:AW42" si="49">IF(BB9&gt;=1,"Ananda "&amp;BJ9,"")</f>
        <v>Ananda Athaya</v>
      </c>
      <c r="AX9" s="66">
        <f t="shared" ref="AX9:AX42" si="50">COUNTIF(C9:H9,"A")</f>
        <v>0</v>
      </c>
      <c r="AY9" s="66">
        <f t="shared" ref="AY9:AY42" si="51">COUNTIF(C9:H9,"B")</f>
        <v>6</v>
      </c>
      <c r="AZ9" s="66">
        <f t="shared" ref="AZ9:AZ42" si="52">COUNTIF(C9:H9,"C")</f>
        <v>0</v>
      </c>
      <c r="BA9" s="66">
        <f t="shared" ref="BA9:BA42" si="53">COUNTIF(C9:H9,"D")</f>
        <v>0</v>
      </c>
      <c r="BB9" s="4">
        <f t="shared" ref="BB9:BB42" si="54">SUM(AX9:BA9)</f>
        <v>6</v>
      </c>
      <c r="BC9" s="66" t="str">
        <f t="shared" ref="BC9:BC42" si="55">IF(AX9&gt;6,"",IF(AX9&gt;=1,AR9,""))</f>
        <v/>
      </c>
      <c r="BD9" s="66" t="str">
        <f t="shared" ref="BD9:BD42" si="56">IF(AY9&gt;6,"",IF(AY9&gt;=1,AS9,""))</f>
        <v xml:space="preserve">baik dalam sikap jujur, disiplin, percaya diri, tanggung jawab, sopan santun, kerja sama, </v>
      </c>
      <c r="BE9" s="66" t="str">
        <f t="shared" ref="BE9:BE42" si="57">IF(AZ9&gt;6,"",IF(AZ9&gt;=1,AT9,""))</f>
        <v/>
      </c>
      <c r="BF9" s="66" t="str">
        <f t="shared" ref="BF9:BF42" si="58">IF(BA9&gt;6,"",IF(BA9&gt;=1,AU9,""))</f>
        <v/>
      </c>
      <c r="BG9" s="4"/>
      <c r="BH9" s="349" t="str">
        <f t="shared" ref="BH9:BH42" si="59">CONCATENATE(AW9&amp;" "&amp;BC9&amp;BD9&amp;BF9)</f>
        <v xml:space="preserve">Ananda Athaya baik dalam sikap jujur, disiplin, percaya diri, tanggung jawab, sopan santun, kerja sama, </v>
      </c>
      <c r="BI9" s="540" t="str">
        <f t="shared" ref="BI9:BI42" si="60">IF(AI9=0,", "&amp;BI$7,"")</f>
        <v xml:space="preserve">, </v>
      </c>
      <c r="BJ9" s="540" t="str">
        <f>SISWA!E7</f>
        <v>Athaya</v>
      </c>
      <c r="BK9" s="540" t="str">
        <f t="shared" ref="BK9:BK42" si="61">IF(AK9=0,", "&amp;BK$7,"")</f>
        <v/>
      </c>
      <c r="BL9" s="540" t="str">
        <f t="shared" ref="BL9:BL42" si="62">IF(AL9=0,", "&amp;BL$7,"")</f>
        <v/>
      </c>
      <c r="BM9" s="540" t="str">
        <f t="shared" ref="BM9:BM42" si="63">IF(AM9=0,", "&amp;BM$7,"")</f>
        <v/>
      </c>
      <c r="BN9" s="540"/>
      <c r="BO9" s="4"/>
      <c r="BP9" s="540" t="str">
        <f t="shared" ref="BP9:BP42" si="64">IF(AO9&gt;0,", "&amp;BP$7,"")</f>
        <v xml:space="preserve">, </v>
      </c>
      <c r="BQ9" s="540" t="str">
        <f t="shared" ref="BQ9:BQ42" si="65">IF(AP9&gt;0,", "&amp;BQ$7,"")</f>
        <v/>
      </c>
      <c r="BR9" s="540" t="str">
        <f t="shared" ref="BR9:BR42" si="66">IF(AQ9&gt;0,", "&amp;BR$7,"")</f>
        <v/>
      </c>
      <c r="BS9" s="540" t="str">
        <f t="shared" ref="BS9:BS42" si="67">IF(AR9&gt;0,", "&amp;BS$7,"")</f>
        <v xml:space="preserve">, </v>
      </c>
      <c r="BT9" s="540" t="str">
        <f t="shared" ref="BT9:BT42" si="68">IF(AS9&gt;0,", "&amp;BT$7,"")</f>
        <v xml:space="preserve">, </v>
      </c>
      <c r="BU9" s="540" t="str">
        <f t="shared" ref="BU9:BU42" si="69">IF(AT9&gt;0,", "&amp;BU$7,"")</f>
        <v xml:space="preserve">, </v>
      </c>
      <c r="BV9" s="540"/>
      <c r="BW9" s="540"/>
      <c r="BX9" s="542" t="str">
        <f t="shared" ref="BX9:BX42" si="70">("Sangat baik dalam sikap "&amp;AZ9&amp;BA9&amp;BB9&amp;BC9&amp;BD9&amp;BE9&amp;BF9)</f>
        <v xml:space="preserve">Sangat baik dalam sikap 006baik dalam sikap jujur, disiplin, percaya diri, tanggung jawab, sopan santun, kerja sama, </v>
      </c>
      <c r="BY9" s="542" t="str">
        <f t="shared" ref="BY9:BY42" si="71">(" Baik dalam sikap "&amp;BH9&amp;BI9&amp;BJ9&amp;BK9&amp;BL9&amp;BM9&amp;BN9)</f>
        <v xml:space="preserve"> Baik dalam sikap Ananda Athaya baik dalam sikap jujur, disiplin, percaya diri, tanggung jawab, sopan santun, kerja sama, , Athaya</v>
      </c>
      <c r="BZ9" s="542" t="str">
        <f t="shared" ref="BZ9:BZ42" si="72">(", dengan bimbingan yang lebih mampu meningkatkan sikap "&amp;BP9&amp;BQ9&amp;BR9&amp;BS9&amp;BT9&amp;BU9&amp;BV9)</f>
        <v xml:space="preserve">, dengan bimbingan yang lebih mampu meningkatkan sikap , , , , </v>
      </c>
      <c r="CA9" s="4"/>
      <c r="CB9" s="4" t="str">
        <f t="shared" ref="CB9:CB42" si="73">IF(AV9&gt;=1,BX9,"")</f>
        <v/>
      </c>
      <c r="CC9" s="4" t="str">
        <f t="shared" ref="CC9:CC42" si="74">IF(AW9&gt;=1,BY9,IF(AW9=0,""))</f>
        <v xml:space="preserve"> Baik dalam sikap Ananda Athaya baik dalam sikap jujur, disiplin, percaya diri, tanggung jawab, sopan santun, kerja sama, , Athaya</v>
      </c>
      <c r="CD9" s="4" t="str">
        <f t="shared" ref="CD9:CD42" si="75">IF(AX9&gt;=1,BZ9,"")</f>
        <v/>
      </c>
      <c r="CE9" s="4"/>
      <c r="CF9" s="349" t="str">
        <f t="shared" ref="CF9:CF42" si="76">CONCATENATE(CB9&amp;CC9&amp;CD9&amp;".")</f>
        <v xml:space="preserve"> Baik dalam sikap Ananda Athaya baik dalam sikap jujur, disiplin, percaya diri, tanggung jawab, sopan santun, kerja sama, , Athaya.</v>
      </c>
    </row>
    <row r="10" spans="1:84" ht="30" customHeight="1">
      <c r="A10" s="223">
        <v>3</v>
      </c>
      <c r="B10" s="224" t="str">
        <f>SISWA!$B8</f>
        <v>Amira Zerlinda</v>
      </c>
      <c r="C10" s="295" t="s">
        <v>2</v>
      </c>
      <c r="D10" s="225" t="s">
        <v>2</v>
      </c>
      <c r="E10" s="225" t="s">
        <v>64</v>
      </c>
      <c r="F10" s="225" t="s">
        <v>2</v>
      </c>
      <c r="G10" s="225" t="s">
        <v>2</v>
      </c>
      <c r="H10" s="225" t="s">
        <v>2</v>
      </c>
      <c r="I10" s="294" t="str">
        <f t="shared" si="20"/>
        <v xml:space="preserve">Ananda Amira baik dalam sikap jujur, disiplin, tanggung jawab, sopan santun, kerja sama, </v>
      </c>
      <c r="K10" s="4"/>
      <c r="L10" s="540" t="str">
        <f t="shared" si="21"/>
        <v/>
      </c>
      <c r="M10" s="540" t="str">
        <f t="shared" si="22"/>
        <v/>
      </c>
      <c r="N10" s="540" t="str">
        <f t="shared" si="23"/>
        <v/>
      </c>
      <c r="O10" s="540" t="str">
        <f t="shared" si="24"/>
        <v/>
      </c>
      <c r="P10" s="540" t="str">
        <f t="shared" si="25"/>
        <v/>
      </c>
      <c r="Q10" s="540" t="str">
        <f t="shared" si="26"/>
        <v/>
      </c>
      <c r="R10" s="540"/>
      <c r="S10" s="4"/>
      <c r="T10" s="540" t="str">
        <f t="shared" si="27"/>
        <v xml:space="preserve">jujur, </v>
      </c>
      <c r="U10" s="540" t="str">
        <f t="shared" si="28"/>
        <v xml:space="preserve">disiplin, </v>
      </c>
      <c r="V10" s="540" t="str">
        <f t="shared" si="29"/>
        <v/>
      </c>
      <c r="W10" s="540" t="str">
        <f t="shared" si="30"/>
        <v xml:space="preserve">tanggung jawab, </v>
      </c>
      <c r="X10" s="540" t="str">
        <f t="shared" si="31"/>
        <v xml:space="preserve">sopan santun, </v>
      </c>
      <c r="Y10" s="540" t="str">
        <f t="shared" si="32"/>
        <v xml:space="preserve">kerja sama, </v>
      </c>
      <c r="Z10" s="540"/>
      <c r="AA10" s="653"/>
      <c r="AB10" s="540" t="str">
        <f t="shared" si="33"/>
        <v/>
      </c>
      <c r="AC10" s="540" t="str">
        <f t="shared" si="34"/>
        <v/>
      </c>
      <c r="AD10" s="540" t="str">
        <f t="shared" si="35"/>
        <v xml:space="preserve">percaya diri, </v>
      </c>
      <c r="AE10" s="540" t="str">
        <f t="shared" si="36"/>
        <v/>
      </c>
      <c r="AF10" s="540" t="str">
        <f t="shared" si="37"/>
        <v/>
      </c>
      <c r="AG10" s="540" t="str">
        <f t="shared" si="38"/>
        <v/>
      </c>
      <c r="AH10" s="540"/>
      <c r="AI10" s="4"/>
      <c r="AJ10" s="540" t="str">
        <f t="shared" si="39"/>
        <v/>
      </c>
      <c r="AK10" s="540" t="str">
        <f t="shared" si="40"/>
        <v/>
      </c>
      <c r="AL10" s="540" t="str">
        <f t="shared" si="41"/>
        <v/>
      </c>
      <c r="AM10" s="540" t="str">
        <f t="shared" si="42"/>
        <v/>
      </c>
      <c r="AN10" s="540" t="str">
        <f t="shared" si="43"/>
        <v/>
      </c>
      <c r="AO10" s="540" t="str">
        <f t="shared" si="44"/>
        <v/>
      </c>
      <c r="AP10" s="540"/>
      <c r="AQ10" s="541"/>
      <c r="AR10" s="542" t="str">
        <f t="shared" si="45"/>
        <v xml:space="preserve">sangat  </v>
      </c>
      <c r="AS10" s="542" t="str">
        <f t="shared" si="46"/>
        <v xml:space="preserve">baik dalam sikap jujur, disiplin, tanggung jawab, sopan santun, kerja sama, </v>
      </c>
      <c r="AT10" s="542" t="str">
        <f t="shared" si="47"/>
        <v xml:space="preserve">cukup dalam sikap percaya diri, </v>
      </c>
      <c r="AU10" s="542" t="str">
        <f t="shared" si="48"/>
        <v xml:space="preserve">sudah mampu meningkatkan sikap </v>
      </c>
      <c r="AV10" s="542"/>
      <c r="AW10" s="4" t="str">
        <f t="shared" si="49"/>
        <v>Ananda Amira</v>
      </c>
      <c r="AX10" s="66">
        <f t="shared" si="50"/>
        <v>0</v>
      </c>
      <c r="AY10" s="66">
        <f t="shared" si="51"/>
        <v>5</v>
      </c>
      <c r="AZ10" s="66">
        <f t="shared" si="52"/>
        <v>1</v>
      </c>
      <c r="BA10" s="66">
        <f t="shared" si="53"/>
        <v>0</v>
      </c>
      <c r="BB10" s="4">
        <f t="shared" si="54"/>
        <v>6</v>
      </c>
      <c r="BC10" s="66" t="str">
        <f t="shared" si="55"/>
        <v/>
      </c>
      <c r="BD10" s="66" t="str">
        <f t="shared" si="56"/>
        <v xml:space="preserve">baik dalam sikap jujur, disiplin, tanggung jawab, sopan santun, kerja sama, </v>
      </c>
      <c r="BE10" s="66" t="str">
        <f t="shared" si="57"/>
        <v xml:space="preserve">cukup dalam sikap percaya diri, </v>
      </c>
      <c r="BF10" s="66" t="str">
        <f t="shared" si="58"/>
        <v/>
      </c>
      <c r="BG10" s="4"/>
      <c r="BH10" s="349" t="str">
        <f t="shared" si="59"/>
        <v xml:space="preserve">Ananda Amira baik dalam sikap jujur, disiplin, tanggung jawab, sopan santun, kerja sama, </v>
      </c>
      <c r="BI10" s="540" t="str">
        <f t="shared" si="60"/>
        <v xml:space="preserve">, </v>
      </c>
      <c r="BJ10" s="540" t="str">
        <f>SISWA!E8</f>
        <v>Amira</v>
      </c>
      <c r="BK10" s="540" t="str">
        <f t="shared" si="61"/>
        <v/>
      </c>
      <c r="BL10" s="540" t="str">
        <f t="shared" si="62"/>
        <v/>
      </c>
      <c r="BM10" s="540" t="str">
        <f t="shared" si="63"/>
        <v/>
      </c>
      <c r="BN10" s="540"/>
      <c r="BO10" s="4"/>
      <c r="BP10" s="540" t="str">
        <f t="shared" si="64"/>
        <v xml:space="preserve">, </v>
      </c>
      <c r="BQ10" s="540" t="str">
        <f t="shared" si="65"/>
        <v/>
      </c>
      <c r="BR10" s="540" t="str">
        <f t="shared" si="66"/>
        <v/>
      </c>
      <c r="BS10" s="540" t="str">
        <f t="shared" si="67"/>
        <v xml:space="preserve">, </v>
      </c>
      <c r="BT10" s="540" t="str">
        <f t="shared" si="68"/>
        <v xml:space="preserve">, </v>
      </c>
      <c r="BU10" s="540" t="str">
        <f t="shared" si="69"/>
        <v xml:space="preserve">, </v>
      </c>
      <c r="BV10" s="540"/>
      <c r="BW10" s="540"/>
      <c r="BX10" s="542" t="str">
        <f t="shared" si="70"/>
        <v xml:space="preserve">Sangat baik dalam sikap 106baik dalam sikap jujur, disiplin, tanggung jawab, sopan santun, kerja sama, cukup dalam sikap percaya diri, </v>
      </c>
      <c r="BY10" s="542" t="str">
        <f t="shared" si="71"/>
        <v xml:space="preserve"> Baik dalam sikap Ananda Amira baik dalam sikap jujur, disiplin, tanggung jawab, sopan santun, kerja sama, , Amira</v>
      </c>
      <c r="BZ10" s="542" t="str">
        <f t="shared" si="72"/>
        <v xml:space="preserve">, dengan bimbingan yang lebih mampu meningkatkan sikap , , , , </v>
      </c>
      <c r="CA10" s="4"/>
      <c r="CB10" s="4" t="str">
        <f t="shared" si="73"/>
        <v/>
      </c>
      <c r="CC10" s="4" t="str">
        <f t="shared" si="74"/>
        <v xml:space="preserve"> Baik dalam sikap Ananda Amira baik dalam sikap jujur, disiplin, tanggung jawab, sopan santun, kerja sama, , Amira</v>
      </c>
      <c r="CD10" s="4" t="str">
        <f t="shared" si="75"/>
        <v/>
      </c>
      <c r="CE10" s="4"/>
      <c r="CF10" s="349" t="str">
        <f t="shared" si="76"/>
        <v xml:space="preserve"> Baik dalam sikap Ananda Amira baik dalam sikap jujur, disiplin, tanggung jawab, sopan santun, kerja sama, , Amira.</v>
      </c>
    </row>
    <row r="11" spans="1:84" ht="30" customHeight="1">
      <c r="A11" s="223">
        <v>4</v>
      </c>
      <c r="B11" s="224" t="str">
        <f>SISWA!$B9</f>
        <v>Andrian Putra Pangestu</v>
      </c>
      <c r="C11" s="295" t="s">
        <v>64</v>
      </c>
      <c r="D11" s="225" t="s">
        <v>2</v>
      </c>
      <c r="E11" s="225" t="s">
        <v>64</v>
      </c>
      <c r="F11" s="225" t="s">
        <v>2</v>
      </c>
      <c r="G11" s="225" t="s">
        <v>2</v>
      </c>
      <c r="H11" s="225" t="s">
        <v>2</v>
      </c>
      <c r="I11" s="294" t="str">
        <f t="shared" si="20"/>
        <v xml:space="preserve">Ananda Andri baik dalam sikap disiplin, tanggung jawab, sopan santun, kerja sama, </v>
      </c>
      <c r="K11" s="4"/>
      <c r="L11" s="540" t="str">
        <f t="shared" si="21"/>
        <v/>
      </c>
      <c r="M11" s="540" t="str">
        <f t="shared" si="22"/>
        <v/>
      </c>
      <c r="N11" s="540" t="str">
        <f t="shared" si="23"/>
        <v/>
      </c>
      <c r="O11" s="540" t="str">
        <f t="shared" si="24"/>
        <v/>
      </c>
      <c r="P11" s="540" t="str">
        <f t="shared" si="25"/>
        <v/>
      </c>
      <c r="Q11" s="540" t="str">
        <f t="shared" si="26"/>
        <v/>
      </c>
      <c r="R11" s="540"/>
      <c r="S11" s="4"/>
      <c r="T11" s="540" t="str">
        <f t="shared" si="27"/>
        <v/>
      </c>
      <c r="U11" s="540" t="str">
        <f t="shared" si="28"/>
        <v xml:space="preserve">disiplin, </v>
      </c>
      <c r="V11" s="540" t="str">
        <f t="shared" si="29"/>
        <v/>
      </c>
      <c r="W11" s="540" t="str">
        <f t="shared" si="30"/>
        <v xml:space="preserve">tanggung jawab, </v>
      </c>
      <c r="X11" s="540" t="str">
        <f t="shared" si="31"/>
        <v xml:space="preserve">sopan santun, </v>
      </c>
      <c r="Y11" s="540" t="str">
        <f t="shared" si="32"/>
        <v xml:space="preserve">kerja sama, </v>
      </c>
      <c r="Z11" s="540"/>
      <c r="AA11" s="653"/>
      <c r="AB11" s="540" t="str">
        <f t="shared" si="33"/>
        <v xml:space="preserve">jujur, </v>
      </c>
      <c r="AC11" s="540" t="str">
        <f t="shared" si="34"/>
        <v/>
      </c>
      <c r="AD11" s="540" t="str">
        <f t="shared" si="35"/>
        <v xml:space="preserve">percaya diri, </v>
      </c>
      <c r="AE11" s="540" t="str">
        <f t="shared" si="36"/>
        <v/>
      </c>
      <c r="AF11" s="540" t="str">
        <f t="shared" si="37"/>
        <v/>
      </c>
      <c r="AG11" s="540" t="str">
        <f t="shared" si="38"/>
        <v/>
      </c>
      <c r="AH11" s="540"/>
      <c r="AI11" s="4"/>
      <c r="AJ11" s="540" t="str">
        <f t="shared" si="39"/>
        <v/>
      </c>
      <c r="AK11" s="540" t="str">
        <f t="shared" si="40"/>
        <v/>
      </c>
      <c r="AL11" s="540" t="str">
        <f t="shared" si="41"/>
        <v/>
      </c>
      <c r="AM11" s="540" t="str">
        <f t="shared" si="42"/>
        <v/>
      </c>
      <c r="AN11" s="540" t="str">
        <f t="shared" si="43"/>
        <v/>
      </c>
      <c r="AO11" s="540" t="str">
        <f t="shared" si="44"/>
        <v/>
      </c>
      <c r="AP11" s="540"/>
      <c r="AQ11" s="541"/>
      <c r="AR11" s="542" t="str">
        <f t="shared" si="45"/>
        <v xml:space="preserve">sangat  </v>
      </c>
      <c r="AS11" s="542" t="str">
        <f t="shared" si="46"/>
        <v xml:space="preserve">baik dalam sikap disiplin, tanggung jawab, sopan santun, kerja sama, </v>
      </c>
      <c r="AT11" s="542" t="str">
        <f t="shared" si="47"/>
        <v xml:space="preserve">cukup dalam sikap jujur, percaya diri, </v>
      </c>
      <c r="AU11" s="542" t="str">
        <f t="shared" si="48"/>
        <v xml:space="preserve">sudah mampu meningkatkan sikap </v>
      </c>
      <c r="AV11" s="542"/>
      <c r="AW11" s="4" t="str">
        <f t="shared" si="49"/>
        <v>Ananda Andri</v>
      </c>
      <c r="AX11" s="66">
        <f t="shared" si="50"/>
        <v>0</v>
      </c>
      <c r="AY11" s="66">
        <f t="shared" si="51"/>
        <v>4</v>
      </c>
      <c r="AZ11" s="66">
        <f t="shared" si="52"/>
        <v>2</v>
      </c>
      <c r="BA11" s="66">
        <f t="shared" si="53"/>
        <v>0</v>
      </c>
      <c r="BB11" s="4">
        <f t="shared" si="54"/>
        <v>6</v>
      </c>
      <c r="BC11" s="66" t="str">
        <f t="shared" si="55"/>
        <v/>
      </c>
      <c r="BD11" s="66" t="str">
        <f t="shared" si="56"/>
        <v xml:space="preserve">baik dalam sikap disiplin, tanggung jawab, sopan santun, kerja sama, </v>
      </c>
      <c r="BE11" s="66" t="str">
        <f t="shared" si="57"/>
        <v xml:space="preserve">cukup dalam sikap jujur, percaya diri, </v>
      </c>
      <c r="BF11" s="66" t="str">
        <f t="shared" si="58"/>
        <v/>
      </c>
      <c r="BG11" s="4"/>
      <c r="BH11" s="349" t="str">
        <f t="shared" si="59"/>
        <v xml:space="preserve">Ananda Andri baik dalam sikap disiplin, tanggung jawab, sopan santun, kerja sama, </v>
      </c>
      <c r="BI11" s="540" t="str">
        <f t="shared" si="60"/>
        <v xml:space="preserve">, </v>
      </c>
      <c r="BJ11" s="540" t="str">
        <f>SISWA!E9</f>
        <v>Andri</v>
      </c>
      <c r="BK11" s="540" t="str">
        <f t="shared" si="61"/>
        <v/>
      </c>
      <c r="BL11" s="540" t="str">
        <f t="shared" si="62"/>
        <v/>
      </c>
      <c r="BM11" s="540" t="str">
        <f t="shared" si="63"/>
        <v/>
      </c>
      <c r="BN11" s="540"/>
      <c r="BO11" s="4"/>
      <c r="BP11" s="540" t="str">
        <f t="shared" si="64"/>
        <v xml:space="preserve">, </v>
      </c>
      <c r="BQ11" s="540" t="str">
        <f t="shared" si="65"/>
        <v/>
      </c>
      <c r="BR11" s="540" t="str">
        <f t="shared" si="66"/>
        <v/>
      </c>
      <c r="BS11" s="540" t="str">
        <f t="shared" si="67"/>
        <v xml:space="preserve">, </v>
      </c>
      <c r="BT11" s="540" t="str">
        <f t="shared" si="68"/>
        <v xml:space="preserve">, </v>
      </c>
      <c r="BU11" s="540" t="str">
        <f t="shared" si="69"/>
        <v xml:space="preserve">, </v>
      </c>
      <c r="BV11" s="540"/>
      <c r="BW11" s="540"/>
      <c r="BX11" s="542" t="str">
        <f t="shared" si="70"/>
        <v xml:space="preserve">Sangat baik dalam sikap 206baik dalam sikap disiplin, tanggung jawab, sopan santun, kerja sama, cukup dalam sikap jujur, percaya diri, </v>
      </c>
      <c r="BY11" s="542" t="str">
        <f t="shared" si="71"/>
        <v xml:space="preserve"> Baik dalam sikap Ananda Andri baik dalam sikap disiplin, tanggung jawab, sopan santun, kerja sama, , Andri</v>
      </c>
      <c r="BZ11" s="542" t="str">
        <f t="shared" si="72"/>
        <v xml:space="preserve">, dengan bimbingan yang lebih mampu meningkatkan sikap , , , , </v>
      </c>
      <c r="CA11" s="4"/>
      <c r="CB11" s="4" t="str">
        <f t="shared" si="73"/>
        <v/>
      </c>
      <c r="CC11" s="4" t="str">
        <f t="shared" si="74"/>
        <v xml:space="preserve"> Baik dalam sikap Ananda Andri baik dalam sikap disiplin, tanggung jawab, sopan santun, kerja sama, , Andri</v>
      </c>
      <c r="CD11" s="4" t="str">
        <f t="shared" si="75"/>
        <v/>
      </c>
      <c r="CE11" s="4"/>
      <c r="CF11" s="349" t="str">
        <f t="shared" si="76"/>
        <v xml:space="preserve"> Baik dalam sikap Ananda Andri baik dalam sikap disiplin, tanggung jawab, sopan santun, kerja sama, , Andri.</v>
      </c>
    </row>
    <row r="12" spans="1:84" ht="30" customHeight="1">
      <c r="A12" s="223">
        <v>5</v>
      </c>
      <c r="B12" s="224" t="str">
        <f>SISWA!$B10</f>
        <v>Gresiya Suma Safitri</v>
      </c>
      <c r="C12" s="295" t="s">
        <v>2</v>
      </c>
      <c r="D12" s="225" t="s">
        <v>2</v>
      </c>
      <c r="E12" s="225" t="s">
        <v>64</v>
      </c>
      <c r="F12" s="225" t="s">
        <v>2</v>
      </c>
      <c r="G12" s="225" t="s">
        <v>2</v>
      </c>
      <c r="H12" s="225" t="s">
        <v>2</v>
      </c>
      <c r="I12" s="294" t="str">
        <f t="shared" si="20"/>
        <v xml:space="preserve">Ananda Gresia baik dalam sikap jujur, disiplin, tanggung jawab, sopan santun, kerja sama, </v>
      </c>
      <c r="K12" s="4"/>
      <c r="L12" s="540" t="str">
        <f t="shared" si="21"/>
        <v/>
      </c>
      <c r="M12" s="540" t="str">
        <f t="shared" si="22"/>
        <v/>
      </c>
      <c r="N12" s="540" t="str">
        <f t="shared" si="23"/>
        <v/>
      </c>
      <c r="O12" s="540" t="str">
        <f t="shared" si="24"/>
        <v/>
      </c>
      <c r="P12" s="540" t="str">
        <f t="shared" si="25"/>
        <v/>
      </c>
      <c r="Q12" s="540" t="str">
        <f t="shared" si="26"/>
        <v/>
      </c>
      <c r="R12" s="540"/>
      <c r="S12" s="4"/>
      <c r="T12" s="540" t="str">
        <f t="shared" si="27"/>
        <v xml:space="preserve">jujur, </v>
      </c>
      <c r="U12" s="540" t="str">
        <f t="shared" si="28"/>
        <v xml:space="preserve">disiplin, </v>
      </c>
      <c r="V12" s="540" t="str">
        <f t="shared" si="29"/>
        <v/>
      </c>
      <c r="W12" s="540" t="str">
        <f t="shared" si="30"/>
        <v xml:space="preserve">tanggung jawab, </v>
      </c>
      <c r="X12" s="540" t="str">
        <f t="shared" si="31"/>
        <v xml:space="preserve">sopan santun, </v>
      </c>
      <c r="Y12" s="540" t="str">
        <f t="shared" si="32"/>
        <v xml:space="preserve">kerja sama, </v>
      </c>
      <c r="Z12" s="540"/>
      <c r="AA12" s="653"/>
      <c r="AB12" s="540" t="str">
        <f t="shared" si="33"/>
        <v/>
      </c>
      <c r="AC12" s="540" t="str">
        <f t="shared" si="34"/>
        <v/>
      </c>
      <c r="AD12" s="540" t="str">
        <f t="shared" si="35"/>
        <v xml:space="preserve">percaya diri, </v>
      </c>
      <c r="AE12" s="540" t="str">
        <f t="shared" si="36"/>
        <v/>
      </c>
      <c r="AF12" s="540" t="str">
        <f t="shared" si="37"/>
        <v/>
      </c>
      <c r="AG12" s="540" t="str">
        <f t="shared" si="38"/>
        <v/>
      </c>
      <c r="AH12" s="540"/>
      <c r="AI12" s="4"/>
      <c r="AJ12" s="540" t="str">
        <f t="shared" si="39"/>
        <v/>
      </c>
      <c r="AK12" s="540" t="str">
        <f t="shared" si="40"/>
        <v/>
      </c>
      <c r="AL12" s="540" t="str">
        <f t="shared" si="41"/>
        <v/>
      </c>
      <c r="AM12" s="540" t="str">
        <f t="shared" si="42"/>
        <v/>
      </c>
      <c r="AN12" s="540" t="str">
        <f t="shared" si="43"/>
        <v/>
      </c>
      <c r="AO12" s="540" t="str">
        <f t="shared" si="44"/>
        <v/>
      </c>
      <c r="AP12" s="540"/>
      <c r="AQ12" s="541"/>
      <c r="AR12" s="542" t="str">
        <f t="shared" si="45"/>
        <v xml:space="preserve">sangat  </v>
      </c>
      <c r="AS12" s="542" t="str">
        <f t="shared" si="46"/>
        <v xml:space="preserve">baik dalam sikap jujur, disiplin, tanggung jawab, sopan santun, kerja sama, </v>
      </c>
      <c r="AT12" s="542" t="str">
        <f t="shared" si="47"/>
        <v xml:space="preserve">cukup dalam sikap percaya diri, </v>
      </c>
      <c r="AU12" s="542" t="str">
        <f t="shared" si="48"/>
        <v xml:space="preserve">sudah mampu meningkatkan sikap </v>
      </c>
      <c r="AV12" s="542"/>
      <c r="AW12" s="4" t="str">
        <f t="shared" si="49"/>
        <v>Ananda Gresia</v>
      </c>
      <c r="AX12" s="66">
        <f t="shared" si="50"/>
        <v>0</v>
      </c>
      <c r="AY12" s="66">
        <f t="shared" si="51"/>
        <v>5</v>
      </c>
      <c r="AZ12" s="66">
        <f t="shared" si="52"/>
        <v>1</v>
      </c>
      <c r="BA12" s="66">
        <f t="shared" si="53"/>
        <v>0</v>
      </c>
      <c r="BB12" s="4">
        <f t="shared" si="54"/>
        <v>6</v>
      </c>
      <c r="BC12" s="66" t="str">
        <f t="shared" si="55"/>
        <v/>
      </c>
      <c r="BD12" s="66" t="str">
        <f t="shared" si="56"/>
        <v xml:space="preserve">baik dalam sikap jujur, disiplin, tanggung jawab, sopan santun, kerja sama, </v>
      </c>
      <c r="BE12" s="66" t="str">
        <f t="shared" si="57"/>
        <v xml:space="preserve">cukup dalam sikap percaya diri, </v>
      </c>
      <c r="BF12" s="66" t="str">
        <f t="shared" si="58"/>
        <v/>
      </c>
      <c r="BG12" s="4"/>
      <c r="BH12" s="349" t="str">
        <f t="shared" si="59"/>
        <v xml:space="preserve">Ananda Gresia baik dalam sikap jujur, disiplin, tanggung jawab, sopan santun, kerja sama, </v>
      </c>
      <c r="BI12" s="540" t="str">
        <f t="shared" si="60"/>
        <v xml:space="preserve">, </v>
      </c>
      <c r="BJ12" s="540" t="str">
        <f>SISWA!E10</f>
        <v>Gresia</v>
      </c>
      <c r="BK12" s="540" t="str">
        <f t="shared" si="61"/>
        <v/>
      </c>
      <c r="BL12" s="540" t="str">
        <f t="shared" si="62"/>
        <v/>
      </c>
      <c r="BM12" s="540" t="str">
        <f t="shared" si="63"/>
        <v/>
      </c>
      <c r="BN12" s="540"/>
      <c r="BO12" s="4"/>
      <c r="BP12" s="540" t="str">
        <f t="shared" si="64"/>
        <v xml:space="preserve">, </v>
      </c>
      <c r="BQ12" s="540" t="str">
        <f t="shared" si="65"/>
        <v/>
      </c>
      <c r="BR12" s="540" t="str">
        <f t="shared" si="66"/>
        <v/>
      </c>
      <c r="BS12" s="540" t="str">
        <f t="shared" si="67"/>
        <v xml:space="preserve">, </v>
      </c>
      <c r="BT12" s="540" t="str">
        <f t="shared" si="68"/>
        <v xml:space="preserve">, </v>
      </c>
      <c r="BU12" s="540" t="str">
        <f t="shared" si="69"/>
        <v xml:space="preserve">, </v>
      </c>
      <c r="BV12" s="540"/>
      <c r="BW12" s="540"/>
      <c r="BX12" s="542" t="str">
        <f t="shared" si="70"/>
        <v xml:space="preserve">Sangat baik dalam sikap 106baik dalam sikap jujur, disiplin, tanggung jawab, sopan santun, kerja sama, cukup dalam sikap percaya diri, </v>
      </c>
      <c r="BY12" s="542" t="str">
        <f t="shared" si="71"/>
        <v xml:space="preserve"> Baik dalam sikap Ananda Gresia baik dalam sikap jujur, disiplin, tanggung jawab, sopan santun, kerja sama, , Gresia</v>
      </c>
      <c r="BZ12" s="542" t="str">
        <f t="shared" si="72"/>
        <v xml:space="preserve">, dengan bimbingan yang lebih mampu meningkatkan sikap , , , , </v>
      </c>
      <c r="CA12" s="4"/>
      <c r="CB12" s="4" t="str">
        <f t="shared" si="73"/>
        <v/>
      </c>
      <c r="CC12" s="4" t="str">
        <f t="shared" si="74"/>
        <v xml:space="preserve"> Baik dalam sikap Ananda Gresia baik dalam sikap jujur, disiplin, tanggung jawab, sopan santun, kerja sama, , Gresia</v>
      </c>
      <c r="CD12" s="4" t="str">
        <f t="shared" si="75"/>
        <v/>
      </c>
      <c r="CE12" s="4"/>
      <c r="CF12" s="349" t="str">
        <f t="shared" si="76"/>
        <v xml:space="preserve"> Baik dalam sikap Ananda Gresia baik dalam sikap jujur, disiplin, tanggung jawab, sopan santun, kerja sama, , Gresia.</v>
      </c>
    </row>
    <row r="13" spans="1:84" ht="30" customHeight="1">
      <c r="A13" s="223">
        <v>6</v>
      </c>
      <c r="B13" s="224" t="str">
        <f>SISWA!$B11</f>
        <v>Hasna Fathitya Sabrina</v>
      </c>
      <c r="C13" s="295" t="s">
        <v>2</v>
      </c>
      <c r="D13" s="225" t="s">
        <v>2</v>
      </c>
      <c r="E13" s="225" t="s">
        <v>64</v>
      </c>
      <c r="F13" s="225" t="s">
        <v>2</v>
      </c>
      <c r="G13" s="225" t="s">
        <v>2</v>
      </c>
      <c r="H13" s="225" t="s">
        <v>2</v>
      </c>
      <c r="I13" s="294" t="str">
        <f t="shared" si="20"/>
        <v xml:space="preserve">Ananda Hasna baik dalam sikap jujur, disiplin, tanggung jawab, sopan santun, kerja sama, </v>
      </c>
      <c r="K13" s="4"/>
      <c r="L13" s="540" t="str">
        <f t="shared" si="21"/>
        <v/>
      </c>
      <c r="M13" s="540" t="str">
        <f t="shared" si="22"/>
        <v/>
      </c>
      <c r="N13" s="540" t="str">
        <f t="shared" si="23"/>
        <v/>
      </c>
      <c r="O13" s="540" t="str">
        <f t="shared" si="24"/>
        <v/>
      </c>
      <c r="P13" s="540" t="str">
        <f t="shared" si="25"/>
        <v/>
      </c>
      <c r="Q13" s="540" t="str">
        <f t="shared" si="26"/>
        <v/>
      </c>
      <c r="R13" s="540"/>
      <c r="S13" s="4"/>
      <c r="T13" s="540" t="str">
        <f t="shared" si="27"/>
        <v xml:space="preserve">jujur, </v>
      </c>
      <c r="U13" s="540" t="str">
        <f t="shared" si="28"/>
        <v xml:space="preserve">disiplin, </v>
      </c>
      <c r="V13" s="540" t="str">
        <f t="shared" si="29"/>
        <v/>
      </c>
      <c r="W13" s="540" t="str">
        <f t="shared" si="30"/>
        <v xml:space="preserve">tanggung jawab, </v>
      </c>
      <c r="X13" s="540" t="str">
        <f t="shared" si="31"/>
        <v xml:space="preserve">sopan santun, </v>
      </c>
      <c r="Y13" s="540" t="str">
        <f t="shared" si="32"/>
        <v xml:space="preserve">kerja sama, </v>
      </c>
      <c r="Z13" s="540"/>
      <c r="AA13" s="653"/>
      <c r="AB13" s="540" t="str">
        <f t="shared" si="33"/>
        <v/>
      </c>
      <c r="AC13" s="540" t="str">
        <f t="shared" si="34"/>
        <v/>
      </c>
      <c r="AD13" s="540" t="str">
        <f t="shared" si="35"/>
        <v xml:space="preserve">percaya diri, </v>
      </c>
      <c r="AE13" s="540" t="str">
        <f t="shared" si="36"/>
        <v/>
      </c>
      <c r="AF13" s="540" t="str">
        <f t="shared" si="37"/>
        <v/>
      </c>
      <c r="AG13" s="540" t="str">
        <f t="shared" si="38"/>
        <v/>
      </c>
      <c r="AH13" s="540"/>
      <c r="AI13" s="4"/>
      <c r="AJ13" s="540" t="str">
        <f t="shared" si="39"/>
        <v/>
      </c>
      <c r="AK13" s="540" t="str">
        <f t="shared" si="40"/>
        <v/>
      </c>
      <c r="AL13" s="540" t="str">
        <f t="shared" si="41"/>
        <v/>
      </c>
      <c r="AM13" s="540" t="str">
        <f t="shared" si="42"/>
        <v/>
      </c>
      <c r="AN13" s="540" t="str">
        <f t="shared" si="43"/>
        <v/>
      </c>
      <c r="AO13" s="540" t="str">
        <f t="shared" si="44"/>
        <v/>
      </c>
      <c r="AP13" s="540"/>
      <c r="AQ13" s="541"/>
      <c r="AR13" s="542" t="str">
        <f t="shared" si="45"/>
        <v xml:space="preserve">sangat  </v>
      </c>
      <c r="AS13" s="542" t="str">
        <f t="shared" si="46"/>
        <v xml:space="preserve">baik dalam sikap jujur, disiplin, tanggung jawab, sopan santun, kerja sama, </v>
      </c>
      <c r="AT13" s="542" t="str">
        <f t="shared" si="47"/>
        <v xml:space="preserve">cukup dalam sikap percaya diri, </v>
      </c>
      <c r="AU13" s="542" t="str">
        <f t="shared" si="48"/>
        <v xml:space="preserve">sudah mampu meningkatkan sikap </v>
      </c>
      <c r="AV13" s="542"/>
      <c r="AW13" s="4" t="str">
        <f t="shared" si="49"/>
        <v>Ananda Hasna</v>
      </c>
      <c r="AX13" s="66">
        <f t="shared" si="50"/>
        <v>0</v>
      </c>
      <c r="AY13" s="66">
        <f t="shared" si="51"/>
        <v>5</v>
      </c>
      <c r="AZ13" s="66">
        <f t="shared" si="52"/>
        <v>1</v>
      </c>
      <c r="BA13" s="66">
        <f t="shared" si="53"/>
        <v>0</v>
      </c>
      <c r="BB13" s="4">
        <f t="shared" si="54"/>
        <v>6</v>
      </c>
      <c r="BC13" s="66" t="str">
        <f t="shared" si="55"/>
        <v/>
      </c>
      <c r="BD13" s="66" t="str">
        <f t="shared" si="56"/>
        <v xml:space="preserve">baik dalam sikap jujur, disiplin, tanggung jawab, sopan santun, kerja sama, </v>
      </c>
      <c r="BE13" s="66" t="str">
        <f t="shared" si="57"/>
        <v xml:space="preserve">cukup dalam sikap percaya diri, </v>
      </c>
      <c r="BF13" s="66" t="str">
        <f t="shared" si="58"/>
        <v/>
      </c>
      <c r="BG13" s="4"/>
      <c r="BH13" s="349" t="str">
        <f t="shared" si="59"/>
        <v xml:space="preserve">Ananda Hasna baik dalam sikap jujur, disiplin, tanggung jawab, sopan santun, kerja sama, </v>
      </c>
      <c r="BI13" s="540" t="str">
        <f t="shared" si="60"/>
        <v xml:space="preserve">, </v>
      </c>
      <c r="BJ13" s="540" t="str">
        <f>SISWA!E11</f>
        <v>Hasna</v>
      </c>
      <c r="BK13" s="540" t="str">
        <f t="shared" si="61"/>
        <v/>
      </c>
      <c r="BL13" s="540" t="str">
        <f t="shared" si="62"/>
        <v/>
      </c>
      <c r="BM13" s="540" t="str">
        <f t="shared" si="63"/>
        <v/>
      </c>
      <c r="BN13" s="540"/>
      <c r="BO13" s="4"/>
      <c r="BP13" s="540" t="str">
        <f t="shared" si="64"/>
        <v xml:space="preserve">, </v>
      </c>
      <c r="BQ13" s="540" t="str">
        <f t="shared" si="65"/>
        <v/>
      </c>
      <c r="BR13" s="540" t="str">
        <f t="shared" si="66"/>
        <v/>
      </c>
      <c r="BS13" s="540" t="str">
        <f t="shared" si="67"/>
        <v xml:space="preserve">, </v>
      </c>
      <c r="BT13" s="540" t="str">
        <f t="shared" si="68"/>
        <v xml:space="preserve">, </v>
      </c>
      <c r="BU13" s="540" t="str">
        <f t="shared" si="69"/>
        <v xml:space="preserve">, </v>
      </c>
      <c r="BV13" s="540"/>
      <c r="BW13" s="540"/>
      <c r="BX13" s="542" t="str">
        <f t="shared" si="70"/>
        <v xml:space="preserve">Sangat baik dalam sikap 106baik dalam sikap jujur, disiplin, tanggung jawab, sopan santun, kerja sama, cukup dalam sikap percaya diri, </v>
      </c>
      <c r="BY13" s="542" t="str">
        <f t="shared" si="71"/>
        <v xml:space="preserve"> Baik dalam sikap Ananda Hasna baik dalam sikap jujur, disiplin, tanggung jawab, sopan santun, kerja sama, , Hasna</v>
      </c>
      <c r="BZ13" s="542" t="str">
        <f t="shared" si="72"/>
        <v xml:space="preserve">, dengan bimbingan yang lebih mampu meningkatkan sikap , , , , </v>
      </c>
      <c r="CA13" s="4"/>
      <c r="CB13" s="4" t="str">
        <f t="shared" si="73"/>
        <v/>
      </c>
      <c r="CC13" s="4" t="str">
        <f t="shared" si="74"/>
        <v xml:space="preserve"> Baik dalam sikap Ananda Hasna baik dalam sikap jujur, disiplin, tanggung jawab, sopan santun, kerja sama, , Hasna</v>
      </c>
      <c r="CD13" s="4" t="str">
        <f t="shared" si="75"/>
        <v/>
      </c>
      <c r="CE13" s="4"/>
      <c r="CF13" s="349" t="str">
        <f t="shared" si="76"/>
        <v xml:space="preserve"> Baik dalam sikap Ananda Hasna baik dalam sikap jujur, disiplin, tanggung jawab, sopan santun, kerja sama, , Hasna.</v>
      </c>
    </row>
    <row r="14" spans="1:84" ht="30" customHeight="1">
      <c r="A14" s="223">
        <v>7</v>
      </c>
      <c r="B14" s="224" t="str">
        <f>SISWA!$B12</f>
        <v>Indah Fitria Ningrum</v>
      </c>
      <c r="C14" s="295" t="s">
        <v>2</v>
      </c>
      <c r="D14" s="225" t="s">
        <v>2</v>
      </c>
      <c r="E14" s="225" t="s">
        <v>64</v>
      </c>
      <c r="F14" s="225" t="s">
        <v>2</v>
      </c>
      <c r="G14" s="225" t="s">
        <v>2</v>
      </c>
      <c r="H14" s="225" t="s">
        <v>2</v>
      </c>
      <c r="I14" s="294" t="str">
        <f t="shared" si="20"/>
        <v xml:space="preserve">Ananda Indah baik dalam sikap jujur, disiplin, tanggung jawab, sopan santun, kerja sama, </v>
      </c>
      <c r="K14" s="4"/>
      <c r="L14" s="540" t="str">
        <f t="shared" si="21"/>
        <v/>
      </c>
      <c r="M14" s="540" t="str">
        <f t="shared" si="22"/>
        <v/>
      </c>
      <c r="N14" s="540" t="str">
        <f t="shared" si="23"/>
        <v/>
      </c>
      <c r="O14" s="540" t="str">
        <f t="shared" si="24"/>
        <v/>
      </c>
      <c r="P14" s="540" t="str">
        <f t="shared" si="25"/>
        <v/>
      </c>
      <c r="Q14" s="540" t="str">
        <f t="shared" si="26"/>
        <v/>
      </c>
      <c r="R14" s="540"/>
      <c r="S14" s="4"/>
      <c r="T14" s="540" t="str">
        <f t="shared" si="27"/>
        <v xml:space="preserve">jujur, </v>
      </c>
      <c r="U14" s="540" t="str">
        <f t="shared" si="28"/>
        <v xml:space="preserve">disiplin, </v>
      </c>
      <c r="V14" s="540" t="str">
        <f t="shared" si="29"/>
        <v/>
      </c>
      <c r="W14" s="540" t="str">
        <f t="shared" si="30"/>
        <v xml:space="preserve">tanggung jawab, </v>
      </c>
      <c r="X14" s="540" t="str">
        <f t="shared" si="31"/>
        <v xml:space="preserve">sopan santun, </v>
      </c>
      <c r="Y14" s="540" t="str">
        <f t="shared" si="32"/>
        <v xml:space="preserve">kerja sama, </v>
      </c>
      <c r="Z14" s="540"/>
      <c r="AA14" s="653"/>
      <c r="AB14" s="540" t="str">
        <f t="shared" si="33"/>
        <v/>
      </c>
      <c r="AC14" s="540" t="str">
        <f t="shared" si="34"/>
        <v/>
      </c>
      <c r="AD14" s="540" t="str">
        <f t="shared" si="35"/>
        <v xml:space="preserve">percaya diri, </v>
      </c>
      <c r="AE14" s="540" t="str">
        <f t="shared" si="36"/>
        <v/>
      </c>
      <c r="AF14" s="540" t="str">
        <f t="shared" si="37"/>
        <v/>
      </c>
      <c r="AG14" s="540" t="str">
        <f t="shared" si="38"/>
        <v/>
      </c>
      <c r="AH14" s="540"/>
      <c r="AI14" s="4"/>
      <c r="AJ14" s="540" t="str">
        <f t="shared" si="39"/>
        <v/>
      </c>
      <c r="AK14" s="540" t="str">
        <f t="shared" si="40"/>
        <v/>
      </c>
      <c r="AL14" s="540" t="str">
        <f t="shared" si="41"/>
        <v/>
      </c>
      <c r="AM14" s="540" t="str">
        <f t="shared" si="42"/>
        <v/>
      </c>
      <c r="AN14" s="540" t="str">
        <f t="shared" si="43"/>
        <v/>
      </c>
      <c r="AO14" s="540" t="str">
        <f t="shared" si="44"/>
        <v/>
      </c>
      <c r="AP14" s="540"/>
      <c r="AQ14" s="541"/>
      <c r="AR14" s="542" t="str">
        <f t="shared" si="45"/>
        <v xml:space="preserve">sangat  </v>
      </c>
      <c r="AS14" s="542" t="str">
        <f t="shared" si="46"/>
        <v xml:space="preserve">baik dalam sikap jujur, disiplin, tanggung jawab, sopan santun, kerja sama, </v>
      </c>
      <c r="AT14" s="542" t="str">
        <f t="shared" si="47"/>
        <v xml:space="preserve">cukup dalam sikap percaya diri, </v>
      </c>
      <c r="AU14" s="542" t="str">
        <f t="shared" si="48"/>
        <v xml:space="preserve">sudah mampu meningkatkan sikap </v>
      </c>
      <c r="AV14" s="542"/>
      <c r="AW14" s="4" t="str">
        <f t="shared" si="49"/>
        <v>Ananda Indah</v>
      </c>
      <c r="AX14" s="66">
        <f t="shared" si="50"/>
        <v>0</v>
      </c>
      <c r="AY14" s="66">
        <f t="shared" si="51"/>
        <v>5</v>
      </c>
      <c r="AZ14" s="66">
        <f t="shared" si="52"/>
        <v>1</v>
      </c>
      <c r="BA14" s="66">
        <f t="shared" si="53"/>
        <v>0</v>
      </c>
      <c r="BB14" s="4">
        <f t="shared" si="54"/>
        <v>6</v>
      </c>
      <c r="BC14" s="66" t="str">
        <f t="shared" si="55"/>
        <v/>
      </c>
      <c r="BD14" s="66" t="str">
        <f t="shared" si="56"/>
        <v xml:space="preserve">baik dalam sikap jujur, disiplin, tanggung jawab, sopan santun, kerja sama, </v>
      </c>
      <c r="BE14" s="66" t="str">
        <f t="shared" si="57"/>
        <v xml:space="preserve">cukup dalam sikap percaya diri, </v>
      </c>
      <c r="BF14" s="66" t="str">
        <f t="shared" si="58"/>
        <v/>
      </c>
      <c r="BG14" s="4"/>
      <c r="BH14" s="349" t="str">
        <f t="shared" si="59"/>
        <v xml:space="preserve">Ananda Indah baik dalam sikap jujur, disiplin, tanggung jawab, sopan santun, kerja sama, </v>
      </c>
      <c r="BI14" s="540" t="str">
        <f t="shared" si="60"/>
        <v xml:space="preserve">, </v>
      </c>
      <c r="BJ14" s="540" t="str">
        <f>SISWA!E12</f>
        <v>Indah</v>
      </c>
      <c r="BK14" s="540" t="str">
        <f t="shared" si="61"/>
        <v/>
      </c>
      <c r="BL14" s="540" t="str">
        <f t="shared" si="62"/>
        <v/>
      </c>
      <c r="BM14" s="540" t="str">
        <f t="shared" si="63"/>
        <v/>
      </c>
      <c r="BN14" s="540"/>
      <c r="BO14" s="4"/>
      <c r="BP14" s="540" t="str">
        <f t="shared" si="64"/>
        <v xml:space="preserve">, </v>
      </c>
      <c r="BQ14" s="540" t="str">
        <f t="shared" si="65"/>
        <v/>
      </c>
      <c r="BR14" s="540" t="str">
        <f t="shared" si="66"/>
        <v/>
      </c>
      <c r="BS14" s="540" t="str">
        <f t="shared" si="67"/>
        <v xml:space="preserve">, </v>
      </c>
      <c r="BT14" s="540" t="str">
        <f t="shared" si="68"/>
        <v xml:space="preserve">, </v>
      </c>
      <c r="BU14" s="540" t="str">
        <f t="shared" si="69"/>
        <v xml:space="preserve">, </v>
      </c>
      <c r="BV14" s="540"/>
      <c r="BW14" s="540"/>
      <c r="BX14" s="542" t="str">
        <f t="shared" si="70"/>
        <v xml:space="preserve">Sangat baik dalam sikap 106baik dalam sikap jujur, disiplin, tanggung jawab, sopan santun, kerja sama, cukup dalam sikap percaya diri, </v>
      </c>
      <c r="BY14" s="542" t="str">
        <f t="shared" si="71"/>
        <v xml:space="preserve"> Baik dalam sikap Ananda Indah baik dalam sikap jujur, disiplin, tanggung jawab, sopan santun, kerja sama, , Indah</v>
      </c>
      <c r="BZ14" s="542" t="str">
        <f t="shared" si="72"/>
        <v xml:space="preserve">, dengan bimbingan yang lebih mampu meningkatkan sikap , , , , </v>
      </c>
      <c r="CA14" s="4"/>
      <c r="CB14" s="4" t="str">
        <f t="shared" si="73"/>
        <v/>
      </c>
      <c r="CC14" s="4" t="str">
        <f t="shared" si="74"/>
        <v xml:space="preserve"> Baik dalam sikap Ananda Indah baik dalam sikap jujur, disiplin, tanggung jawab, sopan santun, kerja sama, , Indah</v>
      </c>
      <c r="CD14" s="4" t="str">
        <f t="shared" si="75"/>
        <v/>
      </c>
      <c r="CE14" s="4"/>
      <c r="CF14" s="349" t="str">
        <f t="shared" si="76"/>
        <v xml:space="preserve"> Baik dalam sikap Ananda Indah baik dalam sikap jujur, disiplin, tanggung jawab, sopan santun, kerja sama, , Indah.</v>
      </c>
    </row>
    <row r="15" spans="1:84" ht="30" customHeight="1">
      <c r="A15" s="223">
        <v>8</v>
      </c>
      <c r="B15" s="224" t="str">
        <f>SISWA!$B13</f>
        <v>Muhammad Ilham Sarifuddin</v>
      </c>
      <c r="C15" s="295" t="s">
        <v>2</v>
      </c>
      <c r="D15" s="225" t="s">
        <v>2</v>
      </c>
      <c r="E15" s="225" t="s">
        <v>64</v>
      </c>
      <c r="F15" s="225" t="s">
        <v>2</v>
      </c>
      <c r="G15" s="225" t="s">
        <v>2</v>
      </c>
      <c r="H15" s="225" t="s">
        <v>2</v>
      </c>
      <c r="I15" s="294" t="str">
        <f t="shared" si="20"/>
        <v xml:space="preserve">Ananda Ilham baik dalam sikap jujur, disiplin, tanggung jawab, sopan santun, kerja sama, </v>
      </c>
      <c r="K15" s="4"/>
      <c r="L15" s="540" t="str">
        <f t="shared" si="21"/>
        <v/>
      </c>
      <c r="M15" s="540" t="str">
        <f t="shared" si="22"/>
        <v/>
      </c>
      <c r="N15" s="540" t="str">
        <f t="shared" si="23"/>
        <v/>
      </c>
      <c r="O15" s="540" t="str">
        <f t="shared" si="24"/>
        <v/>
      </c>
      <c r="P15" s="540" t="str">
        <f t="shared" si="25"/>
        <v/>
      </c>
      <c r="Q15" s="540" t="str">
        <f t="shared" si="26"/>
        <v/>
      </c>
      <c r="R15" s="540"/>
      <c r="S15" s="4"/>
      <c r="T15" s="540" t="str">
        <f t="shared" si="27"/>
        <v xml:space="preserve">jujur, </v>
      </c>
      <c r="U15" s="540" t="str">
        <f t="shared" si="28"/>
        <v xml:space="preserve">disiplin, </v>
      </c>
      <c r="V15" s="540" t="str">
        <f t="shared" si="29"/>
        <v/>
      </c>
      <c r="W15" s="540" t="str">
        <f t="shared" si="30"/>
        <v xml:space="preserve">tanggung jawab, </v>
      </c>
      <c r="X15" s="540" t="str">
        <f t="shared" si="31"/>
        <v xml:space="preserve">sopan santun, </v>
      </c>
      <c r="Y15" s="540" t="str">
        <f t="shared" si="32"/>
        <v xml:space="preserve">kerja sama, </v>
      </c>
      <c r="Z15" s="540"/>
      <c r="AA15" s="653"/>
      <c r="AB15" s="540" t="str">
        <f t="shared" si="33"/>
        <v/>
      </c>
      <c r="AC15" s="540" t="str">
        <f t="shared" si="34"/>
        <v/>
      </c>
      <c r="AD15" s="540" t="str">
        <f t="shared" si="35"/>
        <v xml:space="preserve">percaya diri, </v>
      </c>
      <c r="AE15" s="540" t="str">
        <f t="shared" si="36"/>
        <v/>
      </c>
      <c r="AF15" s="540" t="str">
        <f t="shared" si="37"/>
        <v/>
      </c>
      <c r="AG15" s="540" t="str">
        <f t="shared" si="38"/>
        <v/>
      </c>
      <c r="AH15" s="540"/>
      <c r="AI15" s="4"/>
      <c r="AJ15" s="540" t="str">
        <f t="shared" si="39"/>
        <v/>
      </c>
      <c r="AK15" s="540" t="str">
        <f t="shared" si="40"/>
        <v/>
      </c>
      <c r="AL15" s="540" t="str">
        <f t="shared" si="41"/>
        <v/>
      </c>
      <c r="AM15" s="540" t="str">
        <f t="shared" si="42"/>
        <v/>
      </c>
      <c r="AN15" s="540" t="str">
        <f t="shared" si="43"/>
        <v/>
      </c>
      <c r="AO15" s="540" t="str">
        <f t="shared" si="44"/>
        <v/>
      </c>
      <c r="AP15" s="540"/>
      <c r="AQ15" s="541"/>
      <c r="AR15" s="542" t="str">
        <f t="shared" si="45"/>
        <v xml:space="preserve">sangat  </v>
      </c>
      <c r="AS15" s="542" t="str">
        <f t="shared" si="46"/>
        <v xml:space="preserve">baik dalam sikap jujur, disiplin, tanggung jawab, sopan santun, kerja sama, </v>
      </c>
      <c r="AT15" s="542" t="str">
        <f t="shared" si="47"/>
        <v xml:space="preserve">cukup dalam sikap percaya diri, </v>
      </c>
      <c r="AU15" s="542" t="str">
        <f t="shared" si="48"/>
        <v xml:space="preserve">sudah mampu meningkatkan sikap </v>
      </c>
      <c r="AV15" s="542"/>
      <c r="AW15" s="4" t="str">
        <f t="shared" si="49"/>
        <v>Ananda Ilham</v>
      </c>
      <c r="AX15" s="66">
        <f t="shared" si="50"/>
        <v>0</v>
      </c>
      <c r="AY15" s="66">
        <f t="shared" si="51"/>
        <v>5</v>
      </c>
      <c r="AZ15" s="66">
        <f t="shared" si="52"/>
        <v>1</v>
      </c>
      <c r="BA15" s="66">
        <f t="shared" si="53"/>
        <v>0</v>
      </c>
      <c r="BB15" s="4">
        <f t="shared" si="54"/>
        <v>6</v>
      </c>
      <c r="BC15" s="66" t="str">
        <f t="shared" si="55"/>
        <v/>
      </c>
      <c r="BD15" s="66" t="str">
        <f t="shared" si="56"/>
        <v xml:space="preserve">baik dalam sikap jujur, disiplin, tanggung jawab, sopan santun, kerja sama, </v>
      </c>
      <c r="BE15" s="66" t="str">
        <f t="shared" si="57"/>
        <v xml:space="preserve">cukup dalam sikap percaya diri, </v>
      </c>
      <c r="BF15" s="66" t="str">
        <f t="shared" si="58"/>
        <v/>
      </c>
      <c r="BG15" s="4"/>
      <c r="BH15" s="349" t="str">
        <f t="shared" si="59"/>
        <v xml:space="preserve">Ananda Ilham baik dalam sikap jujur, disiplin, tanggung jawab, sopan santun, kerja sama, </v>
      </c>
      <c r="BI15" s="540" t="str">
        <f t="shared" si="60"/>
        <v xml:space="preserve">, </v>
      </c>
      <c r="BJ15" s="540" t="str">
        <f>SISWA!E13</f>
        <v>Ilham</v>
      </c>
      <c r="BK15" s="540" t="str">
        <f t="shared" si="61"/>
        <v/>
      </c>
      <c r="BL15" s="540" t="str">
        <f t="shared" si="62"/>
        <v/>
      </c>
      <c r="BM15" s="540" t="str">
        <f t="shared" si="63"/>
        <v/>
      </c>
      <c r="BN15" s="540"/>
      <c r="BO15" s="4"/>
      <c r="BP15" s="540" t="str">
        <f t="shared" si="64"/>
        <v xml:space="preserve">, </v>
      </c>
      <c r="BQ15" s="540" t="str">
        <f t="shared" si="65"/>
        <v/>
      </c>
      <c r="BR15" s="540" t="str">
        <f t="shared" si="66"/>
        <v/>
      </c>
      <c r="BS15" s="540" t="str">
        <f t="shared" si="67"/>
        <v xml:space="preserve">, </v>
      </c>
      <c r="BT15" s="540" t="str">
        <f t="shared" si="68"/>
        <v xml:space="preserve">, </v>
      </c>
      <c r="BU15" s="540" t="str">
        <f t="shared" si="69"/>
        <v xml:space="preserve">, </v>
      </c>
      <c r="BV15" s="540"/>
      <c r="BW15" s="540"/>
      <c r="BX15" s="542" t="str">
        <f t="shared" si="70"/>
        <v xml:space="preserve">Sangat baik dalam sikap 106baik dalam sikap jujur, disiplin, tanggung jawab, sopan santun, kerja sama, cukup dalam sikap percaya diri, </v>
      </c>
      <c r="BY15" s="542" t="str">
        <f t="shared" si="71"/>
        <v xml:space="preserve"> Baik dalam sikap Ananda Ilham baik dalam sikap jujur, disiplin, tanggung jawab, sopan santun, kerja sama, , Ilham</v>
      </c>
      <c r="BZ15" s="542" t="str">
        <f t="shared" si="72"/>
        <v xml:space="preserve">, dengan bimbingan yang lebih mampu meningkatkan sikap , , , , </v>
      </c>
      <c r="CA15" s="4"/>
      <c r="CB15" s="4" t="str">
        <f t="shared" si="73"/>
        <v/>
      </c>
      <c r="CC15" s="4" t="str">
        <f t="shared" si="74"/>
        <v xml:space="preserve"> Baik dalam sikap Ananda Ilham baik dalam sikap jujur, disiplin, tanggung jawab, sopan santun, kerja sama, , Ilham</v>
      </c>
      <c r="CD15" s="4" t="str">
        <f t="shared" si="75"/>
        <v/>
      </c>
      <c r="CE15" s="4"/>
      <c r="CF15" s="349" t="str">
        <f t="shared" si="76"/>
        <v xml:space="preserve"> Baik dalam sikap Ananda Ilham baik dalam sikap jujur, disiplin, tanggung jawab, sopan santun, kerja sama, , Ilham.</v>
      </c>
    </row>
    <row r="16" spans="1:84" ht="30" customHeight="1">
      <c r="A16" s="223">
        <v>9</v>
      </c>
      <c r="B16" s="224" t="str">
        <f>SISWA!$B14</f>
        <v>Muhammad Raditya Ainul Yaqin</v>
      </c>
      <c r="C16" s="295" t="s">
        <v>2</v>
      </c>
      <c r="D16" s="225" t="s">
        <v>64</v>
      </c>
      <c r="E16" s="225" t="s">
        <v>64</v>
      </c>
      <c r="F16" s="225" t="s">
        <v>2</v>
      </c>
      <c r="G16" s="225" t="s">
        <v>2</v>
      </c>
      <c r="H16" s="225" t="s">
        <v>2</v>
      </c>
      <c r="I16" s="294" t="str">
        <f t="shared" si="20"/>
        <v xml:space="preserve">Ananda Radit baik dalam sikap jujur, tanggung jawab, sopan santun, kerja sama, </v>
      </c>
      <c r="K16" s="4"/>
      <c r="L16" s="540" t="str">
        <f t="shared" si="21"/>
        <v/>
      </c>
      <c r="M16" s="540" t="str">
        <f t="shared" si="22"/>
        <v/>
      </c>
      <c r="N16" s="540" t="str">
        <f t="shared" si="23"/>
        <v/>
      </c>
      <c r="O16" s="540" t="str">
        <f t="shared" si="24"/>
        <v/>
      </c>
      <c r="P16" s="540" t="str">
        <f t="shared" si="25"/>
        <v/>
      </c>
      <c r="Q16" s="540" t="str">
        <f t="shared" si="26"/>
        <v/>
      </c>
      <c r="R16" s="540"/>
      <c r="S16" s="4"/>
      <c r="T16" s="540" t="str">
        <f t="shared" si="27"/>
        <v xml:space="preserve">jujur, </v>
      </c>
      <c r="U16" s="540" t="str">
        <f t="shared" si="28"/>
        <v/>
      </c>
      <c r="V16" s="540" t="str">
        <f t="shared" si="29"/>
        <v/>
      </c>
      <c r="W16" s="540" t="str">
        <f t="shared" si="30"/>
        <v xml:space="preserve">tanggung jawab, </v>
      </c>
      <c r="X16" s="540" t="str">
        <f t="shared" si="31"/>
        <v xml:space="preserve">sopan santun, </v>
      </c>
      <c r="Y16" s="540" t="str">
        <f t="shared" si="32"/>
        <v xml:space="preserve">kerja sama, </v>
      </c>
      <c r="Z16" s="540"/>
      <c r="AA16" s="653"/>
      <c r="AB16" s="540" t="str">
        <f t="shared" si="33"/>
        <v/>
      </c>
      <c r="AC16" s="540" t="str">
        <f t="shared" si="34"/>
        <v xml:space="preserve">disiplin, </v>
      </c>
      <c r="AD16" s="540" t="str">
        <f t="shared" si="35"/>
        <v xml:space="preserve">percaya diri, </v>
      </c>
      <c r="AE16" s="540" t="str">
        <f t="shared" si="36"/>
        <v/>
      </c>
      <c r="AF16" s="540" t="str">
        <f t="shared" si="37"/>
        <v/>
      </c>
      <c r="AG16" s="540" t="str">
        <f t="shared" si="38"/>
        <v/>
      </c>
      <c r="AH16" s="540"/>
      <c r="AI16" s="4"/>
      <c r="AJ16" s="540" t="str">
        <f t="shared" si="39"/>
        <v/>
      </c>
      <c r="AK16" s="540" t="str">
        <f t="shared" si="40"/>
        <v/>
      </c>
      <c r="AL16" s="540" t="str">
        <f t="shared" si="41"/>
        <v/>
      </c>
      <c r="AM16" s="540" t="str">
        <f t="shared" si="42"/>
        <v/>
      </c>
      <c r="AN16" s="540" t="str">
        <f t="shared" si="43"/>
        <v/>
      </c>
      <c r="AO16" s="540" t="str">
        <f t="shared" si="44"/>
        <v/>
      </c>
      <c r="AP16" s="540"/>
      <c r="AQ16" s="541"/>
      <c r="AR16" s="542" t="str">
        <f t="shared" si="45"/>
        <v xml:space="preserve">sangat  </v>
      </c>
      <c r="AS16" s="542" t="str">
        <f t="shared" si="46"/>
        <v xml:space="preserve">baik dalam sikap jujur, tanggung jawab, sopan santun, kerja sama, </v>
      </c>
      <c r="AT16" s="542" t="str">
        <f t="shared" si="47"/>
        <v xml:space="preserve">cukup dalam sikap disiplin, percaya diri, </v>
      </c>
      <c r="AU16" s="542" t="str">
        <f t="shared" si="48"/>
        <v xml:space="preserve">sudah mampu meningkatkan sikap </v>
      </c>
      <c r="AV16" s="542"/>
      <c r="AW16" s="4" t="str">
        <f t="shared" si="49"/>
        <v>Ananda Radit</v>
      </c>
      <c r="AX16" s="66">
        <f t="shared" si="50"/>
        <v>0</v>
      </c>
      <c r="AY16" s="66">
        <f t="shared" si="51"/>
        <v>4</v>
      </c>
      <c r="AZ16" s="66">
        <f t="shared" si="52"/>
        <v>2</v>
      </c>
      <c r="BA16" s="66">
        <f t="shared" si="53"/>
        <v>0</v>
      </c>
      <c r="BB16" s="4">
        <f t="shared" si="54"/>
        <v>6</v>
      </c>
      <c r="BC16" s="66" t="str">
        <f t="shared" si="55"/>
        <v/>
      </c>
      <c r="BD16" s="66" t="str">
        <f t="shared" si="56"/>
        <v xml:space="preserve">baik dalam sikap jujur, tanggung jawab, sopan santun, kerja sama, </v>
      </c>
      <c r="BE16" s="66" t="str">
        <f t="shared" si="57"/>
        <v xml:space="preserve">cukup dalam sikap disiplin, percaya diri, </v>
      </c>
      <c r="BF16" s="66" t="str">
        <f t="shared" si="58"/>
        <v/>
      </c>
      <c r="BG16" s="4"/>
      <c r="BH16" s="349" t="str">
        <f t="shared" si="59"/>
        <v xml:space="preserve">Ananda Radit baik dalam sikap jujur, tanggung jawab, sopan santun, kerja sama, </v>
      </c>
      <c r="BI16" s="540" t="str">
        <f t="shared" si="60"/>
        <v xml:space="preserve">, </v>
      </c>
      <c r="BJ16" s="540" t="str">
        <f>SISWA!E14</f>
        <v>Radit</v>
      </c>
      <c r="BK16" s="540" t="str">
        <f t="shared" si="61"/>
        <v/>
      </c>
      <c r="BL16" s="540" t="str">
        <f t="shared" si="62"/>
        <v/>
      </c>
      <c r="BM16" s="540" t="str">
        <f t="shared" si="63"/>
        <v/>
      </c>
      <c r="BN16" s="540"/>
      <c r="BO16" s="4"/>
      <c r="BP16" s="540" t="str">
        <f t="shared" si="64"/>
        <v xml:space="preserve">, </v>
      </c>
      <c r="BQ16" s="540" t="str">
        <f t="shared" si="65"/>
        <v/>
      </c>
      <c r="BR16" s="540" t="str">
        <f t="shared" si="66"/>
        <v/>
      </c>
      <c r="BS16" s="540" t="str">
        <f t="shared" si="67"/>
        <v xml:space="preserve">, </v>
      </c>
      <c r="BT16" s="540" t="str">
        <f t="shared" si="68"/>
        <v xml:space="preserve">, </v>
      </c>
      <c r="BU16" s="540" t="str">
        <f t="shared" si="69"/>
        <v xml:space="preserve">, </v>
      </c>
      <c r="BV16" s="540"/>
      <c r="BW16" s="540"/>
      <c r="BX16" s="542" t="str">
        <f t="shared" si="70"/>
        <v xml:space="preserve">Sangat baik dalam sikap 206baik dalam sikap jujur, tanggung jawab, sopan santun, kerja sama, cukup dalam sikap disiplin, percaya diri, </v>
      </c>
      <c r="BY16" s="542" t="str">
        <f t="shared" si="71"/>
        <v xml:space="preserve"> Baik dalam sikap Ananda Radit baik dalam sikap jujur, tanggung jawab, sopan santun, kerja sama, , Radit</v>
      </c>
      <c r="BZ16" s="542" t="str">
        <f t="shared" si="72"/>
        <v xml:space="preserve">, dengan bimbingan yang lebih mampu meningkatkan sikap , , , , </v>
      </c>
      <c r="CA16" s="4"/>
      <c r="CB16" s="4" t="str">
        <f t="shared" si="73"/>
        <v/>
      </c>
      <c r="CC16" s="4" t="str">
        <f t="shared" si="74"/>
        <v xml:space="preserve"> Baik dalam sikap Ananda Radit baik dalam sikap jujur, tanggung jawab, sopan santun, kerja sama, , Radit</v>
      </c>
      <c r="CD16" s="4" t="str">
        <f t="shared" si="75"/>
        <v/>
      </c>
      <c r="CE16" s="4"/>
      <c r="CF16" s="349" t="str">
        <f t="shared" si="76"/>
        <v xml:space="preserve"> Baik dalam sikap Ananda Radit baik dalam sikap jujur, tanggung jawab, sopan santun, kerja sama, , Radit.</v>
      </c>
    </row>
    <row r="17" spans="1:84" ht="30" customHeight="1">
      <c r="A17" s="223">
        <v>10</v>
      </c>
      <c r="B17" s="224" t="str">
        <f>SISWA!$B15</f>
        <v>Muhammad Shulhan Al-farisi</v>
      </c>
      <c r="C17" s="295" t="s">
        <v>2</v>
      </c>
      <c r="D17" s="225" t="s">
        <v>64</v>
      </c>
      <c r="E17" s="225" t="s">
        <v>2</v>
      </c>
      <c r="F17" s="225" t="s">
        <v>2</v>
      </c>
      <c r="G17" s="225" t="s">
        <v>64</v>
      </c>
      <c r="H17" s="225" t="s">
        <v>2</v>
      </c>
      <c r="I17" s="294" t="str">
        <f t="shared" si="20"/>
        <v xml:space="preserve">Ananda Shulhan baik dalam sikap jujur, percaya diri, tanggung jawab, kerja sama, </v>
      </c>
      <c r="K17" s="4"/>
      <c r="L17" s="540" t="str">
        <f t="shared" si="21"/>
        <v/>
      </c>
      <c r="M17" s="540" t="str">
        <f t="shared" si="22"/>
        <v/>
      </c>
      <c r="N17" s="540" t="str">
        <f t="shared" si="23"/>
        <v/>
      </c>
      <c r="O17" s="540" t="str">
        <f t="shared" si="24"/>
        <v/>
      </c>
      <c r="P17" s="540" t="str">
        <f t="shared" si="25"/>
        <v/>
      </c>
      <c r="Q17" s="540" t="str">
        <f t="shared" si="26"/>
        <v/>
      </c>
      <c r="R17" s="540"/>
      <c r="S17" s="4"/>
      <c r="T17" s="540" t="str">
        <f t="shared" si="27"/>
        <v xml:space="preserve">jujur, </v>
      </c>
      <c r="U17" s="540" t="str">
        <f t="shared" si="28"/>
        <v/>
      </c>
      <c r="V17" s="540" t="str">
        <f t="shared" si="29"/>
        <v xml:space="preserve">percaya diri, </v>
      </c>
      <c r="W17" s="540" t="str">
        <f t="shared" si="30"/>
        <v xml:space="preserve">tanggung jawab, </v>
      </c>
      <c r="X17" s="540" t="str">
        <f t="shared" si="31"/>
        <v/>
      </c>
      <c r="Y17" s="540" t="str">
        <f t="shared" si="32"/>
        <v xml:space="preserve">kerja sama, </v>
      </c>
      <c r="Z17" s="540"/>
      <c r="AA17" s="653"/>
      <c r="AB17" s="540" t="str">
        <f t="shared" si="33"/>
        <v/>
      </c>
      <c r="AC17" s="540" t="str">
        <f t="shared" si="34"/>
        <v xml:space="preserve">disiplin, </v>
      </c>
      <c r="AD17" s="540" t="str">
        <f t="shared" si="35"/>
        <v/>
      </c>
      <c r="AE17" s="540" t="str">
        <f t="shared" si="36"/>
        <v/>
      </c>
      <c r="AF17" s="540" t="str">
        <f t="shared" si="37"/>
        <v xml:space="preserve">sopan santun, </v>
      </c>
      <c r="AG17" s="540" t="str">
        <f t="shared" si="38"/>
        <v/>
      </c>
      <c r="AH17" s="540"/>
      <c r="AI17" s="4"/>
      <c r="AJ17" s="540" t="str">
        <f t="shared" si="39"/>
        <v/>
      </c>
      <c r="AK17" s="540" t="str">
        <f t="shared" si="40"/>
        <v/>
      </c>
      <c r="AL17" s="540" t="str">
        <f t="shared" si="41"/>
        <v/>
      </c>
      <c r="AM17" s="540" t="str">
        <f t="shared" si="42"/>
        <v/>
      </c>
      <c r="AN17" s="540" t="str">
        <f t="shared" si="43"/>
        <v/>
      </c>
      <c r="AO17" s="540" t="str">
        <f t="shared" si="44"/>
        <v/>
      </c>
      <c r="AP17" s="540"/>
      <c r="AQ17" s="541"/>
      <c r="AR17" s="542" t="str">
        <f t="shared" si="45"/>
        <v xml:space="preserve">sangat  </v>
      </c>
      <c r="AS17" s="542" t="str">
        <f t="shared" si="46"/>
        <v xml:space="preserve">baik dalam sikap jujur, percaya diri, tanggung jawab, kerja sama, </v>
      </c>
      <c r="AT17" s="542" t="str">
        <f t="shared" si="47"/>
        <v xml:space="preserve">cukup dalam sikap disiplin, sopan santun, </v>
      </c>
      <c r="AU17" s="542" t="str">
        <f t="shared" si="48"/>
        <v xml:space="preserve">sudah mampu meningkatkan sikap </v>
      </c>
      <c r="AV17" s="542"/>
      <c r="AW17" s="4" t="str">
        <f t="shared" si="49"/>
        <v>Ananda Shulhan</v>
      </c>
      <c r="AX17" s="66">
        <f t="shared" si="50"/>
        <v>0</v>
      </c>
      <c r="AY17" s="66">
        <f t="shared" si="51"/>
        <v>4</v>
      </c>
      <c r="AZ17" s="66">
        <f t="shared" si="52"/>
        <v>2</v>
      </c>
      <c r="BA17" s="66">
        <f t="shared" si="53"/>
        <v>0</v>
      </c>
      <c r="BB17" s="4">
        <f t="shared" si="54"/>
        <v>6</v>
      </c>
      <c r="BC17" s="66" t="str">
        <f t="shared" si="55"/>
        <v/>
      </c>
      <c r="BD17" s="66" t="str">
        <f t="shared" si="56"/>
        <v xml:space="preserve">baik dalam sikap jujur, percaya diri, tanggung jawab, kerja sama, </v>
      </c>
      <c r="BE17" s="66" t="str">
        <f t="shared" si="57"/>
        <v xml:space="preserve">cukup dalam sikap disiplin, sopan santun, </v>
      </c>
      <c r="BF17" s="66" t="str">
        <f t="shared" si="58"/>
        <v/>
      </c>
      <c r="BG17" s="4"/>
      <c r="BH17" s="349" t="str">
        <f t="shared" si="59"/>
        <v xml:space="preserve">Ananda Shulhan baik dalam sikap jujur, percaya diri, tanggung jawab, kerja sama, </v>
      </c>
      <c r="BI17" s="540" t="str">
        <f t="shared" si="60"/>
        <v xml:space="preserve">, </v>
      </c>
      <c r="BJ17" s="540" t="str">
        <f>SISWA!E15</f>
        <v>Shulhan</v>
      </c>
      <c r="BK17" s="540" t="str">
        <f t="shared" si="61"/>
        <v/>
      </c>
      <c r="BL17" s="540" t="str">
        <f t="shared" si="62"/>
        <v/>
      </c>
      <c r="BM17" s="540" t="str">
        <f t="shared" si="63"/>
        <v/>
      </c>
      <c r="BN17" s="540"/>
      <c r="BO17" s="4"/>
      <c r="BP17" s="540" t="str">
        <f t="shared" si="64"/>
        <v xml:space="preserve">, </v>
      </c>
      <c r="BQ17" s="540" t="str">
        <f t="shared" si="65"/>
        <v/>
      </c>
      <c r="BR17" s="540" t="str">
        <f t="shared" si="66"/>
        <v/>
      </c>
      <c r="BS17" s="540" t="str">
        <f t="shared" si="67"/>
        <v xml:space="preserve">, </v>
      </c>
      <c r="BT17" s="540" t="str">
        <f t="shared" si="68"/>
        <v xml:space="preserve">, </v>
      </c>
      <c r="BU17" s="540" t="str">
        <f t="shared" si="69"/>
        <v xml:space="preserve">, </v>
      </c>
      <c r="BV17" s="540"/>
      <c r="BW17" s="540"/>
      <c r="BX17" s="542" t="str">
        <f t="shared" si="70"/>
        <v xml:space="preserve">Sangat baik dalam sikap 206baik dalam sikap jujur, percaya diri, tanggung jawab, kerja sama, cukup dalam sikap disiplin, sopan santun, </v>
      </c>
      <c r="BY17" s="542" t="str">
        <f t="shared" si="71"/>
        <v xml:space="preserve"> Baik dalam sikap Ananda Shulhan baik dalam sikap jujur, percaya diri, tanggung jawab, kerja sama, , Shulhan</v>
      </c>
      <c r="BZ17" s="542" t="str">
        <f t="shared" si="72"/>
        <v xml:space="preserve">, dengan bimbingan yang lebih mampu meningkatkan sikap , , , , </v>
      </c>
      <c r="CA17" s="4"/>
      <c r="CB17" s="4" t="str">
        <f t="shared" si="73"/>
        <v/>
      </c>
      <c r="CC17" s="4" t="str">
        <f t="shared" si="74"/>
        <v xml:space="preserve"> Baik dalam sikap Ananda Shulhan baik dalam sikap jujur, percaya diri, tanggung jawab, kerja sama, , Shulhan</v>
      </c>
      <c r="CD17" s="4" t="str">
        <f t="shared" si="75"/>
        <v/>
      </c>
      <c r="CE17" s="4"/>
      <c r="CF17" s="349" t="str">
        <f t="shared" si="76"/>
        <v xml:space="preserve"> Baik dalam sikap Ananda Shulhan baik dalam sikap jujur, percaya diri, tanggung jawab, kerja sama, , Shulhan.</v>
      </c>
    </row>
    <row r="18" spans="1:84" ht="30" customHeight="1">
      <c r="A18" s="223">
        <v>11</v>
      </c>
      <c r="B18" s="224" t="str">
        <f>SISWA!$B16</f>
        <v>Novaris Dwi Firmansyah</v>
      </c>
      <c r="C18" s="295" t="s">
        <v>2</v>
      </c>
      <c r="D18" s="225" t="s">
        <v>2</v>
      </c>
      <c r="E18" s="225" t="s">
        <v>64</v>
      </c>
      <c r="F18" s="225" t="s">
        <v>2</v>
      </c>
      <c r="G18" s="225" t="s">
        <v>64</v>
      </c>
      <c r="H18" s="225" t="s">
        <v>2</v>
      </c>
      <c r="I18" s="294" t="str">
        <f t="shared" si="20"/>
        <v xml:space="preserve">Ananda Varis baik dalam sikap jujur, disiplin, tanggung jawab, kerja sama, </v>
      </c>
      <c r="K18" s="4"/>
      <c r="L18" s="540" t="str">
        <f t="shared" si="21"/>
        <v/>
      </c>
      <c r="M18" s="540" t="str">
        <f t="shared" si="22"/>
        <v/>
      </c>
      <c r="N18" s="540" t="str">
        <f t="shared" si="23"/>
        <v/>
      </c>
      <c r="O18" s="540" t="str">
        <f t="shared" si="24"/>
        <v/>
      </c>
      <c r="P18" s="540" t="str">
        <f t="shared" si="25"/>
        <v/>
      </c>
      <c r="Q18" s="540" t="str">
        <f t="shared" si="26"/>
        <v/>
      </c>
      <c r="R18" s="540"/>
      <c r="S18" s="4"/>
      <c r="T18" s="540" t="str">
        <f t="shared" si="27"/>
        <v xml:space="preserve">jujur, </v>
      </c>
      <c r="U18" s="540" t="str">
        <f t="shared" si="28"/>
        <v xml:space="preserve">disiplin, </v>
      </c>
      <c r="V18" s="540" t="str">
        <f t="shared" si="29"/>
        <v/>
      </c>
      <c r="W18" s="540" t="str">
        <f t="shared" si="30"/>
        <v xml:space="preserve">tanggung jawab, </v>
      </c>
      <c r="X18" s="540" t="str">
        <f t="shared" si="31"/>
        <v/>
      </c>
      <c r="Y18" s="540" t="str">
        <f t="shared" si="32"/>
        <v xml:space="preserve">kerja sama, </v>
      </c>
      <c r="Z18" s="540"/>
      <c r="AA18" s="653"/>
      <c r="AB18" s="540" t="str">
        <f t="shared" si="33"/>
        <v/>
      </c>
      <c r="AC18" s="540" t="str">
        <f t="shared" si="34"/>
        <v/>
      </c>
      <c r="AD18" s="540" t="str">
        <f t="shared" si="35"/>
        <v xml:space="preserve">percaya diri, </v>
      </c>
      <c r="AE18" s="540" t="str">
        <f t="shared" si="36"/>
        <v/>
      </c>
      <c r="AF18" s="540" t="str">
        <f t="shared" si="37"/>
        <v xml:space="preserve">sopan santun, </v>
      </c>
      <c r="AG18" s="540" t="str">
        <f t="shared" si="38"/>
        <v/>
      </c>
      <c r="AH18" s="540"/>
      <c r="AI18" s="4"/>
      <c r="AJ18" s="540" t="str">
        <f t="shared" si="39"/>
        <v/>
      </c>
      <c r="AK18" s="540" t="str">
        <f t="shared" si="40"/>
        <v/>
      </c>
      <c r="AL18" s="540" t="str">
        <f t="shared" si="41"/>
        <v/>
      </c>
      <c r="AM18" s="540" t="str">
        <f t="shared" si="42"/>
        <v/>
      </c>
      <c r="AN18" s="540" t="str">
        <f t="shared" si="43"/>
        <v/>
      </c>
      <c r="AO18" s="540" t="str">
        <f t="shared" si="44"/>
        <v/>
      </c>
      <c r="AP18" s="540"/>
      <c r="AQ18" s="541"/>
      <c r="AR18" s="542" t="str">
        <f t="shared" si="45"/>
        <v xml:space="preserve">sangat  </v>
      </c>
      <c r="AS18" s="542" t="str">
        <f t="shared" si="46"/>
        <v xml:space="preserve">baik dalam sikap jujur, disiplin, tanggung jawab, kerja sama, </v>
      </c>
      <c r="AT18" s="542" t="str">
        <f t="shared" si="47"/>
        <v xml:space="preserve">cukup dalam sikap percaya diri, sopan santun, </v>
      </c>
      <c r="AU18" s="542" t="str">
        <f t="shared" si="48"/>
        <v xml:space="preserve">sudah mampu meningkatkan sikap </v>
      </c>
      <c r="AV18" s="542"/>
      <c r="AW18" s="4" t="str">
        <f t="shared" si="49"/>
        <v>Ananda Varis</v>
      </c>
      <c r="AX18" s="66">
        <f t="shared" si="50"/>
        <v>0</v>
      </c>
      <c r="AY18" s="66">
        <f t="shared" si="51"/>
        <v>4</v>
      </c>
      <c r="AZ18" s="66">
        <f t="shared" si="52"/>
        <v>2</v>
      </c>
      <c r="BA18" s="66">
        <f t="shared" si="53"/>
        <v>0</v>
      </c>
      <c r="BB18" s="4">
        <f t="shared" si="54"/>
        <v>6</v>
      </c>
      <c r="BC18" s="66" t="str">
        <f t="shared" si="55"/>
        <v/>
      </c>
      <c r="BD18" s="66" t="str">
        <f t="shared" si="56"/>
        <v xml:space="preserve">baik dalam sikap jujur, disiplin, tanggung jawab, kerja sama, </v>
      </c>
      <c r="BE18" s="66" t="str">
        <f t="shared" si="57"/>
        <v xml:space="preserve">cukup dalam sikap percaya diri, sopan santun, </v>
      </c>
      <c r="BF18" s="66" t="str">
        <f t="shared" si="58"/>
        <v/>
      </c>
      <c r="BG18" s="4"/>
      <c r="BH18" s="349" t="str">
        <f t="shared" si="59"/>
        <v xml:space="preserve">Ananda Varis baik dalam sikap jujur, disiplin, tanggung jawab, kerja sama, </v>
      </c>
      <c r="BI18" s="540" t="str">
        <f t="shared" si="60"/>
        <v xml:space="preserve">, </v>
      </c>
      <c r="BJ18" s="540" t="str">
        <f>SISWA!E16</f>
        <v>Varis</v>
      </c>
      <c r="BK18" s="540" t="str">
        <f t="shared" si="61"/>
        <v/>
      </c>
      <c r="BL18" s="540" t="str">
        <f t="shared" si="62"/>
        <v/>
      </c>
      <c r="BM18" s="540" t="str">
        <f t="shared" si="63"/>
        <v/>
      </c>
      <c r="BN18" s="540"/>
      <c r="BO18" s="4"/>
      <c r="BP18" s="540" t="str">
        <f t="shared" si="64"/>
        <v xml:space="preserve">, </v>
      </c>
      <c r="BQ18" s="540" t="str">
        <f t="shared" si="65"/>
        <v/>
      </c>
      <c r="BR18" s="540" t="str">
        <f t="shared" si="66"/>
        <v/>
      </c>
      <c r="BS18" s="540" t="str">
        <f t="shared" si="67"/>
        <v xml:space="preserve">, </v>
      </c>
      <c r="BT18" s="540" t="str">
        <f t="shared" si="68"/>
        <v xml:space="preserve">, </v>
      </c>
      <c r="BU18" s="540" t="str">
        <f t="shared" si="69"/>
        <v xml:space="preserve">, </v>
      </c>
      <c r="BV18" s="540"/>
      <c r="BW18" s="540"/>
      <c r="BX18" s="542" t="str">
        <f t="shared" si="70"/>
        <v xml:space="preserve">Sangat baik dalam sikap 206baik dalam sikap jujur, disiplin, tanggung jawab, kerja sama, cukup dalam sikap percaya diri, sopan santun, </v>
      </c>
      <c r="BY18" s="542" t="str">
        <f t="shared" si="71"/>
        <v xml:space="preserve"> Baik dalam sikap Ananda Varis baik dalam sikap jujur, disiplin, tanggung jawab, kerja sama, , Varis</v>
      </c>
      <c r="BZ18" s="542" t="str">
        <f t="shared" si="72"/>
        <v xml:space="preserve">, dengan bimbingan yang lebih mampu meningkatkan sikap , , , , </v>
      </c>
      <c r="CA18" s="4"/>
      <c r="CB18" s="4" t="str">
        <f t="shared" si="73"/>
        <v/>
      </c>
      <c r="CC18" s="4" t="str">
        <f t="shared" si="74"/>
        <v xml:space="preserve"> Baik dalam sikap Ananda Varis baik dalam sikap jujur, disiplin, tanggung jawab, kerja sama, , Varis</v>
      </c>
      <c r="CD18" s="4" t="str">
        <f t="shared" si="75"/>
        <v/>
      </c>
      <c r="CE18" s="4"/>
      <c r="CF18" s="349" t="str">
        <f t="shared" si="76"/>
        <v xml:space="preserve"> Baik dalam sikap Ananda Varis baik dalam sikap jujur, disiplin, tanggung jawab, kerja sama, , Varis.</v>
      </c>
    </row>
    <row r="19" spans="1:84" ht="30" customHeight="1">
      <c r="A19" s="223">
        <v>12</v>
      </c>
      <c r="B19" s="224" t="str">
        <f>SISWA!$B17</f>
        <v>Oktafiya Duwi Safitri</v>
      </c>
      <c r="C19" s="295" t="s">
        <v>2</v>
      </c>
      <c r="D19" s="225" t="s">
        <v>2</v>
      </c>
      <c r="E19" s="225" t="s">
        <v>64</v>
      </c>
      <c r="F19" s="225" t="s">
        <v>2</v>
      </c>
      <c r="G19" s="225" t="s">
        <v>2</v>
      </c>
      <c r="H19" s="225" t="s">
        <v>2</v>
      </c>
      <c r="I19" s="294" t="str">
        <f t="shared" si="20"/>
        <v xml:space="preserve">Ananda Fitri baik dalam sikap jujur, disiplin, tanggung jawab, sopan santun, kerja sama, </v>
      </c>
      <c r="K19" s="4"/>
      <c r="L19" s="540" t="str">
        <f t="shared" si="21"/>
        <v/>
      </c>
      <c r="M19" s="540" t="str">
        <f t="shared" si="22"/>
        <v/>
      </c>
      <c r="N19" s="540" t="str">
        <f t="shared" si="23"/>
        <v/>
      </c>
      <c r="O19" s="540" t="str">
        <f t="shared" si="24"/>
        <v/>
      </c>
      <c r="P19" s="540" t="str">
        <f t="shared" si="25"/>
        <v/>
      </c>
      <c r="Q19" s="540" t="str">
        <f t="shared" si="26"/>
        <v/>
      </c>
      <c r="R19" s="540"/>
      <c r="S19" s="4"/>
      <c r="T19" s="540" t="str">
        <f t="shared" si="27"/>
        <v xml:space="preserve">jujur, </v>
      </c>
      <c r="U19" s="540" t="str">
        <f t="shared" si="28"/>
        <v xml:space="preserve">disiplin, </v>
      </c>
      <c r="V19" s="540" t="str">
        <f t="shared" si="29"/>
        <v/>
      </c>
      <c r="W19" s="540" t="str">
        <f t="shared" si="30"/>
        <v xml:space="preserve">tanggung jawab, </v>
      </c>
      <c r="X19" s="540" t="str">
        <f t="shared" si="31"/>
        <v xml:space="preserve">sopan santun, </v>
      </c>
      <c r="Y19" s="540" t="str">
        <f t="shared" si="32"/>
        <v xml:space="preserve">kerja sama, </v>
      </c>
      <c r="Z19" s="540"/>
      <c r="AA19" s="653"/>
      <c r="AB19" s="540" t="str">
        <f t="shared" si="33"/>
        <v/>
      </c>
      <c r="AC19" s="540" t="str">
        <f t="shared" si="34"/>
        <v/>
      </c>
      <c r="AD19" s="540" t="str">
        <f t="shared" si="35"/>
        <v xml:space="preserve">percaya diri, </v>
      </c>
      <c r="AE19" s="540" t="str">
        <f t="shared" si="36"/>
        <v/>
      </c>
      <c r="AF19" s="540" t="str">
        <f t="shared" si="37"/>
        <v/>
      </c>
      <c r="AG19" s="540" t="str">
        <f t="shared" si="38"/>
        <v/>
      </c>
      <c r="AH19" s="540"/>
      <c r="AI19" s="4"/>
      <c r="AJ19" s="540" t="str">
        <f t="shared" si="39"/>
        <v/>
      </c>
      <c r="AK19" s="540" t="str">
        <f t="shared" si="40"/>
        <v/>
      </c>
      <c r="AL19" s="540" t="str">
        <f t="shared" si="41"/>
        <v/>
      </c>
      <c r="AM19" s="540" t="str">
        <f t="shared" si="42"/>
        <v/>
      </c>
      <c r="AN19" s="540" t="str">
        <f t="shared" si="43"/>
        <v/>
      </c>
      <c r="AO19" s="540" t="str">
        <f t="shared" si="44"/>
        <v/>
      </c>
      <c r="AP19" s="540"/>
      <c r="AQ19" s="541"/>
      <c r="AR19" s="542" t="str">
        <f t="shared" si="45"/>
        <v xml:space="preserve">sangat  </v>
      </c>
      <c r="AS19" s="542" t="str">
        <f t="shared" si="46"/>
        <v xml:space="preserve">baik dalam sikap jujur, disiplin, tanggung jawab, sopan santun, kerja sama, </v>
      </c>
      <c r="AT19" s="542" t="str">
        <f t="shared" si="47"/>
        <v xml:space="preserve">cukup dalam sikap percaya diri, </v>
      </c>
      <c r="AU19" s="542" t="str">
        <f t="shared" si="48"/>
        <v xml:space="preserve">sudah mampu meningkatkan sikap </v>
      </c>
      <c r="AV19" s="542"/>
      <c r="AW19" s="4" t="str">
        <f t="shared" si="49"/>
        <v>Ananda Fitri</v>
      </c>
      <c r="AX19" s="66">
        <f t="shared" si="50"/>
        <v>0</v>
      </c>
      <c r="AY19" s="66">
        <f t="shared" si="51"/>
        <v>5</v>
      </c>
      <c r="AZ19" s="66">
        <f t="shared" si="52"/>
        <v>1</v>
      </c>
      <c r="BA19" s="66">
        <f t="shared" si="53"/>
        <v>0</v>
      </c>
      <c r="BB19" s="4">
        <f t="shared" si="54"/>
        <v>6</v>
      </c>
      <c r="BC19" s="66" t="str">
        <f t="shared" si="55"/>
        <v/>
      </c>
      <c r="BD19" s="66" t="str">
        <f t="shared" si="56"/>
        <v xml:space="preserve">baik dalam sikap jujur, disiplin, tanggung jawab, sopan santun, kerja sama, </v>
      </c>
      <c r="BE19" s="66" t="str">
        <f t="shared" si="57"/>
        <v xml:space="preserve">cukup dalam sikap percaya diri, </v>
      </c>
      <c r="BF19" s="66" t="str">
        <f t="shared" si="58"/>
        <v/>
      </c>
      <c r="BG19" s="4"/>
      <c r="BH19" s="349" t="str">
        <f t="shared" si="59"/>
        <v xml:space="preserve">Ananda Fitri baik dalam sikap jujur, disiplin, tanggung jawab, sopan santun, kerja sama, </v>
      </c>
      <c r="BI19" s="540" t="str">
        <f t="shared" si="60"/>
        <v xml:space="preserve">, </v>
      </c>
      <c r="BJ19" s="540" t="str">
        <f>SISWA!E17</f>
        <v>Fitri</v>
      </c>
      <c r="BK19" s="540" t="str">
        <f t="shared" si="61"/>
        <v/>
      </c>
      <c r="BL19" s="540" t="str">
        <f t="shared" si="62"/>
        <v/>
      </c>
      <c r="BM19" s="540" t="str">
        <f t="shared" si="63"/>
        <v/>
      </c>
      <c r="BN19" s="540"/>
      <c r="BO19" s="4"/>
      <c r="BP19" s="540" t="str">
        <f t="shared" si="64"/>
        <v xml:space="preserve">, </v>
      </c>
      <c r="BQ19" s="540" t="str">
        <f t="shared" si="65"/>
        <v/>
      </c>
      <c r="BR19" s="540" t="str">
        <f t="shared" si="66"/>
        <v/>
      </c>
      <c r="BS19" s="540" t="str">
        <f t="shared" si="67"/>
        <v xml:space="preserve">, </v>
      </c>
      <c r="BT19" s="540" t="str">
        <f t="shared" si="68"/>
        <v xml:space="preserve">, </v>
      </c>
      <c r="BU19" s="540" t="str">
        <f t="shared" si="69"/>
        <v xml:space="preserve">, </v>
      </c>
      <c r="BV19" s="540"/>
      <c r="BW19" s="540"/>
      <c r="BX19" s="542" t="str">
        <f t="shared" si="70"/>
        <v xml:space="preserve">Sangat baik dalam sikap 106baik dalam sikap jujur, disiplin, tanggung jawab, sopan santun, kerja sama, cukup dalam sikap percaya diri, </v>
      </c>
      <c r="BY19" s="542" t="str">
        <f t="shared" si="71"/>
        <v xml:space="preserve"> Baik dalam sikap Ananda Fitri baik dalam sikap jujur, disiplin, tanggung jawab, sopan santun, kerja sama, , Fitri</v>
      </c>
      <c r="BZ19" s="542" t="str">
        <f t="shared" si="72"/>
        <v xml:space="preserve">, dengan bimbingan yang lebih mampu meningkatkan sikap , , , , </v>
      </c>
      <c r="CA19" s="4"/>
      <c r="CB19" s="4" t="str">
        <f t="shared" si="73"/>
        <v/>
      </c>
      <c r="CC19" s="4" t="str">
        <f t="shared" si="74"/>
        <v xml:space="preserve"> Baik dalam sikap Ananda Fitri baik dalam sikap jujur, disiplin, tanggung jawab, sopan santun, kerja sama, , Fitri</v>
      </c>
      <c r="CD19" s="4" t="str">
        <f t="shared" si="75"/>
        <v/>
      </c>
      <c r="CE19" s="4"/>
      <c r="CF19" s="349" t="str">
        <f t="shared" si="76"/>
        <v xml:space="preserve"> Baik dalam sikap Ananda Fitri baik dalam sikap jujur, disiplin, tanggung jawab, sopan santun, kerja sama, , Fitri.</v>
      </c>
    </row>
    <row r="20" spans="1:84" ht="30" customHeight="1">
      <c r="A20" s="223">
        <v>13</v>
      </c>
      <c r="B20" s="224" t="str">
        <f>SISWA!$B18</f>
        <v>Prastika Guntur Firmansyah</v>
      </c>
      <c r="C20" s="295" t="s">
        <v>2</v>
      </c>
      <c r="D20" s="225" t="s">
        <v>2</v>
      </c>
      <c r="E20" s="225" t="s">
        <v>2</v>
      </c>
      <c r="F20" s="225" t="s">
        <v>2</v>
      </c>
      <c r="G20" s="225" t="s">
        <v>2</v>
      </c>
      <c r="H20" s="225" t="s">
        <v>2</v>
      </c>
      <c r="I20" s="294" t="str">
        <f t="shared" si="20"/>
        <v xml:space="preserve">Ananda Pras baik dalam sikap jujur, disiplin, percaya diri, tanggung jawab, sopan santun, kerja sama, </v>
      </c>
      <c r="K20" s="4"/>
      <c r="L20" s="540" t="str">
        <f t="shared" si="21"/>
        <v/>
      </c>
      <c r="M20" s="540" t="str">
        <f t="shared" si="22"/>
        <v/>
      </c>
      <c r="N20" s="540" t="str">
        <f t="shared" si="23"/>
        <v/>
      </c>
      <c r="O20" s="540" t="str">
        <f t="shared" si="24"/>
        <v/>
      </c>
      <c r="P20" s="540" t="str">
        <f t="shared" si="25"/>
        <v/>
      </c>
      <c r="Q20" s="540" t="str">
        <f t="shared" si="26"/>
        <v/>
      </c>
      <c r="R20" s="540"/>
      <c r="S20" s="4"/>
      <c r="T20" s="540" t="str">
        <f t="shared" si="27"/>
        <v xml:space="preserve">jujur, </v>
      </c>
      <c r="U20" s="540" t="str">
        <f t="shared" si="28"/>
        <v xml:space="preserve">disiplin, </v>
      </c>
      <c r="V20" s="540" t="str">
        <f t="shared" si="29"/>
        <v xml:space="preserve">percaya diri, </v>
      </c>
      <c r="W20" s="540" t="str">
        <f t="shared" si="30"/>
        <v xml:space="preserve">tanggung jawab, </v>
      </c>
      <c r="X20" s="540" t="str">
        <f t="shared" si="31"/>
        <v xml:space="preserve">sopan santun, </v>
      </c>
      <c r="Y20" s="540" t="str">
        <f t="shared" si="32"/>
        <v xml:space="preserve">kerja sama, </v>
      </c>
      <c r="Z20" s="540"/>
      <c r="AA20" s="653"/>
      <c r="AB20" s="540" t="str">
        <f t="shared" si="33"/>
        <v/>
      </c>
      <c r="AC20" s="540" t="str">
        <f t="shared" si="34"/>
        <v/>
      </c>
      <c r="AD20" s="540" t="str">
        <f t="shared" si="35"/>
        <v/>
      </c>
      <c r="AE20" s="540" t="str">
        <f t="shared" si="36"/>
        <v/>
      </c>
      <c r="AF20" s="540" t="str">
        <f t="shared" si="37"/>
        <v/>
      </c>
      <c r="AG20" s="540" t="str">
        <f t="shared" si="38"/>
        <v/>
      </c>
      <c r="AH20" s="540"/>
      <c r="AI20" s="4"/>
      <c r="AJ20" s="540" t="str">
        <f t="shared" si="39"/>
        <v/>
      </c>
      <c r="AK20" s="540" t="str">
        <f t="shared" si="40"/>
        <v/>
      </c>
      <c r="AL20" s="540" t="str">
        <f t="shared" si="41"/>
        <v/>
      </c>
      <c r="AM20" s="540" t="str">
        <f t="shared" si="42"/>
        <v/>
      </c>
      <c r="AN20" s="540" t="str">
        <f t="shared" si="43"/>
        <v/>
      </c>
      <c r="AO20" s="540" t="str">
        <f t="shared" si="44"/>
        <v/>
      </c>
      <c r="AP20" s="540"/>
      <c r="AQ20" s="541"/>
      <c r="AR20" s="542" t="str">
        <f t="shared" si="45"/>
        <v xml:space="preserve">sangat  </v>
      </c>
      <c r="AS20" s="542" t="str">
        <f t="shared" si="46"/>
        <v xml:space="preserve">baik dalam sikap jujur, disiplin, percaya diri, tanggung jawab, sopan santun, kerja sama, </v>
      </c>
      <c r="AT20" s="542" t="str">
        <f t="shared" si="47"/>
        <v xml:space="preserve">cukup dalam sikap </v>
      </c>
      <c r="AU20" s="542" t="str">
        <f t="shared" si="48"/>
        <v xml:space="preserve">sudah mampu meningkatkan sikap </v>
      </c>
      <c r="AV20" s="542"/>
      <c r="AW20" s="4" t="str">
        <f t="shared" si="49"/>
        <v>Ananda Pras</v>
      </c>
      <c r="AX20" s="66">
        <f t="shared" si="50"/>
        <v>0</v>
      </c>
      <c r="AY20" s="66">
        <f t="shared" si="51"/>
        <v>6</v>
      </c>
      <c r="AZ20" s="66">
        <f t="shared" si="52"/>
        <v>0</v>
      </c>
      <c r="BA20" s="66">
        <f t="shared" si="53"/>
        <v>0</v>
      </c>
      <c r="BB20" s="4">
        <f t="shared" si="54"/>
        <v>6</v>
      </c>
      <c r="BC20" s="66" t="str">
        <f t="shared" si="55"/>
        <v/>
      </c>
      <c r="BD20" s="66" t="str">
        <f t="shared" si="56"/>
        <v xml:space="preserve">baik dalam sikap jujur, disiplin, percaya diri, tanggung jawab, sopan santun, kerja sama, </v>
      </c>
      <c r="BE20" s="66" t="str">
        <f t="shared" si="57"/>
        <v/>
      </c>
      <c r="BF20" s="66" t="str">
        <f t="shared" si="58"/>
        <v/>
      </c>
      <c r="BG20" s="4"/>
      <c r="BH20" s="349" t="str">
        <f t="shared" si="59"/>
        <v xml:space="preserve">Ananda Pras baik dalam sikap jujur, disiplin, percaya diri, tanggung jawab, sopan santun, kerja sama, </v>
      </c>
      <c r="BI20" s="540" t="str">
        <f t="shared" si="60"/>
        <v xml:space="preserve">, </v>
      </c>
      <c r="BJ20" s="540" t="str">
        <f>SISWA!E18</f>
        <v>Pras</v>
      </c>
      <c r="BK20" s="540" t="str">
        <f t="shared" si="61"/>
        <v/>
      </c>
      <c r="BL20" s="540" t="str">
        <f t="shared" si="62"/>
        <v/>
      </c>
      <c r="BM20" s="540" t="str">
        <f t="shared" si="63"/>
        <v/>
      </c>
      <c r="BN20" s="540"/>
      <c r="BO20" s="4"/>
      <c r="BP20" s="540" t="str">
        <f t="shared" si="64"/>
        <v xml:space="preserve">, </v>
      </c>
      <c r="BQ20" s="540" t="str">
        <f t="shared" si="65"/>
        <v/>
      </c>
      <c r="BR20" s="540" t="str">
        <f t="shared" si="66"/>
        <v/>
      </c>
      <c r="BS20" s="540" t="str">
        <f t="shared" si="67"/>
        <v xml:space="preserve">, </v>
      </c>
      <c r="BT20" s="540" t="str">
        <f t="shared" si="68"/>
        <v xml:space="preserve">, </v>
      </c>
      <c r="BU20" s="540" t="str">
        <f t="shared" si="69"/>
        <v xml:space="preserve">, </v>
      </c>
      <c r="BV20" s="540"/>
      <c r="BW20" s="540"/>
      <c r="BX20" s="542" t="str">
        <f t="shared" si="70"/>
        <v xml:space="preserve">Sangat baik dalam sikap 006baik dalam sikap jujur, disiplin, percaya diri, tanggung jawab, sopan santun, kerja sama, </v>
      </c>
      <c r="BY20" s="542" t="str">
        <f t="shared" si="71"/>
        <v xml:space="preserve"> Baik dalam sikap Ananda Pras baik dalam sikap jujur, disiplin, percaya diri, tanggung jawab, sopan santun, kerja sama, , Pras</v>
      </c>
      <c r="BZ20" s="542" t="str">
        <f t="shared" si="72"/>
        <v xml:space="preserve">, dengan bimbingan yang lebih mampu meningkatkan sikap , , , , </v>
      </c>
      <c r="CA20" s="4"/>
      <c r="CB20" s="4" t="str">
        <f t="shared" si="73"/>
        <v/>
      </c>
      <c r="CC20" s="4" t="str">
        <f t="shared" si="74"/>
        <v xml:space="preserve"> Baik dalam sikap Ananda Pras baik dalam sikap jujur, disiplin, percaya diri, tanggung jawab, sopan santun, kerja sama, , Pras</v>
      </c>
      <c r="CD20" s="4" t="str">
        <f t="shared" si="75"/>
        <v/>
      </c>
      <c r="CE20" s="4"/>
      <c r="CF20" s="349" t="str">
        <f t="shared" si="76"/>
        <v xml:space="preserve"> Baik dalam sikap Ananda Pras baik dalam sikap jujur, disiplin, percaya diri, tanggung jawab, sopan santun, kerja sama, , Pras.</v>
      </c>
    </row>
    <row r="21" spans="1:84" ht="30" customHeight="1">
      <c r="A21" s="223">
        <v>14</v>
      </c>
      <c r="B21" s="224" t="str">
        <f>SISWA!$B19</f>
        <v>Siti Musyafiani</v>
      </c>
      <c r="C21" s="295" t="s">
        <v>2</v>
      </c>
      <c r="D21" s="225" t="s">
        <v>2</v>
      </c>
      <c r="E21" s="225" t="s">
        <v>64</v>
      </c>
      <c r="F21" s="225" t="s">
        <v>2</v>
      </c>
      <c r="G21" s="225" t="s">
        <v>2</v>
      </c>
      <c r="H21" s="225" t="s">
        <v>2</v>
      </c>
      <c r="I21" s="294" t="str">
        <f t="shared" si="20"/>
        <v xml:space="preserve">Ananda Fifi baik dalam sikap jujur, disiplin, tanggung jawab, sopan santun, kerja sama, </v>
      </c>
      <c r="K21" s="4"/>
      <c r="L21" s="540" t="str">
        <f t="shared" si="21"/>
        <v/>
      </c>
      <c r="M21" s="540" t="str">
        <f t="shared" si="22"/>
        <v/>
      </c>
      <c r="N21" s="540" t="str">
        <f t="shared" si="23"/>
        <v/>
      </c>
      <c r="O21" s="540" t="str">
        <f t="shared" si="24"/>
        <v/>
      </c>
      <c r="P21" s="540" t="str">
        <f t="shared" si="25"/>
        <v/>
      </c>
      <c r="Q21" s="540" t="str">
        <f t="shared" si="26"/>
        <v/>
      </c>
      <c r="R21" s="540"/>
      <c r="S21" s="4"/>
      <c r="T21" s="540" t="str">
        <f t="shared" si="27"/>
        <v xml:space="preserve">jujur, </v>
      </c>
      <c r="U21" s="540" t="str">
        <f t="shared" si="28"/>
        <v xml:space="preserve">disiplin, </v>
      </c>
      <c r="V21" s="540" t="str">
        <f t="shared" si="29"/>
        <v/>
      </c>
      <c r="W21" s="540" t="str">
        <f t="shared" si="30"/>
        <v xml:space="preserve">tanggung jawab, </v>
      </c>
      <c r="X21" s="540" t="str">
        <f t="shared" si="31"/>
        <v xml:space="preserve">sopan santun, </v>
      </c>
      <c r="Y21" s="540" t="str">
        <f t="shared" si="32"/>
        <v xml:space="preserve">kerja sama, </v>
      </c>
      <c r="Z21" s="540"/>
      <c r="AA21" s="653"/>
      <c r="AB21" s="540" t="str">
        <f t="shared" si="33"/>
        <v/>
      </c>
      <c r="AC21" s="540" t="str">
        <f t="shared" si="34"/>
        <v/>
      </c>
      <c r="AD21" s="540" t="str">
        <f t="shared" si="35"/>
        <v xml:space="preserve">percaya diri, </v>
      </c>
      <c r="AE21" s="540" t="str">
        <f t="shared" si="36"/>
        <v/>
      </c>
      <c r="AF21" s="540" t="str">
        <f t="shared" si="37"/>
        <v/>
      </c>
      <c r="AG21" s="540" t="str">
        <f t="shared" si="38"/>
        <v/>
      </c>
      <c r="AH21" s="540"/>
      <c r="AI21" s="4"/>
      <c r="AJ21" s="540" t="str">
        <f t="shared" si="39"/>
        <v/>
      </c>
      <c r="AK21" s="540" t="str">
        <f t="shared" si="40"/>
        <v/>
      </c>
      <c r="AL21" s="540" t="str">
        <f t="shared" si="41"/>
        <v/>
      </c>
      <c r="AM21" s="540" t="str">
        <f t="shared" si="42"/>
        <v/>
      </c>
      <c r="AN21" s="540" t="str">
        <f t="shared" si="43"/>
        <v/>
      </c>
      <c r="AO21" s="540" t="str">
        <f t="shared" si="44"/>
        <v/>
      </c>
      <c r="AP21" s="540"/>
      <c r="AQ21" s="541"/>
      <c r="AR21" s="542" t="str">
        <f t="shared" si="45"/>
        <v xml:space="preserve">sangat  </v>
      </c>
      <c r="AS21" s="542" t="str">
        <f t="shared" si="46"/>
        <v xml:space="preserve">baik dalam sikap jujur, disiplin, tanggung jawab, sopan santun, kerja sama, </v>
      </c>
      <c r="AT21" s="542" t="str">
        <f t="shared" si="47"/>
        <v xml:space="preserve">cukup dalam sikap percaya diri, </v>
      </c>
      <c r="AU21" s="542" t="str">
        <f t="shared" si="48"/>
        <v xml:space="preserve">sudah mampu meningkatkan sikap </v>
      </c>
      <c r="AV21" s="542"/>
      <c r="AW21" s="4" t="str">
        <f t="shared" si="49"/>
        <v>Ananda Fifi</v>
      </c>
      <c r="AX21" s="66">
        <f t="shared" si="50"/>
        <v>0</v>
      </c>
      <c r="AY21" s="66">
        <f t="shared" si="51"/>
        <v>5</v>
      </c>
      <c r="AZ21" s="66">
        <f t="shared" si="52"/>
        <v>1</v>
      </c>
      <c r="BA21" s="66">
        <f t="shared" si="53"/>
        <v>0</v>
      </c>
      <c r="BB21" s="4">
        <f t="shared" si="54"/>
        <v>6</v>
      </c>
      <c r="BC21" s="66" t="str">
        <f t="shared" si="55"/>
        <v/>
      </c>
      <c r="BD21" s="66" t="str">
        <f t="shared" si="56"/>
        <v xml:space="preserve">baik dalam sikap jujur, disiplin, tanggung jawab, sopan santun, kerja sama, </v>
      </c>
      <c r="BE21" s="66" t="str">
        <f t="shared" si="57"/>
        <v xml:space="preserve">cukup dalam sikap percaya diri, </v>
      </c>
      <c r="BF21" s="66" t="str">
        <f t="shared" si="58"/>
        <v/>
      </c>
      <c r="BG21" s="4"/>
      <c r="BH21" s="349" t="str">
        <f t="shared" si="59"/>
        <v xml:space="preserve">Ananda Fifi baik dalam sikap jujur, disiplin, tanggung jawab, sopan santun, kerja sama, </v>
      </c>
      <c r="BI21" s="540" t="str">
        <f t="shared" si="60"/>
        <v xml:space="preserve">, </v>
      </c>
      <c r="BJ21" s="540" t="str">
        <f>SISWA!E19</f>
        <v>Fifi</v>
      </c>
      <c r="BK21" s="540" t="str">
        <f t="shared" si="61"/>
        <v/>
      </c>
      <c r="BL21" s="540" t="str">
        <f t="shared" si="62"/>
        <v/>
      </c>
      <c r="BM21" s="540" t="str">
        <f t="shared" si="63"/>
        <v/>
      </c>
      <c r="BN21" s="540"/>
      <c r="BO21" s="4"/>
      <c r="BP21" s="540" t="str">
        <f t="shared" si="64"/>
        <v xml:space="preserve">, </v>
      </c>
      <c r="BQ21" s="540" t="str">
        <f t="shared" si="65"/>
        <v/>
      </c>
      <c r="BR21" s="540" t="str">
        <f t="shared" si="66"/>
        <v/>
      </c>
      <c r="BS21" s="540" t="str">
        <f t="shared" si="67"/>
        <v xml:space="preserve">, </v>
      </c>
      <c r="BT21" s="540" t="str">
        <f t="shared" si="68"/>
        <v xml:space="preserve">, </v>
      </c>
      <c r="BU21" s="540" t="str">
        <f t="shared" si="69"/>
        <v xml:space="preserve">, </v>
      </c>
      <c r="BV21" s="540"/>
      <c r="BW21" s="540"/>
      <c r="BX21" s="542" t="str">
        <f t="shared" si="70"/>
        <v xml:space="preserve">Sangat baik dalam sikap 106baik dalam sikap jujur, disiplin, tanggung jawab, sopan santun, kerja sama, cukup dalam sikap percaya diri, </v>
      </c>
      <c r="BY21" s="542" t="str">
        <f t="shared" si="71"/>
        <v xml:space="preserve"> Baik dalam sikap Ananda Fifi baik dalam sikap jujur, disiplin, tanggung jawab, sopan santun, kerja sama, , Fifi</v>
      </c>
      <c r="BZ21" s="542" t="str">
        <f t="shared" si="72"/>
        <v xml:space="preserve">, dengan bimbingan yang lebih mampu meningkatkan sikap , , , , </v>
      </c>
      <c r="CA21" s="4"/>
      <c r="CB21" s="4" t="str">
        <f t="shared" si="73"/>
        <v/>
      </c>
      <c r="CC21" s="4" t="str">
        <f t="shared" si="74"/>
        <v xml:space="preserve"> Baik dalam sikap Ananda Fifi baik dalam sikap jujur, disiplin, tanggung jawab, sopan santun, kerja sama, , Fifi</v>
      </c>
      <c r="CD21" s="4" t="str">
        <f t="shared" si="75"/>
        <v/>
      </c>
      <c r="CE21" s="4"/>
      <c r="CF21" s="349" t="str">
        <f t="shared" si="76"/>
        <v xml:space="preserve"> Baik dalam sikap Ananda Fifi baik dalam sikap jujur, disiplin, tanggung jawab, sopan santun, kerja sama, , Fifi.</v>
      </c>
    </row>
    <row r="22" spans="1:84" ht="30" customHeight="1">
      <c r="A22" s="223">
        <v>15</v>
      </c>
      <c r="B22" s="224" t="str">
        <f>SISWA!$B20</f>
        <v>Tegar Arya Pangestu</v>
      </c>
      <c r="C22" s="295" t="s">
        <v>2</v>
      </c>
      <c r="D22" s="225" t="s">
        <v>2</v>
      </c>
      <c r="E22" s="225" t="s">
        <v>64</v>
      </c>
      <c r="F22" s="225" t="s">
        <v>2</v>
      </c>
      <c r="G22" s="225" t="s">
        <v>2</v>
      </c>
      <c r="H22" s="225" t="s">
        <v>2</v>
      </c>
      <c r="I22" s="294" t="str">
        <f t="shared" si="20"/>
        <v xml:space="preserve">Ananda Tegar baik dalam sikap jujur, disiplin, tanggung jawab, sopan santun, kerja sama, </v>
      </c>
      <c r="K22" s="4"/>
      <c r="L22" s="540" t="str">
        <f t="shared" si="21"/>
        <v/>
      </c>
      <c r="M22" s="540" t="str">
        <f t="shared" si="22"/>
        <v/>
      </c>
      <c r="N22" s="540" t="str">
        <f t="shared" si="23"/>
        <v/>
      </c>
      <c r="O22" s="540" t="str">
        <f t="shared" si="24"/>
        <v/>
      </c>
      <c r="P22" s="540" t="str">
        <f t="shared" si="25"/>
        <v/>
      </c>
      <c r="Q22" s="540" t="str">
        <f t="shared" si="26"/>
        <v/>
      </c>
      <c r="R22" s="540"/>
      <c r="S22" s="4"/>
      <c r="T22" s="540" t="str">
        <f t="shared" si="27"/>
        <v xml:space="preserve">jujur, </v>
      </c>
      <c r="U22" s="540" t="str">
        <f t="shared" si="28"/>
        <v xml:space="preserve">disiplin, </v>
      </c>
      <c r="V22" s="540" t="str">
        <f t="shared" si="29"/>
        <v/>
      </c>
      <c r="W22" s="540" t="str">
        <f t="shared" si="30"/>
        <v xml:space="preserve">tanggung jawab, </v>
      </c>
      <c r="X22" s="540" t="str">
        <f t="shared" si="31"/>
        <v xml:space="preserve">sopan santun, </v>
      </c>
      <c r="Y22" s="540" t="str">
        <f t="shared" si="32"/>
        <v xml:space="preserve">kerja sama, </v>
      </c>
      <c r="Z22" s="540"/>
      <c r="AA22" s="653"/>
      <c r="AB22" s="540" t="str">
        <f t="shared" si="33"/>
        <v/>
      </c>
      <c r="AC22" s="540" t="str">
        <f t="shared" si="34"/>
        <v/>
      </c>
      <c r="AD22" s="540" t="str">
        <f t="shared" si="35"/>
        <v xml:space="preserve">percaya diri, </v>
      </c>
      <c r="AE22" s="540" t="str">
        <f t="shared" si="36"/>
        <v/>
      </c>
      <c r="AF22" s="540" t="str">
        <f t="shared" si="37"/>
        <v/>
      </c>
      <c r="AG22" s="540" t="str">
        <f t="shared" si="38"/>
        <v/>
      </c>
      <c r="AH22" s="540"/>
      <c r="AI22" s="4"/>
      <c r="AJ22" s="540" t="str">
        <f t="shared" si="39"/>
        <v/>
      </c>
      <c r="AK22" s="540" t="str">
        <f t="shared" si="40"/>
        <v/>
      </c>
      <c r="AL22" s="540" t="str">
        <f t="shared" si="41"/>
        <v/>
      </c>
      <c r="AM22" s="540" t="str">
        <f t="shared" si="42"/>
        <v/>
      </c>
      <c r="AN22" s="540" t="str">
        <f t="shared" si="43"/>
        <v/>
      </c>
      <c r="AO22" s="540" t="str">
        <f t="shared" si="44"/>
        <v/>
      </c>
      <c r="AP22" s="540"/>
      <c r="AQ22" s="541"/>
      <c r="AR22" s="542" t="str">
        <f t="shared" si="45"/>
        <v xml:space="preserve">sangat  </v>
      </c>
      <c r="AS22" s="542" t="str">
        <f t="shared" si="46"/>
        <v xml:space="preserve">baik dalam sikap jujur, disiplin, tanggung jawab, sopan santun, kerja sama, </v>
      </c>
      <c r="AT22" s="542" t="str">
        <f t="shared" si="47"/>
        <v xml:space="preserve">cukup dalam sikap percaya diri, </v>
      </c>
      <c r="AU22" s="542" t="str">
        <f t="shared" si="48"/>
        <v xml:space="preserve">sudah mampu meningkatkan sikap </v>
      </c>
      <c r="AV22" s="542"/>
      <c r="AW22" s="4" t="str">
        <f t="shared" si="49"/>
        <v>Ananda Tegar</v>
      </c>
      <c r="AX22" s="66">
        <f t="shared" si="50"/>
        <v>0</v>
      </c>
      <c r="AY22" s="66">
        <f t="shared" si="51"/>
        <v>5</v>
      </c>
      <c r="AZ22" s="66">
        <f t="shared" si="52"/>
        <v>1</v>
      </c>
      <c r="BA22" s="66">
        <f t="shared" si="53"/>
        <v>0</v>
      </c>
      <c r="BB22" s="4">
        <f t="shared" si="54"/>
        <v>6</v>
      </c>
      <c r="BC22" s="66" t="str">
        <f t="shared" si="55"/>
        <v/>
      </c>
      <c r="BD22" s="66" t="str">
        <f t="shared" si="56"/>
        <v xml:space="preserve">baik dalam sikap jujur, disiplin, tanggung jawab, sopan santun, kerja sama, </v>
      </c>
      <c r="BE22" s="66" t="str">
        <f t="shared" si="57"/>
        <v xml:space="preserve">cukup dalam sikap percaya diri, </v>
      </c>
      <c r="BF22" s="66" t="str">
        <f t="shared" si="58"/>
        <v/>
      </c>
      <c r="BG22" s="4"/>
      <c r="BH22" s="349" t="str">
        <f t="shared" si="59"/>
        <v xml:space="preserve">Ananda Tegar baik dalam sikap jujur, disiplin, tanggung jawab, sopan santun, kerja sama, </v>
      </c>
      <c r="BI22" s="540" t="str">
        <f t="shared" si="60"/>
        <v xml:space="preserve">, </v>
      </c>
      <c r="BJ22" s="540" t="str">
        <f>SISWA!E20</f>
        <v>Tegar</v>
      </c>
      <c r="BK22" s="540" t="str">
        <f t="shared" si="61"/>
        <v/>
      </c>
      <c r="BL22" s="540" t="str">
        <f t="shared" si="62"/>
        <v/>
      </c>
      <c r="BM22" s="540" t="str">
        <f t="shared" si="63"/>
        <v/>
      </c>
      <c r="BN22" s="540"/>
      <c r="BO22" s="4"/>
      <c r="BP22" s="540" t="str">
        <f t="shared" si="64"/>
        <v xml:space="preserve">, </v>
      </c>
      <c r="BQ22" s="540" t="str">
        <f t="shared" si="65"/>
        <v/>
      </c>
      <c r="BR22" s="540" t="str">
        <f t="shared" si="66"/>
        <v/>
      </c>
      <c r="BS22" s="540" t="str">
        <f t="shared" si="67"/>
        <v xml:space="preserve">, </v>
      </c>
      <c r="BT22" s="540" t="str">
        <f t="shared" si="68"/>
        <v xml:space="preserve">, </v>
      </c>
      <c r="BU22" s="540" t="str">
        <f t="shared" si="69"/>
        <v xml:space="preserve">, </v>
      </c>
      <c r="BV22" s="540"/>
      <c r="BW22" s="540"/>
      <c r="BX22" s="542" t="str">
        <f t="shared" si="70"/>
        <v xml:space="preserve">Sangat baik dalam sikap 106baik dalam sikap jujur, disiplin, tanggung jawab, sopan santun, kerja sama, cukup dalam sikap percaya diri, </v>
      </c>
      <c r="BY22" s="542" t="str">
        <f t="shared" si="71"/>
        <v xml:space="preserve"> Baik dalam sikap Ananda Tegar baik dalam sikap jujur, disiplin, tanggung jawab, sopan santun, kerja sama, , Tegar</v>
      </c>
      <c r="BZ22" s="542" t="str">
        <f t="shared" si="72"/>
        <v xml:space="preserve">, dengan bimbingan yang lebih mampu meningkatkan sikap , , , , </v>
      </c>
      <c r="CA22" s="4"/>
      <c r="CB22" s="4" t="str">
        <f t="shared" si="73"/>
        <v/>
      </c>
      <c r="CC22" s="4" t="str">
        <f t="shared" si="74"/>
        <v xml:space="preserve"> Baik dalam sikap Ananda Tegar baik dalam sikap jujur, disiplin, tanggung jawab, sopan santun, kerja sama, , Tegar</v>
      </c>
      <c r="CD22" s="4" t="str">
        <f t="shared" si="75"/>
        <v/>
      </c>
      <c r="CE22" s="4"/>
      <c r="CF22" s="349" t="str">
        <f t="shared" si="76"/>
        <v xml:space="preserve"> Baik dalam sikap Ananda Tegar baik dalam sikap jujur, disiplin, tanggung jawab, sopan santun, kerja sama, , Tegar.</v>
      </c>
    </row>
    <row r="23" spans="1:84" ht="30" customHeight="1">
      <c r="A23" s="223">
        <v>16</v>
      </c>
      <c r="B23" s="224">
        <f>SISWA!$B21</f>
        <v>0</v>
      </c>
      <c r="C23" s="295"/>
      <c r="D23" s="225"/>
      <c r="E23" s="225"/>
      <c r="F23" s="225"/>
      <c r="G23" s="225"/>
      <c r="H23" s="225"/>
      <c r="I23" s="294" t="str">
        <f t="shared" si="20"/>
        <v xml:space="preserve"> </v>
      </c>
      <c r="K23" s="4"/>
      <c r="L23" s="540" t="str">
        <f t="shared" si="21"/>
        <v/>
      </c>
      <c r="M23" s="540" t="str">
        <f t="shared" si="22"/>
        <v/>
      </c>
      <c r="N23" s="540" t="str">
        <f t="shared" si="23"/>
        <v/>
      </c>
      <c r="O23" s="540" t="str">
        <f t="shared" si="24"/>
        <v/>
      </c>
      <c r="P23" s="540" t="str">
        <f t="shared" si="25"/>
        <v/>
      </c>
      <c r="Q23" s="540" t="str">
        <f t="shared" si="26"/>
        <v/>
      </c>
      <c r="R23" s="540"/>
      <c r="S23" s="4"/>
      <c r="T23" s="540" t="str">
        <f t="shared" si="27"/>
        <v/>
      </c>
      <c r="U23" s="540" t="str">
        <f t="shared" si="28"/>
        <v/>
      </c>
      <c r="V23" s="540" t="str">
        <f t="shared" si="29"/>
        <v/>
      </c>
      <c r="W23" s="540" t="str">
        <f t="shared" si="30"/>
        <v/>
      </c>
      <c r="X23" s="540" t="str">
        <f t="shared" si="31"/>
        <v/>
      </c>
      <c r="Y23" s="540" t="str">
        <f t="shared" si="32"/>
        <v/>
      </c>
      <c r="Z23" s="540"/>
      <c r="AA23" s="653"/>
      <c r="AB23" s="540" t="str">
        <f t="shared" si="33"/>
        <v/>
      </c>
      <c r="AC23" s="540" t="str">
        <f t="shared" si="34"/>
        <v/>
      </c>
      <c r="AD23" s="540" t="str">
        <f t="shared" si="35"/>
        <v/>
      </c>
      <c r="AE23" s="540" t="str">
        <f t="shared" si="36"/>
        <v/>
      </c>
      <c r="AF23" s="540" t="str">
        <f t="shared" si="37"/>
        <v/>
      </c>
      <c r="AG23" s="540" t="str">
        <f t="shared" si="38"/>
        <v/>
      </c>
      <c r="AH23" s="540"/>
      <c r="AI23" s="4"/>
      <c r="AJ23" s="540" t="str">
        <f t="shared" si="39"/>
        <v/>
      </c>
      <c r="AK23" s="540" t="str">
        <f t="shared" si="40"/>
        <v/>
      </c>
      <c r="AL23" s="540" t="str">
        <f t="shared" si="41"/>
        <v/>
      </c>
      <c r="AM23" s="540" t="str">
        <f t="shared" si="42"/>
        <v/>
      </c>
      <c r="AN23" s="540" t="str">
        <f t="shared" si="43"/>
        <v/>
      </c>
      <c r="AO23" s="540" t="str">
        <f t="shared" si="44"/>
        <v/>
      </c>
      <c r="AP23" s="540"/>
      <c r="AQ23" s="541"/>
      <c r="AR23" s="542" t="str">
        <f t="shared" si="45"/>
        <v xml:space="preserve">sangat  </v>
      </c>
      <c r="AS23" s="542" t="str">
        <f t="shared" si="46"/>
        <v xml:space="preserve">baik dalam sikap </v>
      </c>
      <c r="AT23" s="542" t="str">
        <f t="shared" si="47"/>
        <v xml:space="preserve">cukup dalam sikap </v>
      </c>
      <c r="AU23" s="542" t="str">
        <f t="shared" si="48"/>
        <v xml:space="preserve">sudah mampu meningkatkan sikap </v>
      </c>
      <c r="AV23" s="542"/>
      <c r="AW23" s="4" t="str">
        <f t="shared" si="49"/>
        <v/>
      </c>
      <c r="AX23" s="66">
        <f t="shared" si="50"/>
        <v>0</v>
      </c>
      <c r="AY23" s="66">
        <f t="shared" si="51"/>
        <v>0</v>
      </c>
      <c r="AZ23" s="66">
        <f t="shared" si="52"/>
        <v>0</v>
      </c>
      <c r="BA23" s="66">
        <f t="shared" si="53"/>
        <v>0</v>
      </c>
      <c r="BB23" s="4">
        <f t="shared" si="54"/>
        <v>0</v>
      </c>
      <c r="BC23" s="66" t="str">
        <f t="shared" si="55"/>
        <v/>
      </c>
      <c r="BD23" s="66" t="str">
        <f t="shared" si="56"/>
        <v/>
      </c>
      <c r="BE23" s="66" t="str">
        <f t="shared" si="57"/>
        <v/>
      </c>
      <c r="BF23" s="66" t="str">
        <f t="shared" si="58"/>
        <v/>
      </c>
      <c r="BG23" s="4"/>
      <c r="BH23" s="349" t="str">
        <f t="shared" si="59"/>
        <v xml:space="preserve"> </v>
      </c>
      <c r="BI23" s="540" t="str">
        <f t="shared" si="60"/>
        <v xml:space="preserve">, </v>
      </c>
      <c r="BJ23" s="540">
        <f>SISWA!E21</f>
        <v>0</v>
      </c>
      <c r="BK23" s="540" t="str">
        <f t="shared" si="61"/>
        <v/>
      </c>
      <c r="BL23" s="540" t="str">
        <f t="shared" si="62"/>
        <v/>
      </c>
      <c r="BM23" s="540" t="str">
        <f t="shared" si="63"/>
        <v/>
      </c>
      <c r="BN23" s="540"/>
      <c r="BO23" s="4"/>
      <c r="BP23" s="540" t="str">
        <f t="shared" si="64"/>
        <v xml:space="preserve">, </v>
      </c>
      <c r="BQ23" s="540" t="str">
        <f t="shared" si="65"/>
        <v/>
      </c>
      <c r="BR23" s="540" t="str">
        <f t="shared" si="66"/>
        <v/>
      </c>
      <c r="BS23" s="540" t="str">
        <f t="shared" si="67"/>
        <v xml:space="preserve">, </v>
      </c>
      <c r="BT23" s="540" t="str">
        <f t="shared" si="68"/>
        <v xml:space="preserve">, </v>
      </c>
      <c r="BU23" s="540" t="str">
        <f t="shared" si="69"/>
        <v xml:space="preserve">, </v>
      </c>
      <c r="BV23" s="540"/>
      <c r="BW23" s="540"/>
      <c r="BX23" s="542" t="str">
        <f t="shared" si="70"/>
        <v>Sangat baik dalam sikap 000</v>
      </c>
      <c r="BY23" s="542" t="str">
        <f t="shared" si="71"/>
        <v xml:space="preserve"> Baik dalam sikap  , 0</v>
      </c>
      <c r="BZ23" s="542" t="str">
        <f t="shared" si="72"/>
        <v xml:space="preserve">, dengan bimbingan yang lebih mampu meningkatkan sikap , , , , </v>
      </c>
      <c r="CA23" s="4"/>
      <c r="CB23" s="4" t="str">
        <f t="shared" si="73"/>
        <v/>
      </c>
      <c r="CC23" s="4" t="str">
        <f t="shared" si="74"/>
        <v xml:space="preserve"> Baik dalam sikap  , 0</v>
      </c>
      <c r="CD23" s="4" t="str">
        <f t="shared" si="75"/>
        <v/>
      </c>
      <c r="CE23" s="4"/>
      <c r="CF23" s="349" t="str">
        <f t="shared" si="76"/>
        <v xml:space="preserve"> Baik dalam sikap  , 0.</v>
      </c>
    </row>
    <row r="24" spans="1:84" ht="30" customHeight="1">
      <c r="A24" s="223">
        <v>17</v>
      </c>
      <c r="B24" s="224">
        <f>SISWA!$B22</f>
        <v>0</v>
      </c>
      <c r="C24" s="295"/>
      <c r="D24" s="225"/>
      <c r="E24" s="225"/>
      <c r="F24" s="225"/>
      <c r="G24" s="225"/>
      <c r="H24" s="225"/>
      <c r="I24" s="294" t="str">
        <f t="shared" si="20"/>
        <v xml:space="preserve"> </v>
      </c>
      <c r="K24" s="4"/>
      <c r="L24" s="540" t="str">
        <f t="shared" si="21"/>
        <v/>
      </c>
      <c r="M24" s="540" t="str">
        <f t="shared" si="22"/>
        <v/>
      </c>
      <c r="N24" s="540" t="str">
        <f t="shared" si="23"/>
        <v/>
      </c>
      <c r="O24" s="540" t="str">
        <f t="shared" si="24"/>
        <v/>
      </c>
      <c r="P24" s="540" t="str">
        <f t="shared" si="25"/>
        <v/>
      </c>
      <c r="Q24" s="540" t="str">
        <f t="shared" si="26"/>
        <v/>
      </c>
      <c r="R24" s="540"/>
      <c r="S24" s="4"/>
      <c r="T24" s="540" t="str">
        <f t="shared" si="27"/>
        <v/>
      </c>
      <c r="U24" s="540" t="str">
        <f t="shared" si="28"/>
        <v/>
      </c>
      <c r="V24" s="540" t="str">
        <f t="shared" si="29"/>
        <v/>
      </c>
      <c r="W24" s="540" t="str">
        <f t="shared" si="30"/>
        <v/>
      </c>
      <c r="X24" s="540" t="str">
        <f t="shared" si="31"/>
        <v/>
      </c>
      <c r="Y24" s="540" t="str">
        <f t="shared" si="32"/>
        <v/>
      </c>
      <c r="Z24" s="540"/>
      <c r="AA24" s="653"/>
      <c r="AB24" s="540" t="str">
        <f t="shared" si="33"/>
        <v/>
      </c>
      <c r="AC24" s="540" t="str">
        <f t="shared" si="34"/>
        <v/>
      </c>
      <c r="AD24" s="540" t="str">
        <f t="shared" si="35"/>
        <v/>
      </c>
      <c r="AE24" s="540" t="str">
        <f t="shared" si="36"/>
        <v/>
      </c>
      <c r="AF24" s="540" t="str">
        <f t="shared" si="37"/>
        <v/>
      </c>
      <c r="AG24" s="540" t="str">
        <f t="shared" si="38"/>
        <v/>
      </c>
      <c r="AH24" s="540"/>
      <c r="AI24" s="4"/>
      <c r="AJ24" s="540" t="str">
        <f t="shared" si="39"/>
        <v/>
      </c>
      <c r="AK24" s="540" t="str">
        <f t="shared" si="40"/>
        <v/>
      </c>
      <c r="AL24" s="540" t="str">
        <f t="shared" si="41"/>
        <v/>
      </c>
      <c r="AM24" s="540" t="str">
        <f t="shared" si="42"/>
        <v/>
      </c>
      <c r="AN24" s="540" t="str">
        <f t="shared" si="43"/>
        <v/>
      </c>
      <c r="AO24" s="540" t="str">
        <f t="shared" si="44"/>
        <v/>
      </c>
      <c r="AP24" s="540"/>
      <c r="AQ24" s="541"/>
      <c r="AR24" s="542" t="str">
        <f t="shared" si="45"/>
        <v xml:space="preserve">sangat  </v>
      </c>
      <c r="AS24" s="542" t="str">
        <f t="shared" si="46"/>
        <v xml:space="preserve">baik dalam sikap </v>
      </c>
      <c r="AT24" s="542" t="str">
        <f t="shared" si="47"/>
        <v xml:space="preserve">cukup dalam sikap </v>
      </c>
      <c r="AU24" s="542" t="str">
        <f t="shared" si="48"/>
        <v xml:space="preserve">sudah mampu meningkatkan sikap </v>
      </c>
      <c r="AV24" s="542"/>
      <c r="AW24" s="4" t="str">
        <f t="shared" si="49"/>
        <v/>
      </c>
      <c r="AX24" s="66">
        <f t="shared" si="50"/>
        <v>0</v>
      </c>
      <c r="AY24" s="66">
        <f t="shared" si="51"/>
        <v>0</v>
      </c>
      <c r="AZ24" s="66">
        <f t="shared" si="52"/>
        <v>0</v>
      </c>
      <c r="BA24" s="66">
        <f t="shared" si="53"/>
        <v>0</v>
      </c>
      <c r="BB24" s="4">
        <f t="shared" si="54"/>
        <v>0</v>
      </c>
      <c r="BC24" s="66" t="str">
        <f t="shared" si="55"/>
        <v/>
      </c>
      <c r="BD24" s="66" t="str">
        <f t="shared" si="56"/>
        <v/>
      </c>
      <c r="BE24" s="66" t="str">
        <f t="shared" si="57"/>
        <v/>
      </c>
      <c r="BF24" s="66" t="str">
        <f t="shared" si="58"/>
        <v/>
      </c>
      <c r="BG24" s="4"/>
      <c r="BH24" s="349" t="str">
        <f t="shared" si="59"/>
        <v xml:space="preserve"> </v>
      </c>
      <c r="BI24" s="540" t="str">
        <f t="shared" si="60"/>
        <v xml:space="preserve">, </v>
      </c>
      <c r="BJ24" s="540">
        <f>SISWA!E22</f>
        <v>0</v>
      </c>
      <c r="BK24" s="540" t="str">
        <f t="shared" si="61"/>
        <v/>
      </c>
      <c r="BL24" s="540" t="str">
        <f t="shared" si="62"/>
        <v/>
      </c>
      <c r="BM24" s="540" t="str">
        <f t="shared" si="63"/>
        <v/>
      </c>
      <c r="BN24" s="540"/>
      <c r="BO24" s="4"/>
      <c r="BP24" s="540" t="str">
        <f t="shared" si="64"/>
        <v xml:space="preserve">, </v>
      </c>
      <c r="BQ24" s="540" t="str">
        <f t="shared" si="65"/>
        <v/>
      </c>
      <c r="BR24" s="540" t="str">
        <f t="shared" si="66"/>
        <v/>
      </c>
      <c r="BS24" s="540" t="str">
        <f t="shared" si="67"/>
        <v xml:space="preserve">, </v>
      </c>
      <c r="BT24" s="540" t="str">
        <f t="shared" si="68"/>
        <v xml:space="preserve">, </v>
      </c>
      <c r="BU24" s="540" t="str">
        <f t="shared" si="69"/>
        <v xml:space="preserve">, </v>
      </c>
      <c r="BV24" s="540"/>
      <c r="BW24" s="540"/>
      <c r="BX24" s="542" t="str">
        <f t="shared" si="70"/>
        <v>Sangat baik dalam sikap 000</v>
      </c>
      <c r="BY24" s="542" t="str">
        <f t="shared" si="71"/>
        <v xml:space="preserve"> Baik dalam sikap  , 0</v>
      </c>
      <c r="BZ24" s="542" t="str">
        <f t="shared" si="72"/>
        <v xml:space="preserve">, dengan bimbingan yang lebih mampu meningkatkan sikap , , , , </v>
      </c>
      <c r="CA24" s="4"/>
      <c r="CB24" s="4" t="str">
        <f t="shared" si="73"/>
        <v/>
      </c>
      <c r="CC24" s="4" t="str">
        <f t="shared" si="74"/>
        <v xml:space="preserve"> Baik dalam sikap  , 0</v>
      </c>
      <c r="CD24" s="4" t="str">
        <f t="shared" si="75"/>
        <v/>
      </c>
      <c r="CE24" s="4"/>
      <c r="CF24" s="349" t="str">
        <f t="shared" si="76"/>
        <v xml:space="preserve"> Baik dalam sikap  , 0.</v>
      </c>
    </row>
    <row r="25" spans="1:84" ht="30" customHeight="1">
      <c r="A25" s="223">
        <v>18</v>
      </c>
      <c r="B25" s="224">
        <f>SISWA!$B23</f>
        <v>0</v>
      </c>
      <c r="C25" s="295"/>
      <c r="D25" s="225"/>
      <c r="E25" s="225"/>
      <c r="F25" s="225"/>
      <c r="G25" s="225"/>
      <c r="H25" s="225"/>
      <c r="I25" s="294" t="str">
        <f t="shared" si="20"/>
        <v xml:space="preserve"> </v>
      </c>
      <c r="K25" s="4"/>
      <c r="L25" s="540" t="str">
        <f t="shared" si="21"/>
        <v/>
      </c>
      <c r="M25" s="540" t="str">
        <f t="shared" si="22"/>
        <v/>
      </c>
      <c r="N25" s="540" t="str">
        <f t="shared" si="23"/>
        <v/>
      </c>
      <c r="O25" s="540" t="str">
        <f t="shared" si="24"/>
        <v/>
      </c>
      <c r="P25" s="540" t="str">
        <f t="shared" si="25"/>
        <v/>
      </c>
      <c r="Q25" s="540" t="str">
        <f t="shared" si="26"/>
        <v/>
      </c>
      <c r="R25" s="540"/>
      <c r="S25" s="4"/>
      <c r="T25" s="540" t="str">
        <f t="shared" si="27"/>
        <v/>
      </c>
      <c r="U25" s="540" t="str">
        <f t="shared" si="28"/>
        <v/>
      </c>
      <c r="V25" s="540" t="str">
        <f t="shared" si="29"/>
        <v/>
      </c>
      <c r="W25" s="540" t="str">
        <f t="shared" si="30"/>
        <v/>
      </c>
      <c r="X25" s="540" t="str">
        <f t="shared" si="31"/>
        <v/>
      </c>
      <c r="Y25" s="540" t="str">
        <f t="shared" si="32"/>
        <v/>
      </c>
      <c r="Z25" s="540"/>
      <c r="AA25" s="653"/>
      <c r="AB25" s="540" t="str">
        <f t="shared" si="33"/>
        <v/>
      </c>
      <c r="AC25" s="540" t="str">
        <f t="shared" si="34"/>
        <v/>
      </c>
      <c r="AD25" s="540" t="str">
        <f t="shared" si="35"/>
        <v/>
      </c>
      <c r="AE25" s="540" t="str">
        <f t="shared" si="36"/>
        <v/>
      </c>
      <c r="AF25" s="540" t="str">
        <f t="shared" si="37"/>
        <v/>
      </c>
      <c r="AG25" s="540" t="str">
        <f t="shared" si="38"/>
        <v/>
      </c>
      <c r="AH25" s="540"/>
      <c r="AI25" s="4"/>
      <c r="AJ25" s="540" t="str">
        <f t="shared" si="39"/>
        <v/>
      </c>
      <c r="AK25" s="540" t="str">
        <f t="shared" si="40"/>
        <v/>
      </c>
      <c r="AL25" s="540" t="str">
        <f t="shared" si="41"/>
        <v/>
      </c>
      <c r="AM25" s="540" t="str">
        <f t="shared" si="42"/>
        <v/>
      </c>
      <c r="AN25" s="540" t="str">
        <f t="shared" si="43"/>
        <v/>
      </c>
      <c r="AO25" s="540" t="str">
        <f t="shared" si="44"/>
        <v/>
      </c>
      <c r="AP25" s="540"/>
      <c r="AQ25" s="541"/>
      <c r="AR25" s="542" t="str">
        <f t="shared" si="45"/>
        <v xml:space="preserve">sangat  </v>
      </c>
      <c r="AS25" s="542" t="str">
        <f t="shared" si="46"/>
        <v xml:space="preserve">baik dalam sikap </v>
      </c>
      <c r="AT25" s="542" t="str">
        <f t="shared" si="47"/>
        <v xml:space="preserve">cukup dalam sikap </v>
      </c>
      <c r="AU25" s="542" t="str">
        <f t="shared" si="48"/>
        <v xml:space="preserve">sudah mampu meningkatkan sikap </v>
      </c>
      <c r="AV25" s="542"/>
      <c r="AW25" s="4" t="str">
        <f t="shared" si="49"/>
        <v/>
      </c>
      <c r="AX25" s="66">
        <f t="shared" si="50"/>
        <v>0</v>
      </c>
      <c r="AY25" s="66">
        <f t="shared" si="51"/>
        <v>0</v>
      </c>
      <c r="AZ25" s="66">
        <f t="shared" si="52"/>
        <v>0</v>
      </c>
      <c r="BA25" s="66">
        <f t="shared" si="53"/>
        <v>0</v>
      </c>
      <c r="BB25" s="4">
        <f t="shared" si="54"/>
        <v>0</v>
      </c>
      <c r="BC25" s="66" t="str">
        <f t="shared" si="55"/>
        <v/>
      </c>
      <c r="BD25" s="66" t="str">
        <f t="shared" si="56"/>
        <v/>
      </c>
      <c r="BE25" s="66" t="str">
        <f t="shared" si="57"/>
        <v/>
      </c>
      <c r="BF25" s="66" t="str">
        <f t="shared" si="58"/>
        <v/>
      </c>
      <c r="BG25" s="4"/>
      <c r="BH25" s="349" t="str">
        <f t="shared" si="59"/>
        <v xml:space="preserve"> </v>
      </c>
      <c r="BI25" s="540" t="str">
        <f t="shared" si="60"/>
        <v xml:space="preserve">, </v>
      </c>
      <c r="BJ25" s="540">
        <f>SISWA!E23</f>
        <v>0</v>
      </c>
      <c r="BK25" s="540" t="str">
        <f t="shared" si="61"/>
        <v/>
      </c>
      <c r="BL25" s="540" t="str">
        <f t="shared" si="62"/>
        <v/>
      </c>
      <c r="BM25" s="540" t="str">
        <f t="shared" si="63"/>
        <v/>
      </c>
      <c r="BN25" s="540"/>
      <c r="BO25" s="4"/>
      <c r="BP25" s="540" t="str">
        <f t="shared" si="64"/>
        <v xml:space="preserve">, </v>
      </c>
      <c r="BQ25" s="540" t="str">
        <f t="shared" si="65"/>
        <v/>
      </c>
      <c r="BR25" s="540" t="str">
        <f t="shared" si="66"/>
        <v/>
      </c>
      <c r="BS25" s="540" t="str">
        <f t="shared" si="67"/>
        <v xml:space="preserve">, </v>
      </c>
      <c r="BT25" s="540" t="str">
        <f t="shared" si="68"/>
        <v xml:space="preserve">, </v>
      </c>
      <c r="BU25" s="540" t="str">
        <f t="shared" si="69"/>
        <v xml:space="preserve">, </v>
      </c>
      <c r="BV25" s="540"/>
      <c r="BW25" s="540"/>
      <c r="BX25" s="542" t="str">
        <f t="shared" si="70"/>
        <v>Sangat baik dalam sikap 000</v>
      </c>
      <c r="BY25" s="542" t="str">
        <f t="shared" si="71"/>
        <v xml:space="preserve"> Baik dalam sikap  , 0</v>
      </c>
      <c r="BZ25" s="542" t="str">
        <f t="shared" si="72"/>
        <v xml:space="preserve">, dengan bimbingan yang lebih mampu meningkatkan sikap , , , , </v>
      </c>
      <c r="CA25" s="4"/>
      <c r="CB25" s="4" t="str">
        <f t="shared" si="73"/>
        <v/>
      </c>
      <c r="CC25" s="4" t="str">
        <f t="shared" si="74"/>
        <v xml:space="preserve"> Baik dalam sikap  , 0</v>
      </c>
      <c r="CD25" s="4" t="str">
        <f t="shared" si="75"/>
        <v/>
      </c>
      <c r="CE25" s="4"/>
      <c r="CF25" s="349" t="str">
        <f t="shared" si="76"/>
        <v xml:space="preserve"> Baik dalam sikap  , 0.</v>
      </c>
    </row>
    <row r="26" spans="1:84" ht="30" customHeight="1">
      <c r="A26" s="223">
        <v>19</v>
      </c>
      <c r="B26" s="224">
        <f>SISWA!$B24</f>
        <v>0</v>
      </c>
      <c r="C26" s="295"/>
      <c r="D26" s="225"/>
      <c r="E26" s="225"/>
      <c r="F26" s="225"/>
      <c r="G26" s="225"/>
      <c r="H26" s="225"/>
      <c r="I26" s="294" t="str">
        <f t="shared" si="20"/>
        <v xml:space="preserve"> </v>
      </c>
      <c r="K26" s="4"/>
      <c r="L26" s="540" t="str">
        <f t="shared" si="21"/>
        <v/>
      </c>
      <c r="M26" s="540" t="str">
        <f t="shared" si="22"/>
        <v/>
      </c>
      <c r="N26" s="540" t="str">
        <f t="shared" si="23"/>
        <v/>
      </c>
      <c r="O26" s="540" t="str">
        <f t="shared" si="24"/>
        <v/>
      </c>
      <c r="P26" s="540" t="str">
        <f t="shared" si="25"/>
        <v/>
      </c>
      <c r="Q26" s="540" t="str">
        <f t="shared" si="26"/>
        <v/>
      </c>
      <c r="R26" s="540"/>
      <c r="S26" s="4"/>
      <c r="T26" s="540" t="str">
        <f t="shared" si="27"/>
        <v/>
      </c>
      <c r="U26" s="540" t="str">
        <f t="shared" si="28"/>
        <v/>
      </c>
      <c r="V26" s="540" t="str">
        <f t="shared" si="29"/>
        <v/>
      </c>
      <c r="W26" s="540" t="str">
        <f t="shared" si="30"/>
        <v/>
      </c>
      <c r="X26" s="540" t="str">
        <f t="shared" si="31"/>
        <v/>
      </c>
      <c r="Y26" s="540" t="str">
        <f t="shared" si="32"/>
        <v/>
      </c>
      <c r="Z26" s="540"/>
      <c r="AA26" s="653"/>
      <c r="AB26" s="540" t="str">
        <f t="shared" si="33"/>
        <v/>
      </c>
      <c r="AC26" s="540" t="str">
        <f t="shared" si="34"/>
        <v/>
      </c>
      <c r="AD26" s="540" t="str">
        <f t="shared" si="35"/>
        <v/>
      </c>
      <c r="AE26" s="540" t="str">
        <f t="shared" si="36"/>
        <v/>
      </c>
      <c r="AF26" s="540" t="str">
        <f t="shared" si="37"/>
        <v/>
      </c>
      <c r="AG26" s="540" t="str">
        <f t="shared" si="38"/>
        <v/>
      </c>
      <c r="AH26" s="540"/>
      <c r="AI26" s="4"/>
      <c r="AJ26" s="540" t="str">
        <f t="shared" si="39"/>
        <v/>
      </c>
      <c r="AK26" s="540" t="str">
        <f t="shared" si="40"/>
        <v/>
      </c>
      <c r="AL26" s="540" t="str">
        <f t="shared" si="41"/>
        <v/>
      </c>
      <c r="AM26" s="540" t="str">
        <f t="shared" si="42"/>
        <v/>
      </c>
      <c r="AN26" s="540" t="str">
        <f t="shared" si="43"/>
        <v/>
      </c>
      <c r="AO26" s="540" t="str">
        <f t="shared" si="44"/>
        <v/>
      </c>
      <c r="AP26" s="540"/>
      <c r="AQ26" s="541"/>
      <c r="AR26" s="542" t="str">
        <f t="shared" si="45"/>
        <v xml:space="preserve">sangat  </v>
      </c>
      <c r="AS26" s="542" t="str">
        <f t="shared" si="46"/>
        <v xml:space="preserve">baik dalam sikap </v>
      </c>
      <c r="AT26" s="542" t="str">
        <f t="shared" si="47"/>
        <v xml:space="preserve">cukup dalam sikap </v>
      </c>
      <c r="AU26" s="542" t="str">
        <f t="shared" si="48"/>
        <v xml:space="preserve">sudah mampu meningkatkan sikap </v>
      </c>
      <c r="AV26" s="542"/>
      <c r="AW26" s="4" t="str">
        <f t="shared" si="49"/>
        <v/>
      </c>
      <c r="AX26" s="66">
        <f t="shared" si="50"/>
        <v>0</v>
      </c>
      <c r="AY26" s="66">
        <f t="shared" si="51"/>
        <v>0</v>
      </c>
      <c r="AZ26" s="66">
        <f t="shared" si="52"/>
        <v>0</v>
      </c>
      <c r="BA26" s="66">
        <f t="shared" si="53"/>
        <v>0</v>
      </c>
      <c r="BB26" s="4">
        <f t="shared" si="54"/>
        <v>0</v>
      </c>
      <c r="BC26" s="66" t="str">
        <f t="shared" si="55"/>
        <v/>
      </c>
      <c r="BD26" s="66" t="str">
        <f t="shared" si="56"/>
        <v/>
      </c>
      <c r="BE26" s="66" t="str">
        <f t="shared" si="57"/>
        <v/>
      </c>
      <c r="BF26" s="66" t="str">
        <f t="shared" si="58"/>
        <v/>
      </c>
      <c r="BG26" s="4"/>
      <c r="BH26" s="349" t="str">
        <f t="shared" si="59"/>
        <v xml:space="preserve"> </v>
      </c>
      <c r="BI26" s="540" t="str">
        <f t="shared" si="60"/>
        <v xml:space="preserve">, </v>
      </c>
      <c r="BJ26" s="540">
        <f>SISWA!E24</f>
        <v>0</v>
      </c>
      <c r="BK26" s="540" t="str">
        <f t="shared" si="61"/>
        <v/>
      </c>
      <c r="BL26" s="540" t="str">
        <f t="shared" si="62"/>
        <v/>
      </c>
      <c r="BM26" s="540" t="str">
        <f t="shared" si="63"/>
        <v/>
      </c>
      <c r="BN26" s="540"/>
      <c r="BO26" s="4"/>
      <c r="BP26" s="540" t="str">
        <f t="shared" si="64"/>
        <v xml:space="preserve">, </v>
      </c>
      <c r="BQ26" s="540" t="str">
        <f t="shared" si="65"/>
        <v/>
      </c>
      <c r="BR26" s="540" t="str">
        <f t="shared" si="66"/>
        <v/>
      </c>
      <c r="BS26" s="540" t="str">
        <f t="shared" si="67"/>
        <v xml:space="preserve">, </v>
      </c>
      <c r="BT26" s="540" t="str">
        <f t="shared" si="68"/>
        <v xml:space="preserve">, </v>
      </c>
      <c r="BU26" s="540" t="str">
        <f t="shared" si="69"/>
        <v xml:space="preserve">, </v>
      </c>
      <c r="BV26" s="540"/>
      <c r="BW26" s="540"/>
      <c r="BX26" s="542" t="str">
        <f t="shared" si="70"/>
        <v>Sangat baik dalam sikap 000</v>
      </c>
      <c r="BY26" s="542" t="str">
        <f t="shared" si="71"/>
        <v xml:space="preserve"> Baik dalam sikap  , 0</v>
      </c>
      <c r="BZ26" s="542" t="str">
        <f t="shared" si="72"/>
        <v xml:space="preserve">, dengan bimbingan yang lebih mampu meningkatkan sikap , , , , </v>
      </c>
      <c r="CA26" s="4"/>
      <c r="CB26" s="4" t="str">
        <f t="shared" si="73"/>
        <v/>
      </c>
      <c r="CC26" s="4" t="str">
        <f t="shared" si="74"/>
        <v xml:space="preserve"> Baik dalam sikap  , 0</v>
      </c>
      <c r="CD26" s="4" t="str">
        <f t="shared" si="75"/>
        <v/>
      </c>
      <c r="CE26" s="4"/>
      <c r="CF26" s="349" t="str">
        <f t="shared" si="76"/>
        <v xml:space="preserve"> Baik dalam sikap  , 0.</v>
      </c>
    </row>
    <row r="27" spans="1:84" ht="30" customHeight="1">
      <c r="A27" s="223">
        <v>20</v>
      </c>
      <c r="B27" s="224">
        <f>SISWA!$B25</f>
        <v>0</v>
      </c>
      <c r="C27" s="295"/>
      <c r="D27" s="225"/>
      <c r="E27" s="225"/>
      <c r="F27" s="225"/>
      <c r="G27" s="225"/>
      <c r="H27" s="225"/>
      <c r="I27" s="294" t="str">
        <f t="shared" si="20"/>
        <v xml:space="preserve"> </v>
      </c>
      <c r="K27" s="4"/>
      <c r="L27" s="540" t="str">
        <f t="shared" si="21"/>
        <v/>
      </c>
      <c r="M27" s="540" t="str">
        <f t="shared" si="22"/>
        <v/>
      </c>
      <c r="N27" s="540" t="str">
        <f t="shared" si="23"/>
        <v/>
      </c>
      <c r="O27" s="540" t="str">
        <f t="shared" si="24"/>
        <v/>
      </c>
      <c r="P27" s="540" t="str">
        <f t="shared" si="25"/>
        <v/>
      </c>
      <c r="Q27" s="540" t="str">
        <f t="shared" si="26"/>
        <v/>
      </c>
      <c r="R27" s="540"/>
      <c r="S27" s="4"/>
      <c r="T27" s="540" t="str">
        <f t="shared" si="27"/>
        <v/>
      </c>
      <c r="U27" s="540" t="str">
        <f t="shared" si="28"/>
        <v/>
      </c>
      <c r="V27" s="540" t="str">
        <f t="shared" si="29"/>
        <v/>
      </c>
      <c r="W27" s="540" t="str">
        <f t="shared" si="30"/>
        <v/>
      </c>
      <c r="X27" s="540" t="str">
        <f t="shared" si="31"/>
        <v/>
      </c>
      <c r="Y27" s="540" t="str">
        <f t="shared" si="32"/>
        <v/>
      </c>
      <c r="Z27" s="540"/>
      <c r="AA27" s="653"/>
      <c r="AB27" s="540" t="str">
        <f t="shared" si="33"/>
        <v/>
      </c>
      <c r="AC27" s="540" t="str">
        <f t="shared" si="34"/>
        <v/>
      </c>
      <c r="AD27" s="540" t="str">
        <f t="shared" si="35"/>
        <v/>
      </c>
      <c r="AE27" s="540" t="str">
        <f t="shared" si="36"/>
        <v/>
      </c>
      <c r="AF27" s="540" t="str">
        <f t="shared" si="37"/>
        <v/>
      </c>
      <c r="AG27" s="540" t="str">
        <f t="shared" si="38"/>
        <v/>
      </c>
      <c r="AH27" s="540"/>
      <c r="AI27" s="4"/>
      <c r="AJ27" s="540" t="str">
        <f t="shared" si="39"/>
        <v/>
      </c>
      <c r="AK27" s="540" t="str">
        <f t="shared" si="40"/>
        <v/>
      </c>
      <c r="AL27" s="540" t="str">
        <f t="shared" si="41"/>
        <v/>
      </c>
      <c r="AM27" s="540" t="str">
        <f t="shared" si="42"/>
        <v/>
      </c>
      <c r="AN27" s="540" t="str">
        <f t="shared" si="43"/>
        <v/>
      </c>
      <c r="AO27" s="540" t="str">
        <f t="shared" si="44"/>
        <v/>
      </c>
      <c r="AP27" s="540"/>
      <c r="AQ27" s="541"/>
      <c r="AR27" s="542" t="str">
        <f t="shared" si="45"/>
        <v xml:space="preserve">sangat  </v>
      </c>
      <c r="AS27" s="542" t="str">
        <f t="shared" si="46"/>
        <v xml:space="preserve">baik dalam sikap </v>
      </c>
      <c r="AT27" s="542" t="str">
        <f t="shared" si="47"/>
        <v xml:space="preserve">cukup dalam sikap </v>
      </c>
      <c r="AU27" s="542" t="str">
        <f t="shared" si="48"/>
        <v xml:space="preserve">sudah mampu meningkatkan sikap </v>
      </c>
      <c r="AV27" s="542"/>
      <c r="AW27" s="4" t="str">
        <f t="shared" si="49"/>
        <v/>
      </c>
      <c r="AX27" s="66">
        <f t="shared" si="50"/>
        <v>0</v>
      </c>
      <c r="AY27" s="66">
        <f t="shared" si="51"/>
        <v>0</v>
      </c>
      <c r="AZ27" s="66">
        <f t="shared" si="52"/>
        <v>0</v>
      </c>
      <c r="BA27" s="66">
        <f t="shared" si="53"/>
        <v>0</v>
      </c>
      <c r="BB27" s="4">
        <f t="shared" si="54"/>
        <v>0</v>
      </c>
      <c r="BC27" s="66" t="str">
        <f t="shared" si="55"/>
        <v/>
      </c>
      <c r="BD27" s="66" t="str">
        <f t="shared" si="56"/>
        <v/>
      </c>
      <c r="BE27" s="66" t="str">
        <f t="shared" si="57"/>
        <v/>
      </c>
      <c r="BF27" s="66" t="str">
        <f t="shared" si="58"/>
        <v/>
      </c>
      <c r="BG27" s="4"/>
      <c r="BH27" s="349" t="str">
        <f t="shared" si="59"/>
        <v xml:space="preserve"> </v>
      </c>
      <c r="BI27" s="540" t="str">
        <f t="shared" si="60"/>
        <v xml:space="preserve">, </v>
      </c>
      <c r="BJ27" s="540">
        <f>SISWA!E25</f>
        <v>0</v>
      </c>
      <c r="BK27" s="540" t="str">
        <f t="shared" si="61"/>
        <v/>
      </c>
      <c r="BL27" s="540" t="str">
        <f t="shared" si="62"/>
        <v/>
      </c>
      <c r="BM27" s="540" t="str">
        <f t="shared" si="63"/>
        <v/>
      </c>
      <c r="BN27" s="540"/>
      <c r="BO27" s="4"/>
      <c r="BP27" s="540" t="str">
        <f t="shared" si="64"/>
        <v xml:space="preserve">, </v>
      </c>
      <c r="BQ27" s="540" t="str">
        <f t="shared" si="65"/>
        <v/>
      </c>
      <c r="BR27" s="540" t="str">
        <f t="shared" si="66"/>
        <v/>
      </c>
      <c r="BS27" s="540" t="str">
        <f t="shared" si="67"/>
        <v xml:space="preserve">, </v>
      </c>
      <c r="BT27" s="540" t="str">
        <f t="shared" si="68"/>
        <v xml:space="preserve">, </v>
      </c>
      <c r="BU27" s="540" t="str">
        <f t="shared" si="69"/>
        <v xml:space="preserve">, </v>
      </c>
      <c r="BV27" s="540"/>
      <c r="BW27" s="540"/>
      <c r="BX27" s="542" t="str">
        <f t="shared" si="70"/>
        <v>Sangat baik dalam sikap 000</v>
      </c>
      <c r="BY27" s="542" t="str">
        <f t="shared" si="71"/>
        <v xml:space="preserve"> Baik dalam sikap  , 0</v>
      </c>
      <c r="BZ27" s="542" t="str">
        <f t="shared" si="72"/>
        <v xml:space="preserve">, dengan bimbingan yang lebih mampu meningkatkan sikap , , , , </v>
      </c>
      <c r="CA27" s="4"/>
      <c r="CB27" s="4" t="str">
        <f t="shared" si="73"/>
        <v/>
      </c>
      <c r="CC27" s="4" t="str">
        <f t="shared" si="74"/>
        <v xml:space="preserve"> Baik dalam sikap  , 0</v>
      </c>
      <c r="CD27" s="4" t="str">
        <f t="shared" si="75"/>
        <v/>
      </c>
      <c r="CE27" s="4"/>
      <c r="CF27" s="349" t="str">
        <f t="shared" si="76"/>
        <v xml:space="preserve"> Baik dalam sikap  , 0.</v>
      </c>
    </row>
    <row r="28" spans="1:84" ht="30" customHeight="1">
      <c r="A28" s="223">
        <v>21</v>
      </c>
      <c r="B28" s="224">
        <f>SISWA!$B26</f>
        <v>0</v>
      </c>
      <c r="C28" s="295"/>
      <c r="D28" s="225"/>
      <c r="E28" s="225"/>
      <c r="F28" s="225"/>
      <c r="G28" s="225"/>
      <c r="H28" s="225"/>
      <c r="I28" s="294" t="str">
        <f t="shared" si="20"/>
        <v xml:space="preserve"> </v>
      </c>
      <c r="K28" s="4"/>
      <c r="L28" s="540" t="str">
        <f t="shared" si="21"/>
        <v/>
      </c>
      <c r="M28" s="540" t="str">
        <f t="shared" si="22"/>
        <v/>
      </c>
      <c r="N28" s="540" t="str">
        <f t="shared" si="23"/>
        <v/>
      </c>
      <c r="O28" s="540" t="str">
        <f t="shared" si="24"/>
        <v/>
      </c>
      <c r="P28" s="540" t="str">
        <f t="shared" si="25"/>
        <v/>
      </c>
      <c r="Q28" s="540" t="str">
        <f t="shared" si="26"/>
        <v/>
      </c>
      <c r="R28" s="540"/>
      <c r="S28" s="4"/>
      <c r="T28" s="540" t="str">
        <f t="shared" si="27"/>
        <v/>
      </c>
      <c r="U28" s="540" t="str">
        <f t="shared" si="28"/>
        <v/>
      </c>
      <c r="V28" s="540" t="str">
        <f t="shared" si="29"/>
        <v/>
      </c>
      <c r="W28" s="540" t="str">
        <f t="shared" si="30"/>
        <v/>
      </c>
      <c r="X28" s="540" t="str">
        <f t="shared" si="31"/>
        <v/>
      </c>
      <c r="Y28" s="540" t="str">
        <f t="shared" si="32"/>
        <v/>
      </c>
      <c r="Z28" s="540"/>
      <c r="AA28" s="653"/>
      <c r="AB28" s="540" t="str">
        <f t="shared" si="33"/>
        <v/>
      </c>
      <c r="AC28" s="540" t="str">
        <f t="shared" si="34"/>
        <v/>
      </c>
      <c r="AD28" s="540" t="str">
        <f t="shared" si="35"/>
        <v/>
      </c>
      <c r="AE28" s="540" t="str">
        <f t="shared" si="36"/>
        <v/>
      </c>
      <c r="AF28" s="540" t="str">
        <f t="shared" si="37"/>
        <v/>
      </c>
      <c r="AG28" s="540" t="str">
        <f t="shared" si="38"/>
        <v/>
      </c>
      <c r="AH28" s="540"/>
      <c r="AI28" s="4"/>
      <c r="AJ28" s="540" t="str">
        <f t="shared" si="39"/>
        <v/>
      </c>
      <c r="AK28" s="540" t="str">
        <f t="shared" si="40"/>
        <v/>
      </c>
      <c r="AL28" s="540" t="str">
        <f t="shared" si="41"/>
        <v/>
      </c>
      <c r="AM28" s="540" t="str">
        <f t="shared" si="42"/>
        <v/>
      </c>
      <c r="AN28" s="540" t="str">
        <f t="shared" si="43"/>
        <v/>
      </c>
      <c r="AO28" s="540" t="str">
        <f t="shared" si="44"/>
        <v/>
      </c>
      <c r="AP28" s="540"/>
      <c r="AQ28" s="541"/>
      <c r="AR28" s="542" t="str">
        <f t="shared" si="45"/>
        <v xml:space="preserve">sangat  </v>
      </c>
      <c r="AS28" s="542" t="str">
        <f t="shared" si="46"/>
        <v xml:space="preserve">baik dalam sikap </v>
      </c>
      <c r="AT28" s="542" t="str">
        <f t="shared" si="47"/>
        <v xml:space="preserve">cukup dalam sikap </v>
      </c>
      <c r="AU28" s="542" t="str">
        <f t="shared" si="48"/>
        <v xml:space="preserve">sudah mampu meningkatkan sikap </v>
      </c>
      <c r="AV28" s="542"/>
      <c r="AW28" s="4" t="str">
        <f t="shared" si="49"/>
        <v/>
      </c>
      <c r="AX28" s="66">
        <f t="shared" si="50"/>
        <v>0</v>
      </c>
      <c r="AY28" s="66">
        <f t="shared" si="51"/>
        <v>0</v>
      </c>
      <c r="AZ28" s="66">
        <f t="shared" si="52"/>
        <v>0</v>
      </c>
      <c r="BA28" s="66">
        <f t="shared" si="53"/>
        <v>0</v>
      </c>
      <c r="BB28" s="4">
        <f t="shared" si="54"/>
        <v>0</v>
      </c>
      <c r="BC28" s="66" t="str">
        <f t="shared" si="55"/>
        <v/>
      </c>
      <c r="BD28" s="66" t="str">
        <f t="shared" si="56"/>
        <v/>
      </c>
      <c r="BE28" s="66" t="str">
        <f t="shared" si="57"/>
        <v/>
      </c>
      <c r="BF28" s="66" t="str">
        <f t="shared" si="58"/>
        <v/>
      </c>
      <c r="BG28" s="4"/>
      <c r="BH28" s="349" t="str">
        <f t="shared" si="59"/>
        <v xml:space="preserve"> </v>
      </c>
      <c r="BI28" s="540" t="str">
        <f t="shared" si="60"/>
        <v xml:space="preserve">, </v>
      </c>
      <c r="BJ28" s="540">
        <f>SISWA!E26</f>
        <v>0</v>
      </c>
      <c r="BK28" s="540" t="str">
        <f t="shared" si="61"/>
        <v/>
      </c>
      <c r="BL28" s="540" t="str">
        <f t="shared" si="62"/>
        <v/>
      </c>
      <c r="BM28" s="540" t="str">
        <f t="shared" si="63"/>
        <v/>
      </c>
      <c r="BN28" s="540"/>
      <c r="BO28" s="4"/>
      <c r="BP28" s="540" t="str">
        <f t="shared" si="64"/>
        <v xml:space="preserve">, </v>
      </c>
      <c r="BQ28" s="540" t="str">
        <f t="shared" si="65"/>
        <v/>
      </c>
      <c r="BR28" s="540" t="str">
        <f t="shared" si="66"/>
        <v/>
      </c>
      <c r="BS28" s="540" t="str">
        <f t="shared" si="67"/>
        <v xml:space="preserve">, </v>
      </c>
      <c r="BT28" s="540" t="str">
        <f t="shared" si="68"/>
        <v xml:space="preserve">, </v>
      </c>
      <c r="BU28" s="540" t="str">
        <f t="shared" si="69"/>
        <v xml:space="preserve">, </v>
      </c>
      <c r="BV28" s="540"/>
      <c r="BW28" s="540"/>
      <c r="BX28" s="542" t="str">
        <f t="shared" si="70"/>
        <v>Sangat baik dalam sikap 000</v>
      </c>
      <c r="BY28" s="542" t="str">
        <f t="shared" si="71"/>
        <v xml:space="preserve"> Baik dalam sikap  , 0</v>
      </c>
      <c r="BZ28" s="542" t="str">
        <f t="shared" si="72"/>
        <v xml:space="preserve">, dengan bimbingan yang lebih mampu meningkatkan sikap , , , , </v>
      </c>
      <c r="CA28" s="4"/>
      <c r="CB28" s="4" t="str">
        <f t="shared" si="73"/>
        <v/>
      </c>
      <c r="CC28" s="4" t="str">
        <f t="shared" si="74"/>
        <v xml:space="preserve"> Baik dalam sikap  , 0</v>
      </c>
      <c r="CD28" s="4" t="str">
        <f t="shared" si="75"/>
        <v/>
      </c>
      <c r="CE28" s="4"/>
      <c r="CF28" s="349" t="str">
        <f t="shared" si="76"/>
        <v xml:space="preserve"> Baik dalam sikap  , 0.</v>
      </c>
    </row>
    <row r="29" spans="1:84" ht="30" customHeight="1">
      <c r="A29" s="223">
        <v>22</v>
      </c>
      <c r="B29" s="224">
        <f>SISWA!$B27</f>
        <v>0</v>
      </c>
      <c r="C29" s="295"/>
      <c r="D29" s="225"/>
      <c r="E29" s="225"/>
      <c r="F29" s="225"/>
      <c r="G29" s="225"/>
      <c r="H29" s="225"/>
      <c r="I29" s="294" t="str">
        <f t="shared" si="20"/>
        <v xml:space="preserve"> </v>
      </c>
      <c r="K29" s="4"/>
      <c r="L29" s="540" t="str">
        <f t="shared" si="21"/>
        <v/>
      </c>
      <c r="M29" s="540" t="str">
        <f t="shared" si="22"/>
        <v/>
      </c>
      <c r="N29" s="540" t="str">
        <f t="shared" si="23"/>
        <v/>
      </c>
      <c r="O29" s="540" t="str">
        <f t="shared" si="24"/>
        <v/>
      </c>
      <c r="P29" s="540" t="str">
        <f t="shared" si="25"/>
        <v/>
      </c>
      <c r="Q29" s="540" t="str">
        <f t="shared" si="26"/>
        <v/>
      </c>
      <c r="R29" s="540"/>
      <c r="S29" s="4"/>
      <c r="T29" s="540" t="str">
        <f t="shared" si="27"/>
        <v/>
      </c>
      <c r="U29" s="540" t="str">
        <f t="shared" si="28"/>
        <v/>
      </c>
      <c r="V29" s="540" t="str">
        <f t="shared" si="29"/>
        <v/>
      </c>
      <c r="W29" s="540" t="str">
        <f t="shared" si="30"/>
        <v/>
      </c>
      <c r="X29" s="540" t="str">
        <f t="shared" si="31"/>
        <v/>
      </c>
      <c r="Y29" s="540" t="str">
        <f t="shared" si="32"/>
        <v/>
      </c>
      <c r="Z29" s="540"/>
      <c r="AA29" s="653"/>
      <c r="AB29" s="540" t="str">
        <f t="shared" si="33"/>
        <v/>
      </c>
      <c r="AC29" s="540" t="str">
        <f t="shared" si="34"/>
        <v/>
      </c>
      <c r="AD29" s="540" t="str">
        <f t="shared" si="35"/>
        <v/>
      </c>
      <c r="AE29" s="540" t="str">
        <f t="shared" si="36"/>
        <v/>
      </c>
      <c r="AF29" s="540" t="str">
        <f t="shared" si="37"/>
        <v/>
      </c>
      <c r="AG29" s="540" t="str">
        <f t="shared" si="38"/>
        <v/>
      </c>
      <c r="AH29" s="540"/>
      <c r="AI29" s="4"/>
      <c r="AJ29" s="540" t="str">
        <f t="shared" si="39"/>
        <v/>
      </c>
      <c r="AK29" s="540" t="str">
        <f t="shared" si="40"/>
        <v/>
      </c>
      <c r="AL29" s="540" t="str">
        <f t="shared" si="41"/>
        <v/>
      </c>
      <c r="AM29" s="540" t="str">
        <f t="shared" si="42"/>
        <v/>
      </c>
      <c r="AN29" s="540" t="str">
        <f t="shared" si="43"/>
        <v/>
      </c>
      <c r="AO29" s="540" t="str">
        <f t="shared" si="44"/>
        <v/>
      </c>
      <c r="AP29" s="540"/>
      <c r="AQ29" s="541"/>
      <c r="AR29" s="542" t="str">
        <f t="shared" si="45"/>
        <v xml:space="preserve">sangat  </v>
      </c>
      <c r="AS29" s="542" t="str">
        <f t="shared" si="46"/>
        <v xml:space="preserve">baik dalam sikap </v>
      </c>
      <c r="AT29" s="542" t="str">
        <f t="shared" si="47"/>
        <v xml:space="preserve">cukup dalam sikap </v>
      </c>
      <c r="AU29" s="542" t="str">
        <f t="shared" si="48"/>
        <v xml:space="preserve">sudah mampu meningkatkan sikap </v>
      </c>
      <c r="AV29" s="542"/>
      <c r="AW29" s="4" t="str">
        <f t="shared" si="49"/>
        <v/>
      </c>
      <c r="AX29" s="66">
        <f t="shared" si="50"/>
        <v>0</v>
      </c>
      <c r="AY29" s="66">
        <f t="shared" si="51"/>
        <v>0</v>
      </c>
      <c r="AZ29" s="66">
        <f t="shared" si="52"/>
        <v>0</v>
      </c>
      <c r="BA29" s="66">
        <f t="shared" si="53"/>
        <v>0</v>
      </c>
      <c r="BB29" s="4">
        <f t="shared" si="54"/>
        <v>0</v>
      </c>
      <c r="BC29" s="66" t="str">
        <f t="shared" si="55"/>
        <v/>
      </c>
      <c r="BD29" s="66" t="str">
        <f t="shared" si="56"/>
        <v/>
      </c>
      <c r="BE29" s="66" t="str">
        <f t="shared" si="57"/>
        <v/>
      </c>
      <c r="BF29" s="66" t="str">
        <f t="shared" si="58"/>
        <v/>
      </c>
      <c r="BG29" s="4"/>
      <c r="BH29" s="349" t="str">
        <f t="shared" si="59"/>
        <v xml:space="preserve"> </v>
      </c>
      <c r="BI29" s="540" t="str">
        <f t="shared" si="60"/>
        <v xml:space="preserve">, </v>
      </c>
      <c r="BJ29" s="540">
        <f>SISWA!E27</f>
        <v>0</v>
      </c>
      <c r="BK29" s="540" t="str">
        <f t="shared" si="61"/>
        <v/>
      </c>
      <c r="BL29" s="540" t="str">
        <f t="shared" si="62"/>
        <v/>
      </c>
      <c r="BM29" s="540" t="str">
        <f t="shared" si="63"/>
        <v/>
      </c>
      <c r="BN29" s="540"/>
      <c r="BO29" s="4"/>
      <c r="BP29" s="540" t="str">
        <f t="shared" si="64"/>
        <v xml:space="preserve">, </v>
      </c>
      <c r="BQ29" s="540" t="str">
        <f t="shared" si="65"/>
        <v/>
      </c>
      <c r="BR29" s="540" t="str">
        <f t="shared" si="66"/>
        <v/>
      </c>
      <c r="BS29" s="540" t="str">
        <f t="shared" si="67"/>
        <v xml:space="preserve">, </v>
      </c>
      <c r="BT29" s="540" t="str">
        <f t="shared" si="68"/>
        <v xml:space="preserve">, </v>
      </c>
      <c r="BU29" s="540" t="str">
        <f t="shared" si="69"/>
        <v xml:space="preserve">, </v>
      </c>
      <c r="BV29" s="540"/>
      <c r="BW29" s="540"/>
      <c r="BX29" s="542" t="str">
        <f t="shared" si="70"/>
        <v>Sangat baik dalam sikap 000</v>
      </c>
      <c r="BY29" s="542" t="str">
        <f t="shared" si="71"/>
        <v xml:space="preserve"> Baik dalam sikap  , 0</v>
      </c>
      <c r="BZ29" s="542" t="str">
        <f t="shared" si="72"/>
        <v xml:space="preserve">, dengan bimbingan yang lebih mampu meningkatkan sikap , , , , </v>
      </c>
      <c r="CA29" s="4"/>
      <c r="CB29" s="4" t="str">
        <f t="shared" si="73"/>
        <v/>
      </c>
      <c r="CC29" s="4" t="str">
        <f t="shared" si="74"/>
        <v xml:space="preserve"> Baik dalam sikap  , 0</v>
      </c>
      <c r="CD29" s="4" t="str">
        <f t="shared" si="75"/>
        <v/>
      </c>
      <c r="CE29" s="4"/>
      <c r="CF29" s="349" t="str">
        <f t="shared" si="76"/>
        <v xml:space="preserve"> Baik dalam sikap  , 0.</v>
      </c>
    </row>
    <row r="30" spans="1:84" ht="30" customHeight="1">
      <c r="A30" s="223">
        <v>23</v>
      </c>
      <c r="B30" s="224">
        <f>SISWA!$B28</f>
        <v>0</v>
      </c>
      <c r="C30" s="295"/>
      <c r="D30" s="225"/>
      <c r="E30" s="225"/>
      <c r="F30" s="225"/>
      <c r="G30" s="225"/>
      <c r="H30" s="225"/>
      <c r="I30" s="294" t="str">
        <f t="shared" si="20"/>
        <v xml:space="preserve"> </v>
      </c>
      <c r="K30" s="4"/>
      <c r="L30" s="540" t="str">
        <f t="shared" si="21"/>
        <v/>
      </c>
      <c r="M30" s="540" t="str">
        <f t="shared" si="22"/>
        <v/>
      </c>
      <c r="N30" s="540" t="str">
        <f t="shared" si="23"/>
        <v/>
      </c>
      <c r="O30" s="540" t="str">
        <f t="shared" si="24"/>
        <v/>
      </c>
      <c r="P30" s="540" t="str">
        <f t="shared" si="25"/>
        <v/>
      </c>
      <c r="Q30" s="540" t="str">
        <f t="shared" si="26"/>
        <v/>
      </c>
      <c r="R30" s="540"/>
      <c r="S30" s="4"/>
      <c r="T30" s="540" t="str">
        <f t="shared" si="27"/>
        <v/>
      </c>
      <c r="U30" s="540" t="str">
        <f t="shared" si="28"/>
        <v/>
      </c>
      <c r="V30" s="540" t="str">
        <f t="shared" si="29"/>
        <v/>
      </c>
      <c r="W30" s="540" t="str">
        <f t="shared" si="30"/>
        <v/>
      </c>
      <c r="X30" s="540" t="str">
        <f t="shared" si="31"/>
        <v/>
      </c>
      <c r="Y30" s="540" t="str">
        <f t="shared" si="32"/>
        <v/>
      </c>
      <c r="Z30" s="540"/>
      <c r="AA30" s="653"/>
      <c r="AB30" s="540" t="str">
        <f t="shared" si="33"/>
        <v/>
      </c>
      <c r="AC30" s="540" t="str">
        <f t="shared" si="34"/>
        <v/>
      </c>
      <c r="AD30" s="540" t="str">
        <f t="shared" si="35"/>
        <v/>
      </c>
      <c r="AE30" s="540" t="str">
        <f t="shared" si="36"/>
        <v/>
      </c>
      <c r="AF30" s="540" t="str">
        <f t="shared" si="37"/>
        <v/>
      </c>
      <c r="AG30" s="540" t="str">
        <f t="shared" si="38"/>
        <v/>
      </c>
      <c r="AH30" s="540"/>
      <c r="AI30" s="4"/>
      <c r="AJ30" s="540" t="str">
        <f t="shared" si="39"/>
        <v/>
      </c>
      <c r="AK30" s="540" t="str">
        <f t="shared" si="40"/>
        <v/>
      </c>
      <c r="AL30" s="540" t="str">
        <f t="shared" si="41"/>
        <v/>
      </c>
      <c r="AM30" s="540" t="str">
        <f t="shared" si="42"/>
        <v/>
      </c>
      <c r="AN30" s="540" t="str">
        <f t="shared" si="43"/>
        <v/>
      </c>
      <c r="AO30" s="540" t="str">
        <f t="shared" si="44"/>
        <v/>
      </c>
      <c r="AP30" s="540"/>
      <c r="AQ30" s="541"/>
      <c r="AR30" s="542" t="str">
        <f t="shared" si="45"/>
        <v xml:space="preserve">sangat  </v>
      </c>
      <c r="AS30" s="542" t="str">
        <f t="shared" si="46"/>
        <v xml:space="preserve">baik dalam sikap </v>
      </c>
      <c r="AT30" s="542" t="str">
        <f t="shared" si="47"/>
        <v xml:space="preserve">cukup dalam sikap </v>
      </c>
      <c r="AU30" s="542" t="str">
        <f t="shared" si="48"/>
        <v xml:space="preserve">sudah mampu meningkatkan sikap </v>
      </c>
      <c r="AV30" s="542"/>
      <c r="AW30" s="4" t="str">
        <f t="shared" si="49"/>
        <v/>
      </c>
      <c r="AX30" s="66">
        <f t="shared" si="50"/>
        <v>0</v>
      </c>
      <c r="AY30" s="66">
        <f t="shared" si="51"/>
        <v>0</v>
      </c>
      <c r="AZ30" s="66">
        <f t="shared" si="52"/>
        <v>0</v>
      </c>
      <c r="BA30" s="66">
        <f t="shared" si="53"/>
        <v>0</v>
      </c>
      <c r="BB30" s="4">
        <f t="shared" si="54"/>
        <v>0</v>
      </c>
      <c r="BC30" s="66" t="str">
        <f t="shared" si="55"/>
        <v/>
      </c>
      <c r="BD30" s="66" t="str">
        <f t="shared" si="56"/>
        <v/>
      </c>
      <c r="BE30" s="66" t="str">
        <f t="shared" si="57"/>
        <v/>
      </c>
      <c r="BF30" s="66" t="str">
        <f t="shared" si="58"/>
        <v/>
      </c>
      <c r="BG30" s="4"/>
      <c r="BH30" s="349" t="str">
        <f t="shared" si="59"/>
        <v xml:space="preserve"> </v>
      </c>
      <c r="BI30" s="540" t="str">
        <f t="shared" si="60"/>
        <v xml:space="preserve">, </v>
      </c>
      <c r="BJ30" s="540">
        <f>SISWA!E28</f>
        <v>0</v>
      </c>
      <c r="BK30" s="540" t="str">
        <f t="shared" si="61"/>
        <v/>
      </c>
      <c r="BL30" s="540" t="str">
        <f t="shared" si="62"/>
        <v/>
      </c>
      <c r="BM30" s="540" t="str">
        <f t="shared" si="63"/>
        <v/>
      </c>
      <c r="BN30" s="540"/>
      <c r="BO30" s="4"/>
      <c r="BP30" s="540" t="str">
        <f t="shared" si="64"/>
        <v xml:space="preserve">, </v>
      </c>
      <c r="BQ30" s="540" t="str">
        <f t="shared" si="65"/>
        <v/>
      </c>
      <c r="BR30" s="540" t="str">
        <f t="shared" si="66"/>
        <v/>
      </c>
      <c r="BS30" s="540" t="str">
        <f t="shared" si="67"/>
        <v xml:space="preserve">, </v>
      </c>
      <c r="BT30" s="540" t="str">
        <f t="shared" si="68"/>
        <v xml:space="preserve">, </v>
      </c>
      <c r="BU30" s="540" t="str">
        <f t="shared" si="69"/>
        <v xml:space="preserve">, </v>
      </c>
      <c r="BV30" s="540"/>
      <c r="BW30" s="540"/>
      <c r="BX30" s="542" t="str">
        <f t="shared" si="70"/>
        <v>Sangat baik dalam sikap 000</v>
      </c>
      <c r="BY30" s="542" t="str">
        <f t="shared" si="71"/>
        <v xml:space="preserve"> Baik dalam sikap  , 0</v>
      </c>
      <c r="BZ30" s="542" t="str">
        <f t="shared" si="72"/>
        <v xml:space="preserve">, dengan bimbingan yang lebih mampu meningkatkan sikap , , , , </v>
      </c>
      <c r="CA30" s="4"/>
      <c r="CB30" s="4" t="str">
        <f t="shared" si="73"/>
        <v/>
      </c>
      <c r="CC30" s="4" t="str">
        <f t="shared" si="74"/>
        <v xml:space="preserve"> Baik dalam sikap  , 0</v>
      </c>
      <c r="CD30" s="4" t="str">
        <f t="shared" si="75"/>
        <v/>
      </c>
      <c r="CE30" s="4"/>
      <c r="CF30" s="349" t="str">
        <f t="shared" si="76"/>
        <v xml:space="preserve"> Baik dalam sikap  , 0.</v>
      </c>
    </row>
    <row r="31" spans="1:84" ht="30" customHeight="1">
      <c r="A31" s="223">
        <v>24</v>
      </c>
      <c r="B31" s="224">
        <f>SISWA!$B29</f>
        <v>0</v>
      </c>
      <c r="C31" s="295"/>
      <c r="D31" s="225"/>
      <c r="E31" s="225"/>
      <c r="F31" s="225"/>
      <c r="G31" s="225"/>
      <c r="H31" s="225"/>
      <c r="I31" s="294" t="str">
        <f t="shared" si="20"/>
        <v xml:space="preserve"> </v>
      </c>
      <c r="K31" s="4"/>
      <c r="L31" s="540" t="str">
        <f t="shared" si="21"/>
        <v/>
      </c>
      <c r="M31" s="540" t="str">
        <f t="shared" si="22"/>
        <v/>
      </c>
      <c r="N31" s="540" t="str">
        <f t="shared" si="23"/>
        <v/>
      </c>
      <c r="O31" s="540" t="str">
        <f t="shared" si="24"/>
        <v/>
      </c>
      <c r="P31" s="540" t="str">
        <f t="shared" si="25"/>
        <v/>
      </c>
      <c r="Q31" s="540" t="str">
        <f t="shared" si="26"/>
        <v/>
      </c>
      <c r="R31" s="540"/>
      <c r="S31" s="4"/>
      <c r="T31" s="540" t="str">
        <f t="shared" si="27"/>
        <v/>
      </c>
      <c r="U31" s="540" t="str">
        <f t="shared" si="28"/>
        <v/>
      </c>
      <c r="V31" s="540" t="str">
        <f t="shared" si="29"/>
        <v/>
      </c>
      <c r="W31" s="540" t="str">
        <f t="shared" si="30"/>
        <v/>
      </c>
      <c r="X31" s="540" t="str">
        <f t="shared" si="31"/>
        <v/>
      </c>
      <c r="Y31" s="540" t="str">
        <f t="shared" si="32"/>
        <v/>
      </c>
      <c r="Z31" s="540"/>
      <c r="AA31" s="653"/>
      <c r="AB31" s="540" t="str">
        <f t="shared" si="33"/>
        <v/>
      </c>
      <c r="AC31" s="540" t="str">
        <f t="shared" si="34"/>
        <v/>
      </c>
      <c r="AD31" s="540" t="str">
        <f t="shared" si="35"/>
        <v/>
      </c>
      <c r="AE31" s="540" t="str">
        <f t="shared" si="36"/>
        <v/>
      </c>
      <c r="AF31" s="540" t="str">
        <f t="shared" si="37"/>
        <v/>
      </c>
      <c r="AG31" s="540" t="str">
        <f t="shared" si="38"/>
        <v/>
      </c>
      <c r="AH31" s="540"/>
      <c r="AI31" s="4"/>
      <c r="AJ31" s="540" t="str">
        <f t="shared" si="39"/>
        <v/>
      </c>
      <c r="AK31" s="540" t="str">
        <f t="shared" si="40"/>
        <v/>
      </c>
      <c r="AL31" s="540" t="str">
        <f t="shared" si="41"/>
        <v/>
      </c>
      <c r="AM31" s="540" t="str">
        <f t="shared" si="42"/>
        <v/>
      </c>
      <c r="AN31" s="540" t="str">
        <f t="shared" si="43"/>
        <v/>
      </c>
      <c r="AO31" s="540" t="str">
        <f t="shared" si="44"/>
        <v/>
      </c>
      <c r="AP31" s="540"/>
      <c r="AQ31" s="541"/>
      <c r="AR31" s="542" t="str">
        <f t="shared" si="45"/>
        <v xml:space="preserve">sangat  </v>
      </c>
      <c r="AS31" s="542" t="str">
        <f t="shared" si="46"/>
        <v xml:space="preserve">baik dalam sikap </v>
      </c>
      <c r="AT31" s="542" t="str">
        <f t="shared" si="47"/>
        <v xml:space="preserve">cukup dalam sikap </v>
      </c>
      <c r="AU31" s="542" t="str">
        <f t="shared" si="48"/>
        <v xml:space="preserve">sudah mampu meningkatkan sikap </v>
      </c>
      <c r="AV31" s="542"/>
      <c r="AW31" s="4" t="str">
        <f t="shared" si="49"/>
        <v/>
      </c>
      <c r="AX31" s="66">
        <f t="shared" si="50"/>
        <v>0</v>
      </c>
      <c r="AY31" s="66">
        <f t="shared" si="51"/>
        <v>0</v>
      </c>
      <c r="AZ31" s="66">
        <f t="shared" si="52"/>
        <v>0</v>
      </c>
      <c r="BA31" s="66">
        <f t="shared" si="53"/>
        <v>0</v>
      </c>
      <c r="BB31" s="4">
        <f t="shared" si="54"/>
        <v>0</v>
      </c>
      <c r="BC31" s="66" t="str">
        <f t="shared" si="55"/>
        <v/>
      </c>
      <c r="BD31" s="66" t="str">
        <f t="shared" si="56"/>
        <v/>
      </c>
      <c r="BE31" s="66" t="str">
        <f t="shared" si="57"/>
        <v/>
      </c>
      <c r="BF31" s="66" t="str">
        <f t="shared" si="58"/>
        <v/>
      </c>
      <c r="BG31" s="4"/>
      <c r="BH31" s="349" t="str">
        <f t="shared" si="59"/>
        <v xml:space="preserve"> </v>
      </c>
      <c r="BI31" s="540" t="str">
        <f t="shared" si="60"/>
        <v xml:space="preserve">, </v>
      </c>
      <c r="BJ31" s="540">
        <f>SISWA!E29</f>
        <v>0</v>
      </c>
      <c r="BK31" s="540" t="str">
        <f t="shared" si="61"/>
        <v/>
      </c>
      <c r="BL31" s="540" t="str">
        <f t="shared" si="62"/>
        <v/>
      </c>
      <c r="BM31" s="540" t="str">
        <f t="shared" si="63"/>
        <v/>
      </c>
      <c r="BN31" s="540"/>
      <c r="BO31" s="4"/>
      <c r="BP31" s="540" t="str">
        <f t="shared" si="64"/>
        <v xml:space="preserve">, </v>
      </c>
      <c r="BQ31" s="540" t="str">
        <f t="shared" si="65"/>
        <v/>
      </c>
      <c r="BR31" s="540" t="str">
        <f t="shared" si="66"/>
        <v/>
      </c>
      <c r="BS31" s="540" t="str">
        <f t="shared" si="67"/>
        <v xml:space="preserve">, </v>
      </c>
      <c r="BT31" s="540" t="str">
        <f t="shared" si="68"/>
        <v xml:space="preserve">, </v>
      </c>
      <c r="BU31" s="540" t="str">
        <f t="shared" si="69"/>
        <v xml:space="preserve">, </v>
      </c>
      <c r="BV31" s="540"/>
      <c r="BW31" s="540"/>
      <c r="BX31" s="542" t="str">
        <f t="shared" si="70"/>
        <v>Sangat baik dalam sikap 000</v>
      </c>
      <c r="BY31" s="542" t="str">
        <f t="shared" si="71"/>
        <v xml:space="preserve"> Baik dalam sikap  , 0</v>
      </c>
      <c r="BZ31" s="542" t="str">
        <f t="shared" si="72"/>
        <v xml:space="preserve">, dengan bimbingan yang lebih mampu meningkatkan sikap , , , , </v>
      </c>
      <c r="CA31" s="4"/>
      <c r="CB31" s="4" t="str">
        <f t="shared" si="73"/>
        <v/>
      </c>
      <c r="CC31" s="4" t="str">
        <f t="shared" si="74"/>
        <v xml:space="preserve"> Baik dalam sikap  , 0</v>
      </c>
      <c r="CD31" s="4" t="str">
        <f t="shared" si="75"/>
        <v/>
      </c>
      <c r="CE31" s="4"/>
      <c r="CF31" s="349" t="str">
        <f t="shared" si="76"/>
        <v xml:space="preserve"> Baik dalam sikap  , 0.</v>
      </c>
    </row>
    <row r="32" spans="1:84" ht="30" customHeight="1">
      <c r="A32" s="223">
        <v>25</v>
      </c>
      <c r="B32" s="224">
        <f>SISWA!$B30</f>
        <v>0</v>
      </c>
      <c r="C32" s="295"/>
      <c r="D32" s="225"/>
      <c r="E32" s="225"/>
      <c r="F32" s="225"/>
      <c r="G32" s="225"/>
      <c r="H32" s="225"/>
      <c r="I32" s="294" t="str">
        <f t="shared" si="20"/>
        <v xml:space="preserve"> </v>
      </c>
      <c r="K32" s="4"/>
      <c r="L32" s="540" t="str">
        <f t="shared" si="21"/>
        <v/>
      </c>
      <c r="M32" s="540" t="str">
        <f t="shared" si="22"/>
        <v/>
      </c>
      <c r="N32" s="540" t="str">
        <f t="shared" si="23"/>
        <v/>
      </c>
      <c r="O32" s="540" t="str">
        <f t="shared" si="24"/>
        <v/>
      </c>
      <c r="P32" s="540" t="str">
        <f t="shared" si="25"/>
        <v/>
      </c>
      <c r="Q32" s="540" t="str">
        <f t="shared" si="26"/>
        <v/>
      </c>
      <c r="R32" s="540"/>
      <c r="S32" s="4"/>
      <c r="T32" s="540" t="str">
        <f t="shared" si="27"/>
        <v/>
      </c>
      <c r="U32" s="540" t="str">
        <f t="shared" si="28"/>
        <v/>
      </c>
      <c r="V32" s="540" t="str">
        <f t="shared" si="29"/>
        <v/>
      </c>
      <c r="W32" s="540" t="str">
        <f t="shared" si="30"/>
        <v/>
      </c>
      <c r="X32" s="540" t="str">
        <f t="shared" si="31"/>
        <v/>
      </c>
      <c r="Y32" s="540" t="str">
        <f t="shared" si="32"/>
        <v/>
      </c>
      <c r="Z32" s="540"/>
      <c r="AA32" s="653"/>
      <c r="AB32" s="540" t="str">
        <f t="shared" si="33"/>
        <v/>
      </c>
      <c r="AC32" s="540" t="str">
        <f t="shared" si="34"/>
        <v/>
      </c>
      <c r="AD32" s="540" t="str">
        <f t="shared" si="35"/>
        <v/>
      </c>
      <c r="AE32" s="540" t="str">
        <f t="shared" si="36"/>
        <v/>
      </c>
      <c r="AF32" s="540" t="str">
        <f t="shared" si="37"/>
        <v/>
      </c>
      <c r="AG32" s="540" t="str">
        <f t="shared" si="38"/>
        <v/>
      </c>
      <c r="AH32" s="540"/>
      <c r="AI32" s="4"/>
      <c r="AJ32" s="540" t="str">
        <f t="shared" si="39"/>
        <v/>
      </c>
      <c r="AK32" s="540" t="str">
        <f t="shared" si="40"/>
        <v/>
      </c>
      <c r="AL32" s="540" t="str">
        <f t="shared" si="41"/>
        <v/>
      </c>
      <c r="AM32" s="540" t="str">
        <f t="shared" si="42"/>
        <v/>
      </c>
      <c r="AN32" s="540" t="str">
        <f t="shared" si="43"/>
        <v/>
      </c>
      <c r="AO32" s="540" t="str">
        <f t="shared" si="44"/>
        <v/>
      </c>
      <c r="AP32" s="540"/>
      <c r="AQ32" s="541"/>
      <c r="AR32" s="542" t="str">
        <f t="shared" si="45"/>
        <v xml:space="preserve">sangat  </v>
      </c>
      <c r="AS32" s="542" t="str">
        <f t="shared" si="46"/>
        <v xml:space="preserve">baik dalam sikap </v>
      </c>
      <c r="AT32" s="542" t="str">
        <f t="shared" si="47"/>
        <v xml:space="preserve">cukup dalam sikap </v>
      </c>
      <c r="AU32" s="542" t="str">
        <f t="shared" si="48"/>
        <v xml:space="preserve">sudah mampu meningkatkan sikap </v>
      </c>
      <c r="AV32" s="542"/>
      <c r="AW32" s="4" t="str">
        <f t="shared" si="49"/>
        <v/>
      </c>
      <c r="AX32" s="66">
        <f t="shared" si="50"/>
        <v>0</v>
      </c>
      <c r="AY32" s="66">
        <f t="shared" si="51"/>
        <v>0</v>
      </c>
      <c r="AZ32" s="66">
        <f t="shared" si="52"/>
        <v>0</v>
      </c>
      <c r="BA32" s="66">
        <f t="shared" si="53"/>
        <v>0</v>
      </c>
      <c r="BB32" s="4">
        <f t="shared" si="54"/>
        <v>0</v>
      </c>
      <c r="BC32" s="66" t="str">
        <f t="shared" si="55"/>
        <v/>
      </c>
      <c r="BD32" s="66" t="str">
        <f t="shared" si="56"/>
        <v/>
      </c>
      <c r="BE32" s="66" t="str">
        <f t="shared" si="57"/>
        <v/>
      </c>
      <c r="BF32" s="66" t="str">
        <f t="shared" si="58"/>
        <v/>
      </c>
      <c r="BG32" s="4"/>
      <c r="BH32" s="349" t="str">
        <f t="shared" si="59"/>
        <v xml:space="preserve"> </v>
      </c>
      <c r="BI32" s="540" t="str">
        <f t="shared" si="60"/>
        <v xml:space="preserve">, </v>
      </c>
      <c r="BJ32" s="540">
        <f>SISWA!E30</f>
        <v>0</v>
      </c>
      <c r="BK32" s="540" t="str">
        <f t="shared" si="61"/>
        <v/>
      </c>
      <c r="BL32" s="540" t="str">
        <f t="shared" si="62"/>
        <v/>
      </c>
      <c r="BM32" s="540" t="str">
        <f t="shared" si="63"/>
        <v/>
      </c>
      <c r="BN32" s="540"/>
      <c r="BO32" s="4"/>
      <c r="BP32" s="540" t="str">
        <f t="shared" si="64"/>
        <v xml:space="preserve">, </v>
      </c>
      <c r="BQ32" s="540" t="str">
        <f t="shared" si="65"/>
        <v/>
      </c>
      <c r="BR32" s="540" t="str">
        <f t="shared" si="66"/>
        <v/>
      </c>
      <c r="BS32" s="540" t="str">
        <f t="shared" si="67"/>
        <v xml:space="preserve">, </v>
      </c>
      <c r="BT32" s="540" t="str">
        <f t="shared" si="68"/>
        <v xml:space="preserve">, </v>
      </c>
      <c r="BU32" s="540" t="str">
        <f t="shared" si="69"/>
        <v xml:space="preserve">, </v>
      </c>
      <c r="BV32" s="540"/>
      <c r="BW32" s="540"/>
      <c r="BX32" s="542" t="str">
        <f t="shared" si="70"/>
        <v>Sangat baik dalam sikap 000</v>
      </c>
      <c r="BY32" s="542" t="str">
        <f t="shared" si="71"/>
        <v xml:space="preserve"> Baik dalam sikap  , 0</v>
      </c>
      <c r="BZ32" s="542" t="str">
        <f t="shared" si="72"/>
        <v xml:space="preserve">, dengan bimbingan yang lebih mampu meningkatkan sikap , , , , </v>
      </c>
      <c r="CA32" s="4"/>
      <c r="CB32" s="4" t="str">
        <f t="shared" si="73"/>
        <v/>
      </c>
      <c r="CC32" s="4" t="str">
        <f t="shared" si="74"/>
        <v xml:space="preserve"> Baik dalam sikap  , 0</v>
      </c>
      <c r="CD32" s="4" t="str">
        <f t="shared" si="75"/>
        <v/>
      </c>
      <c r="CE32" s="4"/>
      <c r="CF32" s="349" t="str">
        <f t="shared" si="76"/>
        <v xml:space="preserve"> Baik dalam sikap  , 0.</v>
      </c>
    </row>
    <row r="33" spans="1:84" ht="30" customHeight="1">
      <c r="A33" s="223">
        <v>26</v>
      </c>
      <c r="B33" s="224">
        <f>SISWA!$B31</f>
        <v>0</v>
      </c>
      <c r="C33" s="295"/>
      <c r="D33" s="225"/>
      <c r="E33" s="225"/>
      <c r="F33" s="225"/>
      <c r="G33" s="225"/>
      <c r="H33" s="225"/>
      <c r="I33" s="294" t="str">
        <f t="shared" si="20"/>
        <v xml:space="preserve"> </v>
      </c>
      <c r="K33" s="4"/>
      <c r="L33" s="540" t="str">
        <f t="shared" si="21"/>
        <v/>
      </c>
      <c r="M33" s="540" t="str">
        <f t="shared" si="22"/>
        <v/>
      </c>
      <c r="N33" s="540" t="str">
        <f t="shared" si="23"/>
        <v/>
      </c>
      <c r="O33" s="540" t="str">
        <f t="shared" si="24"/>
        <v/>
      </c>
      <c r="P33" s="540" t="str">
        <f t="shared" si="25"/>
        <v/>
      </c>
      <c r="Q33" s="540" t="str">
        <f t="shared" si="26"/>
        <v/>
      </c>
      <c r="R33" s="540"/>
      <c r="S33" s="4"/>
      <c r="T33" s="540" t="str">
        <f t="shared" si="27"/>
        <v/>
      </c>
      <c r="U33" s="540" t="str">
        <f t="shared" si="28"/>
        <v/>
      </c>
      <c r="V33" s="540" t="str">
        <f t="shared" si="29"/>
        <v/>
      </c>
      <c r="W33" s="540" t="str">
        <f t="shared" si="30"/>
        <v/>
      </c>
      <c r="X33" s="540" t="str">
        <f t="shared" si="31"/>
        <v/>
      </c>
      <c r="Y33" s="540" t="str">
        <f t="shared" si="32"/>
        <v/>
      </c>
      <c r="Z33" s="540"/>
      <c r="AA33" s="653"/>
      <c r="AB33" s="540" t="str">
        <f t="shared" si="33"/>
        <v/>
      </c>
      <c r="AC33" s="540" t="str">
        <f t="shared" si="34"/>
        <v/>
      </c>
      <c r="AD33" s="540" t="str">
        <f t="shared" si="35"/>
        <v/>
      </c>
      <c r="AE33" s="540" t="str">
        <f t="shared" si="36"/>
        <v/>
      </c>
      <c r="AF33" s="540" t="str">
        <f t="shared" si="37"/>
        <v/>
      </c>
      <c r="AG33" s="540" t="str">
        <f t="shared" si="38"/>
        <v/>
      </c>
      <c r="AH33" s="540"/>
      <c r="AI33" s="4"/>
      <c r="AJ33" s="540" t="str">
        <f t="shared" si="39"/>
        <v/>
      </c>
      <c r="AK33" s="540" t="str">
        <f t="shared" si="40"/>
        <v/>
      </c>
      <c r="AL33" s="540" t="str">
        <f t="shared" si="41"/>
        <v/>
      </c>
      <c r="AM33" s="540" t="str">
        <f t="shared" si="42"/>
        <v/>
      </c>
      <c r="AN33" s="540" t="str">
        <f t="shared" si="43"/>
        <v/>
      </c>
      <c r="AO33" s="540" t="str">
        <f t="shared" si="44"/>
        <v/>
      </c>
      <c r="AP33" s="540"/>
      <c r="AQ33" s="541"/>
      <c r="AR33" s="542" t="str">
        <f t="shared" si="45"/>
        <v xml:space="preserve">sangat  </v>
      </c>
      <c r="AS33" s="542" t="str">
        <f t="shared" si="46"/>
        <v xml:space="preserve">baik dalam sikap </v>
      </c>
      <c r="AT33" s="542" t="str">
        <f t="shared" si="47"/>
        <v xml:space="preserve">cukup dalam sikap </v>
      </c>
      <c r="AU33" s="542" t="str">
        <f t="shared" si="48"/>
        <v xml:space="preserve">sudah mampu meningkatkan sikap </v>
      </c>
      <c r="AV33" s="542"/>
      <c r="AW33" s="4" t="str">
        <f t="shared" si="49"/>
        <v/>
      </c>
      <c r="AX33" s="66">
        <f t="shared" si="50"/>
        <v>0</v>
      </c>
      <c r="AY33" s="66">
        <f t="shared" si="51"/>
        <v>0</v>
      </c>
      <c r="AZ33" s="66">
        <f t="shared" si="52"/>
        <v>0</v>
      </c>
      <c r="BA33" s="66">
        <f t="shared" si="53"/>
        <v>0</v>
      </c>
      <c r="BB33" s="4">
        <f t="shared" si="54"/>
        <v>0</v>
      </c>
      <c r="BC33" s="66" t="str">
        <f t="shared" si="55"/>
        <v/>
      </c>
      <c r="BD33" s="66" t="str">
        <f t="shared" si="56"/>
        <v/>
      </c>
      <c r="BE33" s="66" t="str">
        <f t="shared" si="57"/>
        <v/>
      </c>
      <c r="BF33" s="66" t="str">
        <f t="shared" si="58"/>
        <v/>
      </c>
      <c r="BG33" s="4"/>
      <c r="BH33" s="349" t="str">
        <f t="shared" si="59"/>
        <v xml:space="preserve"> </v>
      </c>
      <c r="BI33" s="540" t="str">
        <f t="shared" si="60"/>
        <v xml:space="preserve">, </v>
      </c>
      <c r="BJ33" s="540">
        <f>SISWA!E31</f>
        <v>0</v>
      </c>
      <c r="BK33" s="540" t="str">
        <f t="shared" si="61"/>
        <v/>
      </c>
      <c r="BL33" s="540" t="str">
        <f t="shared" si="62"/>
        <v/>
      </c>
      <c r="BM33" s="540" t="str">
        <f t="shared" si="63"/>
        <v/>
      </c>
      <c r="BN33" s="540"/>
      <c r="BO33" s="4"/>
      <c r="BP33" s="540" t="str">
        <f t="shared" si="64"/>
        <v xml:space="preserve">, </v>
      </c>
      <c r="BQ33" s="540" t="str">
        <f t="shared" si="65"/>
        <v/>
      </c>
      <c r="BR33" s="540" t="str">
        <f t="shared" si="66"/>
        <v/>
      </c>
      <c r="BS33" s="540" t="str">
        <f t="shared" si="67"/>
        <v xml:space="preserve">, </v>
      </c>
      <c r="BT33" s="540" t="str">
        <f t="shared" si="68"/>
        <v xml:space="preserve">, </v>
      </c>
      <c r="BU33" s="540" t="str">
        <f t="shared" si="69"/>
        <v xml:space="preserve">, </v>
      </c>
      <c r="BV33" s="540"/>
      <c r="BW33" s="540"/>
      <c r="BX33" s="542" t="str">
        <f t="shared" si="70"/>
        <v>Sangat baik dalam sikap 000</v>
      </c>
      <c r="BY33" s="542" t="str">
        <f t="shared" si="71"/>
        <v xml:space="preserve"> Baik dalam sikap  , 0</v>
      </c>
      <c r="BZ33" s="542" t="str">
        <f t="shared" si="72"/>
        <v xml:space="preserve">, dengan bimbingan yang lebih mampu meningkatkan sikap , , , , </v>
      </c>
      <c r="CA33" s="4"/>
      <c r="CB33" s="4" t="str">
        <f t="shared" si="73"/>
        <v/>
      </c>
      <c r="CC33" s="4" t="str">
        <f t="shared" si="74"/>
        <v xml:space="preserve"> Baik dalam sikap  , 0</v>
      </c>
      <c r="CD33" s="4" t="str">
        <f t="shared" si="75"/>
        <v/>
      </c>
      <c r="CE33" s="4"/>
      <c r="CF33" s="349" t="str">
        <f t="shared" si="76"/>
        <v xml:space="preserve"> Baik dalam sikap  , 0.</v>
      </c>
    </row>
    <row r="34" spans="1:84" ht="30" customHeight="1">
      <c r="A34" s="223">
        <v>27</v>
      </c>
      <c r="B34" s="224">
        <f>SISWA!$B32</f>
        <v>0</v>
      </c>
      <c r="C34" s="295"/>
      <c r="D34" s="225"/>
      <c r="E34" s="225"/>
      <c r="F34" s="225"/>
      <c r="G34" s="225"/>
      <c r="H34" s="225"/>
      <c r="I34" s="294" t="str">
        <f t="shared" si="20"/>
        <v xml:space="preserve"> </v>
      </c>
      <c r="K34" s="4"/>
      <c r="L34" s="540" t="str">
        <f t="shared" si="21"/>
        <v/>
      </c>
      <c r="M34" s="540" t="str">
        <f t="shared" si="22"/>
        <v/>
      </c>
      <c r="N34" s="540" t="str">
        <f t="shared" si="23"/>
        <v/>
      </c>
      <c r="O34" s="540" t="str">
        <f t="shared" si="24"/>
        <v/>
      </c>
      <c r="P34" s="540" t="str">
        <f t="shared" si="25"/>
        <v/>
      </c>
      <c r="Q34" s="540" t="str">
        <f t="shared" si="26"/>
        <v/>
      </c>
      <c r="R34" s="540"/>
      <c r="S34" s="4"/>
      <c r="T34" s="540" t="str">
        <f t="shared" si="27"/>
        <v/>
      </c>
      <c r="U34" s="540" t="str">
        <f t="shared" si="28"/>
        <v/>
      </c>
      <c r="V34" s="540" t="str">
        <f t="shared" si="29"/>
        <v/>
      </c>
      <c r="W34" s="540" t="str">
        <f t="shared" si="30"/>
        <v/>
      </c>
      <c r="X34" s="540" t="str">
        <f t="shared" si="31"/>
        <v/>
      </c>
      <c r="Y34" s="540" t="str">
        <f t="shared" si="32"/>
        <v/>
      </c>
      <c r="Z34" s="540"/>
      <c r="AA34" s="653"/>
      <c r="AB34" s="540" t="str">
        <f t="shared" si="33"/>
        <v/>
      </c>
      <c r="AC34" s="540" t="str">
        <f t="shared" si="34"/>
        <v/>
      </c>
      <c r="AD34" s="540" t="str">
        <f t="shared" si="35"/>
        <v/>
      </c>
      <c r="AE34" s="540" t="str">
        <f t="shared" si="36"/>
        <v/>
      </c>
      <c r="AF34" s="540" t="str">
        <f t="shared" si="37"/>
        <v/>
      </c>
      <c r="AG34" s="540" t="str">
        <f t="shared" si="38"/>
        <v/>
      </c>
      <c r="AH34" s="540"/>
      <c r="AI34" s="4"/>
      <c r="AJ34" s="540" t="str">
        <f t="shared" si="39"/>
        <v/>
      </c>
      <c r="AK34" s="540" t="str">
        <f t="shared" si="40"/>
        <v/>
      </c>
      <c r="AL34" s="540" t="str">
        <f t="shared" si="41"/>
        <v/>
      </c>
      <c r="AM34" s="540" t="str">
        <f t="shared" si="42"/>
        <v/>
      </c>
      <c r="AN34" s="540" t="str">
        <f t="shared" si="43"/>
        <v/>
      </c>
      <c r="AO34" s="540" t="str">
        <f t="shared" si="44"/>
        <v/>
      </c>
      <c r="AP34" s="540"/>
      <c r="AQ34" s="541"/>
      <c r="AR34" s="542" t="str">
        <f t="shared" si="45"/>
        <v xml:space="preserve">sangat  </v>
      </c>
      <c r="AS34" s="542" t="str">
        <f t="shared" si="46"/>
        <v xml:space="preserve">baik dalam sikap </v>
      </c>
      <c r="AT34" s="542" t="str">
        <f t="shared" si="47"/>
        <v xml:space="preserve">cukup dalam sikap </v>
      </c>
      <c r="AU34" s="542" t="str">
        <f t="shared" si="48"/>
        <v xml:space="preserve">sudah mampu meningkatkan sikap </v>
      </c>
      <c r="AV34" s="542"/>
      <c r="AW34" s="4" t="str">
        <f t="shared" si="49"/>
        <v/>
      </c>
      <c r="AX34" s="66">
        <f t="shared" si="50"/>
        <v>0</v>
      </c>
      <c r="AY34" s="66">
        <f t="shared" si="51"/>
        <v>0</v>
      </c>
      <c r="AZ34" s="66">
        <f t="shared" si="52"/>
        <v>0</v>
      </c>
      <c r="BA34" s="66">
        <f t="shared" si="53"/>
        <v>0</v>
      </c>
      <c r="BB34" s="4">
        <f t="shared" si="54"/>
        <v>0</v>
      </c>
      <c r="BC34" s="66" t="str">
        <f t="shared" si="55"/>
        <v/>
      </c>
      <c r="BD34" s="66" t="str">
        <f t="shared" si="56"/>
        <v/>
      </c>
      <c r="BE34" s="66" t="str">
        <f t="shared" si="57"/>
        <v/>
      </c>
      <c r="BF34" s="66" t="str">
        <f t="shared" si="58"/>
        <v/>
      </c>
      <c r="BG34" s="4"/>
      <c r="BH34" s="349" t="str">
        <f t="shared" si="59"/>
        <v xml:space="preserve"> </v>
      </c>
      <c r="BI34" s="540" t="str">
        <f t="shared" si="60"/>
        <v xml:space="preserve">, </v>
      </c>
      <c r="BJ34" s="540">
        <f>SISWA!E32</f>
        <v>0</v>
      </c>
      <c r="BK34" s="540" t="str">
        <f t="shared" si="61"/>
        <v/>
      </c>
      <c r="BL34" s="540" t="str">
        <f t="shared" si="62"/>
        <v/>
      </c>
      <c r="BM34" s="540" t="str">
        <f t="shared" si="63"/>
        <v/>
      </c>
      <c r="BN34" s="540"/>
      <c r="BO34" s="4"/>
      <c r="BP34" s="540" t="str">
        <f t="shared" si="64"/>
        <v xml:space="preserve">, </v>
      </c>
      <c r="BQ34" s="540" t="str">
        <f t="shared" si="65"/>
        <v/>
      </c>
      <c r="BR34" s="540" t="str">
        <f t="shared" si="66"/>
        <v/>
      </c>
      <c r="BS34" s="540" t="str">
        <f t="shared" si="67"/>
        <v xml:space="preserve">, </v>
      </c>
      <c r="BT34" s="540" t="str">
        <f t="shared" si="68"/>
        <v xml:space="preserve">, </v>
      </c>
      <c r="BU34" s="540" t="str">
        <f t="shared" si="69"/>
        <v xml:space="preserve">, </v>
      </c>
      <c r="BV34" s="540"/>
      <c r="BW34" s="540"/>
      <c r="BX34" s="542" t="str">
        <f t="shared" si="70"/>
        <v>Sangat baik dalam sikap 000</v>
      </c>
      <c r="BY34" s="542" t="str">
        <f t="shared" si="71"/>
        <v xml:space="preserve"> Baik dalam sikap  , 0</v>
      </c>
      <c r="BZ34" s="542" t="str">
        <f t="shared" si="72"/>
        <v xml:space="preserve">, dengan bimbingan yang lebih mampu meningkatkan sikap , , , , </v>
      </c>
      <c r="CA34" s="4"/>
      <c r="CB34" s="4" t="str">
        <f t="shared" si="73"/>
        <v/>
      </c>
      <c r="CC34" s="4" t="str">
        <f t="shared" si="74"/>
        <v xml:space="preserve"> Baik dalam sikap  , 0</v>
      </c>
      <c r="CD34" s="4" t="str">
        <f t="shared" si="75"/>
        <v/>
      </c>
      <c r="CE34" s="4"/>
      <c r="CF34" s="349" t="str">
        <f t="shared" si="76"/>
        <v xml:space="preserve"> Baik dalam sikap  , 0.</v>
      </c>
    </row>
    <row r="35" spans="1:84" ht="30" customHeight="1">
      <c r="A35" s="223">
        <v>28</v>
      </c>
      <c r="B35" s="224">
        <f>SISWA!$B33</f>
        <v>0</v>
      </c>
      <c r="C35" s="295"/>
      <c r="D35" s="225"/>
      <c r="E35" s="225"/>
      <c r="F35" s="225"/>
      <c r="G35" s="225"/>
      <c r="H35" s="225"/>
      <c r="I35" s="294" t="str">
        <f t="shared" si="20"/>
        <v xml:space="preserve"> </v>
      </c>
      <c r="K35" s="4"/>
      <c r="L35" s="540" t="str">
        <f t="shared" si="21"/>
        <v/>
      </c>
      <c r="M35" s="540" t="str">
        <f t="shared" si="22"/>
        <v/>
      </c>
      <c r="N35" s="540" t="str">
        <f t="shared" si="23"/>
        <v/>
      </c>
      <c r="O35" s="540" t="str">
        <f t="shared" si="24"/>
        <v/>
      </c>
      <c r="P35" s="540" t="str">
        <f t="shared" si="25"/>
        <v/>
      </c>
      <c r="Q35" s="540" t="str">
        <f t="shared" si="26"/>
        <v/>
      </c>
      <c r="R35" s="540"/>
      <c r="S35" s="4"/>
      <c r="T35" s="540" t="str">
        <f t="shared" si="27"/>
        <v/>
      </c>
      <c r="U35" s="540" t="str">
        <f t="shared" si="28"/>
        <v/>
      </c>
      <c r="V35" s="540" t="str">
        <f t="shared" si="29"/>
        <v/>
      </c>
      <c r="W35" s="540" t="str">
        <f t="shared" si="30"/>
        <v/>
      </c>
      <c r="X35" s="540" t="str">
        <f t="shared" si="31"/>
        <v/>
      </c>
      <c r="Y35" s="540" t="str">
        <f t="shared" si="32"/>
        <v/>
      </c>
      <c r="Z35" s="540"/>
      <c r="AA35" s="653"/>
      <c r="AB35" s="540" t="str">
        <f t="shared" si="33"/>
        <v/>
      </c>
      <c r="AC35" s="540" t="str">
        <f t="shared" si="34"/>
        <v/>
      </c>
      <c r="AD35" s="540" t="str">
        <f t="shared" si="35"/>
        <v/>
      </c>
      <c r="AE35" s="540" t="str">
        <f t="shared" si="36"/>
        <v/>
      </c>
      <c r="AF35" s="540" t="str">
        <f t="shared" si="37"/>
        <v/>
      </c>
      <c r="AG35" s="540" t="str">
        <f t="shared" si="38"/>
        <v/>
      </c>
      <c r="AH35" s="540"/>
      <c r="AI35" s="4"/>
      <c r="AJ35" s="540" t="str">
        <f t="shared" si="39"/>
        <v/>
      </c>
      <c r="AK35" s="540" t="str">
        <f t="shared" si="40"/>
        <v/>
      </c>
      <c r="AL35" s="540" t="str">
        <f t="shared" si="41"/>
        <v/>
      </c>
      <c r="AM35" s="540" t="str">
        <f t="shared" si="42"/>
        <v/>
      </c>
      <c r="AN35" s="540" t="str">
        <f t="shared" si="43"/>
        <v/>
      </c>
      <c r="AO35" s="540" t="str">
        <f t="shared" si="44"/>
        <v/>
      </c>
      <c r="AP35" s="540"/>
      <c r="AQ35" s="541"/>
      <c r="AR35" s="542" t="str">
        <f t="shared" si="45"/>
        <v xml:space="preserve">sangat  </v>
      </c>
      <c r="AS35" s="542" t="str">
        <f t="shared" si="46"/>
        <v xml:space="preserve">baik dalam sikap </v>
      </c>
      <c r="AT35" s="542" t="str">
        <f t="shared" si="47"/>
        <v xml:space="preserve">cukup dalam sikap </v>
      </c>
      <c r="AU35" s="542" t="str">
        <f t="shared" si="48"/>
        <v xml:space="preserve">sudah mampu meningkatkan sikap </v>
      </c>
      <c r="AV35" s="542"/>
      <c r="AW35" s="4" t="str">
        <f t="shared" si="49"/>
        <v/>
      </c>
      <c r="AX35" s="66">
        <f t="shared" si="50"/>
        <v>0</v>
      </c>
      <c r="AY35" s="66">
        <f t="shared" si="51"/>
        <v>0</v>
      </c>
      <c r="AZ35" s="66">
        <f t="shared" si="52"/>
        <v>0</v>
      </c>
      <c r="BA35" s="66">
        <f t="shared" si="53"/>
        <v>0</v>
      </c>
      <c r="BB35" s="4">
        <f t="shared" si="54"/>
        <v>0</v>
      </c>
      <c r="BC35" s="66" t="str">
        <f t="shared" si="55"/>
        <v/>
      </c>
      <c r="BD35" s="66" t="str">
        <f t="shared" si="56"/>
        <v/>
      </c>
      <c r="BE35" s="66" t="str">
        <f t="shared" si="57"/>
        <v/>
      </c>
      <c r="BF35" s="66" t="str">
        <f t="shared" si="58"/>
        <v/>
      </c>
      <c r="BG35" s="4"/>
      <c r="BH35" s="349" t="str">
        <f t="shared" si="59"/>
        <v xml:space="preserve"> </v>
      </c>
      <c r="BI35" s="540" t="str">
        <f t="shared" si="60"/>
        <v xml:space="preserve">, </v>
      </c>
      <c r="BJ35" s="540">
        <f>SISWA!E33</f>
        <v>0</v>
      </c>
      <c r="BK35" s="540" t="str">
        <f t="shared" si="61"/>
        <v/>
      </c>
      <c r="BL35" s="540" t="str">
        <f t="shared" si="62"/>
        <v/>
      </c>
      <c r="BM35" s="540" t="str">
        <f t="shared" si="63"/>
        <v/>
      </c>
      <c r="BN35" s="540"/>
      <c r="BO35" s="4"/>
      <c r="BP35" s="540" t="str">
        <f t="shared" si="64"/>
        <v xml:space="preserve">, </v>
      </c>
      <c r="BQ35" s="540" t="str">
        <f t="shared" si="65"/>
        <v/>
      </c>
      <c r="BR35" s="540" t="str">
        <f t="shared" si="66"/>
        <v/>
      </c>
      <c r="BS35" s="540" t="str">
        <f t="shared" si="67"/>
        <v xml:space="preserve">, </v>
      </c>
      <c r="BT35" s="540" t="str">
        <f t="shared" si="68"/>
        <v xml:space="preserve">, </v>
      </c>
      <c r="BU35" s="540" t="str">
        <f t="shared" si="69"/>
        <v xml:space="preserve">, </v>
      </c>
      <c r="BV35" s="540"/>
      <c r="BW35" s="540"/>
      <c r="BX35" s="542" t="str">
        <f t="shared" si="70"/>
        <v>Sangat baik dalam sikap 000</v>
      </c>
      <c r="BY35" s="542" t="str">
        <f t="shared" si="71"/>
        <v xml:space="preserve"> Baik dalam sikap  , 0</v>
      </c>
      <c r="BZ35" s="542" t="str">
        <f t="shared" si="72"/>
        <v xml:space="preserve">, dengan bimbingan yang lebih mampu meningkatkan sikap , , , , </v>
      </c>
      <c r="CA35" s="4"/>
      <c r="CB35" s="4" t="str">
        <f t="shared" si="73"/>
        <v/>
      </c>
      <c r="CC35" s="4" t="str">
        <f t="shared" si="74"/>
        <v xml:space="preserve"> Baik dalam sikap  , 0</v>
      </c>
      <c r="CD35" s="4" t="str">
        <f t="shared" si="75"/>
        <v/>
      </c>
      <c r="CE35" s="4"/>
      <c r="CF35" s="349" t="str">
        <f t="shared" si="76"/>
        <v xml:space="preserve"> Baik dalam sikap  , 0.</v>
      </c>
    </row>
    <row r="36" spans="1:84" ht="30" customHeight="1">
      <c r="A36" s="223">
        <v>29</v>
      </c>
      <c r="B36" s="224">
        <f>SISWA!$B34</f>
        <v>0</v>
      </c>
      <c r="C36" s="295"/>
      <c r="D36" s="225"/>
      <c r="E36" s="225"/>
      <c r="F36" s="225"/>
      <c r="G36" s="225"/>
      <c r="H36" s="225"/>
      <c r="I36" s="294" t="str">
        <f t="shared" si="20"/>
        <v xml:space="preserve"> </v>
      </c>
      <c r="K36" s="4"/>
      <c r="L36" s="540" t="str">
        <f t="shared" si="21"/>
        <v/>
      </c>
      <c r="M36" s="540" t="str">
        <f t="shared" si="22"/>
        <v/>
      </c>
      <c r="N36" s="540" t="str">
        <f t="shared" si="23"/>
        <v/>
      </c>
      <c r="O36" s="540" t="str">
        <f t="shared" si="24"/>
        <v/>
      </c>
      <c r="P36" s="540" t="str">
        <f t="shared" si="25"/>
        <v/>
      </c>
      <c r="Q36" s="540" t="str">
        <f t="shared" si="26"/>
        <v/>
      </c>
      <c r="R36" s="540"/>
      <c r="S36" s="4"/>
      <c r="T36" s="540" t="str">
        <f t="shared" si="27"/>
        <v/>
      </c>
      <c r="U36" s="540" t="str">
        <f t="shared" si="28"/>
        <v/>
      </c>
      <c r="V36" s="540" t="str">
        <f t="shared" si="29"/>
        <v/>
      </c>
      <c r="W36" s="540" t="str">
        <f t="shared" si="30"/>
        <v/>
      </c>
      <c r="X36" s="540" t="str">
        <f t="shared" si="31"/>
        <v/>
      </c>
      <c r="Y36" s="540" t="str">
        <f t="shared" si="32"/>
        <v/>
      </c>
      <c r="Z36" s="540"/>
      <c r="AA36" s="653"/>
      <c r="AB36" s="540" t="str">
        <f t="shared" si="33"/>
        <v/>
      </c>
      <c r="AC36" s="540" t="str">
        <f t="shared" si="34"/>
        <v/>
      </c>
      <c r="AD36" s="540" t="str">
        <f t="shared" si="35"/>
        <v/>
      </c>
      <c r="AE36" s="540" t="str">
        <f t="shared" si="36"/>
        <v/>
      </c>
      <c r="AF36" s="540" t="str">
        <f t="shared" si="37"/>
        <v/>
      </c>
      <c r="AG36" s="540" t="str">
        <f t="shared" si="38"/>
        <v/>
      </c>
      <c r="AH36" s="540"/>
      <c r="AI36" s="4"/>
      <c r="AJ36" s="540" t="str">
        <f t="shared" si="39"/>
        <v/>
      </c>
      <c r="AK36" s="540" t="str">
        <f t="shared" si="40"/>
        <v/>
      </c>
      <c r="AL36" s="540" t="str">
        <f t="shared" si="41"/>
        <v/>
      </c>
      <c r="AM36" s="540" t="str">
        <f t="shared" si="42"/>
        <v/>
      </c>
      <c r="AN36" s="540" t="str">
        <f t="shared" si="43"/>
        <v/>
      </c>
      <c r="AO36" s="540" t="str">
        <f t="shared" si="44"/>
        <v/>
      </c>
      <c r="AP36" s="540"/>
      <c r="AQ36" s="541"/>
      <c r="AR36" s="542" t="str">
        <f t="shared" si="45"/>
        <v xml:space="preserve">sangat  </v>
      </c>
      <c r="AS36" s="542" t="str">
        <f t="shared" si="46"/>
        <v xml:space="preserve">baik dalam sikap </v>
      </c>
      <c r="AT36" s="542" t="str">
        <f t="shared" si="47"/>
        <v xml:space="preserve">cukup dalam sikap </v>
      </c>
      <c r="AU36" s="542" t="str">
        <f t="shared" si="48"/>
        <v xml:space="preserve">sudah mampu meningkatkan sikap </v>
      </c>
      <c r="AV36" s="542"/>
      <c r="AW36" s="4" t="str">
        <f t="shared" si="49"/>
        <v/>
      </c>
      <c r="AX36" s="66">
        <f t="shared" si="50"/>
        <v>0</v>
      </c>
      <c r="AY36" s="66">
        <f t="shared" si="51"/>
        <v>0</v>
      </c>
      <c r="AZ36" s="66">
        <f t="shared" si="52"/>
        <v>0</v>
      </c>
      <c r="BA36" s="66">
        <f t="shared" si="53"/>
        <v>0</v>
      </c>
      <c r="BB36" s="4">
        <f t="shared" si="54"/>
        <v>0</v>
      </c>
      <c r="BC36" s="66" t="str">
        <f t="shared" si="55"/>
        <v/>
      </c>
      <c r="BD36" s="66" t="str">
        <f t="shared" si="56"/>
        <v/>
      </c>
      <c r="BE36" s="66" t="str">
        <f t="shared" si="57"/>
        <v/>
      </c>
      <c r="BF36" s="66" t="str">
        <f t="shared" si="58"/>
        <v/>
      </c>
      <c r="BG36" s="4"/>
      <c r="BH36" s="349" t="str">
        <f t="shared" si="59"/>
        <v xml:space="preserve"> </v>
      </c>
      <c r="BI36" s="540" t="str">
        <f t="shared" si="60"/>
        <v xml:space="preserve">, </v>
      </c>
      <c r="BJ36" s="540">
        <f>SISWA!E34</f>
        <v>0</v>
      </c>
      <c r="BK36" s="540" t="str">
        <f t="shared" si="61"/>
        <v/>
      </c>
      <c r="BL36" s="540" t="str">
        <f t="shared" si="62"/>
        <v/>
      </c>
      <c r="BM36" s="540" t="str">
        <f t="shared" si="63"/>
        <v/>
      </c>
      <c r="BN36" s="540"/>
      <c r="BO36" s="4"/>
      <c r="BP36" s="540" t="str">
        <f t="shared" si="64"/>
        <v xml:space="preserve">, </v>
      </c>
      <c r="BQ36" s="540" t="str">
        <f t="shared" si="65"/>
        <v/>
      </c>
      <c r="BR36" s="540" t="str">
        <f t="shared" si="66"/>
        <v/>
      </c>
      <c r="BS36" s="540" t="str">
        <f t="shared" si="67"/>
        <v xml:space="preserve">, </v>
      </c>
      <c r="BT36" s="540" t="str">
        <f t="shared" si="68"/>
        <v xml:space="preserve">, </v>
      </c>
      <c r="BU36" s="540" t="str">
        <f t="shared" si="69"/>
        <v xml:space="preserve">, </v>
      </c>
      <c r="BV36" s="540"/>
      <c r="BW36" s="540"/>
      <c r="BX36" s="542" t="str">
        <f t="shared" si="70"/>
        <v>Sangat baik dalam sikap 000</v>
      </c>
      <c r="BY36" s="542" t="str">
        <f t="shared" si="71"/>
        <v xml:space="preserve"> Baik dalam sikap  , 0</v>
      </c>
      <c r="BZ36" s="542" t="str">
        <f t="shared" si="72"/>
        <v xml:space="preserve">, dengan bimbingan yang lebih mampu meningkatkan sikap , , , , </v>
      </c>
      <c r="CA36" s="4"/>
      <c r="CB36" s="4" t="str">
        <f t="shared" si="73"/>
        <v/>
      </c>
      <c r="CC36" s="4" t="str">
        <f t="shared" si="74"/>
        <v xml:space="preserve"> Baik dalam sikap  , 0</v>
      </c>
      <c r="CD36" s="4" t="str">
        <f t="shared" si="75"/>
        <v/>
      </c>
      <c r="CE36" s="4"/>
      <c r="CF36" s="349" t="str">
        <f t="shared" si="76"/>
        <v xml:space="preserve"> Baik dalam sikap  , 0.</v>
      </c>
    </row>
    <row r="37" spans="1:84" ht="30" customHeight="1">
      <c r="A37" s="223">
        <v>30</v>
      </c>
      <c r="B37" s="224">
        <f>SISWA!$B35</f>
        <v>0</v>
      </c>
      <c r="C37" s="295"/>
      <c r="D37" s="225"/>
      <c r="E37" s="225"/>
      <c r="F37" s="225"/>
      <c r="G37" s="225"/>
      <c r="H37" s="225"/>
      <c r="I37" s="294" t="str">
        <f t="shared" si="20"/>
        <v xml:space="preserve"> </v>
      </c>
      <c r="K37" s="4"/>
      <c r="L37" s="540" t="str">
        <f t="shared" si="21"/>
        <v/>
      </c>
      <c r="M37" s="540" t="str">
        <f t="shared" si="22"/>
        <v/>
      </c>
      <c r="N37" s="540" t="str">
        <f t="shared" si="23"/>
        <v/>
      </c>
      <c r="O37" s="540" t="str">
        <f t="shared" si="24"/>
        <v/>
      </c>
      <c r="P37" s="540" t="str">
        <f t="shared" si="25"/>
        <v/>
      </c>
      <c r="Q37" s="540" t="str">
        <f t="shared" si="26"/>
        <v/>
      </c>
      <c r="R37" s="540"/>
      <c r="S37" s="4"/>
      <c r="T37" s="540" t="str">
        <f t="shared" si="27"/>
        <v/>
      </c>
      <c r="U37" s="540" t="str">
        <f t="shared" si="28"/>
        <v/>
      </c>
      <c r="V37" s="540" t="str">
        <f t="shared" si="29"/>
        <v/>
      </c>
      <c r="W37" s="540" t="str">
        <f t="shared" si="30"/>
        <v/>
      </c>
      <c r="X37" s="540" t="str">
        <f t="shared" si="31"/>
        <v/>
      </c>
      <c r="Y37" s="540" t="str">
        <f t="shared" si="32"/>
        <v/>
      </c>
      <c r="Z37" s="540"/>
      <c r="AA37" s="653"/>
      <c r="AB37" s="540" t="str">
        <f t="shared" si="33"/>
        <v/>
      </c>
      <c r="AC37" s="540" t="str">
        <f t="shared" si="34"/>
        <v/>
      </c>
      <c r="AD37" s="540" t="str">
        <f t="shared" si="35"/>
        <v/>
      </c>
      <c r="AE37" s="540" t="str">
        <f t="shared" si="36"/>
        <v/>
      </c>
      <c r="AF37" s="540" t="str">
        <f t="shared" si="37"/>
        <v/>
      </c>
      <c r="AG37" s="540" t="str">
        <f t="shared" si="38"/>
        <v/>
      </c>
      <c r="AH37" s="540"/>
      <c r="AI37" s="4"/>
      <c r="AJ37" s="540" t="str">
        <f t="shared" si="39"/>
        <v/>
      </c>
      <c r="AK37" s="540" t="str">
        <f t="shared" si="40"/>
        <v/>
      </c>
      <c r="AL37" s="540" t="str">
        <f t="shared" si="41"/>
        <v/>
      </c>
      <c r="AM37" s="540" t="str">
        <f t="shared" si="42"/>
        <v/>
      </c>
      <c r="AN37" s="540" t="str">
        <f t="shared" si="43"/>
        <v/>
      </c>
      <c r="AO37" s="540" t="str">
        <f t="shared" si="44"/>
        <v/>
      </c>
      <c r="AP37" s="540"/>
      <c r="AQ37" s="541"/>
      <c r="AR37" s="542" t="str">
        <f t="shared" si="45"/>
        <v xml:space="preserve">sangat  </v>
      </c>
      <c r="AS37" s="542" t="str">
        <f t="shared" si="46"/>
        <v xml:space="preserve">baik dalam sikap </v>
      </c>
      <c r="AT37" s="542" t="str">
        <f t="shared" si="47"/>
        <v xml:space="preserve">cukup dalam sikap </v>
      </c>
      <c r="AU37" s="542" t="str">
        <f t="shared" si="48"/>
        <v xml:space="preserve">sudah mampu meningkatkan sikap </v>
      </c>
      <c r="AV37" s="542"/>
      <c r="AW37" s="4" t="str">
        <f t="shared" si="49"/>
        <v/>
      </c>
      <c r="AX37" s="66">
        <f t="shared" si="50"/>
        <v>0</v>
      </c>
      <c r="AY37" s="66">
        <f t="shared" si="51"/>
        <v>0</v>
      </c>
      <c r="AZ37" s="66">
        <f t="shared" si="52"/>
        <v>0</v>
      </c>
      <c r="BA37" s="66">
        <f t="shared" si="53"/>
        <v>0</v>
      </c>
      <c r="BB37" s="4">
        <f t="shared" si="54"/>
        <v>0</v>
      </c>
      <c r="BC37" s="66" t="str">
        <f t="shared" si="55"/>
        <v/>
      </c>
      <c r="BD37" s="66" t="str">
        <f t="shared" si="56"/>
        <v/>
      </c>
      <c r="BE37" s="66" t="str">
        <f t="shared" si="57"/>
        <v/>
      </c>
      <c r="BF37" s="66" t="str">
        <f t="shared" si="58"/>
        <v/>
      </c>
      <c r="BG37" s="4"/>
      <c r="BH37" s="349" t="str">
        <f t="shared" si="59"/>
        <v xml:space="preserve"> </v>
      </c>
      <c r="BI37" s="540" t="str">
        <f t="shared" si="60"/>
        <v xml:space="preserve">, </v>
      </c>
      <c r="BJ37" s="540">
        <f>SISWA!E35</f>
        <v>0</v>
      </c>
      <c r="BK37" s="540" t="str">
        <f t="shared" si="61"/>
        <v/>
      </c>
      <c r="BL37" s="540" t="str">
        <f t="shared" si="62"/>
        <v/>
      </c>
      <c r="BM37" s="540" t="str">
        <f t="shared" si="63"/>
        <v/>
      </c>
      <c r="BN37" s="540"/>
      <c r="BO37" s="4"/>
      <c r="BP37" s="540" t="str">
        <f t="shared" si="64"/>
        <v xml:space="preserve">, </v>
      </c>
      <c r="BQ37" s="540" t="str">
        <f t="shared" si="65"/>
        <v/>
      </c>
      <c r="BR37" s="540" t="str">
        <f t="shared" si="66"/>
        <v/>
      </c>
      <c r="BS37" s="540" t="str">
        <f t="shared" si="67"/>
        <v xml:space="preserve">, </v>
      </c>
      <c r="BT37" s="540" t="str">
        <f t="shared" si="68"/>
        <v xml:space="preserve">, </v>
      </c>
      <c r="BU37" s="540" t="str">
        <f t="shared" si="69"/>
        <v xml:space="preserve">, </v>
      </c>
      <c r="BV37" s="540"/>
      <c r="BW37" s="540"/>
      <c r="BX37" s="542" t="str">
        <f t="shared" si="70"/>
        <v>Sangat baik dalam sikap 000</v>
      </c>
      <c r="BY37" s="542" t="str">
        <f t="shared" si="71"/>
        <v xml:space="preserve"> Baik dalam sikap  , 0</v>
      </c>
      <c r="BZ37" s="542" t="str">
        <f t="shared" si="72"/>
        <v xml:space="preserve">, dengan bimbingan yang lebih mampu meningkatkan sikap , , , , </v>
      </c>
      <c r="CA37" s="4"/>
      <c r="CB37" s="4" t="str">
        <f t="shared" si="73"/>
        <v/>
      </c>
      <c r="CC37" s="4" t="str">
        <f t="shared" si="74"/>
        <v xml:space="preserve"> Baik dalam sikap  , 0</v>
      </c>
      <c r="CD37" s="4" t="str">
        <f t="shared" si="75"/>
        <v/>
      </c>
      <c r="CE37" s="4"/>
      <c r="CF37" s="349" t="str">
        <f t="shared" si="76"/>
        <v xml:space="preserve"> Baik dalam sikap  , 0.</v>
      </c>
    </row>
    <row r="38" spans="1:84" ht="30" customHeight="1">
      <c r="A38" s="223">
        <v>31</v>
      </c>
      <c r="B38" s="224">
        <f>SISWA!$B36</f>
        <v>0</v>
      </c>
      <c r="C38" s="295"/>
      <c r="D38" s="225"/>
      <c r="E38" s="225"/>
      <c r="F38" s="225"/>
      <c r="G38" s="225"/>
      <c r="H38" s="225"/>
      <c r="I38" s="294" t="str">
        <f t="shared" si="20"/>
        <v xml:space="preserve"> </v>
      </c>
      <c r="K38" s="4"/>
      <c r="L38" s="540" t="str">
        <f t="shared" si="21"/>
        <v/>
      </c>
      <c r="M38" s="540" t="str">
        <f t="shared" si="22"/>
        <v/>
      </c>
      <c r="N38" s="540" t="str">
        <f t="shared" si="23"/>
        <v/>
      </c>
      <c r="O38" s="540" t="str">
        <f t="shared" si="24"/>
        <v/>
      </c>
      <c r="P38" s="540" t="str">
        <f t="shared" si="25"/>
        <v/>
      </c>
      <c r="Q38" s="540" t="str">
        <f t="shared" si="26"/>
        <v/>
      </c>
      <c r="R38" s="540"/>
      <c r="S38" s="4"/>
      <c r="T38" s="540" t="str">
        <f t="shared" si="27"/>
        <v/>
      </c>
      <c r="U38" s="540" t="str">
        <f t="shared" si="28"/>
        <v/>
      </c>
      <c r="V38" s="540" t="str">
        <f t="shared" si="29"/>
        <v/>
      </c>
      <c r="W38" s="540" t="str">
        <f t="shared" si="30"/>
        <v/>
      </c>
      <c r="X38" s="540" t="str">
        <f t="shared" si="31"/>
        <v/>
      </c>
      <c r="Y38" s="540" t="str">
        <f t="shared" si="32"/>
        <v/>
      </c>
      <c r="Z38" s="540"/>
      <c r="AA38" s="653"/>
      <c r="AB38" s="540" t="str">
        <f t="shared" si="33"/>
        <v/>
      </c>
      <c r="AC38" s="540" t="str">
        <f t="shared" si="34"/>
        <v/>
      </c>
      <c r="AD38" s="540" t="str">
        <f t="shared" si="35"/>
        <v/>
      </c>
      <c r="AE38" s="540" t="str">
        <f t="shared" si="36"/>
        <v/>
      </c>
      <c r="AF38" s="540" t="str">
        <f t="shared" si="37"/>
        <v/>
      </c>
      <c r="AG38" s="540" t="str">
        <f t="shared" si="38"/>
        <v/>
      </c>
      <c r="AH38" s="540"/>
      <c r="AI38" s="4"/>
      <c r="AJ38" s="540" t="str">
        <f t="shared" si="39"/>
        <v/>
      </c>
      <c r="AK38" s="540" t="str">
        <f t="shared" si="40"/>
        <v/>
      </c>
      <c r="AL38" s="540" t="str">
        <f t="shared" si="41"/>
        <v/>
      </c>
      <c r="AM38" s="540" t="str">
        <f t="shared" si="42"/>
        <v/>
      </c>
      <c r="AN38" s="540" t="str">
        <f t="shared" si="43"/>
        <v/>
      </c>
      <c r="AO38" s="540" t="str">
        <f t="shared" si="44"/>
        <v/>
      </c>
      <c r="AP38" s="540"/>
      <c r="AQ38" s="541"/>
      <c r="AR38" s="542" t="str">
        <f t="shared" si="45"/>
        <v xml:space="preserve">sangat  </v>
      </c>
      <c r="AS38" s="542" t="str">
        <f t="shared" si="46"/>
        <v xml:space="preserve">baik dalam sikap </v>
      </c>
      <c r="AT38" s="542" t="str">
        <f t="shared" si="47"/>
        <v xml:space="preserve">cukup dalam sikap </v>
      </c>
      <c r="AU38" s="542" t="str">
        <f t="shared" si="48"/>
        <v xml:space="preserve">sudah mampu meningkatkan sikap </v>
      </c>
      <c r="AV38" s="542"/>
      <c r="AW38" s="4" t="str">
        <f t="shared" si="49"/>
        <v/>
      </c>
      <c r="AX38" s="66">
        <f t="shared" si="50"/>
        <v>0</v>
      </c>
      <c r="AY38" s="66">
        <f t="shared" si="51"/>
        <v>0</v>
      </c>
      <c r="AZ38" s="66">
        <f t="shared" si="52"/>
        <v>0</v>
      </c>
      <c r="BA38" s="66">
        <f t="shared" si="53"/>
        <v>0</v>
      </c>
      <c r="BB38" s="4">
        <f t="shared" si="54"/>
        <v>0</v>
      </c>
      <c r="BC38" s="66" t="str">
        <f t="shared" si="55"/>
        <v/>
      </c>
      <c r="BD38" s="66" t="str">
        <f t="shared" si="56"/>
        <v/>
      </c>
      <c r="BE38" s="66" t="str">
        <f t="shared" si="57"/>
        <v/>
      </c>
      <c r="BF38" s="66" t="str">
        <f t="shared" si="58"/>
        <v/>
      </c>
      <c r="BG38" s="4"/>
      <c r="BH38" s="349" t="str">
        <f t="shared" si="59"/>
        <v xml:space="preserve"> </v>
      </c>
      <c r="BI38" s="540" t="str">
        <f t="shared" si="60"/>
        <v xml:space="preserve">, </v>
      </c>
      <c r="BJ38" s="540">
        <f>SISWA!E36</f>
        <v>0</v>
      </c>
      <c r="BK38" s="540" t="str">
        <f t="shared" si="61"/>
        <v/>
      </c>
      <c r="BL38" s="540" t="str">
        <f t="shared" si="62"/>
        <v/>
      </c>
      <c r="BM38" s="540" t="str">
        <f t="shared" si="63"/>
        <v/>
      </c>
      <c r="BN38" s="540"/>
      <c r="BO38" s="4"/>
      <c r="BP38" s="540" t="str">
        <f t="shared" si="64"/>
        <v xml:space="preserve">, </v>
      </c>
      <c r="BQ38" s="540" t="str">
        <f t="shared" si="65"/>
        <v/>
      </c>
      <c r="BR38" s="540" t="str">
        <f t="shared" si="66"/>
        <v/>
      </c>
      <c r="BS38" s="540" t="str">
        <f t="shared" si="67"/>
        <v xml:space="preserve">, </v>
      </c>
      <c r="BT38" s="540" t="str">
        <f t="shared" si="68"/>
        <v xml:space="preserve">, </v>
      </c>
      <c r="BU38" s="540" t="str">
        <f t="shared" si="69"/>
        <v xml:space="preserve">, </v>
      </c>
      <c r="BV38" s="540"/>
      <c r="BW38" s="540"/>
      <c r="BX38" s="542" t="str">
        <f t="shared" si="70"/>
        <v>Sangat baik dalam sikap 000</v>
      </c>
      <c r="BY38" s="542" t="str">
        <f t="shared" si="71"/>
        <v xml:space="preserve"> Baik dalam sikap  , 0</v>
      </c>
      <c r="BZ38" s="542" t="str">
        <f t="shared" si="72"/>
        <v xml:space="preserve">, dengan bimbingan yang lebih mampu meningkatkan sikap , , , , </v>
      </c>
      <c r="CA38" s="4"/>
      <c r="CB38" s="4" t="str">
        <f t="shared" si="73"/>
        <v/>
      </c>
      <c r="CC38" s="4" t="str">
        <f t="shared" si="74"/>
        <v xml:space="preserve"> Baik dalam sikap  , 0</v>
      </c>
      <c r="CD38" s="4" t="str">
        <f t="shared" si="75"/>
        <v/>
      </c>
      <c r="CE38" s="4"/>
      <c r="CF38" s="349" t="str">
        <f t="shared" si="76"/>
        <v xml:space="preserve"> Baik dalam sikap  , 0.</v>
      </c>
    </row>
    <row r="39" spans="1:84" ht="30" customHeight="1">
      <c r="A39" s="223">
        <v>32</v>
      </c>
      <c r="B39" s="224">
        <f>SISWA!$B37</f>
        <v>0</v>
      </c>
      <c r="C39" s="295"/>
      <c r="D39" s="225"/>
      <c r="E39" s="225"/>
      <c r="F39" s="225"/>
      <c r="G39" s="225"/>
      <c r="H39" s="225"/>
      <c r="I39" s="294" t="str">
        <f t="shared" si="20"/>
        <v xml:space="preserve"> </v>
      </c>
      <c r="K39" s="4"/>
      <c r="L39" s="540" t="str">
        <f t="shared" si="21"/>
        <v/>
      </c>
      <c r="M39" s="540" t="str">
        <f t="shared" si="22"/>
        <v/>
      </c>
      <c r="N39" s="540" t="str">
        <f t="shared" si="23"/>
        <v/>
      </c>
      <c r="O39" s="540" t="str">
        <f t="shared" si="24"/>
        <v/>
      </c>
      <c r="P39" s="540" t="str">
        <f t="shared" si="25"/>
        <v/>
      </c>
      <c r="Q39" s="540" t="str">
        <f t="shared" si="26"/>
        <v/>
      </c>
      <c r="R39" s="540"/>
      <c r="S39" s="4"/>
      <c r="T39" s="540" t="str">
        <f t="shared" si="27"/>
        <v/>
      </c>
      <c r="U39" s="540" t="str">
        <f t="shared" si="28"/>
        <v/>
      </c>
      <c r="V39" s="540" t="str">
        <f t="shared" si="29"/>
        <v/>
      </c>
      <c r="W39" s="540" t="str">
        <f t="shared" si="30"/>
        <v/>
      </c>
      <c r="X39" s="540" t="str">
        <f t="shared" si="31"/>
        <v/>
      </c>
      <c r="Y39" s="540" t="str">
        <f t="shared" si="32"/>
        <v/>
      </c>
      <c r="Z39" s="540"/>
      <c r="AA39" s="653"/>
      <c r="AB39" s="540" t="str">
        <f t="shared" si="33"/>
        <v/>
      </c>
      <c r="AC39" s="540" t="str">
        <f t="shared" si="34"/>
        <v/>
      </c>
      <c r="AD39" s="540" t="str">
        <f t="shared" si="35"/>
        <v/>
      </c>
      <c r="AE39" s="540" t="str">
        <f t="shared" si="36"/>
        <v/>
      </c>
      <c r="AF39" s="540" t="str">
        <f t="shared" si="37"/>
        <v/>
      </c>
      <c r="AG39" s="540" t="str">
        <f t="shared" si="38"/>
        <v/>
      </c>
      <c r="AH39" s="540"/>
      <c r="AI39" s="4"/>
      <c r="AJ39" s="540" t="str">
        <f t="shared" si="39"/>
        <v/>
      </c>
      <c r="AK39" s="540" t="str">
        <f t="shared" si="40"/>
        <v/>
      </c>
      <c r="AL39" s="540" t="str">
        <f t="shared" si="41"/>
        <v/>
      </c>
      <c r="AM39" s="540" t="str">
        <f t="shared" si="42"/>
        <v/>
      </c>
      <c r="AN39" s="540" t="str">
        <f t="shared" si="43"/>
        <v/>
      </c>
      <c r="AO39" s="540" t="str">
        <f t="shared" si="44"/>
        <v/>
      </c>
      <c r="AP39" s="540"/>
      <c r="AQ39" s="541"/>
      <c r="AR39" s="542" t="str">
        <f t="shared" si="45"/>
        <v xml:space="preserve">sangat  </v>
      </c>
      <c r="AS39" s="542" t="str">
        <f t="shared" si="46"/>
        <v xml:space="preserve">baik dalam sikap </v>
      </c>
      <c r="AT39" s="542" t="str">
        <f t="shared" si="47"/>
        <v xml:space="preserve">cukup dalam sikap </v>
      </c>
      <c r="AU39" s="542" t="str">
        <f t="shared" si="48"/>
        <v xml:space="preserve">sudah mampu meningkatkan sikap </v>
      </c>
      <c r="AV39" s="542"/>
      <c r="AW39" s="4" t="str">
        <f t="shared" si="49"/>
        <v/>
      </c>
      <c r="AX39" s="66">
        <f t="shared" si="50"/>
        <v>0</v>
      </c>
      <c r="AY39" s="66">
        <f t="shared" si="51"/>
        <v>0</v>
      </c>
      <c r="AZ39" s="66">
        <f t="shared" si="52"/>
        <v>0</v>
      </c>
      <c r="BA39" s="66">
        <f t="shared" si="53"/>
        <v>0</v>
      </c>
      <c r="BB39" s="4">
        <f t="shared" si="54"/>
        <v>0</v>
      </c>
      <c r="BC39" s="66" t="str">
        <f t="shared" si="55"/>
        <v/>
      </c>
      <c r="BD39" s="66" t="str">
        <f t="shared" si="56"/>
        <v/>
      </c>
      <c r="BE39" s="66" t="str">
        <f t="shared" si="57"/>
        <v/>
      </c>
      <c r="BF39" s="66" t="str">
        <f t="shared" si="58"/>
        <v/>
      </c>
      <c r="BG39" s="4"/>
      <c r="BH39" s="349" t="str">
        <f t="shared" si="59"/>
        <v xml:space="preserve"> </v>
      </c>
      <c r="BI39" s="540" t="str">
        <f t="shared" si="60"/>
        <v xml:space="preserve">, </v>
      </c>
      <c r="BJ39" s="540">
        <f>SISWA!E37</f>
        <v>0</v>
      </c>
      <c r="BK39" s="540" t="str">
        <f t="shared" si="61"/>
        <v/>
      </c>
      <c r="BL39" s="540" t="str">
        <f t="shared" si="62"/>
        <v/>
      </c>
      <c r="BM39" s="540" t="str">
        <f t="shared" si="63"/>
        <v/>
      </c>
      <c r="BN39" s="540"/>
      <c r="BO39" s="4"/>
      <c r="BP39" s="540" t="str">
        <f t="shared" si="64"/>
        <v xml:space="preserve">, </v>
      </c>
      <c r="BQ39" s="540" t="str">
        <f t="shared" si="65"/>
        <v/>
      </c>
      <c r="BR39" s="540" t="str">
        <f t="shared" si="66"/>
        <v/>
      </c>
      <c r="BS39" s="540" t="str">
        <f t="shared" si="67"/>
        <v xml:space="preserve">, </v>
      </c>
      <c r="BT39" s="540" t="str">
        <f t="shared" si="68"/>
        <v xml:space="preserve">, </v>
      </c>
      <c r="BU39" s="540" t="str">
        <f t="shared" si="69"/>
        <v xml:space="preserve">, </v>
      </c>
      <c r="BV39" s="540"/>
      <c r="BW39" s="540"/>
      <c r="BX39" s="542" t="str">
        <f t="shared" si="70"/>
        <v>Sangat baik dalam sikap 000</v>
      </c>
      <c r="BY39" s="542" t="str">
        <f t="shared" si="71"/>
        <v xml:space="preserve"> Baik dalam sikap  , 0</v>
      </c>
      <c r="BZ39" s="542" t="str">
        <f t="shared" si="72"/>
        <v xml:space="preserve">, dengan bimbingan yang lebih mampu meningkatkan sikap , , , , </v>
      </c>
      <c r="CA39" s="4"/>
      <c r="CB39" s="4" t="str">
        <f t="shared" si="73"/>
        <v/>
      </c>
      <c r="CC39" s="4" t="str">
        <f t="shared" si="74"/>
        <v xml:space="preserve"> Baik dalam sikap  , 0</v>
      </c>
      <c r="CD39" s="4" t="str">
        <f t="shared" si="75"/>
        <v/>
      </c>
      <c r="CE39" s="4"/>
      <c r="CF39" s="349" t="str">
        <f t="shared" si="76"/>
        <v xml:space="preserve"> Baik dalam sikap  , 0.</v>
      </c>
    </row>
    <row r="40" spans="1:84" ht="30" customHeight="1">
      <c r="A40" s="223">
        <v>33</v>
      </c>
      <c r="B40" s="224">
        <f>SISWA!$B38</f>
        <v>0</v>
      </c>
      <c r="C40" s="295"/>
      <c r="D40" s="225"/>
      <c r="E40" s="225"/>
      <c r="F40" s="225"/>
      <c r="G40" s="225"/>
      <c r="H40" s="225"/>
      <c r="I40" s="294" t="str">
        <f t="shared" si="20"/>
        <v xml:space="preserve"> </v>
      </c>
      <c r="K40" s="4"/>
      <c r="L40" s="540" t="str">
        <f t="shared" si="21"/>
        <v/>
      </c>
      <c r="M40" s="540" t="str">
        <f t="shared" si="22"/>
        <v/>
      </c>
      <c r="N40" s="540" t="str">
        <f t="shared" si="23"/>
        <v/>
      </c>
      <c r="O40" s="540" t="str">
        <f t="shared" si="24"/>
        <v/>
      </c>
      <c r="P40" s="540" t="str">
        <f t="shared" si="25"/>
        <v/>
      </c>
      <c r="Q40" s="540" t="str">
        <f t="shared" si="26"/>
        <v/>
      </c>
      <c r="R40" s="540"/>
      <c r="S40" s="4"/>
      <c r="T40" s="540" t="str">
        <f t="shared" si="27"/>
        <v/>
      </c>
      <c r="U40" s="540" t="str">
        <f t="shared" si="28"/>
        <v/>
      </c>
      <c r="V40" s="540" t="str">
        <f t="shared" si="29"/>
        <v/>
      </c>
      <c r="W40" s="540" t="str">
        <f t="shared" si="30"/>
        <v/>
      </c>
      <c r="X40" s="540" t="str">
        <f t="shared" si="31"/>
        <v/>
      </c>
      <c r="Y40" s="540" t="str">
        <f t="shared" si="32"/>
        <v/>
      </c>
      <c r="Z40" s="540"/>
      <c r="AA40" s="653"/>
      <c r="AB40" s="540" t="str">
        <f t="shared" si="33"/>
        <v/>
      </c>
      <c r="AC40" s="540" t="str">
        <f t="shared" si="34"/>
        <v/>
      </c>
      <c r="AD40" s="540" t="str">
        <f t="shared" si="35"/>
        <v/>
      </c>
      <c r="AE40" s="540" t="str">
        <f t="shared" si="36"/>
        <v/>
      </c>
      <c r="AF40" s="540" t="str">
        <f t="shared" si="37"/>
        <v/>
      </c>
      <c r="AG40" s="540" t="str">
        <f t="shared" si="38"/>
        <v/>
      </c>
      <c r="AH40" s="540"/>
      <c r="AI40" s="4"/>
      <c r="AJ40" s="540" t="str">
        <f t="shared" si="39"/>
        <v/>
      </c>
      <c r="AK40" s="540" t="str">
        <f t="shared" si="40"/>
        <v/>
      </c>
      <c r="AL40" s="540" t="str">
        <f t="shared" si="41"/>
        <v/>
      </c>
      <c r="AM40" s="540" t="str">
        <f t="shared" si="42"/>
        <v/>
      </c>
      <c r="AN40" s="540" t="str">
        <f t="shared" si="43"/>
        <v/>
      </c>
      <c r="AO40" s="540" t="str">
        <f t="shared" si="44"/>
        <v/>
      </c>
      <c r="AP40" s="540"/>
      <c r="AQ40" s="541"/>
      <c r="AR40" s="542" t="str">
        <f t="shared" si="45"/>
        <v xml:space="preserve">sangat  </v>
      </c>
      <c r="AS40" s="542" t="str">
        <f t="shared" si="46"/>
        <v xml:space="preserve">baik dalam sikap </v>
      </c>
      <c r="AT40" s="542" t="str">
        <f t="shared" si="47"/>
        <v xml:space="preserve">cukup dalam sikap </v>
      </c>
      <c r="AU40" s="542" t="str">
        <f t="shared" si="48"/>
        <v xml:space="preserve">sudah mampu meningkatkan sikap </v>
      </c>
      <c r="AV40" s="542"/>
      <c r="AW40" s="4" t="str">
        <f t="shared" si="49"/>
        <v/>
      </c>
      <c r="AX40" s="66">
        <f t="shared" si="50"/>
        <v>0</v>
      </c>
      <c r="AY40" s="66">
        <f t="shared" si="51"/>
        <v>0</v>
      </c>
      <c r="AZ40" s="66">
        <f t="shared" si="52"/>
        <v>0</v>
      </c>
      <c r="BA40" s="66">
        <f t="shared" si="53"/>
        <v>0</v>
      </c>
      <c r="BB40" s="4">
        <f t="shared" si="54"/>
        <v>0</v>
      </c>
      <c r="BC40" s="66" t="str">
        <f t="shared" si="55"/>
        <v/>
      </c>
      <c r="BD40" s="66" t="str">
        <f t="shared" si="56"/>
        <v/>
      </c>
      <c r="BE40" s="66" t="str">
        <f t="shared" si="57"/>
        <v/>
      </c>
      <c r="BF40" s="66" t="str">
        <f t="shared" si="58"/>
        <v/>
      </c>
      <c r="BG40" s="4"/>
      <c r="BH40" s="349" t="str">
        <f t="shared" si="59"/>
        <v xml:space="preserve"> </v>
      </c>
      <c r="BI40" s="540" t="str">
        <f t="shared" si="60"/>
        <v xml:space="preserve">, </v>
      </c>
      <c r="BJ40" s="540">
        <f>SISWA!E38</f>
        <v>0</v>
      </c>
      <c r="BK40" s="540" t="str">
        <f t="shared" si="61"/>
        <v/>
      </c>
      <c r="BL40" s="540" t="str">
        <f t="shared" si="62"/>
        <v/>
      </c>
      <c r="BM40" s="540" t="str">
        <f t="shared" si="63"/>
        <v/>
      </c>
      <c r="BN40" s="540"/>
      <c r="BO40" s="4"/>
      <c r="BP40" s="540" t="str">
        <f t="shared" si="64"/>
        <v xml:space="preserve">, </v>
      </c>
      <c r="BQ40" s="540" t="str">
        <f t="shared" si="65"/>
        <v/>
      </c>
      <c r="BR40" s="540" t="str">
        <f t="shared" si="66"/>
        <v/>
      </c>
      <c r="BS40" s="540" t="str">
        <f t="shared" si="67"/>
        <v xml:space="preserve">, </v>
      </c>
      <c r="BT40" s="540" t="str">
        <f t="shared" si="68"/>
        <v xml:space="preserve">, </v>
      </c>
      <c r="BU40" s="540" t="str">
        <f t="shared" si="69"/>
        <v xml:space="preserve">, </v>
      </c>
      <c r="BV40" s="540"/>
      <c r="BW40" s="540"/>
      <c r="BX40" s="542" t="str">
        <f t="shared" si="70"/>
        <v>Sangat baik dalam sikap 000</v>
      </c>
      <c r="BY40" s="542" t="str">
        <f t="shared" si="71"/>
        <v xml:space="preserve"> Baik dalam sikap  , 0</v>
      </c>
      <c r="BZ40" s="542" t="str">
        <f t="shared" si="72"/>
        <v xml:space="preserve">, dengan bimbingan yang lebih mampu meningkatkan sikap , , , , </v>
      </c>
      <c r="CA40" s="4"/>
      <c r="CB40" s="4" t="str">
        <f t="shared" si="73"/>
        <v/>
      </c>
      <c r="CC40" s="4" t="str">
        <f t="shared" si="74"/>
        <v xml:space="preserve"> Baik dalam sikap  , 0</v>
      </c>
      <c r="CD40" s="4" t="str">
        <f t="shared" si="75"/>
        <v/>
      </c>
      <c r="CE40" s="4"/>
      <c r="CF40" s="349" t="str">
        <f t="shared" si="76"/>
        <v xml:space="preserve"> Baik dalam sikap  , 0.</v>
      </c>
    </row>
    <row r="41" spans="1:84" ht="30" customHeight="1">
      <c r="A41" s="223">
        <v>34</v>
      </c>
      <c r="B41" s="224">
        <f>SISWA!$B39</f>
        <v>0</v>
      </c>
      <c r="C41" s="295"/>
      <c r="D41" s="225"/>
      <c r="E41" s="225"/>
      <c r="F41" s="225"/>
      <c r="G41" s="225"/>
      <c r="H41" s="225"/>
      <c r="I41" s="294" t="str">
        <f t="shared" si="20"/>
        <v xml:space="preserve"> </v>
      </c>
      <c r="K41" s="4"/>
      <c r="L41" s="540" t="str">
        <f t="shared" si="21"/>
        <v/>
      </c>
      <c r="M41" s="540" t="str">
        <f t="shared" si="22"/>
        <v/>
      </c>
      <c r="N41" s="540" t="str">
        <f t="shared" si="23"/>
        <v/>
      </c>
      <c r="O41" s="540" t="str">
        <f t="shared" si="24"/>
        <v/>
      </c>
      <c r="P41" s="540" t="str">
        <f t="shared" si="25"/>
        <v/>
      </c>
      <c r="Q41" s="540" t="str">
        <f t="shared" si="26"/>
        <v/>
      </c>
      <c r="R41" s="540"/>
      <c r="S41" s="4"/>
      <c r="T41" s="540" t="str">
        <f t="shared" si="27"/>
        <v/>
      </c>
      <c r="U41" s="540" t="str">
        <f t="shared" si="28"/>
        <v/>
      </c>
      <c r="V41" s="540" t="str">
        <f t="shared" si="29"/>
        <v/>
      </c>
      <c r="W41" s="540" t="str">
        <f t="shared" si="30"/>
        <v/>
      </c>
      <c r="X41" s="540" t="str">
        <f t="shared" si="31"/>
        <v/>
      </c>
      <c r="Y41" s="540" t="str">
        <f t="shared" si="32"/>
        <v/>
      </c>
      <c r="Z41" s="540"/>
      <c r="AA41" s="653"/>
      <c r="AB41" s="540" t="str">
        <f t="shared" si="33"/>
        <v/>
      </c>
      <c r="AC41" s="540" t="str">
        <f t="shared" si="34"/>
        <v/>
      </c>
      <c r="AD41" s="540" t="str">
        <f t="shared" si="35"/>
        <v/>
      </c>
      <c r="AE41" s="540" t="str">
        <f t="shared" si="36"/>
        <v/>
      </c>
      <c r="AF41" s="540" t="str">
        <f t="shared" si="37"/>
        <v/>
      </c>
      <c r="AG41" s="540" t="str">
        <f t="shared" si="38"/>
        <v/>
      </c>
      <c r="AH41" s="540"/>
      <c r="AI41" s="4"/>
      <c r="AJ41" s="540" t="str">
        <f t="shared" si="39"/>
        <v/>
      </c>
      <c r="AK41" s="540" t="str">
        <f t="shared" si="40"/>
        <v/>
      </c>
      <c r="AL41" s="540" t="str">
        <f t="shared" si="41"/>
        <v/>
      </c>
      <c r="AM41" s="540" t="str">
        <f t="shared" si="42"/>
        <v/>
      </c>
      <c r="AN41" s="540" t="str">
        <f t="shared" si="43"/>
        <v/>
      </c>
      <c r="AO41" s="540" t="str">
        <f t="shared" si="44"/>
        <v/>
      </c>
      <c r="AP41" s="540"/>
      <c r="AQ41" s="541"/>
      <c r="AR41" s="542" t="str">
        <f t="shared" si="45"/>
        <v xml:space="preserve">sangat  </v>
      </c>
      <c r="AS41" s="542" t="str">
        <f t="shared" si="46"/>
        <v xml:space="preserve">baik dalam sikap </v>
      </c>
      <c r="AT41" s="542" t="str">
        <f t="shared" si="47"/>
        <v xml:space="preserve">cukup dalam sikap </v>
      </c>
      <c r="AU41" s="542" t="str">
        <f t="shared" si="48"/>
        <v xml:space="preserve">sudah mampu meningkatkan sikap </v>
      </c>
      <c r="AV41" s="542"/>
      <c r="AW41" s="4" t="str">
        <f t="shared" si="49"/>
        <v/>
      </c>
      <c r="AX41" s="66">
        <f t="shared" si="50"/>
        <v>0</v>
      </c>
      <c r="AY41" s="66">
        <f t="shared" si="51"/>
        <v>0</v>
      </c>
      <c r="AZ41" s="66">
        <f t="shared" si="52"/>
        <v>0</v>
      </c>
      <c r="BA41" s="66">
        <f t="shared" si="53"/>
        <v>0</v>
      </c>
      <c r="BB41" s="4">
        <f t="shared" si="54"/>
        <v>0</v>
      </c>
      <c r="BC41" s="66" t="str">
        <f t="shared" si="55"/>
        <v/>
      </c>
      <c r="BD41" s="66" t="str">
        <f t="shared" si="56"/>
        <v/>
      </c>
      <c r="BE41" s="66" t="str">
        <f t="shared" si="57"/>
        <v/>
      </c>
      <c r="BF41" s="66" t="str">
        <f t="shared" si="58"/>
        <v/>
      </c>
      <c r="BG41" s="4"/>
      <c r="BH41" s="349" t="str">
        <f t="shared" si="59"/>
        <v xml:space="preserve"> </v>
      </c>
      <c r="BI41" s="540" t="str">
        <f t="shared" si="60"/>
        <v xml:space="preserve">, </v>
      </c>
      <c r="BJ41" s="540">
        <f>SISWA!E39</f>
        <v>0</v>
      </c>
      <c r="BK41" s="540" t="str">
        <f t="shared" si="61"/>
        <v/>
      </c>
      <c r="BL41" s="540" t="str">
        <f t="shared" si="62"/>
        <v/>
      </c>
      <c r="BM41" s="540" t="str">
        <f t="shared" si="63"/>
        <v/>
      </c>
      <c r="BN41" s="540"/>
      <c r="BO41" s="4"/>
      <c r="BP41" s="540" t="str">
        <f t="shared" si="64"/>
        <v xml:space="preserve">, </v>
      </c>
      <c r="BQ41" s="540" t="str">
        <f t="shared" si="65"/>
        <v/>
      </c>
      <c r="BR41" s="540" t="str">
        <f t="shared" si="66"/>
        <v/>
      </c>
      <c r="BS41" s="540" t="str">
        <f t="shared" si="67"/>
        <v xml:space="preserve">, </v>
      </c>
      <c r="BT41" s="540" t="str">
        <f t="shared" si="68"/>
        <v xml:space="preserve">, </v>
      </c>
      <c r="BU41" s="540" t="str">
        <f t="shared" si="69"/>
        <v xml:space="preserve">, </v>
      </c>
      <c r="BV41" s="540"/>
      <c r="BW41" s="540"/>
      <c r="BX41" s="542" t="str">
        <f t="shared" si="70"/>
        <v>Sangat baik dalam sikap 000</v>
      </c>
      <c r="BY41" s="542" t="str">
        <f t="shared" si="71"/>
        <v xml:space="preserve"> Baik dalam sikap  , 0</v>
      </c>
      <c r="BZ41" s="542" t="str">
        <f t="shared" si="72"/>
        <v xml:space="preserve">, dengan bimbingan yang lebih mampu meningkatkan sikap , , , , </v>
      </c>
      <c r="CA41" s="4"/>
      <c r="CB41" s="4" t="str">
        <f t="shared" si="73"/>
        <v/>
      </c>
      <c r="CC41" s="4" t="str">
        <f t="shared" si="74"/>
        <v xml:space="preserve"> Baik dalam sikap  , 0</v>
      </c>
      <c r="CD41" s="4" t="str">
        <f t="shared" si="75"/>
        <v/>
      </c>
      <c r="CE41" s="4"/>
      <c r="CF41" s="349" t="str">
        <f t="shared" si="76"/>
        <v xml:space="preserve"> Baik dalam sikap  , 0.</v>
      </c>
    </row>
    <row r="42" spans="1:84" ht="30" customHeight="1">
      <c r="A42" s="223">
        <v>35</v>
      </c>
      <c r="B42" s="224">
        <f>SISWA!$B40</f>
        <v>0</v>
      </c>
      <c r="C42" s="295"/>
      <c r="D42" s="225"/>
      <c r="E42" s="225"/>
      <c r="F42" s="225"/>
      <c r="G42" s="225"/>
      <c r="H42" s="225"/>
      <c r="I42" s="294" t="str">
        <f t="shared" si="20"/>
        <v xml:space="preserve"> </v>
      </c>
      <c r="K42" s="4"/>
      <c r="L42" s="540" t="str">
        <f t="shared" si="21"/>
        <v/>
      </c>
      <c r="M42" s="540" t="str">
        <f t="shared" si="22"/>
        <v/>
      </c>
      <c r="N42" s="540" t="str">
        <f t="shared" si="23"/>
        <v/>
      </c>
      <c r="O42" s="540" t="str">
        <f t="shared" si="24"/>
        <v/>
      </c>
      <c r="P42" s="540" t="str">
        <f t="shared" si="25"/>
        <v/>
      </c>
      <c r="Q42" s="540" t="str">
        <f t="shared" si="26"/>
        <v/>
      </c>
      <c r="R42" s="540"/>
      <c r="S42" s="4"/>
      <c r="T42" s="540" t="str">
        <f t="shared" si="27"/>
        <v/>
      </c>
      <c r="U42" s="540" t="str">
        <f t="shared" si="28"/>
        <v/>
      </c>
      <c r="V42" s="540" t="str">
        <f t="shared" si="29"/>
        <v/>
      </c>
      <c r="W42" s="540" t="str">
        <f t="shared" si="30"/>
        <v/>
      </c>
      <c r="X42" s="540" t="str">
        <f t="shared" si="31"/>
        <v/>
      </c>
      <c r="Y42" s="540" t="str">
        <f t="shared" si="32"/>
        <v/>
      </c>
      <c r="Z42" s="540"/>
      <c r="AA42" s="653"/>
      <c r="AB42" s="540" t="str">
        <f t="shared" si="33"/>
        <v/>
      </c>
      <c r="AC42" s="540" t="str">
        <f t="shared" si="34"/>
        <v/>
      </c>
      <c r="AD42" s="540" t="str">
        <f t="shared" si="35"/>
        <v/>
      </c>
      <c r="AE42" s="540" t="str">
        <f t="shared" si="36"/>
        <v/>
      </c>
      <c r="AF42" s="540" t="str">
        <f t="shared" si="37"/>
        <v/>
      </c>
      <c r="AG42" s="540" t="str">
        <f t="shared" si="38"/>
        <v/>
      </c>
      <c r="AH42" s="540"/>
      <c r="AI42" s="4"/>
      <c r="AJ42" s="540" t="str">
        <f t="shared" si="39"/>
        <v/>
      </c>
      <c r="AK42" s="540" t="str">
        <f t="shared" si="40"/>
        <v/>
      </c>
      <c r="AL42" s="540" t="str">
        <f t="shared" si="41"/>
        <v/>
      </c>
      <c r="AM42" s="540" t="str">
        <f t="shared" si="42"/>
        <v/>
      </c>
      <c r="AN42" s="540" t="str">
        <f t="shared" si="43"/>
        <v/>
      </c>
      <c r="AO42" s="540" t="str">
        <f t="shared" si="44"/>
        <v/>
      </c>
      <c r="AP42" s="540"/>
      <c r="AQ42" s="541"/>
      <c r="AR42" s="542" t="str">
        <f t="shared" si="45"/>
        <v xml:space="preserve">sangat  </v>
      </c>
      <c r="AS42" s="542" t="str">
        <f t="shared" si="46"/>
        <v xml:space="preserve">baik dalam sikap </v>
      </c>
      <c r="AT42" s="542" t="str">
        <f t="shared" si="47"/>
        <v xml:space="preserve">cukup dalam sikap </v>
      </c>
      <c r="AU42" s="542" t="str">
        <f t="shared" si="48"/>
        <v xml:space="preserve">sudah mampu meningkatkan sikap </v>
      </c>
      <c r="AV42" s="542"/>
      <c r="AW42" s="4" t="str">
        <f t="shared" si="49"/>
        <v/>
      </c>
      <c r="AX42" s="66">
        <f t="shared" si="50"/>
        <v>0</v>
      </c>
      <c r="AY42" s="66">
        <f t="shared" si="51"/>
        <v>0</v>
      </c>
      <c r="AZ42" s="66">
        <f t="shared" si="52"/>
        <v>0</v>
      </c>
      <c r="BA42" s="66">
        <f t="shared" si="53"/>
        <v>0</v>
      </c>
      <c r="BB42" s="4">
        <f t="shared" si="54"/>
        <v>0</v>
      </c>
      <c r="BC42" s="66" t="str">
        <f t="shared" si="55"/>
        <v/>
      </c>
      <c r="BD42" s="66" t="str">
        <f t="shared" si="56"/>
        <v/>
      </c>
      <c r="BE42" s="66" t="str">
        <f t="shared" si="57"/>
        <v/>
      </c>
      <c r="BF42" s="66" t="str">
        <f t="shared" si="58"/>
        <v/>
      </c>
      <c r="BG42" s="4"/>
      <c r="BH42" s="349" t="str">
        <f t="shared" si="59"/>
        <v xml:space="preserve"> </v>
      </c>
      <c r="BI42" s="540" t="str">
        <f t="shared" si="60"/>
        <v xml:space="preserve">, </v>
      </c>
      <c r="BJ42" s="540">
        <f>SISWA!E40</f>
        <v>0</v>
      </c>
      <c r="BK42" s="540" t="str">
        <f t="shared" si="61"/>
        <v/>
      </c>
      <c r="BL42" s="540" t="str">
        <f t="shared" si="62"/>
        <v/>
      </c>
      <c r="BM42" s="540" t="str">
        <f t="shared" si="63"/>
        <v/>
      </c>
      <c r="BN42" s="540"/>
      <c r="BO42" s="4"/>
      <c r="BP42" s="540" t="str">
        <f t="shared" si="64"/>
        <v xml:space="preserve">, </v>
      </c>
      <c r="BQ42" s="540" t="str">
        <f t="shared" si="65"/>
        <v/>
      </c>
      <c r="BR42" s="540" t="str">
        <f t="shared" si="66"/>
        <v/>
      </c>
      <c r="BS42" s="540" t="str">
        <f t="shared" si="67"/>
        <v xml:space="preserve">, </v>
      </c>
      <c r="BT42" s="540" t="str">
        <f t="shared" si="68"/>
        <v xml:space="preserve">, </v>
      </c>
      <c r="BU42" s="540" t="str">
        <f t="shared" si="69"/>
        <v xml:space="preserve">, </v>
      </c>
      <c r="BV42" s="540"/>
      <c r="BW42" s="540"/>
      <c r="BX42" s="542" t="str">
        <f t="shared" si="70"/>
        <v>Sangat baik dalam sikap 000</v>
      </c>
      <c r="BY42" s="542" t="str">
        <f t="shared" si="71"/>
        <v xml:space="preserve"> Baik dalam sikap  , 0</v>
      </c>
      <c r="BZ42" s="542" t="str">
        <f t="shared" si="72"/>
        <v xml:space="preserve">, dengan bimbingan yang lebih mampu meningkatkan sikap , , , , </v>
      </c>
      <c r="CA42" s="4"/>
      <c r="CB42" s="4" t="str">
        <f t="shared" si="73"/>
        <v/>
      </c>
      <c r="CC42" s="4" t="str">
        <f t="shared" si="74"/>
        <v xml:space="preserve"> Baik dalam sikap  , 0</v>
      </c>
      <c r="CD42" s="4" t="str">
        <f t="shared" si="75"/>
        <v/>
      </c>
      <c r="CE42" s="4"/>
      <c r="CF42" s="349" t="str">
        <f t="shared" si="76"/>
        <v xml:space="preserve"> Baik dalam sikap  , 0.</v>
      </c>
    </row>
    <row r="43" spans="1:84"/>
    <row r="44" spans="1:84"/>
    <row r="45" spans="1:84"/>
    <row r="46" spans="1:84"/>
    <row r="47" spans="1:84"/>
    <row r="48" spans="1:84"/>
    <row r="49"/>
  </sheetData>
  <sheetProtection password="CA9C" sheet="1" objects="1" scenarios="1" formatCells="0" formatRows="0"/>
  <mergeCells count="4">
    <mergeCell ref="A5:A7"/>
    <mergeCell ref="B5:B7"/>
    <mergeCell ref="C5:F5"/>
    <mergeCell ref="I5:I7"/>
  </mergeCells>
  <pageMargins left="0.7" right="0.7" top="0.75" bottom="0.75" header="0.3" footer="0.3"/>
  <pageSetup paperSize="5" orientation="landscape" horizontalDpi="4294967294" verticalDpi="4294967294"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0000"/>
  </sheetPr>
  <dimension ref="A1:AL55"/>
  <sheetViews>
    <sheetView showRowColHeaders="0" showZeros="0" view="pageBreakPreview" zoomScaleSheetLayoutView="100" workbookViewId="0">
      <pane ySplit="4" topLeftCell="A5" activePane="bottomLeft" state="frozen"/>
      <selection pane="bottomLeft" activeCell="Q5" sqref="Q5"/>
    </sheetView>
  </sheetViews>
  <sheetFormatPr defaultColWidth="0" defaultRowHeight="15" zeroHeight="1"/>
  <cols>
    <col min="1" max="1" width="3.85546875" customWidth="1"/>
    <col min="2" max="2" width="22.140625" customWidth="1"/>
    <col min="3" max="32" width="3.7109375" customWidth="1"/>
    <col min="33" max="33" width="4.7109375" customWidth="1"/>
    <col min="34" max="34" width="5.140625" customWidth="1"/>
    <col min="35" max="35" width="5" customWidth="1"/>
    <col min="36" max="36" width="9.140625" customWidth="1"/>
    <col min="37" max="37" width="23" customWidth="1"/>
    <col min="38" max="38" width="9.140625" customWidth="1"/>
    <col min="39" max="16384" width="9.140625" hidden="1"/>
  </cols>
  <sheetData>
    <row r="1" spans="1:35">
      <c r="B1" s="894" t="s">
        <v>377</v>
      </c>
      <c r="C1" s="894"/>
      <c r="D1" s="894"/>
      <c r="E1" s="894"/>
      <c r="F1" s="894"/>
      <c r="G1" s="894"/>
      <c r="H1" s="894"/>
      <c r="I1" s="894"/>
      <c r="J1" s="894"/>
      <c r="K1" s="894"/>
      <c r="L1" s="894"/>
      <c r="M1" s="894"/>
      <c r="N1" s="894"/>
      <c r="O1" s="894"/>
      <c r="P1" s="894"/>
      <c r="Q1" s="894"/>
      <c r="R1" s="894"/>
      <c r="S1" s="894"/>
      <c r="T1" s="894"/>
      <c r="U1" s="894"/>
      <c r="V1" s="894"/>
      <c r="W1" s="894"/>
      <c r="X1" s="894"/>
      <c r="Y1" s="894"/>
      <c r="Z1" s="894"/>
      <c r="AA1" s="894"/>
      <c r="AB1" s="651"/>
      <c r="AC1" s="22"/>
      <c r="AD1" s="652"/>
      <c r="AE1" s="22"/>
      <c r="AF1" s="652"/>
      <c r="AG1" s="22"/>
      <c r="AH1" s="22"/>
      <c r="AI1" s="22"/>
    </row>
    <row r="2" spans="1:35">
      <c r="B2" s="22" t="s">
        <v>27</v>
      </c>
      <c r="C2" s="147" t="str">
        <f>": "&amp;MENU!N20</f>
        <v>: V ( Lima )</v>
      </c>
      <c r="D2" s="586"/>
      <c r="E2" s="586"/>
      <c r="F2" s="586"/>
      <c r="G2" s="586"/>
      <c r="H2" s="586"/>
      <c r="I2" s="586"/>
      <c r="J2" s="586"/>
      <c r="K2" s="586"/>
      <c r="L2" s="586"/>
      <c r="M2" s="586"/>
      <c r="N2" s="586"/>
      <c r="O2" s="586"/>
      <c r="P2" s="586"/>
      <c r="Q2" s="22"/>
      <c r="R2" s="652"/>
      <c r="S2" s="22"/>
      <c r="T2" s="22" t="s">
        <v>157</v>
      </c>
      <c r="U2" s="22"/>
      <c r="V2" s="147" t="str">
        <f>": "&amp;MENU!M7</f>
        <v>: SD MUHAMMADIYAH BENDO</v>
      </c>
      <c r="W2" s="352"/>
      <c r="X2" s="652"/>
      <c r="Z2" s="652"/>
      <c r="AB2" s="586"/>
      <c r="AG2" s="22"/>
      <c r="AH2" s="22"/>
      <c r="AI2" s="22"/>
    </row>
    <row r="3" spans="1:35">
      <c r="B3" s="22" t="s">
        <v>158</v>
      </c>
      <c r="C3" s="147" t="str">
        <f>": "&amp;MENU!N21</f>
        <v>: 1 ( satu )</v>
      </c>
      <c r="D3" s="586"/>
      <c r="E3" s="586"/>
      <c r="F3" s="586"/>
      <c r="G3" s="586"/>
      <c r="H3" s="586"/>
      <c r="I3" s="586"/>
      <c r="J3" s="586"/>
      <c r="K3" s="586"/>
      <c r="L3" s="586"/>
      <c r="M3" s="586"/>
      <c r="N3" s="586"/>
      <c r="O3" s="586"/>
      <c r="P3" s="586"/>
      <c r="Q3" s="22"/>
      <c r="R3" s="652"/>
      <c r="S3" s="22"/>
      <c r="T3" s="22" t="s">
        <v>159</v>
      </c>
      <c r="U3" s="22"/>
      <c r="V3" s="147" t="str">
        <f>": "&amp;MENU!N22</f>
        <v>: 2019/2020</v>
      </c>
      <c r="W3" s="352"/>
      <c r="X3" s="652"/>
      <c r="Z3" s="652"/>
      <c r="AB3" s="586"/>
      <c r="AG3" s="22"/>
      <c r="AH3" s="22"/>
      <c r="AI3" s="22"/>
    </row>
    <row r="4" spans="1:35" ht="30" customHeight="1">
      <c r="A4" s="218" t="s">
        <v>9</v>
      </c>
      <c r="B4" s="218" t="s">
        <v>111</v>
      </c>
      <c r="C4" s="925" t="s">
        <v>408</v>
      </c>
      <c r="D4" s="926"/>
      <c r="E4" s="925" t="s">
        <v>409</v>
      </c>
      <c r="F4" s="926"/>
      <c r="G4" s="925" t="s">
        <v>410</v>
      </c>
      <c r="H4" s="926"/>
      <c r="I4" s="925" t="s">
        <v>426</v>
      </c>
      <c r="J4" s="926"/>
      <c r="K4" s="925" t="s">
        <v>411</v>
      </c>
      <c r="L4" s="926"/>
      <c r="M4" s="925" t="s">
        <v>412</v>
      </c>
      <c r="N4" s="926"/>
      <c r="O4" s="925" t="s">
        <v>431</v>
      </c>
      <c r="P4" s="926"/>
      <c r="Q4" s="925" t="s">
        <v>119</v>
      </c>
      <c r="R4" s="926"/>
      <c r="S4" s="925" t="s">
        <v>160</v>
      </c>
      <c r="T4" s="926"/>
      <c r="U4" s="925" t="s">
        <v>161</v>
      </c>
      <c r="V4" s="926"/>
      <c r="W4" s="925" t="s">
        <v>205</v>
      </c>
      <c r="X4" s="926"/>
      <c r="Y4" s="925" t="s">
        <v>206</v>
      </c>
      <c r="Z4" s="926"/>
      <c r="AA4" s="925" t="s">
        <v>122</v>
      </c>
      <c r="AB4" s="926"/>
      <c r="AC4" s="925" t="s">
        <v>123</v>
      </c>
      <c r="AD4" s="926"/>
      <c r="AE4" s="925" t="s">
        <v>162</v>
      </c>
      <c r="AF4" s="926"/>
      <c r="AG4" s="219" t="s">
        <v>163</v>
      </c>
      <c r="AH4" s="219" t="s">
        <v>525</v>
      </c>
      <c r="AI4" s="219"/>
    </row>
    <row r="5" spans="1:35">
      <c r="A5" s="66">
        <v>1</v>
      </c>
      <c r="B5" s="382" t="str">
        <f>SISWA!B6</f>
        <v>Afif Rafiudin</v>
      </c>
      <c r="C5" s="544" t="e">
        <f>#REF!</f>
        <v>#REF!</v>
      </c>
      <c r="D5" s="544" t="e">
        <f>#REF!</f>
        <v>#REF!</v>
      </c>
      <c r="E5" s="544" t="e">
        <f>#REF!</f>
        <v>#REF!</v>
      </c>
      <c r="F5" s="544" t="e">
        <f>#REF!</f>
        <v>#REF!</v>
      </c>
      <c r="G5" s="544" t="e">
        <f>#REF!</f>
        <v>#REF!</v>
      </c>
      <c r="H5" s="544" t="e">
        <f>#REF!</f>
        <v>#REF!</v>
      </c>
      <c r="I5" s="544" t="e">
        <f>#REF!</f>
        <v>#REF!</v>
      </c>
      <c r="J5" s="544" t="e">
        <f>#REF!</f>
        <v>#REF!</v>
      </c>
      <c r="K5" s="544" t="e">
        <f>#REF!</f>
        <v>#REF!</v>
      </c>
      <c r="L5" s="544" t="e">
        <f>#REF!</f>
        <v>#REF!</v>
      </c>
      <c r="M5" s="544" t="e">
        <f>#REF!</f>
        <v>#REF!</v>
      </c>
      <c r="N5" s="544" t="e">
        <f>#REF!</f>
        <v>#REF!</v>
      </c>
      <c r="O5" s="544" t="e">
        <f>#REF!</f>
        <v>#REF!</v>
      </c>
      <c r="P5" s="544" t="e">
        <f>#REF!</f>
        <v>#REF!</v>
      </c>
      <c r="Q5" s="544">
        <f>'P-pkn'!CC8</f>
        <v>83</v>
      </c>
      <c r="R5" s="544" t="str">
        <f>'P-pkn'!CD8</f>
        <v>B</v>
      </c>
      <c r="S5" s="544">
        <f>'P-BI'!DP8</f>
        <v>80</v>
      </c>
      <c r="T5" s="544" t="str">
        <f>'P-BI'!DQ8</f>
        <v>C</v>
      </c>
      <c r="U5" s="544">
        <f>'P MTK'!FP8</f>
        <v>79</v>
      </c>
      <c r="V5" s="544" t="str">
        <f>'P MTK'!FQ8</f>
        <v>C</v>
      </c>
      <c r="W5" s="544">
        <f>'P-IPA'!DP8</f>
        <v>80</v>
      </c>
      <c r="X5" s="544" t="str">
        <f>'P-IPA'!DQ8</f>
        <v>C</v>
      </c>
      <c r="Y5" s="544">
        <f>'P-IPS'!DP8</f>
        <v>78</v>
      </c>
      <c r="Z5" s="544" t="str">
        <f>'P-IPS'!DQ8</f>
        <v>C</v>
      </c>
      <c r="AA5" s="544">
        <f>'P-SBDP'!DP8</f>
        <v>81</v>
      </c>
      <c r="AB5" s="544" t="str">
        <f>'P-SBDP'!DQ8</f>
        <v>C</v>
      </c>
      <c r="AC5" s="544">
        <f>'P-PJOK'!C6</f>
        <v>83</v>
      </c>
      <c r="AD5" s="544" t="str">
        <f>'P-PJOK'!D6</f>
        <v>B</v>
      </c>
      <c r="AE5" s="544">
        <f>'P-BJAWA'!AV8</f>
        <v>78</v>
      </c>
      <c r="AF5" s="544" t="str">
        <f>'P-BJAWA'!AW8</f>
        <v>C</v>
      </c>
      <c r="AG5" s="383" t="str">
        <f>IFERROR(AVERAGE(C5,E5,G5,I5,K5,M5,O5,Q5,S5,U5,W5,Y5,AA5,AC5,AE5)," ")</f>
        <v xml:space="preserve"> </v>
      </c>
      <c r="AH5" s="544" t="e">
        <f>IF(AG5&gt;1,RANK(AG5,AG$5:AG$39,0),"")</f>
        <v>#VALUE!</v>
      </c>
      <c r="AI5" s="65"/>
    </row>
    <row r="6" spans="1:35">
      <c r="A6" s="66">
        <v>2</v>
      </c>
      <c r="B6" s="382" t="str">
        <f>SISWA!B7</f>
        <v>Ahmad Faiq Athaya</v>
      </c>
      <c r="C6" s="544" t="e">
        <f>#REF!</f>
        <v>#REF!</v>
      </c>
      <c r="D6" s="544" t="e">
        <f>#REF!</f>
        <v>#REF!</v>
      </c>
      <c r="E6" s="544" t="e">
        <f>#REF!</f>
        <v>#REF!</v>
      </c>
      <c r="F6" s="544" t="e">
        <f>#REF!</f>
        <v>#REF!</v>
      </c>
      <c r="G6" s="544" t="e">
        <f>#REF!</f>
        <v>#REF!</v>
      </c>
      <c r="H6" s="544" t="e">
        <f>#REF!</f>
        <v>#REF!</v>
      </c>
      <c r="I6" s="544" t="e">
        <f>#REF!</f>
        <v>#REF!</v>
      </c>
      <c r="J6" s="544" t="e">
        <f>#REF!</f>
        <v>#REF!</v>
      </c>
      <c r="K6" s="544" t="e">
        <f>#REF!</f>
        <v>#REF!</v>
      </c>
      <c r="L6" s="544" t="e">
        <f>#REF!</f>
        <v>#REF!</v>
      </c>
      <c r="M6" s="544" t="e">
        <f>#REF!</f>
        <v>#REF!</v>
      </c>
      <c r="N6" s="544" t="e">
        <f>#REF!</f>
        <v>#REF!</v>
      </c>
      <c r="O6" s="544" t="e">
        <f>#REF!</f>
        <v>#REF!</v>
      </c>
      <c r="P6" s="544" t="e">
        <f>#REF!</f>
        <v>#REF!</v>
      </c>
      <c r="Q6" s="544">
        <f>'P-pkn'!CC9</f>
        <v>90</v>
      </c>
      <c r="R6" s="544" t="str">
        <f>'P-pkn'!CD9</f>
        <v>B</v>
      </c>
      <c r="S6" s="544">
        <f>'P-BI'!DP9</f>
        <v>88</v>
      </c>
      <c r="T6" s="544" t="str">
        <f>'P-BI'!DQ9</f>
        <v>B</v>
      </c>
      <c r="U6" s="544">
        <f>'P MTK'!FP9</f>
        <v>83</v>
      </c>
      <c r="V6" s="544" t="str">
        <f>'P MTK'!FQ9</f>
        <v>B</v>
      </c>
      <c r="W6" s="544">
        <f>'P-IPA'!DP9</f>
        <v>88</v>
      </c>
      <c r="X6" s="544" t="str">
        <f>'P-IPA'!DQ9</f>
        <v>B</v>
      </c>
      <c r="Y6" s="544">
        <f>'P-IPS'!DP9</f>
        <v>87</v>
      </c>
      <c r="Z6" s="544" t="str">
        <f>'P-IPS'!DQ9</f>
        <v>B</v>
      </c>
      <c r="AA6" s="544">
        <f>'P-SBDP'!DP9</f>
        <v>90</v>
      </c>
      <c r="AB6" s="544" t="str">
        <f>'P-SBDP'!DQ9</f>
        <v>B</v>
      </c>
      <c r="AC6" s="544">
        <f>'P-PJOK'!C7</f>
        <v>84</v>
      </c>
      <c r="AD6" s="544" t="str">
        <f>'P-PJOK'!D7</f>
        <v>B</v>
      </c>
      <c r="AE6" s="544">
        <f>'P-BJAWA'!AV9</f>
        <v>83</v>
      </c>
      <c r="AF6" s="544" t="str">
        <f>'P-BJAWA'!AW9</f>
        <v>B</v>
      </c>
      <c r="AG6" s="383" t="str">
        <f t="shared" ref="AG6:AG39" si="0">IFERROR(AVERAGE(C6,E6,G6,I6,K6,M6,O6,Q6,S6,U6,W6,Y6,AA6,AC6,AE6)," ")</f>
        <v xml:space="preserve"> </v>
      </c>
      <c r="AH6" s="544" t="e">
        <f t="shared" ref="AH6:AH39" si="1">IF(AG6&gt;1,RANK(AG6,AG$5:AG$39,0),"")</f>
        <v>#VALUE!</v>
      </c>
      <c r="AI6" s="65"/>
    </row>
    <row r="7" spans="1:35">
      <c r="A7" s="66">
        <v>3</v>
      </c>
      <c r="B7" s="382" t="str">
        <f>SISWA!B8</f>
        <v>Amira Zerlinda</v>
      </c>
      <c r="C7" s="544" t="e">
        <f>#REF!</f>
        <v>#REF!</v>
      </c>
      <c r="D7" s="544" t="e">
        <f>#REF!</f>
        <v>#REF!</v>
      </c>
      <c r="E7" s="544" t="e">
        <f>#REF!</f>
        <v>#REF!</v>
      </c>
      <c r="F7" s="544" t="e">
        <f>#REF!</f>
        <v>#REF!</v>
      </c>
      <c r="G7" s="544" t="e">
        <f>#REF!</f>
        <v>#REF!</v>
      </c>
      <c r="H7" s="544" t="e">
        <f>#REF!</f>
        <v>#REF!</v>
      </c>
      <c r="I7" s="544" t="e">
        <f>#REF!</f>
        <v>#REF!</v>
      </c>
      <c r="J7" s="544" t="e">
        <f>#REF!</f>
        <v>#REF!</v>
      </c>
      <c r="K7" s="544" t="e">
        <f>#REF!</f>
        <v>#REF!</v>
      </c>
      <c r="L7" s="544" t="e">
        <f>#REF!</f>
        <v>#REF!</v>
      </c>
      <c r="M7" s="544" t="e">
        <f>#REF!</f>
        <v>#REF!</v>
      </c>
      <c r="N7" s="544" t="e">
        <f>#REF!</f>
        <v>#REF!</v>
      </c>
      <c r="O7" s="544" t="e">
        <f>#REF!</f>
        <v>#REF!</v>
      </c>
      <c r="P7" s="544" t="e">
        <f>#REF!</f>
        <v>#REF!</v>
      </c>
      <c r="Q7" s="544">
        <f>'P-pkn'!CC10</f>
        <v>79</v>
      </c>
      <c r="R7" s="544" t="str">
        <f>'P-pkn'!CD10</f>
        <v>C</v>
      </c>
      <c r="S7" s="544">
        <f>'P-BI'!DP10</f>
        <v>82</v>
      </c>
      <c r="T7" s="544" t="str">
        <f>'P-BI'!DQ10</f>
        <v>C</v>
      </c>
      <c r="U7" s="544">
        <f>'P MTK'!FP10</f>
        <v>80</v>
      </c>
      <c r="V7" s="544" t="str">
        <f>'P MTK'!FQ10</f>
        <v>C</v>
      </c>
      <c r="W7" s="544">
        <f>'P-IPA'!DP10</f>
        <v>81</v>
      </c>
      <c r="X7" s="544" t="str">
        <f>'P-IPA'!DQ10</f>
        <v>C</v>
      </c>
      <c r="Y7" s="544">
        <f>'P-IPS'!DP10</f>
        <v>81</v>
      </c>
      <c r="Z7" s="544" t="str">
        <f>'P-IPS'!DQ10</f>
        <v>C</v>
      </c>
      <c r="AA7" s="544">
        <f>'P-SBDP'!DP10</f>
        <v>79</v>
      </c>
      <c r="AB7" s="544" t="str">
        <f>'P-SBDP'!DQ10</f>
        <v>C</v>
      </c>
      <c r="AC7" s="544">
        <f>'P-PJOK'!C8</f>
        <v>83</v>
      </c>
      <c r="AD7" s="544" t="str">
        <f>'P-PJOK'!D8</f>
        <v>B</v>
      </c>
      <c r="AE7" s="544">
        <f>'P-BJAWA'!AV10</f>
        <v>79</v>
      </c>
      <c r="AF7" s="544" t="str">
        <f>'P-BJAWA'!AW10</f>
        <v>C</v>
      </c>
      <c r="AG7" s="383" t="str">
        <f t="shared" si="0"/>
        <v xml:space="preserve"> </v>
      </c>
      <c r="AH7" s="544" t="e">
        <f t="shared" si="1"/>
        <v>#VALUE!</v>
      </c>
      <c r="AI7" s="65"/>
    </row>
    <row r="8" spans="1:35">
      <c r="A8" s="66">
        <v>4</v>
      </c>
      <c r="B8" s="382" t="str">
        <f>SISWA!B9</f>
        <v>Andrian Putra Pangestu</v>
      </c>
      <c r="C8" s="544" t="e">
        <f>#REF!</f>
        <v>#REF!</v>
      </c>
      <c r="D8" s="544" t="e">
        <f>#REF!</f>
        <v>#REF!</v>
      </c>
      <c r="E8" s="544" t="e">
        <f>#REF!</f>
        <v>#REF!</v>
      </c>
      <c r="F8" s="544" t="e">
        <f>#REF!</f>
        <v>#REF!</v>
      </c>
      <c r="G8" s="544" t="e">
        <f>#REF!</f>
        <v>#REF!</v>
      </c>
      <c r="H8" s="544" t="e">
        <f>#REF!</f>
        <v>#REF!</v>
      </c>
      <c r="I8" s="544" t="e">
        <f>#REF!</f>
        <v>#REF!</v>
      </c>
      <c r="J8" s="544" t="e">
        <f>#REF!</f>
        <v>#REF!</v>
      </c>
      <c r="K8" s="544" t="e">
        <f>#REF!</f>
        <v>#REF!</v>
      </c>
      <c r="L8" s="544" t="e">
        <f>#REF!</f>
        <v>#REF!</v>
      </c>
      <c r="M8" s="544" t="e">
        <f>#REF!</f>
        <v>#REF!</v>
      </c>
      <c r="N8" s="544" t="e">
        <f>#REF!</f>
        <v>#REF!</v>
      </c>
      <c r="O8" s="544" t="e">
        <f>#REF!</f>
        <v>#REF!</v>
      </c>
      <c r="P8" s="544" t="e">
        <f>#REF!</f>
        <v>#REF!</v>
      </c>
      <c r="Q8" s="544">
        <f>'P-pkn'!CC11</f>
        <v>75</v>
      </c>
      <c r="R8" s="544" t="str">
        <f>'P-pkn'!CD11</f>
        <v>C</v>
      </c>
      <c r="S8" s="544">
        <f>'P-BI'!DP11</f>
        <v>75</v>
      </c>
      <c r="T8" s="544" t="str">
        <f>'P-BI'!DQ11</f>
        <v>C</v>
      </c>
      <c r="U8" s="544">
        <f>'P MTK'!FP11</f>
        <v>78</v>
      </c>
      <c r="V8" s="544" t="str">
        <f>'P MTK'!FQ11</f>
        <v>C</v>
      </c>
      <c r="W8" s="544">
        <f>'P-IPA'!DP11</f>
        <v>75</v>
      </c>
      <c r="X8" s="544" t="str">
        <f>'P-IPA'!DQ11</f>
        <v>C</v>
      </c>
      <c r="Y8" s="544">
        <f>'P-IPS'!DP11</f>
        <v>75</v>
      </c>
      <c r="Z8" s="544" t="str">
        <f>'P-IPS'!DQ11</f>
        <v>C</v>
      </c>
      <c r="AA8" s="544">
        <f>'P-SBDP'!DP11</f>
        <v>75</v>
      </c>
      <c r="AB8" s="544" t="str">
        <f>'P-SBDP'!DQ11</f>
        <v>C</v>
      </c>
      <c r="AC8" s="544">
        <f>'P-PJOK'!C9</f>
        <v>84</v>
      </c>
      <c r="AD8" s="544" t="str">
        <f>'P-PJOK'!D9</f>
        <v>B</v>
      </c>
      <c r="AE8" s="544">
        <f>'P-BJAWA'!AV11</f>
        <v>77</v>
      </c>
      <c r="AF8" s="544" t="str">
        <f>'P-BJAWA'!AW11</f>
        <v>C</v>
      </c>
      <c r="AG8" s="383" t="str">
        <f t="shared" si="0"/>
        <v xml:space="preserve"> </v>
      </c>
      <c r="AH8" s="544" t="e">
        <f t="shared" si="1"/>
        <v>#VALUE!</v>
      </c>
      <c r="AI8" s="65"/>
    </row>
    <row r="9" spans="1:35">
      <c r="A9" s="66">
        <v>5</v>
      </c>
      <c r="B9" s="382" t="str">
        <f>SISWA!B10</f>
        <v>Gresiya Suma Safitri</v>
      </c>
      <c r="C9" s="544" t="e">
        <f>#REF!</f>
        <v>#REF!</v>
      </c>
      <c r="D9" s="544" t="e">
        <f>#REF!</f>
        <v>#REF!</v>
      </c>
      <c r="E9" s="544" t="e">
        <f>#REF!</f>
        <v>#REF!</v>
      </c>
      <c r="F9" s="544" t="e">
        <f>#REF!</f>
        <v>#REF!</v>
      </c>
      <c r="G9" s="544" t="e">
        <f>#REF!</f>
        <v>#REF!</v>
      </c>
      <c r="H9" s="544" t="e">
        <f>#REF!</f>
        <v>#REF!</v>
      </c>
      <c r="I9" s="544" t="e">
        <f>#REF!</f>
        <v>#REF!</v>
      </c>
      <c r="J9" s="544" t="e">
        <f>#REF!</f>
        <v>#REF!</v>
      </c>
      <c r="K9" s="544" t="e">
        <f>#REF!</f>
        <v>#REF!</v>
      </c>
      <c r="L9" s="544" t="e">
        <f>#REF!</f>
        <v>#REF!</v>
      </c>
      <c r="M9" s="544" t="e">
        <f>#REF!</f>
        <v>#REF!</v>
      </c>
      <c r="N9" s="544" t="e">
        <f>#REF!</f>
        <v>#REF!</v>
      </c>
      <c r="O9" s="544" t="e">
        <f>#REF!</f>
        <v>#REF!</v>
      </c>
      <c r="P9" s="544" t="e">
        <f>#REF!</f>
        <v>#REF!</v>
      </c>
      <c r="Q9" s="544">
        <f>'P-pkn'!CC12</f>
        <v>84</v>
      </c>
      <c r="R9" s="544" t="str">
        <f>'P-pkn'!CD12</f>
        <v>B</v>
      </c>
      <c r="S9" s="544">
        <f>'P-BI'!DP12</f>
        <v>81</v>
      </c>
      <c r="T9" s="544" t="str">
        <f>'P-BI'!DQ12</f>
        <v>C</v>
      </c>
      <c r="U9" s="544">
        <f>'P MTK'!FP12</f>
        <v>79</v>
      </c>
      <c r="V9" s="544" t="str">
        <f>'P MTK'!FQ12</f>
        <v>C</v>
      </c>
      <c r="W9" s="544">
        <f>'P-IPA'!DP12</f>
        <v>81</v>
      </c>
      <c r="X9" s="544" t="str">
        <f>'P-IPA'!DQ12</f>
        <v>C</v>
      </c>
      <c r="Y9" s="544">
        <f>'P-IPS'!DP12</f>
        <v>80</v>
      </c>
      <c r="Z9" s="544" t="str">
        <f>'P-IPS'!DQ12</f>
        <v>C</v>
      </c>
      <c r="AA9" s="544">
        <f>'P-SBDP'!DP12</f>
        <v>84</v>
      </c>
      <c r="AB9" s="544" t="str">
        <f>'P-SBDP'!DQ12</f>
        <v>B</v>
      </c>
      <c r="AC9" s="544">
        <f>'P-PJOK'!C10</f>
        <v>83</v>
      </c>
      <c r="AD9" s="544" t="str">
        <f>'P-PJOK'!D10</f>
        <v>B</v>
      </c>
      <c r="AE9" s="544">
        <f>'P-BJAWA'!AV12</f>
        <v>78</v>
      </c>
      <c r="AF9" s="544" t="str">
        <f>'P-BJAWA'!AW12</f>
        <v>C</v>
      </c>
      <c r="AG9" s="383" t="str">
        <f t="shared" si="0"/>
        <v xml:space="preserve"> </v>
      </c>
      <c r="AH9" s="544" t="e">
        <f t="shared" si="1"/>
        <v>#VALUE!</v>
      </c>
      <c r="AI9" s="65"/>
    </row>
    <row r="10" spans="1:35">
      <c r="A10" s="66">
        <v>6</v>
      </c>
      <c r="B10" s="382" t="str">
        <f>SISWA!B11</f>
        <v>Hasna Fathitya Sabrina</v>
      </c>
      <c r="C10" s="544" t="e">
        <f>#REF!</f>
        <v>#REF!</v>
      </c>
      <c r="D10" s="544" t="e">
        <f>#REF!</f>
        <v>#REF!</v>
      </c>
      <c r="E10" s="544" t="e">
        <f>#REF!</f>
        <v>#REF!</v>
      </c>
      <c r="F10" s="544" t="e">
        <f>#REF!</f>
        <v>#REF!</v>
      </c>
      <c r="G10" s="544" t="e">
        <f>#REF!</f>
        <v>#REF!</v>
      </c>
      <c r="H10" s="544" t="e">
        <f>#REF!</f>
        <v>#REF!</v>
      </c>
      <c r="I10" s="544" t="e">
        <f>#REF!</f>
        <v>#REF!</v>
      </c>
      <c r="J10" s="544" t="e">
        <f>#REF!</f>
        <v>#REF!</v>
      </c>
      <c r="K10" s="544" t="e">
        <f>#REF!</f>
        <v>#REF!</v>
      </c>
      <c r="L10" s="544" t="e">
        <f>#REF!</f>
        <v>#REF!</v>
      </c>
      <c r="M10" s="544" t="e">
        <f>#REF!</f>
        <v>#REF!</v>
      </c>
      <c r="N10" s="544" t="e">
        <f>#REF!</f>
        <v>#REF!</v>
      </c>
      <c r="O10" s="544" t="e">
        <f>#REF!</f>
        <v>#REF!</v>
      </c>
      <c r="P10" s="544" t="e">
        <f>#REF!</f>
        <v>#REF!</v>
      </c>
      <c r="Q10" s="544">
        <f>'P-pkn'!CC13</f>
        <v>85</v>
      </c>
      <c r="R10" s="544" t="str">
        <f>'P-pkn'!CD13</f>
        <v>B</v>
      </c>
      <c r="S10" s="544">
        <f>'P-BI'!DP13</f>
        <v>86</v>
      </c>
      <c r="T10" s="544" t="str">
        <f>'P-BI'!DQ13</f>
        <v>B</v>
      </c>
      <c r="U10" s="544">
        <f>'P MTK'!FP13</f>
        <v>78</v>
      </c>
      <c r="V10" s="544" t="str">
        <f>'P MTK'!FQ13</f>
        <v>C</v>
      </c>
      <c r="W10" s="544">
        <f>'P-IPA'!DP13</f>
        <v>82</v>
      </c>
      <c r="X10" s="544" t="str">
        <f>'P-IPA'!DQ13</f>
        <v>C</v>
      </c>
      <c r="Y10" s="544">
        <f>'P-IPS'!DP13</f>
        <v>80</v>
      </c>
      <c r="Z10" s="544" t="str">
        <f>'P-IPS'!DQ13</f>
        <v>C</v>
      </c>
      <c r="AA10" s="544">
        <f>'P-SBDP'!DP13</f>
        <v>84</v>
      </c>
      <c r="AB10" s="544" t="str">
        <f>'P-SBDP'!DQ13</f>
        <v>B</v>
      </c>
      <c r="AC10" s="544">
        <f>'P-PJOK'!C11</f>
        <v>82</v>
      </c>
      <c r="AD10" s="544" t="str">
        <f>'P-PJOK'!D11</f>
        <v>B</v>
      </c>
      <c r="AE10" s="544">
        <f>'P-BJAWA'!AV13</f>
        <v>77</v>
      </c>
      <c r="AF10" s="544" t="str">
        <f>'P-BJAWA'!AW13</f>
        <v>C</v>
      </c>
      <c r="AG10" s="383" t="str">
        <f t="shared" si="0"/>
        <v xml:space="preserve"> </v>
      </c>
      <c r="AH10" s="544" t="e">
        <f t="shared" si="1"/>
        <v>#VALUE!</v>
      </c>
      <c r="AI10" s="65"/>
    </row>
    <row r="11" spans="1:35">
      <c r="A11" s="66">
        <v>7</v>
      </c>
      <c r="B11" s="382" t="str">
        <f>SISWA!B12</f>
        <v>Indah Fitria Ningrum</v>
      </c>
      <c r="C11" s="544" t="e">
        <f>#REF!</f>
        <v>#REF!</v>
      </c>
      <c r="D11" s="544" t="e">
        <f>#REF!</f>
        <v>#REF!</v>
      </c>
      <c r="E11" s="544" t="e">
        <f>#REF!</f>
        <v>#REF!</v>
      </c>
      <c r="F11" s="544" t="e">
        <f>#REF!</f>
        <v>#REF!</v>
      </c>
      <c r="G11" s="544" t="e">
        <f>#REF!</f>
        <v>#REF!</v>
      </c>
      <c r="H11" s="544" t="e">
        <f>#REF!</f>
        <v>#REF!</v>
      </c>
      <c r="I11" s="544" t="e">
        <f>#REF!</f>
        <v>#REF!</v>
      </c>
      <c r="J11" s="544" t="e">
        <f>#REF!</f>
        <v>#REF!</v>
      </c>
      <c r="K11" s="544" t="e">
        <f>#REF!</f>
        <v>#REF!</v>
      </c>
      <c r="L11" s="544" t="e">
        <f>#REF!</f>
        <v>#REF!</v>
      </c>
      <c r="M11" s="544" t="e">
        <f>#REF!</f>
        <v>#REF!</v>
      </c>
      <c r="N11" s="544" t="e">
        <f>#REF!</f>
        <v>#REF!</v>
      </c>
      <c r="O11" s="544" t="e">
        <f>#REF!</f>
        <v>#REF!</v>
      </c>
      <c r="P11" s="544" t="e">
        <f>#REF!</f>
        <v>#REF!</v>
      </c>
      <c r="Q11" s="544">
        <f>'P-pkn'!CC14</f>
        <v>88</v>
      </c>
      <c r="R11" s="544" t="str">
        <f>'P-pkn'!CD14</f>
        <v>B</v>
      </c>
      <c r="S11" s="544">
        <f>'P-BI'!DP14</f>
        <v>84</v>
      </c>
      <c r="T11" s="544" t="str">
        <f>'P-BI'!DQ14</f>
        <v>B</v>
      </c>
      <c r="U11" s="544">
        <f>'P MTK'!FP14</f>
        <v>79</v>
      </c>
      <c r="V11" s="544" t="str">
        <f>'P MTK'!FQ14</f>
        <v>C</v>
      </c>
      <c r="W11" s="544">
        <f>'P-IPA'!DP14</f>
        <v>83</v>
      </c>
      <c r="X11" s="544" t="str">
        <f>'P-IPA'!DQ14</f>
        <v>B</v>
      </c>
      <c r="Y11" s="544">
        <f>'P-IPS'!DP14</f>
        <v>84</v>
      </c>
      <c r="Z11" s="544" t="str">
        <f>'P-IPS'!DQ14</f>
        <v>B</v>
      </c>
      <c r="AA11" s="544">
        <f>'P-SBDP'!DP14</f>
        <v>91</v>
      </c>
      <c r="AB11" s="544" t="str">
        <f>'P-SBDP'!DQ14</f>
        <v>B</v>
      </c>
      <c r="AC11" s="544">
        <f>'P-PJOK'!C12</f>
        <v>83</v>
      </c>
      <c r="AD11" s="544" t="str">
        <f>'P-PJOK'!D12</f>
        <v>B</v>
      </c>
      <c r="AE11" s="544">
        <f>'P-BJAWA'!AV14</f>
        <v>82</v>
      </c>
      <c r="AF11" s="544" t="str">
        <f>'P-BJAWA'!AW14</f>
        <v>C</v>
      </c>
      <c r="AG11" s="383" t="str">
        <f t="shared" si="0"/>
        <v xml:space="preserve"> </v>
      </c>
      <c r="AH11" s="544" t="e">
        <f t="shared" si="1"/>
        <v>#VALUE!</v>
      </c>
      <c r="AI11" s="65"/>
    </row>
    <row r="12" spans="1:35">
      <c r="A12" s="66">
        <v>8</v>
      </c>
      <c r="B12" s="382" t="str">
        <f>SISWA!B13</f>
        <v>Muhammad Ilham Sarifuddin</v>
      </c>
      <c r="C12" s="544" t="e">
        <f>#REF!</f>
        <v>#REF!</v>
      </c>
      <c r="D12" s="544" t="e">
        <f>#REF!</f>
        <v>#REF!</v>
      </c>
      <c r="E12" s="544" t="e">
        <f>#REF!</f>
        <v>#REF!</v>
      </c>
      <c r="F12" s="544" t="e">
        <f>#REF!</f>
        <v>#REF!</v>
      </c>
      <c r="G12" s="544" t="e">
        <f>#REF!</f>
        <v>#REF!</v>
      </c>
      <c r="H12" s="544" t="e">
        <f>#REF!</f>
        <v>#REF!</v>
      </c>
      <c r="I12" s="544" t="e">
        <f>#REF!</f>
        <v>#REF!</v>
      </c>
      <c r="J12" s="544" t="e">
        <f>#REF!</f>
        <v>#REF!</v>
      </c>
      <c r="K12" s="544" t="e">
        <f>#REF!</f>
        <v>#REF!</v>
      </c>
      <c r="L12" s="544" t="e">
        <f>#REF!</f>
        <v>#REF!</v>
      </c>
      <c r="M12" s="544" t="e">
        <f>#REF!</f>
        <v>#REF!</v>
      </c>
      <c r="N12" s="544" t="e">
        <f>#REF!</f>
        <v>#REF!</v>
      </c>
      <c r="O12" s="544" t="e">
        <f>#REF!</f>
        <v>#REF!</v>
      </c>
      <c r="P12" s="544" t="e">
        <f>#REF!</f>
        <v>#REF!</v>
      </c>
      <c r="Q12" s="544">
        <f>'P-pkn'!CC15</f>
        <v>82</v>
      </c>
      <c r="R12" s="544" t="str">
        <f>'P-pkn'!CD15</f>
        <v>C</v>
      </c>
      <c r="S12" s="544">
        <f>'P-BI'!DP15</f>
        <v>82</v>
      </c>
      <c r="T12" s="544" t="str">
        <f>'P-BI'!DQ15</f>
        <v>C</v>
      </c>
      <c r="U12" s="544">
        <f>'P MTK'!FP15</f>
        <v>79</v>
      </c>
      <c r="V12" s="544" t="str">
        <f>'P MTK'!FQ15</f>
        <v>C</v>
      </c>
      <c r="W12" s="544">
        <f>'P-IPA'!DP15</f>
        <v>80</v>
      </c>
      <c r="X12" s="544" t="str">
        <f>'P-IPA'!DQ15</f>
        <v>C</v>
      </c>
      <c r="Y12" s="544">
        <f>'P-IPS'!DP15</f>
        <v>78</v>
      </c>
      <c r="Z12" s="544" t="str">
        <f>'P-IPS'!DQ15</f>
        <v>C</v>
      </c>
      <c r="AA12" s="544">
        <f>'P-SBDP'!DP15</f>
        <v>81</v>
      </c>
      <c r="AB12" s="544" t="str">
        <f>'P-SBDP'!DQ15</f>
        <v>C</v>
      </c>
      <c r="AC12" s="544">
        <f>'P-PJOK'!C13</f>
        <v>83</v>
      </c>
      <c r="AD12" s="544" t="str">
        <f>'P-PJOK'!D13</f>
        <v>B</v>
      </c>
      <c r="AE12" s="544">
        <f>'P-BJAWA'!AV15</f>
        <v>78</v>
      </c>
      <c r="AF12" s="544" t="str">
        <f>'P-BJAWA'!AW15</f>
        <v>C</v>
      </c>
      <c r="AG12" s="383" t="str">
        <f t="shared" si="0"/>
        <v xml:space="preserve"> </v>
      </c>
      <c r="AH12" s="544" t="e">
        <f t="shared" si="1"/>
        <v>#VALUE!</v>
      </c>
      <c r="AI12" s="65"/>
    </row>
    <row r="13" spans="1:35">
      <c r="A13" s="66">
        <v>9</v>
      </c>
      <c r="B13" s="382" t="str">
        <f>SISWA!B14</f>
        <v>Muhammad Raditya Ainul Yaqin</v>
      </c>
      <c r="C13" s="544" t="e">
        <f>#REF!</f>
        <v>#REF!</v>
      </c>
      <c r="D13" s="544" t="e">
        <f>#REF!</f>
        <v>#REF!</v>
      </c>
      <c r="E13" s="544" t="e">
        <f>#REF!</f>
        <v>#REF!</v>
      </c>
      <c r="F13" s="544" t="e">
        <f>#REF!</f>
        <v>#REF!</v>
      </c>
      <c r="G13" s="544" t="e">
        <f>#REF!</f>
        <v>#REF!</v>
      </c>
      <c r="H13" s="544" t="e">
        <f>#REF!</f>
        <v>#REF!</v>
      </c>
      <c r="I13" s="544" t="e">
        <f>#REF!</f>
        <v>#REF!</v>
      </c>
      <c r="J13" s="544" t="e">
        <f>#REF!</f>
        <v>#REF!</v>
      </c>
      <c r="K13" s="544" t="e">
        <f>#REF!</f>
        <v>#REF!</v>
      </c>
      <c r="L13" s="544" t="e">
        <f>#REF!</f>
        <v>#REF!</v>
      </c>
      <c r="M13" s="544" t="e">
        <f>#REF!</f>
        <v>#REF!</v>
      </c>
      <c r="N13" s="544" t="e">
        <f>#REF!</f>
        <v>#REF!</v>
      </c>
      <c r="O13" s="544" t="e">
        <f>#REF!</f>
        <v>#REF!</v>
      </c>
      <c r="P13" s="544" t="e">
        <f>#REF!</f>
        <v>#REF!</v>
      </c>
      <c r="Q13" s="544">
        <f>'P-pkn'!CC16</f>
        <v>80</v>
      </c>
      <c r="R13" s="544" t="str">
        <f>'P-pkn'!CD16</f>
        <v>C</v>
      </c>
      <c r="S13" s="544">
        <f>'P-BI'!DP16</f>
        <v>78</v>
      </c>
      <c r="T13" s="544" t="str">
        <f>'P-BI'!DQ16</f>
        <v>C</v>
      </c>
      <c r="U13" s="544">
        <f>'P MTK'!FP16</f>
        <v>79</v>
      </c>
      <c r="V13" s="544" t="str">
        <f>'P MTK'!FQ16</f>
        <v>C</v>
      </c>
      <c r="W13" s="544">
        <f>'P-IPA'!DP16</f>
        <v>79</v>
      </c>
      <c r="X13" s="544" t="str">
        <f>'P-IPA'!DQ16</f>
        <v>C</v>
      </c>
      <c r="Y13" s="544">
        <f>'P-IPS'!DP16</f>
        <v>77</v>
      </c>
      <c r="Z13" s="544" t="str">
        <f>'P-IPS'!DQ16</f>
        <v>C</v>
      </c>
      <c r="AA13" s="544">
        <f>'P-SBDP'!DP16</f>
        <v>78</v>
      </c>
      <c r="AB13" s="544" t="str">
        <f>'P-SBDP'!DQ16</f>
        <v>C</v>
      </c>
      <c r="AC13" s="544">
        <f>'P-PJOK'!C14</f>
        <v>83</v>
      </c>
      <c r="AD13" s="544" t="str">
        <f>'P-PJOK'!D14</f>
        <v>B</v>
      </c>
      <c r="AE13" s="544">
        <f>'P-BJAWA'!AV16</f>
        <v>80</v>
      </c>
      <c r="AF13" s="544" t="str">
        <f>'P-BJAWA'!AW16</f>
        <v>C</v>
      </c>
      <c r="AG13" s="383" t="str">
        <f t="shared" si="0"/>
        <v xml:space="preserve"> </v>
      </c>
      <c r="AH13" s="544" t="e">
        <f t="shared" si="1"/>
        <v>#VALUE!</v>
      </c>
      <c r="AI13" s="65"/>
    </row>
    <row r="14" spans="1:35">
      <c r="A14" s="66">
        <v>10</v>
      </c>
      <c r="B14" s="382" t="str">
        <f>SISWA!B15</f>
        <v>Muhammad Shulhan Al-farisi</v>
      </c>
      <c r="C14" s="544" t="e">
        <f>#REF!</f>
        <v>#REF!</v>
      </c>
      <c r="D14" s="544" t="e">
        <f>#REF!</f>
        <v>#REF!</v>
      </c>
      <c r="E14" s="544" t="e">
        <f>#REF!</f>
        <v>#REF!</v>
      </c>
      <c r="F14" s="544" t="e">
        <f>#REF!</f>
        <v>#REF!</v>
      </c>
      <c r="G14" s="544" t="e">
        <f>#REF!</f>
        <v>#REF!</v>
      </c>
      <c r="H14" s="544" t="e">
        <f>#REF!</f>
        <v>#REF!</v>
      </c>
      <c r="I14" s="544" t="e">
        <f>#REF!</f>
        <v>#REF!</v>
      </c>
      <c r="J14" s="544" t="e">
        <f>#REF!</f>
        <v>#REF!</v>
      </c>
      <c r="K14" s="544" t="e">
        <f>#REF!</f>
        <v>#REF!</v>
      </c>
      <c r="L14" s="544" t="e">
        <f>#REF!</f>
        <v>#REF!</v>
      </c>
      <c r="M14" s="544" t="e">
        <f>#REF!</f>
        <v>#REF!</v>
      </c>
      <c r="N14" s="544" t="e">
        <f>#REF!</f>
        <v>#REF!</v>
      </c>
      <c r="O14" s="544" t="e">
        <f>#REF!</f>
        <v>#REF!</v>
      </c>
      <c r="P14" s="544" t="e">
        <f>#REF!</f>
        <v>#REF!</v>
      </c>
      <c r="Q14" s="544">
        <f>'P-pkn'!CC17</f>
        <v>86</v>
      </c>
      <c r="R14" s="544" t="str">
        <f>'P-pkn'!CD17</f>
        <v>B</v>
      </c>
      <c r="S14" s="544">
        <f>'P-BI'!DP17</f>
        <v>81</v>
      </c>
      <c r="T14" s="544" t="str">
        <f>'P-BI'!DQ17</f>
        <v>C</v>
      </c>
      <c r="U14" s="544">
        <f>'P MTK'!FP17</f>
        <v>81</v>
      </c>
      <c r="V14" s="544" t="str">
        <f>'P MTK'!FQ17</f>
        <v>C</v>
      </c>
      <c r="W14" s="544">
        <f>'P-IPA'!DP17</f>
        <v>83</v>
      </c>
      <c r="X14" s="544" t="str">
        <f>'P-IPA'!DQ17</f>
        <v>B</v>
      </c>
      <c r="Y14" s="544">
        <f>'P-IPS'!DP17</f>
        <v>81</v>
      </c>
      <c r="Z14" s="544" t="str">
        <f>'P-IPS'!DQ17</f>
        <v>C</v>
      </c>
      <c r="AA14" s="544">
        <f>'P-SBDP'!DP17</f>
        <v>82</v>
      </c>
      <c r="AB14" s="544" t="str">
        <f>'P-SBDP'!DQ17</f>
        <v>C</v>
      </c>
      <c r="AC14" s="544">
        <f>'P-PJOK'!C15</f>
        <v>83</v>
      </c>
      <c r="AD14" s="544" t="str">
        <f>'P-PJOK'!D15</f>
        <v>B</v>
      </c>
      <c r="AE14" s="544">
        <f>'P-BJAWA'!AV17</f>
        <v>81</v>
      </c>
      <c r="AF14" s="544" t="str">
        <f>'P-BJAWA'!AW17</f>
        <v>C</v>
      </c>
      <c r="AG14" s="383" t="str">
        <f t="shared" si="0"/>
        <v xml:space="preserve"> </v>
      </c>
      <c r="AH14" s="544" t="e">
        <f t="shared" si="1"/>
        <v>#VALUE!</v>
      </c>
      <c r="AI14" s="65"/>
    </row>
    <row r="15" spans="1:35">
      <c r="A15" s="66">
        <v>11</v>
      </c>
      <c r="B15" s="382" t="str">
        <f>SISWA!B16</f>
        <v>Novaris Dwi Firmansyah</v>
      </c>
      <c r="C15" s="544" t="e">
        <f>#REF!</f>
        <v>#REF!</v>
      </c>
      <c r="D15" s="544" t="e">
        <f>#REF!</f>
        <v>#REF!</v>
      </c>
      <c r="E15" s="544" t="e">
        <f>#REF!</f>
        <v>#REF!</v>
      </c>
      <c r="F15" s="544" t="e">
        <f>#REF!</f>
        <v>#REF!</v>
      </c>
      <c r="G15" s="544" t="e">
        <f>#REF!</f>
        <v>#REF!</v>
      </c>
      <c r="H15" s="544" t="e">
        <f>#REF!</f>
        <v>#REF!</v>
      </c>
      <c r="I15" s="544" t="e">
        <f>#REF!</f>
        <v>#REF!</v>
      </c>
      <c r="J15" s="544" t="e">
        <f>#REF!</f>
        <v>#REF!</v>
      </c>
      <c r="K15" s="544" t="e">
        <f>#REF!</f>
        <v>#REF!</v>
      </c>
      <c r="L15" s="544" t="e">
        <f>#REF!</f>
        <v>#REF!</v>
      </c>
      <c r="M15" s="544" t="e">
        <f>#REF!</f>
        <v>#REF!</v>
      </c>
      <c r="N15" s="544" t="e">
        <f>#REF!</f>
        <v>#REF!</v>
      </c>
      <c r="O15" s="544" t="e">
        <f>#REF!</f>
        <v>#REF!</v>
      </c>
      <c r="P15" s="544" t="e">
        <f>#REF!</f>
        <v>#REF!</v>
      </c>
      <c r="Q15" s="544">
        <f>'P-pkn'!CC18</f>
        <v>81</v>
      </c>
      <c r="R15" s="544" t="str">
        <f>'P-pkn'!CD18</f>
        <v>C</v>
      </c>
      <c r="S15" s="544">
        <f>'P-BI'!DP18</f>
        <v>80</v>
      </c>
      <c r="T15" s="544" t="str">
        <f>'P-BI'!DQ18</f>
        <v>C</v>
      </c>
      <c r="U15" s="544">
        <f>'P MTK'!FP18</f>
        <v>82</v>
      </c>
      <c r="V15" s="544" t="str">
        <f>'P MTK'!FQ18</f>
        <v>C</v>
      </c>
      <c r="W15" s="544">
        <f>'P-IPA'!DP18</f>
        <v>81</v>
      </c>
      <c r="X15" s="544" t="str">
        <f>'P-IPA'!DQ18</f>
        <v>C</v>
      </c>
      <c r="Y15" s="544">
        <f>'P-IPS'!DP18</f>
        <v>79</v>
      </c>
      <c r="Z15" s="544" t="str">
        <f>'P-IPS'!DQ18</f>
        <v>C</v>
      </c>
      <c r="AA15" s="544">
        <f>'P-SBDP'!DP18</f>
        <v>80</v>
      </c>
      <c r="AB15" s="544" t="str">
        <f>'P-SBDP'!DQ18</f>
        <v>C</v>
      </c>
      <c r="AC15" s="544">
        <f>'P-PJOK'!C16</f>
        <v>83</v>
      </c>
      <c r="AD15" s="544" t="str">
        <f>'P-PJOK'!D16</f>
        <v>B</v>
      </c>
      <c r="AE15" s="544">
        <f>'P-BJAWA'!AV18</f>
        <v>77</v>
      </c>
      <c r="AF15" s="544" t="str">
        <f>'P-BJAWA'!AW18</f>
        <v>C</v>
      </c>
      <c r="AG15" s="383" t="str">
        <f t="shared" si="0"/>
        <v xml:space="preserve"> </v>
      </c>
      <c r="AH15" s="544" t="e">
        <f t="shared" si="1"/>
        <v>#VALUE!</v>
      </c>
      <c r="AI15" s="65"/>
    </row>
    <row r="16" spans="1:35">
      <c r="A16" s="66">
        <v>12</v>
      </c>
      <c r="B16" s="382" t="str">
        <f>SISWA!B17</f>
        <v>Oktafiya Duwi Safitri</v>
      </c>
      <c r="C16" s="544" t="e">
        <f>#REF!</f>
        <v>#REF!</v>
      </c>
      <c r="D16" s="544" t="e">
        <f>#REF!</f>
        <v>#REF!</v>
      </c>
      <c r="E16" s="544" t="e">
        <f>#REF!</f>
        <v>#REF!</v>
      </c>
      <c r="F16" s="544" t="e">
        <f>#REF!</f>
        <v>#REF!</v>
      </c>
      <c r="G16" s="544" t="e">
        <f>#REF!</f>
        <v>#REF!</v>
      </c>
      <c r="H16" s="544" t="e">
        <f>#REF!</f>
        <v>#REF!</v>
      </c>
      <c r="I16" s="544" t="e">
        <f>#REF!</f>
        <v>#REF!</v>
      </c>
      <c r="J16" s="544" t="e">
        <f>#REF!</f>
        <v>#REF!</v>
      </c>
      <c r="K16" s="544" t="e">
        <f>#REF!</f>
        <v>#REF!</v>
      </c>
      <c r="L16" s="544" t="e">
        <f>#REF!</f>
        <v>#REF!</v>
      </c>
      <c r="M16" s="544" t="e">
        <f>#REF!</f>
        <v>#REF!</v>
      </c>
      <c r="N16" s="544" t="e">
        <f>#REF!</f>
        <v>#REF!</v>
      </c>
      <c r="O16" s="544" t="e">
        <f>#REF!</f>
        <v>#REF!</v>
      </c>
      <c r="P16" s="544" t="e">
        <f>#REF!</f>
        <v>#REF!</v>
      </c>
      <c r="Q16" s="544">
        <f>'P-pkn'!CC19</f>
        <v>76</v>
      </c>
      <c r="R16" s="544" t="str">
        <f>'P-pkn'!CD19</f>
        <v>C</v>
      </c>
      <c r="S16" s="544">
        <f>'P-BI'!DP19</f>
        <v>76</v>
      </c>
      <c r="T16" s="544" t="str">
        <f>'P-BI'!DQ19</f>
        <v>C</v>
      </c>
      <c r="U16" s="544">
        <f>'P MTK'!FP19</f>
        <v>77</v>
      </c>
      <c r="V16" s="544" t="str">
        <f>'P MTK'!FQ19</f>
        <v>C</v>
      </c>
      <c r="W16" s="544">
        <f>'P-IPA'!DP19</f>
        <v>75</v>
      </c>
      <c r="X16" s="544" t="str">
        <f>'P-IPA'!DQ19</f>
        <v>C</v>
      </c>
      <c r="Y16" s="544">
        <f>'P-IPS'!DP19</f>
        <v>75</v>
      </c>
      <c r="Z16" s="544" t="str">
        <f>'P-IPS'!DQ19</f>
        <v>C</v>
      </c>
      <c r="AA16" s="544">
        <f>'P-SBDP'!DP19</f>
        <v>76</v>
      </c>
      <c r="AB16" s="544" t="str">
        <f>'P-SBDP'!DQ19</f>
        <v>C</v>
      </c>
      <c r="AC16" s="544">
        <f>'P-PJOK'!C17</f>
        <v>82</v>
      </c>
      <c r="AD16" s="544" t="str">
        <f>'P-PJOK'!D17</f>
        <v>B</v>
      </c>
      <c r="AE16" s="544">
        <f>'P-BJAWA'!AV19</f>
        <v>76</v>
      </c>
      <c r="AF16" s="544" t="str">
        <f>'P-BJAWA'!AW19</f>
        <v>C</v>
      </c>
      <c r="AG16" s="383" t="str">
        <f t="shared" si="0"/>
        <v xml:space="preserve"> </v>
      </c>
      <c r="AH16" s="544" t="e">
        <f t="shared" si="1"/>
        <v>#VALUE!</v>
      </c>
      <c r="AI16" s="65"/>
    </row>
    <row r="17" spans="1:35">
      <c r="A17" s="66">
        <v>13</v>
      </c>
      <c r="B17" s="382" t="str">
        <f>SISWA!B18</f>
        <v>Prastika Guntur Firmansyah</v>
      </c>
      <c r="C17" s="544" t="e">
        <f>#REF!</f>
        <v>#REF!</v>
      </c>
      <c r="D17" s="544" t="e">
        <f>#REF!</f>
        <v>#REF!</v>
      </c>
      <c r="E17" s="544" t="e">
        <f>#REF!</f>
        <v>#REF!</v>
      </c>
      <c r="F17" s="544" t="e">
        <f>#REF!</f>
        <v>#REF!</v>
      </c>
      <c r="G17" s="544" t="e">
        <f>#REF!</f>
        <v>#REF!</v>
      </c>
      <c r="H17" s="544" t="e">
        <f>#REF!</f>
        <v>#REF!</v>
      </c>
      <c r="I17" s="544" t="e">
        <f>#REF!</f>
        <v>#REF!</v>
      </c>
      <c r="J17" s="544" t="e">
        <f>#REF!</f>
        <v>#REF!</v>
      </c>
      <c r="K17" s="544" t="e">
        <f>#REF!</f>
        <v>#REF!</v>
      </c>
      <c r="L17" s="544" t="e">
        <f>#REF!</f>
        <v>#REF!</v>
      </c>
      <c r="M17" s="544" t="e">
        <f>#REF!</f>
        <v>#REF!</v>
      </c>
      <c r="N17" s="544" t="e">
        <f>#REF!</f>
        <v>#REF!</v>
      </c>
      <c r="O17" s="544" t="e">
        <f>#REF!</f>
        <v>#REF!</v>
      </c>
      <c r="P17" s="544" t="e">
        <f>#REF!</f>
        <v>#REF!</v>
      </c>
      <c r="Q17" s="544">
        <f>'P-pkn'!CC20</f>
        <v>87</v>
      </c>
      <c r="R17" s="544" t="str">
        <f>'P-pkn'!CD20</f>
        <v>B</v>
      </c>
      <c r="S17" s="544">
        <f>'P-BI'!DP20</f>
        <v>81</v>
      </c>
      <c r="T17" s="544" t="str">
        <f>'P-BI'!DQ20</f>
        <v>C</v>
      </c>
      <c r="U17" s="544">
        <f>'P MTK'!FP20</f>
        <v>78</v>
      </c>
      <c r="V17" s="544" t="str">
        <f>'P MTK'!FQ20</f>
        <v>C</v>
      </c>
      <c r="W17" s="544">
        <f>'P-IPA'!DP20</f>
        <v>82</v>
      </c>
      <c r="X17" s="544" t="str">
        <f>'P-IPA'!DQ20</f>
        <v>C</v>
      </c>
      <c r="Y17" s="544">
        <f>'P-IPS'!DP20</f>
        <v>81</v>
      </c>
      <c r="Z17" s="544" t="str">
        <f>'P-IPS'!DQ20</f>
        <v>C</v>
      </c>
      <c r="AA17" s="544">
        <f>'P-SBDP'!DP20</f>
        <v>85</v>
      </c>
      <c r="AB17" s="544" t="str">
        <f>'P-SBDP'!DQ20</f>
        <v>B</v>
      </c>
      <c r="AC17" s="544">
        <f>'P-PJOK'!C18</f>
        <v>83</v>
      </c>
      <c r="AD17" s="544" t="str">
        <f>'P-PJOK'!D18</f>
        <v>B</v>
      </c>
      <c r="AE17" s="544">
        <f>'P-BJAWA'!AV20</f>
        <v>78</v>
      </c>
      <c r="AF17" s="544" t="str">
        <f>'P-BJAWA'!AW20</f>
        <v>C</v>
      </c>
      <c r="AG17" s="383" t="str">
        <f t="shared" si="0"/>
        <v xml:space="preserve"> </v>
      </c>
      <c r="AH17" s="544" t="e">
        <f t="shared" si="1"/>
        <v>#VALUE!</v>
      </c>
      <c r="AI17" s="65"/>
    </row>
    <row r="18" spans="1:35">
      <c r="A18" s="66">
        <v>14</v>
      </c>
      <c r="B18" s="382" t="str">
        <f>SISWA!B19</f>
        <v>Siti Musyafiani</v>
      </c>
      <c r="C18" s="544" t="e">
        <f>#REF!</f>
        <v>#REF!</v>
      </c>
      <c r="D18" s="544" t="e">
        <f>#REF!</f>
        <v>#REF!</v>
      </c>
      <c r="E18" s="544" t="e">
        <f>#REF!</f>
        <v>#REF!</v>
      </c>
      <c r="F18" s="544" t="e">
        <f>#REF!</f>
        <v>#REF!</v>
      </c>
      <c r="G18" s="544" t="e">
        <f>#REF!</f>
        <v>#REF!</v>
      </c>
      <c r="H18" s="544" t="e">
        <f>#REF!</f>
        <v>#REF!</v>
      </c>
      <c r="I18" s="544" t="e">
        <f>#REF!</f>
        <v>#REF!</v>
      </c>
      <c r="J18" s="544" t="e">
        <f>#REF!</f>
        <v>#REF!</v>
      </c>
      <c r="K18" s="544" t="e">
        <f>#REF!</f>
        <v>#REF!</v>
      </c>
      <c r="L18" s="544" t="e">
        <f>#REF!</f>
        <v>#REF!</v>
      </c>
      <c r="M18" s="544" t="e">
        <f>#REF!</f>
        <v>#REF!</v>
      </c>
      <c r="N18" s="544" t="e">
        <f>#REF!</f>
        <v>#REF!</v>
      </c>
      <c r="O18" s="544" t="e">
        <f>#REF!</f>
        <v>#REF!</v>
      </c>
      <c r="P18" s="544" t="e">
        <f>#REF!</f>
        <v>#REF!</v>
      </c>
      <c r="Q18" s="544">
        <f>'P-pkn'!CC21</f>
        <v>79</v>
      </c>
      <c r="R18" s="544" t="str">
        <f>'P-pkn'!CD21</f>
        <v>C</v>
      </c>
      <c r="S18" s="544">
        <f>'P-BI'!DP21</f>
        <v>79</v>
      </c>
      <c r="T18" s="544" t="str">
        <f>'P-BI'!DQ21</f>
        <v>C</v>
      </c>
      <c r="U18" s="544">
        <f>'P MTK'!FP21</f>
        <v>79</v>
      </c>
      <c r="V18" s="544" t="str">
        <f>'P MTK'!FQ21</f>
        <v>C</v>
      </c>
      <c r="W18" s="544">
        <f>'P-IPA'!DP21</f>
        <v>79</v>
      </c>
      <c r="X18" s="544" t="str">
        <f>'P-IPA'!DQ21</f>
        <v>C</v>
      </c>
      <c r="Y18" s="544">
        <f>'P-IPS'!DP21</f>
        <v>77</v>
      </c>
      <c r="Z18" s="544" t="str">
        <f>'P-IPS'!DQ21</f>
        <v>C</v>
      </c>
      <c r="AA18" s="544">
        <f>'P-SBDP'!DP21</f>
        <v>84</v>
      </c>
      <c r="AB18" s="544" t="str">
        <f>'P-SBDP'!DQ21</f>
        <v>B</v>
      </c>
      <c r="AC18" s="544">
        <f>'P-PJOK'!C19</f>
        <v>83</v>
      </c>
      <c r="AD18" s="544" t="str">
        <f>'P-PJOK'!D19</f>
        <v>B</v>
      </c>
      <c r="AE18" s="544">
        <f>'P-BJAWA'!AV21</f>
        <v>78</v>
      </c>
      <c r="AF18" s="544" t="str">
        <f>'P-BJAWA'!AW21</f>
        <v>C</v>
      </c>
      <c r="AG18" s="383" t="str">
        <f t="shared" si="0"/>
        <v xml:space="preserve"> </v>
      </c>
      <c r="AH18" s="544" t="e">
        <f t="shared" si="1"/>
        <v>#VALUE!</v>
      </c>
      <c r="AI18" s="65"/>
    </row>
    <row r="19" spans="1:35">
      <c r="A19" s="66">
        <v>15</v>
      </c>
      <c r="B19" s="382" t="str">
        <f>SISWA!B20</f>
        <v>Tegar Arya Pangestu</v>
      </c>
      <c r="C19" s="544" t="e">
        <f>#REF!</f>
        <v>#REF!</v>
      </c>
      <c r="D19" s="544" t="e">
        <f>#REF!</f>
        <v>#REF!</v>
      </c>
      <c r="E19" s="544" t="e">
        <f>#REF!</f>
        <v>#REF!</v>
      </c>
      <c r="F19" s="544" t="e">
        <f>#REF!</f>
        <v>#REF!</v>
      </c>
      <c r="G19" s="544" t="e">
        <f>#REF!</f>
        <v>#REF!</v>
      </c>
      <c r="H19" s="544" t="e">
        <f>#REF!</f>
        <v>#REF!</v>
      </c>
      <c r="I19" s="544" t="e">
        <f>#REF!</f>
        <v>#REF!</v>
      </c>
      <c r="J19" s="544" t="e">
        <f>#REF!</f>
        <v>#REF!</v>
      </c>
      <c r="K19" s="544" t="e">
        <f>#REF!</f>
        <v>#REF!</v>
      </c>
      <c r="L19" s="544" t="e">
        <f>#REF!</f>
        <v>#REF!</v>
      </c>
      <c r="M19" s="544" t="e">
        <f>#REF!</f>
        <v>#REF!</v>
      </c>
      <c r="N19" s="544" t="e">
        <f>#REF!</f>
        <v>#REF!</v>
      </c>
      <c r="O19" s="544" t="e">
        <f>#REF!</f>
        <v>#REF!</v>
      </c>
      <c r="P19" s="544" t="e">
        <f>#REF!</f>
        <v>#REF!</v>
      </c>
      <c r="Q19" s="544">
        <f>'P-pkn'!CC22</f>
        <v>84</v>
      </c>
      <c r="R19" s="544" t="str">
        <f>'P-pkn'!CD22</f>
        <v>B</v>
      </c>
      <c r="S19" s="544">
        <f>'P-BI'!DP22</f>
        <v>83</v>
      </c>
      <c r="T19" s="544" t="str">
        <f>'P-BI'!DQ22</f>
        <v>B</v>
      </c>
      <c r="U19" s="544">
        <f>'P MTK'!FP22</f>
        <v>79</v>
      </c>
      <c r="V19" s="544" t="str">
        <f>'P MTK'!FQ22</f>
        <v>C</v>
      </c>
      <c r="W19" s="544">
        <f>'P-IPA'!DP22</f>
        <v>83</v>
      </c>
      <c r="X19" s="544" t="str">
        <f>'P-IPA'!DQ22</f>
        <v>B</v>
      </c>
      <c r="Y19" s="544">
        <f>'P-IPS'!DP22</f>
        <v>80</v>
      </c>
      <c r="Z19" s="544" t="str">
        <f>'P-IPS'!DQ22</f>
        <v>C</v>
      </c>
      <c r="AA19" s="544">
        <f>'P-SBDP'!DP22</f>
        <v>84</v>
      </c>
      <c r="AB19" s="544" t="str">
        <f>'P-SBDP'!DQ22</f>
        <v>B</v>
      </c>
      <c r="AC19" s="544">
        <f>'P-PJOK'!C20</f>
        <v>83</v>
      </c>
      <c r="AD19" s="544" t="str">
        <f>'P-PJOK'!D20</f>
        <v>B</v>
      </c>
      <c r="AE19" s="544">
        <f>'P-BJAWA'!AV22</f>
        <v>78</v>
      </c>
      <c r="AF19" s="544" t="str">
        <f>'P-BJAWA'!AW22</f>
        <v>C</v>
      </c>
      <c r="AG19" s="383" t="str">
        <f t="shared" si="0"/>
        <v xml:space="preserve"> </v>
      </c>
      <c r="AH19" s="544" t="e">
        <f t="shared" si="1"/>
        <v>#VALUE!</v>
      </c>
      <c r="AI19" s="65"/>
    </row>
    <row r="20" spans="1:35">
      <c r="A20" s="66">
        <v>16</v>
      </c>
      <c r="B20" s="382">
        <f>SISWA!B21</f>
        <v>0</v>
      </c>
      <c r="C20" s="544" t="e">
        <f>#REF!</f>
        <v>#REF!</v>
      </c>
      <c r="D20" s="544" t="e">
        <f>#REF!</f>
        <v>#REF!</v>
      </c>
      <c r="E20" s="544" t="e">
        <f>#REF!</f>
        <v>#REF!</v>
      </c>
      <c r="F20" s="544" t="e">
        <f>#REF!</f>
        <v>#REF!</v>
      </c>
      <c r="G20" s="544" t="e">
        <f>#REF!</f>
        <v>#REF!</v>
      </c>
      <c r="H20" s="544" t="e">
        <f>#REF!</f>
        <v>#REF!</v>
      </c>
      <c r="I20" s="544" t="e">
        <f>#REF!</f>
        <v>#REF!</v>
      </c>
      <c r="J20" s="544" t="e">
        <f>#REF!</f>
        <v>#REF!</v>
      </c>
      <c r="K20" s="544" t="e">
        <f>#REF!</f>
        <v>#REF!</v>
      </c>
      <c r="L20" s="544" t="e">
        <f>#REF!</f>
        <v>#REF!</v>
      </c>
      <c r="M20" s="544" t="e">
        <f>#REF!</f>
        <v>#REF!</v>
      </c>
      <c r="N20" s="544" t="e">
        <f>#REF!</f>
        <v>#REF!</v>
      </c>
      <c r="O20" s="544" t="e">
        <f>#REF!</f>
        <v>#REF!</v>
      </c>
      <c r="P20" s="544" t="e">
        <f>#REF!</f>
        <v>#REF!</v>
      </c>
      <c r="Q20" s="544" t="str">
        <f>'P-pkn'!CC23</f>
        <v xml:space="preserve"> </v>
      </c>
      <c r="R20" s="544" t="str">
        <f>'P-pkn'!CD23</f>
        <v xml:space="preserve">  </v>
      </c>
      <c r="S20" s="544" t="str">
        <f>'P-BI'!DP23</f>
        <v xml:space="preserve"> </v>
      </c>
      <c r="T20" s="544" t="str">
        <f>'P-BI'!DQ23</f>
        <v xml:space="preserve">  </v>
      </c>
      <c r="U20" s="544" t="str">
        <f>'P MTK'!FP23</f>
        <v xml:space="preserve"> </v>
      </c>
      <c r="V20" s="544" t="str">
        <f>'P MTK'!FQ23</f>
        <v xml:space="preserve">  </v>
      </c>
      <c r="W20" s="544" t="str">
        <f>'P-IPA'!DP23</f>
        <v xml:space="preserve"> </v>
      </c>
      <c r="X20" s="544" t="str">
        <f>'P-IPA'!DQ23</f>
        <v xml:space="preserve">  </v>
      </c>
      <c r="Y20" s="544" t="str">
        <f>'P-IPS'!DP23</f>
        <v xml:space="preserve"> </v>
      </c>
      <c r="Z20" s="544" t="str">
        <f>'P-IPS'!DQ23</f>
        <v xml:space="preserve">  </v>
      </c>
      <c r="AA20" s="544" t="str">
        <f>'P-SBDP'!DP23</f>
        <v xml:space="preserve"> </v>
      </c>
      <c r="AB20" s="544" t="str">
        <f>'P-SBDP'!DQ23</f>
        <v xml:space="preserve">  </v>
      </c>
      <c r="AC20" s="544">
        <f>'P-PJOK'!C21</f>
        <v>0</v>
      </c>
      <c r="AD20" s="544">
        <f>'P-PJOK'!D21</f>
        <v>0</v>
      </c>
      <c r="AE20" s="544" t="str">
        <f>'P-BJAWA'!AV23</f>
        <v xml:space="preserve"> </v>
      </c>
      <c r="AF20" s="544" t="str">
        <f>'P-BJAWA'!AW23</f>
        <v xml:space="preserve">  </v>
      </c>
      <c r="AG20" s="383" t="str">
        <f t="shared" si="0"/>
        <v xml:space="preserve"> </v>
      </c>
      <c r="AH20" s="544" t="e">
        <f t="shared" si="1"/>
        <v>#VALUE!</v>
      </c>
      <c r="AI20" s="65"/>
    </row>
    <row r="21" spans="1:35">
      <c r="A21" s="66">
        <v>17</v>
      </c>
      <c r="B21" s="382">
        <f>SISWA!B22</f>
        <v>0</v>
      </c>
      <c r="C21" s="544" t="e">
        <f>#REF!</f>
        <v>#REF!</v>
      </c>
      <c r="D21" s="544" t="e">
        <f>#REF!</f>
        <v>#REF!</v>
      </c>
      <c r="E21" s="544" t="e">
        <f>#REF!</f>
        <v>#REF!</v>
      </c>
      <c r="F21" s="544" t="e">
        <f>#REF!</f>
        <v>#REF!</v>
      </c>
      <c r="G21" s="544" t="e">
        <f>#REF!</f>
        <v>#REF!</v>
      </c>
      <c r="H21" s="544" t="e">
        <f>#REF!</f>
        <v>#REF!</v>
      </c>
      <c r="I21" s="544" t="e">
        <f>#REF!</f>
        <v>#REF!</v>
      </c>
      <c r="J21" s="544" t="e">
        <f>#REF!</f>
        <v>#REF!</v>
      </c>
      <c r="K21" s="544" t="e">
        <f>#REF!</f>
        <v>#REF!</v>
      </c>
      <c r="L21" s="544" t="e">
        <f>#REF!</f>
        <v>#REF!</v>
      </c>
      <c r="M21" s="544" t="e">
        <f>#REF!</f>
        <v>#REF!</v>
      </c>
      <c r="N21" s="544" t="e">
        <f>#REF!</f>
        <v>#REF!</v>
      </c>
      <c r="O21" s="544" t="e">
        <f>#REF!</f>
        <v>#REF!</v>
      </c>
      <c r="P21" s="544" t="e">
        <f>#REF!</f>
        <v>#REF!</v>
      </c>
      <c r="Q21" s="544" t="str">
        <f>'P-pkn'!CC24</f>
        <v xml:space="preserve"> </v>
      </c>
      <c r="R21" s="544" t="str">
        <f>'P-pkn'!CD24</f>
        <v xml:space="preserve">  </v>
      </c>
      <c r="S21" s="544" t="str">
        <f>'P-BI'!DP24</f>
        <v xml:space="preserve"> </v>
      </c>
      <c r="T21" s="544" t="str">
        <f>'P-BI'!DQ24</f>
        <v xml:space="preserve">  </v>
      </c>
      <c r="U21" s="544" t="str">
        <f>'P MTK'!FP24</f>
        <v xml:space="preserve"> </v>
      </c>
      <c r="V21" s="544" t="str">
        <f>'P MTK'!FQ24</f>
        <v xml:space="preserve">  </v>
      </c>
      <c r="W21" s="544" t="str">
        <f>'P-IPA'!DP24</f>
        <v xml:space="preserve"> </v>
      </c>
      <c r="X21" s="544" t="str">
        <f>'P-IPA'!DQ24</f>
        <v xml:space="preserve">  </v>
      </c>
      <c r="Y21" s="544" t="str">
        <f>'P-IPS'!DP24</f>
        <v xml:space="preserve"> </v>
      </c>
      <c r="Z21" s="544" t="str">
        <f>'P-IPS'!DQ24</f>
        <v xml:space="preserve">  </v>
      </c>
      <c r="AA21" s="544" t="str">
        <f>'P-SBDP'!DP24</f>
        <v xml:space="preserve"> </v>
      </c>
      <c r="AB21" s="544" t="str">
        <f>'P-SBDP'!DQ24</f>
        <v xml:space="preserve">  </v>
      </c>
      <c r="AC21" s="544">
        <f>'P-PJOK'!C22</f>
        <v>0</v>
      </c>
      <c r="AD21" s="544">
        <f>'P-PJOK'!D22</f>
        <v>0</v>
      </c>
      <c r="AE21" s="544" t="str">
        <f>'P-BJAWA'!AV24</f>
        <v xml:space="preserve"> </v>
      </c>
      <c r="AF21" s="544" t="str">
        <f>'P-BJAWA'!AW24</f>
        <v xml:space="preserve">  </v>
      </c>
      <c r="AG21" s="383" t="str">
        <f t="shared" si="0"/>
        <v xml:space="preserve"> </v>
      </c>
      <c r="AH21" s="544" t="e">
        <f t="shared" si="1"/>
        <v>#VALUE!</v>
      </c>
      <c r="AI21" s="65"/>
    </row>
    <row r="22" spans="1:35">
      <c r="A22" s="66">
        <v>18</v>
      </c>
      <c r="B22" s="382">
        <f>SISWA!B23</f>
        <v>0</v>
      </c>
      <c r="C22" s="544" t="e">
        <f>#REF!</f>
        <v>#REF!</v>
      </c>
      <c r="D22" s="544" t="e">
        <f>#REF!</f>
        <v>#REF!</v>
      </c>
      <c r="E22" s="544" t="e">
        <f>#REF!</f>
        <v>#REF!</v>
      </c>
      <c r="F22" s="544" t="e">
        <f>#REF!</f>
        <v>#REF!</v>
      </c>
      <c r="G22" s="544" t="e">
        <f>#REF!</f>
        <v>#REF!</v>
      </c>
      <c r="H22" s="544" t="e">
        <f>#REF!</f>
        <v>#REF!</v>
      </c>
      <c r="I22" s="544" t="e">
        <f>#REF!</f>
        <v>#REF!</v>
      </c>
      <c r="J22" s="544" t="e">
        <f>#REF!</f>
        <v>#REF!</v>
      </c>
      <c r="K22" s="544" t="e">
        <f>#REF!</f>
        <v>#REF!</v>
      </c>
      <c r="L22" s="544" t="e">
        <f>#REF!</f>
        <v>#REF!</v>
      </c>
      <c r="M22" s="544" t="e">
        <f>#REF!</f>
        <v>#REF!</v>
      </c>
      <c r="N22" s="544" t="e">
        <f>#REF!</f>
        <v>#REF!</v>
      </c>
      <c r="O22" s="544" t="e">
        <f>#REF!</f>
        <v>#REF!</v>
      </c>
      <c r="P22" s="544" t="e">
        <f>#REF!</f>
        <v>#REF!</v>
      </c>
      <c r="Q22" s="544" t="str">
        <f>'P-pkn'!CC25</f>
        <v xml:space="preserve"> </v>
      </c>
      <c r="R22" s="544" t="str">
        <f>'P-pkn'!CD25</f>
        <v xml:space="preserve">  </v>
      </c>
      <c r="S22" s="544" t="str">
        <f>'P-BI'!DP25</f>
        <v xml:space="preserve"> </v>
      </c>
      <c r="T22" s="544" t="str">
        <f>'P-BI'!DQ25</f>
        <v xml:space="preserve">  </v>
      </c>
      <c r="U22" s="544" t="str">
        <f>'P MTK'!FP25</f>
        <v xml:space="preserve"> </v>
      </c>
      <c r="V22" s="544" t="str">
        <f>'P MTK'!FQ25</f>
        <v xml:space="preserve">  </v>
      </c>
      <c r="W22" s="544" t="str">
        <f>'P-IPA'!DP25</f>
        <v xml:space="preserve"> </v>
      </c>
      <c r="X22" s="544" t="str">
        <f>'P-IPA'!DQ25</f>
        <v xml:space="preserve">  </v>
      </c>
      <c r="Y22" s="544" t="str">
        <f>'P-IPS'!DP25</f>
        <v xml:space="preserve"> </v>
      </c>
      <c r="Z22" s="544" t="str">
        <f>'P-IPS'!DQ25</f>
        <v xml:space="preserve">  </v>
      </c>
      <c r="AA22" s="544" t="str">
        <f>'P-SBDP'!DP25</f>
        <v xml:space="preserve"> </v>
      </c>
      <c r="AB22" s="544" t="str">
        <f>'P-SBDP'!DQ25</f>
        <v xml:space="preserve">  </v>
      </c>
      <c r="AC22" s="544">
        <f>'P-PJOK'!C23</f>
        <v>0</v>
      </c>
      <c r="AD22" s="544">
        <f>'P-PJOK'!D23</f>
        <v>0</v>
      </c>
      <c r="AE22" s="544" t="str">
        <f>'P-BJAWA'!AV25</f>
        <v xml:space="preserve"> </v>
      </c>
      <c r="AF22" s="544" t="str">
        <f>'P-BJAWA'!AW25</f>
        <v xml:space="preserve">  </v>
      </c>
      <c r="AG22" s="383" t="str">
        <f t="shared" si="0"/>
        <v xml:space="preserve"> </v>
      </c>
      <c r="AH22" s="544" t="e">
        <f t="shared" si="1"/>
        <v>#VALUE!</v>
      </c>
      <c r="AI22" s="65"/>
    </row>
    <row r="23" spans="1:35">
      <c r="A23" s="66">
        <v>19</v>
      </c>
      <c r="B23" s="382">
        <f>SISWA!B24</f>
        <v>0</v>
      </c>
      <c r="C23" s="544" t="e">
        <f>#REF!</f>
        <v>#REF!</v>
      </c>
      <c r="D23" s="544" t="e">
        <f>#REF!</f>
        <v>#REF!</v>
      </c>
      <c r="E23" s="544" t="e">
        <f>#REF!</f>
        <v>#REF!</v>
      </c>
      <c r="F23" s="544" t="e">
        <f>#REF!</f>
        <v>#REF!</v>
      </c>
      <c r="G23" s="544" t="e">
        <f>#REF!</f>
        <v>#REF!</v>
      </c>
      <c r="H23" s="544" t="e">
        <f>#REF!</f>
        <v>#REF!</v>
      </c>
      <c r="I23" s="544" t="e">
        <f>#REF!</f>
        <v>#REF!</v>
      </c>
      <c r="J23" s="544" t="e">
        <f>#REF!</f>
        <v>#REF!</v>
      </c>
      <c r="K23" s="544" t="e">
        <f>#REF!</f>
        <v>#REF!</v>
      </c>
      <c r="L23" s="544" t="e">
        <f>#REF!</f>
        <v>#REF!</v>
      </c>
      <c r="M23" s="544" t="e">
        <f>#REF!</f>
        <v>#REF!</v>
      </c>
      <c r="N23" s="544" t="e">
        <f>#REF!</f>
        <v>#REF!</v>
      </c>
      <c r="O23" s="544" t="e">
        <f>#REF!</f>
        <v>#REF!</v>
      </c>
      <c r="P23" s="544" t="e">
        <f>#REF!</f>
        <v>#REF!</v>
      </c>
      <c r="Q23" s="544" t="str">
        <f>'P-pkn'!CC26</f>
        <v xml:space="preserve"> </v>
      </c>
      <c r="R23" s="544" t="str">
        <f>'P-pkn'!CD26</f>
        <v xml:space="preserve">  </v>
      </c>
      <c r="S23" s="544" t="str">
        <f>'P-BI'!DP26</f>
        <v xml:space="preserve"> </v>
      </c>
      <c r="T23" s="544" t="str">
        <f>'P-BI'!DQ26</f>
        <v xml:space="preserve">  </v>
      </c>
      <c r="U23" s="544" t="str">
        <f>'P MTK'!FP26</f>
        <v xml:space="preserve"> </v>
      </c>
      <c r="V23" s="544" t="str">
        <f>'P MTK'!FQ26</f>
        <v xml:space="preserve">  </v>
      </c>
      <c r="W23" s="544" t="str">
        <f>'P-IPA'!DP26</f>
        <v xml:space="preserve"> </v>
      </c>
      <c r="X23" s="544" t="str">
        <f>'P-IPA'!DQ26</f>
        <v xml:space="preserve">  </v>
      </c>
      <c r="Y23" s="544" t="str">
        <f>'P-IPS'!DP26</f>
        <v xml:space="preserve"> </v>
      </c>
      <c r="Z23" s="544" t="str">
        <f>'P-IPS'!DQ26</f>
        <v xml:space="preserve">  </v>
      </c>
      <c r="AA23" s="544" t="str">
        <f>'P-SBDP'!DP26</f>
        <v xml:space="preserve"> </v>
      </c>
      <c r="AB23" s="544" t="str">
        <f>'P-SBDP'!DQ26</f>
        <v xml:space="preserve">  </v>
      </c>
      <c r="AC23" s="544">
        <f>'P-PJOK'!C24</f>
        <v>0</v>
      </c>
      <c r="AD23" s="544">
        <f>'P-PJOK'!D24</f>
        <v>0</v>
      </c>
      <c r="AE23" s="544" t="str">
        <f>'P-BJAWA'!AV26</f>
        <v xml:space="preserve"> </v>
      </c>
      <c r="AF23" s="544" t="str">
        <f>'P-BJAWA'!AW26</f>
        <v xml:space="preserve">  </v>
      </c>
      <c r="AG23" s="383" t="str">
        <f t="shared" si="0"/>
        <v xml:space="preserve"> </v>
      </c>
      <c r="AH23" s="544" t="e">
        <f t="shared" si="1"/>
        <v>#VALUE!</v>
      </c>
      <c r="AI23" s="65"/>
    </row>
    <row r="24" spans="1:35">
      <c r="A24" s="66">
        <v>20</v>
      </c>
      <c r="B24" s="382">
        <f>SISWA!B25</f>
        <v>0</v>
      </c>
      <c r="C24" s="544" t="e">
        <f>#REF!</f>
        <v>#REF!</v>
      </c>
      <c r="D24" s="544" t="e">
        <f>#REF!</f>
        <v>#REF!</v>
      </c>
      <c r="E24" s="544" t="e">
        <f>#REF!</f>
        <v>#REF!</v>
      </c>
      <c r="F24" s="544" t="e">
        <f>#REF!</f>
        <v>#REF!</v>
      </c>
      <c r="G24" s="544" t="e">
        <f>#REF!</f>
        <v>#REF!</v>
      </c>
      <c r="H24" s="544" t="e">
        <f>#REF!</f>
        <v>#REF!</v>
      </c>
      <c r="I24" s="544" t="e">
        <f>#REF!</f>
        <v>#REF!</v>
      </c>
      <c r="J24" s="544" t="e">
        <f>#REF!</f>
        <v>#REF!</v>
      </c>
      <c r="K24" s="544" t="e">
        <f>#REF!</f>
        <v>#REF!</v>
      </c>
      <c r="L24" s="544" t="e">
        <f>#REF!</f>
        <v>#REF!</v>
      </c>
      <c r="M24" s="544" t="e">
        <f>#REF!</f>
        <v>#REF!</v>
      </c>
      <c r="N24" s="544" t="e">
        <f>#REF!</f>
        <v>#REF!</v>
      </c>
      <c r="O24" s="544" t="e">
        <f>#REF!</f>
        <v>#REF!</v>
      </c>
      <c r="P24" s="544" t="e">
        <f>#REF!</f>
        <v>#REF!</v>
      </c>
      <c r="Q24" s="544" t="str">
        <f>'P-pkn'!CC27</f>
        <v xml:space="preserve"> </v>
      </c>
      <c r="R24" s="544" t="str">
        <f>'P-pkn'!CD27</f>
        <v xml:space="preserve">  </v>
      </c>
      <c r="S24" s="544" t="str">
        <f>'P-BI'!DP27</f>
        <v xml:space="preserve"> </v>
      </c>
      <c r="T24" s="544" t="str">
        <f>'P-BI'!DQ27</f>
        <v xml:space="preserve">  </v>
      </c>
      <c r="U24" s="544" t="str">
        <f>'P MTK'!FP27</f>
        <v xml:space="preserve"> </v>
      </c>
      <c r="V24" s="544" t="str">
        <f>'P MTK'!FQ27</f>
        <v xml:space="preserve">  </v>
      </c>
      <c r="W24" s="544" t="str">
        <f>'P-IPA'!DP27</f>
        <v xml:space="preserve"> </v>
      </c>
      <c r="X24" s="544" t="str">
        <f>'P-IPA'!DQ27</f>
        <v xml:space="preserve">  </v>
      </c>
      <c r="Y24" s="544" t="str">
        <f>'P-IPS'!DP27</f>
        <v xml:space="preserve"> </v>
      </c>
      <c r="Z24" s="544" t="str">
        <f>'P-IPS'!DQ27</f>
        <v xml:space="preserve">  </v>
      </c>
      <c r="AA24" s="544" t="str">
        <f>'P-SBDP'!DP27</f>
        <v xml:space="preserve"> </v>
      </c>
      <c r="AB24" s="544" t="str">
        <f>'P-SBDP'!DQ27</f>
        <v xml:space="preserve">  </v>
      </c>
      <c r="AC24" s="544">
        <f>'P-PJOK'!C25</f>
        <v>0</v>
      </c>
      <c r="AD24" s="544">
        <f>'P-PJOK'!D25</f>
        <v>0</v>
      </c>
      <c r="AE24" s="544" t="str">
        <f>'P-BJAWA'!AV27</f>
        <v xml:space="preserve"> </v>
      </c>
      <c r="AF24" s="544" t="str">
        <f>'P-BJAWA'!AW27</f>
        <v xml:space="preserve">  </v>
      </c>
      <c r="AG24" s="383" t="str">
        <f t="shared" si="0"/>
        <v xml:space="preserve"> </v>
      </c>
      <c r="AH24" s="544" t="e">
        <f t="shared" si="1"/>
        <v>#VALUE!</v>
      </c>
      <c r="AI24" s="65"/>
    </row>
    <row r="25" spans="1:35">
      <c r="A25" s="66">
        <v>21</v>
      </c>
      <c r="B25" s="382">
        <f>SISWA!B26</f>
        <v>0</v>
      </c>
      <c r="C25" s="544" t="e">
        <f>#REF!</f>
        <v>#REF!</v>
      </c>
      <c r="D25" s="544" t="e">
        <f>#REF!</f>
        <v>#REF!</v>
      </c>
      <c r="E25" s="544" t="e">
        <f>#REF!</f>
        <v>#REF!</v>
      </c>
      <c r="F25" s="544" t="e">
        <f>#REF!</f>
        <v>#REF!</v>
      </c>
      <c r="G25" s="544" t="e">
        <f>#REF!</f>
        <v>#REF!</v>
      </c>
      <c r="H25" s="544" t="e">
        <f>#REF!</f>
        <v>#REF!</v>
      </c>
      <c r="I25" s="544" t="e">
        <f>#REF!</f>
        <v>#REF!</v>
      </c>
      <c r="J25" s="544" t="e">
        <f>#REF!</f>
        <v>#REF!</v>
      </c>
      <c r="K25" s="544" t="e">
        <f>#REF!</f>
        <v>#REF!</v>
      </c>
      <c r="L25" s="544" t="e">
        <f>#REF!</f>
        <v>#REF!</v>
      </c>
      <c r="M25" s="544" t="e">
        <f>#REF!</f>
        <v>#REF!</v>
      </c>
      <c r="N25" s="544" t="e">
        <f>#REF!</f>
        <v>#REF!</v>
      </c>
      <c r="O25" s="544" t="e">
        <f>#REF!</f>
        <v>#REF!</v>
      </c>
      <c r="P25" s="544" t="e">
        <f>#REF!</f>
        <v>#REF!</v>
      </c>
      <c r="Q25" s="544" t="str">
        <f>'P-pkn'!CC28</f>
        <v xml:space="preserve"> </v>
      </c>
      <c r="R25" s="544" t="str">
        <f>'P-pkn'!CD28</f>
        <v xml:space="preserve">  </v>
      </c>
      <c r="S25" s="544" t="str">
        <f>'P-BI'!DP28</f>
        <v xml:space="preserve"> </v>
      </c>
      <c r="T25" s="544" t="str">
        <f>'P-BI'!DQ28</f>
        <v xml:space="preserve">  </v>
      </c>
      <c r="U25" s="544" t="str">
        <f>'P MTK'!FP28</f>
        <v xml:space="preserve"> </v>
      </c>
      <c r="V25" s="544" t="str">
        <f>'P MTK'!FQ28</f>
        <v xml:space="preserve">  </v>
      </c>
      <c r="W25" s="544" t="str">
        <f>'P-IPA'!DP28</f>
        <v xml:space="preserve"> </v>
      </c>
      <c r="X25" s="544" t="str">
        <f>'P-IPA'!DQ28</f>
        <v xml:space="preserve">  </v>
      </c>
      <c r="Y25" s="544" t="str">
        <f>'P-IPS'!DP28</f>
        <v xml:space="preserve"> </v>
      </c>
      <c r="Z25" s="544" t="str">
        <f>'P-IPS'!DQ28</f>
        <v xml:space="preserve">  </v>
      </c>
      <c r="AA25" s="544" t="str">
        <f>'P-SBDP'!DP28</f>
        <v xml:space="preserve"> </v>
      </c>
      <c r="AB25" s="544" t="str">
        <f>'P-SBDP'!DQ28</f>
        <v xml:space="preserve">  </v>
      </c>
      <c r="AC25" s="544">
        <f>'P-PJOK'!C26</f>
        <v>0</v>
      </c>
      <c r="AD25" s="544">
        <f>'P-PJOK'!D26</f>
        <v>0</v>
      </c>
      <c r="AE25" s="544" t="str">
        <f>'P-BJAWA'!AV28</f>
        <v xml:space="preserve"> </v>
      </c>
      <c r="AF25" s="544" t="str">
        <f>'P-BJAWA'!AW28</f>
        <v xml:space="preserve">  </v>
      </c>
      <c r="AG25" s="383" t="str">
        <f t="shared" si="0"/>
        <v xml:space="preserve"> </v>
      </c>
      <c r="AH25" s="544" t="e">
        <f t="shared" si="1"/>
        <v>#VALUE!</v>
      </c>
      <c r="AI25" s="65"/>
    </row>
    <row r="26" spans="1:35">
      <c r="A26" s="66">
        <v>22</v>
      </c>
      <c r="B26" s="382">
        <f>SISWA!B27</f>
        <v>0</v>
      </c>
      <c r="C26" s="544" t="e">
        <f>#REF!</f>
        <v>#REF!</v>
      </c>
      <c r="D26" s="544" t="e">
        <f>#REF!</f>
        <v>#REF!</v>
      </c>
      <c r="E26" s="544" t="e">
        <f>#REF!</f>
        <v>#REF!</v>
      </c>
      <c r="F26" s="544" t="e">
        <f>#REF!</f>
        <v>#REF!</v>
      </c>
      <c r="G26" s="544" t="e">
        <f>#REF!</f>
        <v>#REF!</v>
      </c>
      <c r="H26" s="544" t="e">
        <f>#REF!</f>
        <v>#REF!</v>
      </c>
      <c r="I26" s="544" t="e">
        <f>#REF!</f>
        <v>#REF!</v>
      </c>
      <c r="J26" s="544" t="e">
        <f>#REF!</f>
        <v>#REF!</v>
      </c>
      <c r="K26" s="544" t="e">
        <f>#REF!</f>
        <v>#REF!</v>
      </c>
      <c r="L26" s="544" t="e">
        <f>#REF!</f>
        <v>#REF!</v>
      </c>
      <c r="M26" s="544" t="e">
        <f>#REF!</f>
        <v>#REF!</v>
      </c>
      <c r="N26" s="544" t="e">
        <f>#REF!</f>
        <v>#REF!</v>
      </c>
      <c r="O26" s="544" t="e">
        <f>#REF!</f>
        <v>#REF!</v>
      </c>
      <c r="P26" s="544" t="e">
        <f>#REF!</f>
        <v>#REF!</v>
      </c>
      <c r="Q26" s="544" t="str">
        <f>'P-pkn'!CC29</f>
        <v xml:space="preserve"> </v>
      </c>
      <c r="R26" s="544" t="str">
        <f>'P-pkn'!CD29</f>
        <v xml:space="preserve">  </v>
      </c>
      <c r="S26" s="544" t="str">
        <f>'P-BI'!DP29</f>
        <v xml:space="preserve"> </v>
      </c>
      <c r="T26" s="544" t="str">
        <f>'P-BI'!DQ29</f>
        <v xml:space="preserve">  </v>
      </c>
      <c r="U26" s="544" t="str">
        <f>'P MTK'!FP29</f>
        <v xml:space="preserve"> </v>
      </c>
      <c r="V26" s="544" t="str">
        <f>'P MTK'!FQ29</f>
        <v xml:space="preserve">  </v>
      </c>
      <c r="W26" s="544" t="str">
        <f>'P-IPA'!DP29</f>
        <v xml:space="preserve"> </v>
      </c>
      <c r="X26" s="544" t="str">
        <f>'P-IPA'!DQ29</f>
        <v xml:space="preserve">  </v>
      </c>
      <c r="Y26" s="544" t="str">
        <f>'P-IPS'!DP29</f>
        <v xml:space="preserve"> </v>
      </c>
      <c r="Z26" s="544" t="str">
        <f>'P-IPS'!DQ29</f>
        <v xml:space="preserve">  </v>
      </c>
      <c r="AA26" s="544" t="str">
        <f>'P-SBDP'!DP29</f>
        <v xml:space="preserve"> </v>
      </c>
      <c r="AB26" s="544" t="str">
        <f>'P-SBDP'!DQ29</f>
        <v xml:space="preserve">  </v>
      </c>
      <c r="AC26" s="544">
        <f>'P-PJOK'!C27</f>
        <v>0</v>
      </c>
      <c r="AD26" s="544">
        <f>'P-PJOK'!D27</f>
        <v>0</v>
      </c>
      <c r="AE26" s="544" t="str">
        <f>'P-BJAWA'!AV29</f>
        <v xml:space="preserve"> </v>
      </c>
      <c r="AF26" s="544" t="str">
        <f>'P-BJAWA'!AW29</f>
        <v xml:space="preserve">  </v>
      </c>
      <c r="AG26" s="383" t="str">
        <f t="shared" si="0"/>
        <v xml:space="preserve"> </v>
      </c>
      <c r="AH26" s="544" t="e">
        <f t="shared" si="1"/>
        <v>#VALUE!</v>
      </c>
      <c r="AI26" s="65"/>
    </row>
    <row r="27" spans="1:35">
      <c r="A27" s="66">
        <v>23</v>
      </c>
      <c r="B27" s="382">
        <f>SISWA!B28</f>
        <v>0</v>
      </c>
      <c r="C27" s="544" t="e">
        <f>#REF!</f>
        <v>#REF!</v>
      </c>
      <c r="D27" s="544" t="e">
        <f>#REF!</f>
        <v>#REF!</v>
      </c>
      <c r="E27" s="544" t="e">
        <f>#REF!</f>
        <v>#REF!</v>
      </c>
      <c r="F27" s="544" t="e">
        <f>#REF!</f>
        <v>#REF!</v>
      </c>
      <c r="G27" s="544" t="e">
        <f>#REF!</f>
        <v>#REF!</v>
      </c>
      <c r="H27" s="544" t="e">
        <f>#REF!</f>
        <v>#REF!</v>
      </c>
      <c r="I27" s="544" t="e">
        <f>#REF!</f>
        <v>#REF!</v>
      </c>
      <c r="J27" s="544" t="e">
        <f>#REF!</f>
        <v>#REF!</v>
      </c>
      <c r="K27" s="544" t="e">
        <f>#REF!</f>
        <v>#REF!</v>
      </c>
      <c r="L27" s="544" t="e">
        <f>#REF!</f>
        <v>#REF!</v>
      </c>
      <c r="M27" s="544" t="e">
        <f>#REF!</f>
        <v>#REF!</v>
      </c>
      <c r="N27" s="544" t="e">
        <f>#REF!</f>
        <v>#REF!</v>
      </c>
      <c r="O27" s="544" t="e">
        <f>#REF!</f>
        <v>#REF!</v>
      </c>
      <c r="P27" s="544" t="e">
        <f>#REF!</f>
        <v>#REF!</v>
      </c>
      <c r="Q27" s="544" t="str">
        <f>'P-pkn'!CC30</f>
        <v xml:space="preserve"> </v>
      </c>
      <c r="R27" s="544" t="str">
        <f>'P-pkn'!CD30</f>
        <v xml:space="preserve">  </v>
      </c>
      <c r="S27" s="544" t="str">
        <f>'P-BI'!DP30</f>
        <v xml:space="preserve"> </v>
      </c>
      <c r="T27" s="544" t="str">
        <f>'P-BI'!DQ30</f>
        <v xml:space="preserve">  </v>
      </c>
      <c r="U27" s="544" t="str">
        <f>'P MTK'!FP30</f>
        <v xml:space="preserve"> </v>
      </c>
      <c r="V27" s="544" t="str">
        <f>'P MTK'!FQ30</f>
        <v xml:space="preserve">  </v>
      </c>
      <c r="W27" s="544" t="str">
        <f>'P-IPA'!DP30</f>
        <v xml:space="preserve"> </v>
      </c>
      <c r="X27" s="544" t="str">
        <f>'P-IPA'!DQ30</f>
        <v xml:space="preserve">  </v>
      </c>
      <c r="Y27" s="544" t="str">
        <f>'P-IPS'!DP30</f>
        <v xml:space="preserve"> </v>
      </c>
      <c r="Z27" s="544" t="str">
        <f>'P-IPS'!DQ30</f>
        <v xml:space="preserve">  </v>
      </c>
      <c r="AA27" s="544" t="str">
        <f>'P-SBDP'!DP30</f>
        <v xml:space="preserve"> </v>
      </c>
      <c r="AB27" s="544" t="str">
        <f>'P-SBDP'!DQ30</f>
        <v xml:space="preserve">  </v>
      </c>
      <c r="AC27" s="544">
        <f>'P-PJOK'!C28</f>
        <v>0</v>
      </c>
      <c r="AD27" s="544">
        <f>'P-PJOK'!D28</f>
        <v>0</v>
      </c>
      <c r="AE27" s="544" t="str">
        <f>'P-BJAWA'!AV30</f>
        <v xml:space="preserve"> </v>
      </c>
      <c r="AF27" s="544" t="str">
        <f>'P-BJAWA'!AW30</f>
        <v xml:space="preserve">  </v>
      </c>
      <c r="AG27" s="383" t="str">
        <f t="shared" si="0"/>
        <v xml:space="preserve"> </v>
      </c>
      <c r="AH27" s="544" t="e">
        <f t="shared" si="1"/>
        <v>#VALUE!</v>
      </c>
      <c r="AI27" s="65"/>
    </row>
    <row r="28" spans="1:35">
      <c r="A28" s="66">
        <v>24</v>
      </c>
      <c r="B28" s="382">
        <f>SISWA!B29</f>
        <v>0</v>
      </c>
      <c r="C28" s="544" t="e">
        <f>#REF!</f>
        <v>#REF!</v>
      </c>
      <c r="D28" s="544" t="e">
        <f>#REF!</f>
        <v>#REF!</v>
      </c>
      <c r="E28" s="544" t="e">
        <f>#REF!</f>
        <v>#REF!</v>
      </c>
      <c r="F28" s="544" t="e">
        <f>#REF!</f>
        <v>#REF!</v>
      </c>
      <c r="G28" s="544" t="e">
        <f>#REF!</f>
        <v>#REF!</v>
      </c>
      <c r="H28" s="544" t="e">
        <f>#REF!</f>
        <v>#REF!</v>
      </c>
      <c r="I28" s="544" t="e">
        <f>#REF!</f>
        <v>#REF!</v>
      </c>
      <c r="J28" s="544" t="e">
        <f>#REF!</f>
        <v>#REF!</v>
      </c>
      <c r="K28" s="544" t="e">
        <f>#REF!</f>
        <v>#REF!</v>
      </c>
      <c r="L28" s="544" t="e">
        <f>#REF!</f>
        <v>#REF!</v>
      </c>
      <c r="M28" s="544" t="e">
        <f>#REF!</f>
        <v>#REF!</v>
      </c>
      <c r="N28" s="544" t="e">
        <f>#REF!</f>
        <v>#REF!</v>
      </c>
      <c r="O28" s="544" t="e">
        <f>#REF!</f>
        <v>#REF!</v>
      </c>
      <c r="P28" s="544" t="e">
        <f>#REF!</f>
        <v>#REF!</v>
      </c>
      <c r="Q28" s="544" t="str">
        <f>'P-pkn'!CC31</f>
        <v xml:space="preserve"> </v>
      </c>
      <c r="R28" s="544" t="str">
        <f>'P-pkn'!CD31</f>
        <v xml:space="preserve">  </v>
      </c>
      <c r="S28" s="544" t="str">
        <f>'P-BI'!DP31</f>
        <v xml:space="preserve"> </v>
      </c>
      <c r="T28" s="544" t="str">
        <f>'P-BI'!DQ31</f>
        <v xml:space="preserve">  </v>
      </c>
      <c r="U28" s="544" t="str">
        <f>'P MTK'!FP31</f>
        <v xml:space="preserve"> </v>
      </c>
      <c r="V28" s="544" t="str">
        <f>'P MTK'!FQ31</f>
        <v xml:space="preserve">  </v>
      </c>
      <c r="W28" s="544" t="str">
        <f>'P-IPA'!DP31</f>
        <v xml:space="preserve"> </v>
      </c>
      <c r="X28" s="544" t="str">
        <f>'P-IPA'!DQ31</f>
        <v xml:space="preserve">  </v>
      </c>
      <c r="Y28" s="544" t="str">
        <f>'P-IPS'!DP31</f>
        <v xml:space="preserve"> </v>
      </c>
      <c r="Z28" s="544" t="str">
        <f>'P-IPS'!DQ31</f>
        <v xml:space="preserve">  </v>
      </c>
      <c r="AA28" s="544" t="str">
        <f>'P-SBDP'!DP31</f>
        <v xml:space="preserve"> </v>
      </c>
      <c r="AB28" s="544" t="str">
        <f>'P-SBDP'!DQ31</f>
        <v xml:space="preserve">  </v>
      </c>
      <c r="AC28" s="544">
        <f>'P-PJOK'!C29</f>
        <v>0</v>
      </c>
      <c r="AD28" s="544">
        <f>'P-PJOK'!D29</f>
        <v>0</v>
      </c>
      <c r="AE28" s="544" t="str">
        <f>'P-BJAWA'!AV31</f>
        <v xml:space="preserve"> </v>
      </c>
      <c r="AF28" s="544" t="str">
        <f>'P-BJAWA'!AW31</f>
        <v xml:space="preserve">  </v>
      </c>
      <c r="AG28" s="383" t="str">
        <f t="shared" si="0"/>
        <v xml:space="preserve"> </v>
      </c>
      <c r="AH28" s="544" t="e">
        <f t="shared" si="1"/>
        <v>#VALUE!</v>
      </c>
      <c r="AI28" s="65"/>
    </row>
    <row r="29" spans="1:35">
      <c r="A29" s="66">
        <v>25</v>
      </c>
      <c r="B29" s="382">
        <f>SISWA!B30</f>
        <v>0</v>
      </c>
      <c r="C29" s="544" t="e">
        <f>#REF!</f>
        <v>#REF!</v>
      </c>
      <c r="D29" s="544" t="e">
        <f>#REF!</f>
        <v>#REF!</v>
      </c>
      <c r="E29" s="544" t="e">
        <f>#REF!</f>
        <v>#REF!</v>
      </c>
      <c r="F29" s="544" t="e">
        <f>#REF!</f>
        <v>#REF!</v>
      </c>
      <c r="G29" s="544" t="e">
        <f>#REF!</f>
        <v>#REF!</v>
      </c>
      <c r="H29" s="544" t="e">
        <f>#REF!</f>
        <v>#REF!</v>
      </c>
      <c r="I29" s="544" t="e">
        <f>#REF!</f>
        <v>#REF!</v>
      </c>
      <c r="J29" s="544" t="e">
        <f>#REF!</f>
        <v>#REF!</v>
      </c>
      <c r="K29" s="544" t="e">
        <f>#REF!</f>
        <v>#REF!</v>
      </c>
      <c r="L29" s="544" t="e">
        <f>#REF!</f>
        <v>#REF!</v>
      </c>
      <c r="M29" s="544" t="e">
        <f>#REF!</f>
        <v>#REF!</v>
      </c>
      <c r="N29" s="544" t="e">
        <f>#REF!</f>
        <v>#REF!</v>
      </c>
      <c r="O29" s="544" t="e">
        <f>#REF!</f>
        <v>#REF!</v>
      </c>
      <c r="P29" s="544" t="e">
        <f>#REF!</f>
        <v>#REF!</v>
      </c>
      <c r="Q29" s="544" t="str">
        <f>'P-pkn'!CC32</f>
        <v xml:space="preserve"> </v>
      </c>
      <c r="R29" s="544" t="str">
        <f>'P-pkn'!CD32</f>
        <v xml:space="preserve">  </v>
      </c>
      <c r="S29" s="544" t="str">
        <f>'P-BI'!DP32</f>
        <v xml:space="preserve"> </v>
      </c>
      <c r="T29" s="544" t="str">
        <f>'P-BI'!DQ32</f>
        <v xml:space="preserve">  </v>
      </c>
      <c r="U29" s="544" t="str">
        <f>'P MTK'!FP32</f>
        <v xml:space="preserve"> </v>
      </c>
      <c r="V29" s="544" t="str">
        <f>'P MTK'!FQ32</f>
        <v xml:space="preserve">  </v>
      </c>
      <c r="W29" s="544" t="str">
        <f>'P-IPA'!DP32</f>
        <v xml:space="preserve"> </v>
      </c>
      <c r="X29" s="544" t="str">
        <f>'P-IPA'!DQ32</f>
        <v xml:space="preserve">  </v>
      </c>
      <c r="Y29" s="544" t="str">
        <f>'P-IPS'!DP32</f>
        <v xml:space="preserve"> </v>
      </c>
      <c r="Z29" s="544" t="str">
        <f>'P-IPS'!DQ32</f>
        <v xml:space="preserve">  </v>
      </c>
      <c r="AA29" s="544" t="str">
        <f>'P-SBDP'!DP32</f>
        <v xml:space="preserve"> </v>
      </c>
      <c r="AB29" s="544" t="str">
        <f>'P-SBDP'!DQ32</f>
        <v xml:space="preserve">  </v>
      </c>
      <c r="AC29" s="544">
        <f>'P-PJOK'!C30</f>
        <v>0</v>
      </c>
      <c r="AD29" s="544">
        <f>'P-PJOK'!D30</f>
        <v>0</v>
      </c>
      <c r="AE29" s="544" t="str">
        <f>'P-BJAWA'!AV32</f>
        <v xml:space="preserve"> </v>
      </c>
      <c r="AF29" s="544" t="str">
        <f>'P-BJAWA'!AW32</f>
        <v xml:space="preserve">  </v>
      </c>
      <c r="AG29" s="383" t="str">
        <f t="shared" si="0"/>
        <v xml:space="preserve"> </v>
      </c>
      <c r="AH29" s="544" t="e">
        <f t="shared" si="1"/>
        <v>#VALUE!</v>
      </c>
      <c r="AI29" s="65"/>
    </row>
    <row r="30" spans="1:35">
      <c r="A30" s="66">
        <v>26</v>
      </c>
      <c r="B30" s="382">
        <f>SISWA!B31</f>
        <v>0</v>
      </c>
      <c r="C30" s="544" t="e">
        <f>#REF!</f>
        <v>#REF!</v>
      </c>
      <c r="D30" s="544" t="e">
        <f>#REF!</f>
        <v>#REF!</v>
      </c>
      <c r="E30" s="544" t="e">
        <f>#REF!</f>
        <v>#REF!</v>
      </c>
      <c r="F30" s="544" t="e">
        <f>#REF!</f>
        <v>#REF!</v>
      </c>
      <c r="G30" s="544" t="e">
        <f>#REF!</f>
        <v>#REF!</v>
      </c>
      <c r="H30" s="544" t="e">
        <f>#REF!</f>
        <v>#REF!</v>
      </c>
      <c r="I30" s="544" t="e">
        <f>#REF!</f>
        <v>#REF!</v>
      </c>
      <c r="J30" s="544" t="e">
        <f>#REF!</f>
        <v>#REF!</v>
      </c>
      <c r="K30" s="544" t="e">
        <f>#REF!</f>
        <v>#REF!</v>
      </c>
      <c r="L30" s="544" t="e">
        <f>#REF!</f>
        <v>#REF!</v>
      </c>
      <c r="M30" s="544" t="e">
        <f>#REF!</f>
        <v>#REF!</v>
      </c>
      <c r="N30" s="544" t="e">
        <f>#REF!</f>
        <v>#REF!</v>
      </c>
      <c r="O30" s="544" t="e">
        <f>#REF!</f>
        <v>#REF!</v>
      </c>
      <c r="P30" s="544" t="e">
        <f>#REF!</f>
        <v>#REF!</v>
      </c>
      <c r="Q30" s="544" t="str">
        <f>'P-pkn'!CC33</f>
        <v xml:space="preserve"> </v>
      </c>
      <c r="R30" s="544" t="str">
        <f>'P-pkn'!CD33</f>
        <v xml:space="preserve">  </v>
      </c>
      <c r="S30" s="544" t="str">
        <f>'P-BI'!DP33</f>
        <v xml:space="preserve"> </v>
      </c>
      <c r="T30" s="544" t="str">
        <f>'P-BI'!DQ33</f>
        <v xml:space="preserve">  </v>
      </c>
      <c r="U30" s="544" t="str">
        <f>'P MTK'!FP33</f>
        <v xml:space="preserve"> </v>
      </c>
      <c r="V30" s="544" t="str">
        <f>'P MTK'!FQ33</f>
        <v xml:space="preserve">  </v>
      </c>
      <c r="W30" s="544" t="str">
        <f>'P-IPA'!DP33</f>
        <v xml:space="preserve"> </v>
      </c>
      <c r="X30" s="544" t="str">
        <f>'P-IPA'!DQ33</f>
        <v xml:space="preserve">  </v>
      </c>
      <c r="Y30" s="544" t="str">
        <f>'P-IPS'!DP33</f>
        <v xml:space="preserve"> </v>
      </c>
      <c r="Z30" s="544" t="str">
        <f>'P-IPS'!DQ33</f>
        <v xml:space="preserve">  </v>
      </c>
      <c r="AA30" s="544" t="str">
        <f>'P-SBDP'!DP33</f>
        <v xml:space="preserve"> </v>
      </c>
      <c r="AB30" s="544" t="str">
        <f>'P-SBDP'!DQ33</f>
        <v xml:space="preserve">  </v>
      </c>
      <c r="AC30" s="544">
        <f>'P-PJOK'!C31</f>
        <v>0</v>
      </c>
      <c r="AD30" s="544">
        <f>'P-PJOK'!D31</f>
        <v>0</v>
      </c>
      <c r="AE30" s="544" t="str">
        <f>'P-BJAWA'!AV33</f>
        <v xml:space="preserve"> </v>
      </c>
      <c r="AF30" s="544" t="str">
        <f>'P-BJAWA'!AW33</f>
        <v xml:space="preserve">  </v>
      </c>
      <c r="AG30" s="383" t="str">
        <f t="shared" si="0"/>
        <v xml:space="preserve"> </v>
      </c>
      <c r="AH30" s="544" t="e">
        <f t="shared" si="1"/>
        <v>#VALUE!</v>
      </c>
      <c r="AI30" s="65"/>
    </row>
    <row r="31" spans="1:35">
      <c r="A31" s="66">
        <v>27</v>
      </c>
      <c r="B31" s="382">
        <f>SISWA!B32</f>
        <v>0</v>
      </c>
      <c r="C31" s="544" t="e">
        <f>#REF!</f>
        <v>#REF!</v>
      </c>
      <c r="D31" s="544" t="e">
        <f>#REF!</f>
        <v>#REF!</v>
      </c>
      <c r="E31" s="544" t="e">
        <f>#REF!</f>
        <v>#REF!</v>
      </c>
      <c r="F31" s="544" t="e">
        <f>#REF!</f>
        <v>#REF!</v>
      </c>
      <c r="G31" s="544" t="e">
        <f>#REF!</f>
        <v>#REF!</v>
      </c>
      <c r="H31" s="544" t="e">
        <f>#REF!</f>
        <v>#REF!</v>
      </c>
      <c r="I31" s="544" t="e">
        <f>#REF!</f>
        <v>#REF!</v>
      </c>
      <c r="J31" s="544" t="e">
        <f>#REF!</f>
        <v>#REF!</v>
      </c>
      <c r="K31" s="544" t="e">
        <f>#REF!</f>
        <v>#REF!</v>
      </c>
      <c r="L31" s="544" t="e">
        <f>#REF!</f>
        <v>#REF!</v>
      </c>
      <c r="M31" s="544" t="e">
        <f>#REF!</f>
        <v>#REF!</v>
      </c>
      <c r="N31" s="544" t="e">
        <f>#REF!</f>
        <v>#REF!</v>
      </c>
      <c r="O31" s="544" t="e">
        <f>#REF!</f>
        <v>#REF!</v>
      </c>
      <c r="P31" s="544" t="e">
        <f>#REF!</f>
        <v>#REF!</v>
      </c>
      <c r="Q31" s="544" t="str">
        <f>'P-pkn'!CC34</f>
        <v xml:space="preserve"> </v>
      </c>
      <c r="R31" s="544" t="str">
        <f>'P-pkn'!CD34</f>
        <v xml:space="preserve">  </v>
      </c>
      <c r="S31" s="544" t="str">
        <f>'P-BI'!DP34</f>
        <v xml:space="preserve"> </v>
      </c>
      <c r="T31" s="544" t="str">
        <f>'P-BI'!DQ34</f>
        <v xml:space="preserve">  </v>
      </c>
      <c r="U31" s="544" t="str">
        <f>'P MTK'!FP34</f>
        <v xml:space="preserve"> </v>
      </c>
      <c r="V31" s="544" t="str">
        <f>'P MTK'!FQ34</f>
        <v xml:space="preserve">  </v>
      </c>
      <c r="W31" s="544" t="str">
        <f>'P-IPA'!DP34</f>
        <v xml:space="preserve"> </v>
      </c>
      <c r="X31" s="544" t="str">
        <f>'P-IPA'!DQ34</f>
        <v xml:space="preserve">  </v>
      </c>
      <c r="Y31" s="544" t="str">
        <f>'P-IPS'!DP34</f>
        <v xml:space="preserve"> </v>
      </c>
      <c r="Z31" s="544" t="str">
        <f>'P-IPS'!DQ34</f>
        <v xml:space="preserve">  </v>
      </c>
      <c r="AA31" s="544" t="str">
        <f>'P-SBDP'!DP34</f>
        <v xml:space="preserve"> </v>
      </c>
      <c r="AB31" s="544" t="str">
        <f>'P-SBDP'!DQ34</f>
        <v xml:space="preserve">  </v>
      </c>
      <c r="AC31" s="544">
        <f>'P-PJOK'!C32</f>
        <v>0</v>
      </c>
      <c r="AD31" s="544">
        <f>'P-PJOK'!D32</f>
        <v>0</v>
      </c>
      <c r="AE31" s="544" t="str">
        <f>'P-BJAWA'!AV34</f>
        <v xml:space="preserve"> </v>
      </c>
      <c r="AF31" s="544" t="str">
        <f>'P-BJAWA'!AW34</f>
        <v xml:space="preserve">  </v>
      </c>
      <c r="AG31" s="383" t="str">
        <f t="shared" si="0"/>
        <v xml:space="preserve"> </v>
      </c>
      <c r="AH31" s="544" t="e">
        <f t="shared" si="1"/>
        <v>#VALUE!</v>
      </c>
      <c r="AI31" s="65"/>
    </row>
    <row r="32" spans="1:35">
      <c r="A32" s="66">
        <v>28</v>
      </c>
      <c r="B32" s="382">
        <f>SISWA!B33</f>
        <v>0</v>
      </c>
      <c r="C32" s="544" t="e">
        <f>#REF!</f>
        <v>#REF!</v>
      </c>
      <c r="D32" s="544" t="e">
        <f>#REF!</f>
        <v>#REF!</v>
      </c>
      <c r="E32" s="544" t="e">
        <f>#REF!</f>
        <v>#REF!</v>
      </c>
      <c r="F32" s="544" t="e">
        <f>#REF!</f>
        <v>#REF!</v>
      </c>
      <c r="G32" s="544" t="e">
        <f>#REF!</f>
        <v>#REF!</v>
      </c>
      <c r="H32" s="544" t="e">
        <f>#REF!</f>
        <v>#REF!</v>
      </c>
      <c r="I32" s="544" t="e">
        <f>#REF!</f>
        <v>#REF!</v>
      </c>
      <c r="J32" s="544" t="e">
        <f>#REF!</f>
        <v>#REF!</v>
      </c>
      <c r="K32" s="544" t="e">
        <f>#REF!</f>
        <v>#REF!</v>
      </c>
      <c r="L32" s="544" t="e">
        <f>#REF!</f>
        <v>#REF!</v>
      </c>
      <c r="M32" s="544" t="e">
        <f>#REF!</f>
        <v>#REF!</v>
      </c>
      <c r="N32" s="544" t="e">
        <f>#REF!</f>
        <v>#REF!</v>
      </c>
      <c r="O32" s="544" t="e">
        <f>#REF!</f>
        <v>#REF!</v>
      </c>
      <c r="P32" s="544" t="e">
        <f>#REF!</f>
        <v>#REF!</v>
      </c>
      <c r="Q32" s="544" t="str">
        <f>'P-pkn'!CC35</f>
        <v xml:space="preserve"> </v>
      </c>
      <c r="R32" s="544" t="str">
        <f>'P-pkn'!CD35</f>
        <v xml:space="preserve">  </v>
      </c>
      <c r="S32" s="544" t="str">
        <f>'P-BI'!DP35</f>
        <v xml:space="preserve"> </v>
      </c>
      <c r="T32" s="544" t="str">
        <f>'P-BI'!DQ35</f>
        <v xml:space="preserve">  </v>
      </c>
      <c r="U32" s="544" t="str">
        <f>'P MTK'!FP35</f>
        <v xml:space="preserve"> </v>
      </c>
      <c r="V32" s="544" t="str">
        <f>'P MTK'!FQ35</f>
        <v xml:space="preserve">  </v>
      </c>
      <c r="W32" s="544" t="str">
        <f>'P-IPA'!DP35</f>
        <v xml:space="preserve"> </v>
      </c>
      <c r="X32" s="544" t="str">
        <f>'P-IPA'!DQ35</f>
        <v xml:space="preserve">  </v>
      </c>
      <c r="Y32" s="544" t="str">
        <f>'P-IPS'!DP35</f>
        <v xml:space="preserve"> </v>
      </c>
      <c r="Z32" s="544" t="str">
        <f>'P-IPS'!DQ35</f>
        <v xml:space="preserve">  </v>
      </c>
      <c r="AA32" s="544" t="str">
        <f>'P-SBDP'!DP35</f>
        <v xml:space="preserve"> </v>
      </c>
      <c r="AB32" s="544" t="str">
        <f>'P-SBDP'!DQ35</f>
        <v xml:space="preserve">  </v>
      </c>
      <c r="AC32" s="544">
        <f>'P-PJOK'!C33</f>
        <v>0</v>
      </c>
      <c r="AD32" s="544">
        <f>'P-PJOK'!D33</f>
        <v>0</v>
      </c>
      <c r="AE32" s="544" t="str">
        <f>'P-BJAWA'!AV35</f>
        <v xml:space="preserve"> </v>
      </c>
      <c r="AF32" s="544" t="str">
        <f>'P-BJAWA'!AW35</f>
        <v xml:space="preserve">  </v>
      </c>
      <c r="AG32" s="383" t="str">
        <f t="shared" si="0"/>
        <v xml:space="preserve"> </v>
      </c>
      <c r="AH32" s="544" t="e">
        <f t="shared" si="1"/>
        <v>#VALUE!</v>
      </c>
      <c r="AI32" s="65"/>
    </row>
    <row r="33" spans="1:35">
      <c r="A33" s="66">
        <v>29</v>
      </c>
      <c r="B33" s="382">
        <f>SISWA!B34</f>
        <v>0</v>
      </c>
      <c r="C33" s="544" t="e">
        <f>#REF!</f>
        <v>#REF!</v>
      </c>
      <c r="D33" s="544" t="e">
        <f>#REF!</f>
        <v>#REF!</v>
      </c>
      <c r="E33" s="544" t="e">
        <f>#REF!</f>
        <v>#REF!</v>
      </c>
      <c r="F33" s="544" t="e">
        <f>#REF!</f>
        <v>#REF!</v>
      </c>
      <c r="G33" s="544" t="e">
        <f>#REF!</f>
        <v>#REF!</v>
      </c>
      <c r="H33" s="544" t="e">
        <f>#REF!</f>
        <v>#REF!</v>
      </c>
      <c r="I33" s="544" t="e">
        <f>#REF!</f>
        <v>#REF!</v>
      </c>
      <c r="J33" s="544" t="e">
        <f>#REF!</f>
        <v>#REF!</v>
      </c>
      <c r="K33" s="544" t="e">
        <f>#REF!</f>
        <v>#REF!</v>
      </c>
      <c r="L33" s="544" t="e">
        <f>#REF!</f>
        <v>#REF!</v>
      </c>
      <c r="M33" s="544" t="e">
        <f>#REF!</f>
        <v>#REF!</v>
      </c>
      <c r="N33" s="544" t="e">
        <f>#REF!</f>
        <v>#REF!</v>
      </c>
      <c r="O33" s="544" t="e">
        <f>#REF!</f>
        <v>#REF!</v>
      </c>
      <c r="P33" s="544" t="e">
        <f>#REF!</f>
        <v>#REF!</v>
      </c>
      <c r="Q33" s="544" t="str">
        <f>'P-pkn'!CC36</f>
        <v xml:space="preserve"> </v>
      </c>
      <c r="R33" s="544" t="str">
        <f>'P-pkn'!CD36</f>
        <v xml:space="preserve">  </v>
      </c>
      <c r="S33" s="544" t="str">
        <f>'P-BI'!DP36</f>
        <v xml:space="preserve"> </v>
      </c>
      <c r="T33" s="544" t="str">
        <f>'P-BI'!DQ36</f>
        <v xml:space="preserve">  </v>
      </c>
      <c r="U33" s="544" t="str">
        <f>'P MTK'!FP36</f>
        <v xml:space="preserve"> </v>
      </c>
      <c r="V33" s="544" t="str">
        <f>'P MTK'!FQ36</f>
        <v xml:space="preserve">  </v>
      </c>
      <c r="W33" s="544" t="str">
        <f>'P-IPA'!DP36</f>
        <v xml:space="preserve"> </v>
      </c>
      <c r="X33" s="544" t="str">
        <f>'P-IPA'!DQ36</f>
        <v xml:space="preserve">  </v>
      </c>
      <c r="Y33" s="544" t="str">
        <f>'P-IPS'!DP36</f>
        <v xml:space="preserve"> </v>
      </c>
      <c r="Z33" s="544" t="str">
        <f>'P-IPS'!DQ36</f>
        <v xml:space="preserve">  </v>
      </c>
      <c r="AA33" s="544" t="str">
        <f>'P-SBDP'!DP36</f>
        <v xml:space="preserve"> </v>
      </c>
      <c r="AB33" s="544" t="str">
        <f>'P-SBDP'!DQ36</f>
        <v xml:space="preserve">  </v>
      </c>
      <c r="AC33" s="544">
        <f>'P-PJOK'!C34</f>
        <v>0</v>
      </c>
      <c r="AD33" s="544">
        <f>'P-PJOK'!D34</f>
        <v>0</v>
      </c>
      <c r="AE33" s="544" t="str">
        <f>'P-BJAWA'!AV36</f>
        <v xml:space="preserve"> </v>
      </c>
      <c r="AF33" s="544" t="str">
        <f>'P-BJAWA'!AW36</f>
        <v xml:space="preserve">  </v>
      </c>
      <c r="AG33" s="383" t="str">
        <f t="shared" si="0"/>
        <v xml:space="preserve"> </v>
      </c>
      <c r="AH33" s="544" t="e">
        <f t="shared" si="1"/>
        <v>#VALUE!</v>
      </c>
      <c r="AI33" s="65"/>
    </row>
    <row r="34" spans="1:35">
      <c r="A34" s="66">
        <v>30</v>
      </c>
      <c r="B34" s="382">
        <f>SISWA!B35</f>
        <v>0</v>
      </c>
      <c r="C34" s="544" t="e">
        <f>#REF!</f>
        <v>#REF!</v>
      </c>
      <c r="D34" s="544" t="e">
        <f>#REF!</f>
        <v>#REF!</v>
      </c>
      <c r="E34" s="544" t="e">
        <f>#REF!</f>
        <v>#REF!</v>
      </c>
      <c r="F34" s="544" t="e">
        <f>#REF!</f>
        <v>#REF!</v>
      </c>
      <c r="G34" s="544" t="e">
        <f>#REF!</f>
        <v>#REF!</v>
      </c>
      <c r="H34" s="544" t="e">
        <f>#REF!</f>
        <v>#REF!</v>
      </c>
      <c r="I34" s="544" t="e">
        <f>#REF!</f>
        <v>#REF!</v>
      </c>
      <c r="J34" s="544" t="e">
        <f>#REF!</f>
        <v>#REF!</v>
      </c>
      <c r="K34" s="544" t="e">
        <f>#REF!</f>
        <v>#REF!</v>
      </c>
      <c r="L34" s="544" t="e">
        <f>#REF!</f>
        <v>#REF!</v>
      </c>
      <c r="M34" s="544" t="e">
        <f>#REF!</f>
        <v>#REF!</v>
      </c>
      <c r="N34" s="544" t="e">
        <f>#REF!</f>
        <v>#REF!</v>
      </c>
      <c r="O34" s="544" t="e">
        <f>#REF!</f>
        <v>#REF!</v>
      </c>
      <c r="P34" s="544" t="e">
        <f>#REF!</f>
        <v>#REF!</v>
      </c>
      <c r="Q34" s="544" t="str">
        <f>'P-pkn'!CC37</f>
        <v xml:space="preserve"> </v>
      </c>
      <c r="R34" s="544" t="str">
        <f>'P-pkn'!CD37</f>
        <v xml:space="preserve">  </v>
      </c>
      <c r="S34" s="544" t="str">
        <f>'P-BI'!DP37</f>
        <v xml:space="preserve"> </v>
      </c>
      <c r="T34" s="544" t="str">
        <f>'P-BI'!DQ37</f>
        <v xml:space="preserve">  </v>
      </c>
      <c r="U34" s="544" t="str">
        <f>'P MTK'!FP37</f>
        <v xml:space="preserve"> </v>
      </c>
      <c r="V34" s="544" t="str">
        <f>'P MTK'!FQ37</f>
        <v xml:space="preserve">  </v>
      </c>
      <c r="W34" s="544" t="str">
        <f>'P-IPA'!DP37</f>
        <v xml:space="preserve"> </v>
      </c>
      <c r="X34" s="544" t="str">
        <f>'P-IPA'!DQ37</f>
        <v xml:space="preserve">  </v>
      </c>
      <c r="Y34" s="544" t="str">
        <f>'P-IPS'!DP37</f>
        <v xml:space="preserve"> </v>
      </c>
      <c r="Z34" s="544" t="str">
        <f>'P-IPS'!DQ37</f>
        <v xml:space="preserve">  </v>
      </c>
      <c r="AA34" s="544" t="str">
        <f>'P-SBDP'!DP37</f>
        <v xml:space="preserve"> </v>
      </c>
      <c r="AB34" s="544" t="str">
        <f>'P-SBDP'!DQ37</f>
        <v xml:space="preserve">  </v>
      </c>
      <c r="AC34" s="544">
        <f>'P-PJOK'!C35</f>
        <v>0</v>
      </c>
      <c r="AD34" s="544">
        <f>'P-PJOK'!D35</f>
        <v>0</v>
      </c>
      <c r="AE34" s="544" t="str">
        <f>'P-BJAWA'!AV37</f>
        <v xml:space="preserve"> </v>
      </c>
      <c r="AF34" s="544" t="str">
        <f>'P-BJAWA'!AW37</f>
        <v xml:space="preserve">  </v>
      </c>
      <c r="AG34" s="383" t="str">
        <f t="shared" si="0"/>
        <v xml:space="preserve"> </v>
      </c>
      <c r="AH34" s="544" t="e">
        <f t="shared" si="1"/>
        <v>#VALUE!</v>
      </c>
      <c r="AI34" s="65"/>
    </row>
    <row r="35" spans="1:35">
      <c r="A35" s="66">
        <v>31</v>
      </c>
      <c r="B35" s="382">
        <f>SISWA!B36</f>
        <v>0</v>
      </c>
      <c r="C35" s="544" t="e">
        <f>#REF!</f>
        <v>#REF!</v>
      </c>
      <c r="D35" s="544" t="e">
        <f>#REF!</f>
        <v>#REF!</v>
      </c>
      <c r="E35" s="544" t="e">
        <f>#REF!</f>
        <v>#REF!</v>
      </c>
      <c r="F35" s="544" t="e">
        <f>#REF!</f>
        <v>#REF!</v>
      </c>
      <c r="G35" s="544" t="e">
        <f>#REF!</f>
        <v>#REF!</v>
      </c>
      <c r="H35" s="544" t="e">
        <f>#REF!</f>
        <v>#REF!</v>
      </c>
      <c r="I35" s="544" t="e">
        <f>#REF!</f>
        <v>#REF!</v>
      </c>
      <c r="J35" s="544" t="e">
        <f>#REF!</f>
        <v>#REF!</v>
      </c>
      <c r="K35" s="544" t="e">
        <f>#REF!</f>
        <v>#REF!</v>
      </c>
      <c r="L35" s="544" t="e">
        <f>#REF!</f>
        <v>#REF!</v>
      </c>
      <c r="M35" s="544" t="e">
        <f>#REF!</f>
        <v>#REF!</v>
      </c>
      <c r="N35" s="544" t="e">
        <f>#REF!</f>
        <v>#REF!</v>
      </c>
      <c r="O35" s="544" t="e">
        <f>#REF!</f>
        <v>#REF!</v>
      </c>
      <c r="P35" s="544" t="e">
        <f>#REF!</f>
        <v>#REF!</v>
      </c>
      <c r="Q35" s="544" t="str">
        <f>'P-pkn'!CC38</f>
        <v xml:space="preserve"> </v>
      </c>
      <c r="R35" s="544" t="str">
        <f>'P-pkn'!CD38</f>
        <v xml:space="preserve">  </v>
      </c>
      <c r="S35" s="544" t="str">
        <f>'P-BI'!DP38</f>
        <v xml:space="preserve"> </v>
      </c>
      <c r="T35" s="544" t="str">
        <f>'P-BI'!DQ38</f>
        <v xml:space="preserve">  </v>
      </c>
      <c r="U35" s="544" t="str">
        <f>'P MTK'!FP38</f>
        <v xml:space="preserve"> </v>
      </c>
      <c r="V35" s="544" t="str">
        <f>'P MTK'!FQ38</f>
        <v xml:space="preserve">  </v>
      </c>
      <c r="W35" s="544" t="str">
        <f>'P-IPA'!DP38</f>
        <v xml:space="preserve"> </v>
      </c>
      <c r="X35" s="544" t="str">
        <f>'P-IPA'!DQ38</f>
        <v xml:space="preserve">  </v>
      </c>
      <c r="Y35" s="544" t="str">
        <f>'P-IPS'!DP38</f>
        <v xml:space="preserve"> </v>
      </c>
      <c r="Z35" s="544" t="str">
        <f>'P-IPS'!DQ38</f>
        <v xml:space="preserve">  </v>
      </c>
      <c r="AA35" s="544" t="str">
        <f>'P-SBDP'!DP38</f>
        <v xml:space="preserve"> </v>
      </c>
      <c r="AB35" s="544" t="str">
        <f>'P-SBDP'!DQ38</f>
        <v xml:space="preserve">  </v>
      </c>
      <c r="AC35" s="544">
        <f>'P-PJOK'!C36</f>
        <v>0</v>
      </c>
      <c r="AD35" s="544">
        <f>'P-PJOK'!D36</f>
        <v>0</v>
      </c>
      <c r="AE35" s="544" t="str">
        <f>'P-BJAWA'!AV38</f>
        <v xml:space="preserve"> </v>
      </c>
      <c r="AF35" s="544" t="str">
        <f>'P-BJAWA'!AW38</f>
        <v xml:space="preserve">  </v>
      </c>
      <c r="AG35" s="383" t="str">
        <f t="shared" si="0"/>
        <v xml:space="preserve"> </v>
      </c>
      <c r="AH35" s="544" t="e">
        <f t="shared" si="1"/>
        <v>#VALUE!</v>
      </c>
      <c r="AI35" s="65"/>
    </row>
    <row r="36" spans="1:35">
      <c r="A36" s="66">
        <v>32</v>
      </c>
      <c r="B36" s="382">
        <f>SISWA!B37</f>
        <v>0</v>
      </c>
      <c r="C36" s="544" t="e">
        <f>#REF!</f>
        <v>#REF!</v>
      </c>
      <c r="D36" s="544" t="e">
        <f>#REF!</f>
        <v>#REF!</v>
      </c>
      <c r="E36" s="544" t="e">
        <f>#REF!</f>
        <v>#REF!</v>
      </c>
      <c r="F36" s="544" t="e">
        <f>#REF!</f>
        <v>#REF!</v>
      </c>
      <c r="G36" s="544" t="e">
        <f>#REF!</f>
        <v>#REF!</v>
      </c>
      <c r="H36" s="544" t="e">
        <f>#REF!</f>
        <v>#REF!</v>
      </c>
      <c r="I36" s="544" t="e">
        <f>#REF!</f>
        <v>#REF!</v>
      </c>
      <c r="J36" s="544" t="e">
        <f>#REF!</f>
        <v>#REF!</v>
      </c>
      <c r="K36" s="544" t="e">
        <f>#REF!</f>
        <v>#REF!</v>
      </c>
      <c r="L36" s="544" t="e">
        <f>#REF!</f>
        <v>#REF!</v>
      </c>
      <c r="M36" s="544" t="e">
        <f>#REF!</f>
        <v>#REF!</v>
      </c>
      <c r="N36" s="544" t="e">
        <f>#REF!</f>
        <v>#REF!</v>
      </c>
      <c r="O36" s="544" t="e">
        <f>#REF!</f>
        <v>#REF!</v>
      </c>
      <c r="P36" s="544" t="e">
        <f>#REF!</f>
        <v>#REF!</v>
      </c>
      <c r="Q36" s="544" t="str">
        <f>'P-pkn'!CC39</f>
        <v xml:space="preserve"> </v>
      </c>
      <c r="R36" s="544" t="str">
        <f>'P-pkn'!CD39</f>
        <v xml:space="preserve">  </v>
      </c>
      <c r="S36" s="544" t="str">
        <f>'P-BI'!DP39</f>
        <v xml:space="preserve"> </v>
      </c>
      <c r="T36" s="544" t="str">
        <f>'P-BI'!DQ39</f>
        <v xml:space="preserve">  </v>
      </c>
      <c r="U36" s="544" t="str">
        <f>'P MTK'!FP39</f>
        <v xml:space="preserve"> </v>
      </c>
      <c r="V36" s="544" t="str">
        <f>'P MTK'!FQ39</f>
        <v xml:space="preserve">  </v>
      </c>
      <c r="W36" s="544" t="str">
        <f>'P-IPA'!DP39</f>
        <v xml:space="preserve"> </v>
      </c>
      <c r="X36" s="544" t="str">
        <f>'P-IPA'!DQ39</f>
        <v xml:space="preserve">  </v>
      </c>
      <c r="Y36" s="544" t="str">
        <f>'P-IPS'!DP39</f>
        <v xml:space="preserve"> </v>
      </c>
      <c r="Z36" s="544" t="str">
        <f>'P-IPS'!DQ39</f>
        <v xml:space="preserve">  </v>
      </c>
      <c r="AA36" s="544" t="str">
        <f>'P-SBDP'!DP39</f>
        <v xml:space="preserve"> </v>
      </c>
      <c r="AB36" s="544" t="str">
        <f>'P-SBDP'!DQ39</f>
        <v xml:space="preserve">  </v>
      </c>
      <c r="AC36" s="544">
        <f>'P-PJOK'!C37</f>
        <v>0</v>
      </c>
      <c r="AD36" s="544">
        <f>'P-PJOK'!D37</f>
        <v>0</v>
      </c>
      <c r="AE36" s="544" t="str">
        <f>'P-BJAWA'!AV39</f>
        <v xml:space="preserve"> </v>
      </c>
      <c r="AF36" s="544" t="str">
        <f>'P-BJAWA'!AW39</f>
        <v xml:space="preserve">  </v>
      </c>
      <c r="AG36" s="383" t="str">
        <f t="shared" si="0"/>
        <v xml:space="preserve"> </v>
      </c>
      <c r="AH36" s="544" t="e">
        <f t="shared" si="1"/>
        <v>#VALUE!</v>
      </c>
      <c r="AI36" s="65"/>
    </row>
    <row r="37" spans="1:35">
      <c r="A37" s="66">
        <v>33</v>
      </c>
      <c r="B37" s="382">
        <f>SISWA!B38</f>
        <v>0</v>
      </c>
      <c r="C37" s="544" t="e">
        <f>#REF!</f>
        <v>#REF!</v>
      </c>
      <c r="D37" s="544" t="e">
        <f>#REF!</f>
        <v>#REF!</v>
      </c>
      <c r="E37" s="544" t="e">
        <f>#REF!</f>
        <v>#REF!</v>
      </c>
      <c r="F37" s="544" t="e">
        <f>#REF!</f>
        <v>#REF!</v>
      </c>
      <c r="G37" s="544" t="e">
        <f>#REF!</f>
        <v>#REF!</v>
      </c>
      <c r="H37" s="544" t="e">
        <f>#REF!</f>
        <v>#REF!</v>
      </c>
      <c r="I37" s="544" t="e">
        <f>#REF!</f>
        <v>#REF!</v>
      </c>
      <c r="J37" s="544" t="e">
        <f>#REF!</f>
        <v>#REF!</v>
      </c>
      <c r="K37" s="544" t="e">
        <f>#REF!</f>
        <v>#REF!</v>
      </c>
      <c r="L37" s="544" t="e">
        <f>#REF!</f>
        <v>#REF!</v>
      </c>
      <c r="M37" s="544" t="e">
        <f>#REF!</f>
        <v>#REF!</v>
      </c>
      <c r="N37" s="544" t="e">
        <f>#REF!</f>
        <v>#REF!</v>
      </c>
      <c r="O37" s="544" t="e">
        <f>#REF!</f>
        <v>#REF!</v>
      </c>
      <c r="P37" s="544" t="e">
        <f>#REF!</f>
        <v>#REF!</v>
      </c>
      <c r="Q37" s="544" t="str">
        <f>'P-pkn'!CC40</f>
        <v xml:space="preserve"> </v>
      </c>
      <c r="R37" s="544" t="str">
        <f>'P-pkn'!CD40</f>
        <v xml:space="preserve">  </v>
      </c>
      <c r="S37" s="544" t="str">
        <f>'P-BI'!DP40</f>
        <v xml:space="preserve"> </v>
      </c>
      <c r="T37" s="544" t="str">
        <f>'P-BI'!DQ40</f>
        <v xml:space="preserve">  </v>
      </c>
      <c r="U37" s="544" t="str">
        <f>'P MTK'!FP40</f>
        <v xml:space="preserve"> </v>
      </c>
      <c r="V37" s="544" t="str">
        <f>'P MTK'!FQ40</f>
        <v xml:space="preserve">  </v>
      </c>
      <c r="W37" s="544" t="str">
        <f>'P-IPA'!DP40</f>
        <v xml:space="preserve"> </v>
      </c>
      <c r="X37" s="544" t="str">
        <f>'P-IPA'!DQ40</f>
        <v xml:space="preserve">  </v>
      </c>
      <c r="Y37" s="544" t="str">
        <f>'P-IPS'!DP40</f>
        <v xml:space="preserve"> </v>
      </c>
      <c r="Z37" s="544" t="str">
        <f>'P-IPS'!DQ40</f>
        <v xml:space="preserve">  </v>
      </c>
      <c r="AA37" s="544" t="str">
        <f>'P-SBDP'!DP40</f>
        <v xml:space="preserve"> </v>
      </c>
      <c r="AB37" s="544" t="str">
        <f>'P-SBDP'!DQ40</f>
        <v xml:space="preserve">  </v>
      </c>
      <c r="AC37" s="544">
        <f>'P-PJOK'!C38</f>
        <v>0</v>
      </c>
      <c r="AD37" s="544">
        <f>'P-PJOK'!D38</f>
        <v>0</v>
      </c>
      <c r="AE37" s="544" t="str">
        <f>'P-BJAWA'!AV40</f>
        <v xml:space="preserve"> </v>
      </c>
      <c r="AF37" s="544" t="str">
        <f>'P-BJAWA'!AW40</f>
        <v xml:space="preserve">  </v>
      </c>
      <c r="AG37" s="383" t="str">
        <f t="shared" si="0"/>
        <v xml:space="preserve"> </v>
      </c>
      <c r="AH37" s="544" t="e">
        <f t="shared" si="1"/>
        <v>#VALUE!</v>
      </c>
      <c r="AI37" s="65"/>
    </row>
    <row r="38" spans="1:35">
      <c r="A38" s="66">
        <v>34</v>
      </c>
      <c r="B38" s="382">
        <f>SISWA!B39</f>
        <v>0</v>
      </c>
      <c r="C38" s="544" t="e">
        <f>#REF!</f>
        <v>#REF!</v>
      </c>
      <c r="D38" s="544" t="e">
        <f>#REF!</f>
        <v>#REF!</v>
      </c>
      <c r="E38" s="544" t="e">
        <f>#REF!</f>
        <v>#REF!</v>
      </c>
      <c r="F38" s="544" t="e">
        <f>#REF!</f>
        <v>#REF!</v>
      </c>
      <c r="G38" s="544" t="e">
        <f>#REF!</f>
        <v>#REF!</v>
      </c>
      <c r="H38" s="544" t="e">
        <f>#REF!</f>
        <v>#REF!</v>
      </c>
      <c r="I38" s="544" t="e">
        <f>#REF!</f>
        <v>#REF!</v>
      </c>
      <c r="J38" s="544" t="e">
        <f>#REF!</f>
        <v>#REF!</v>
      </c>
      <c r="K38" s="544" t="e">
        <f>#REF!</f>
        <v>#REF!</v>
      </c>
      <c r="L38" s="544" t="e">
        <f>#REF!</f>
        <v>#REF!</v>
      </c>
      <c r="M38" s="544" t="e">
        <f>#REF!</f>
        <v>#REF!</v>
      </c>
      <c r="N38" s="544" t="e">
        <f>#REF!</f>
        <v>#REF!</v>
      </c>
      <c r="O38" s="544" t="e">
        <f>#REF!</f>
        <v>#REF!</v>
      </c>
      <c r="P38" s="544" t="e">
        <f>#REF!</f>
        <v>#REF!</v>
      </c>
      <c r="Q38" s="544" t="str">
        <f>'P-pkn'!CC41</f>
        <v xml:space="preserve"> </v>
      </c>
      <c r="R38" s="544" t="str">
        <f>'P-pkn'!CD41</f>
        <v xml:space="preserve">  </v>
      </c>
      <c r="S38" s="544" t="str">
        <f>'P-BI'!DP41</f>
        <v xml:space="preserve"> </v>
      </c>
      <c r="T38" s="544" t="str">
        <f>'P-BI'!DQ41</f>
        <v xml:space="preserve">  </v>
      </c>
      <c r="U38" s="544" t="str">
        <f>'P MTK'!FP41</f>
        <v xml:space="preserve"> </v>
      </c>
      <c r="V38" s="544" t="str">
        <f>'P MTK'!FQ41</f>
        <v xml:space="preserve">  </v>
      </c>
      <c r="W38" s="544" t="str">
        <f>'P-IPA'!DP41</f>
        <v xml:space="preserve"> </v>
      </c>
      <c r="X38" s="544" t="str">
        <f>'P-IPA'!DQ41</f>
        <v xml:space="preserve">  </v>
      </c>
      <c r="Y38" s="544" t="str">
        <f>'P-IPS'!DP41</f>
        <v xml:space="preserve"> </v>
      </c>
      <c r="Z38" s="544" t="str">
        <f>'P-IPS'!DQ41</f>
        <v xml:space="preserve">  </v>
      </c>
      <c r="AA38" s="544" t="str">
        <f>'P-SBDP'!DP41</f>
        <v xml:space="preserve"> </v>
      </c>
      <c r="AB38" s="544" t="str">
        <f>'P-SBDP'!DQ41</f>
        <v xml:space="preserve">  </v>
      </c>
      <c r="AC38" s="544">
        <f>'P-PJOK'!C39</f>
        <v>0</v>
      </c>
      <c r="AD38" s="544">
        <f>'P-PJOK'!D39</f>
        <v>0</v>
      </c>
      <c r="AE38" s="544" t="str">
        <f>'P-BJAWA'!AV41</f>
        <v xml:space="preserve"> </v>
      </c>
      <c r="AF38" s="544" t="str">
        <f>'P-BJAWA'!AW41</f>
        <v xml:space="preserve">  </v>
      </c>
      <c r="AG38" s="383" t="str">
        <f t="shared" si="0"/>
        <v xml:space="preserve"> </v>
      </c>
      <c r="AH38" s="544" t="e">
        <f t="shared" si="1"/>
        <v>#VALUE!</v>
      </c>
      <c r="AI38" s="65"/>
    </row>
    <row r="39" spans="1:35">
      <c r="A39" s="66">
        <v>35</v>
      </c>
      <c r="B39" s="382">
        <f>SISWA!B40</f>
        <v>0</v>
      </c>
      <c r="C39" s="544" t="e">
        <f>#REF!</f>
        <v>#REF!</v>
      </c>
      <c r="D39" s="544" t="e">
        <f>#REF!</f>
        <v>#REF!</v>
      </c>
      <c r="E39" s="544" t="e">
        <f>#REF!</f>
        <v>#REF!</v>
      </c>
      <c r="F39" s="544" t="e">
        <f>#REF!</f>
        <v>#REF!</v>
      </c>
      <c r="G39" s="544" t="e">
        <f>#REF!</f>
        <v>#REF!</v>
      </c>
      <c r="H39" s="544" t="e">
        <f>#REF!</f>
        <v>#REF!</v>
      </c>
      <c r="I39" s="544" t="e">
        <f>#REF!</f>
        <v>#REF!</v>
      </c>
      <c r="J39" s="544" t="e">
        <f>#REF!</f>
        <v>#REF!</v>
      </c>
      <c r="K39" s="544" t="e">
        <f>#REF!</f>
        <v>#REF!</v>
      </c>
      <c r="L39" s="544" t="e">
        <f>#REF!</f>
        <v>#REF!</v>
      </c>
      <c r="M39" s="544" t="e">
        <f>#REF!</f>
        <v>#REF!</v>
      </c>
      <c r="N39" s="544" t="e">
        <f>#REF!</f>
        <v>#REF!</v>
      </c>
      <c r="O39" s="544" t="e">
        <f>#REF!</f>
        <v>#REF!</v>
      </c>
      <c r="P39" s="544" t="e">
        <f>#REF!</f>
        <v>#REF!</v>
      </c>
      <c r="Q39" s="544" t="str">
        <f>'P-pkn'!CC42</f>
        <v xml:space="preserve"> </v>
      </c>
      <c r="R39" s="544" t="str">
        <f>'P-pkn'!CD42</f>
        <v xml:space="preserve">  </v>
      </c>
      <c r="S39" s="544" t="str">
        <f>'P-BI'!DP42</f>
        <v xml:space="preserve"> </v>
      </c>
      <c r="T39" s="544" t="str">
        <f>'P-BI'!DQ42</f>
        <v xml:space="preserve">  </v>
      </c>
      <c r="U39" s="544" t="str">
        <f>'P MTK'!FP42</f>
        <v xml:space="preserve"> </v>
      </c>
      <c r="V39" s="544" t="str">
        <f>'P MTK'!FQ42</f>
        <v xml:space="preserve">  </v>
      </c>
      <c r="W39" s="544" t="str">
        <f>'P-IPA'!DP42</f>
        <v xml:space="preserve"> </v>
      </c>
      <c r="X39" s="544" t="str">
        <f>'P-IPA'!DQ42</f>
        <v xml:space="preserve">  </v>
      </c>
      <c r="Y39" s="544" t="str">
        <f>'P-IPS'!DP42</f>
        <v xml:space="preserve"> </v>
      </c>
      <c r="Z39" s="544" t="str">
        <f>'P-IPS'!DQ42</f>
        <v xml:space="preserve">  </v>
      </c>
      <c r="AA39" s="544" t="str">
        <f>'P-SBDP'!DP42</f>
        <v xml:space="preserve"> </v>
      </c>
      <c r="AB39" s="544" t="str">
        <f>'P-SBDP'!DQ42</f>
        <v xml:space="preserve">  </v>
      </c>
      <c r="AC39" s="544">
        <f>'P-PJOK'!C40</f>
        <v>0</v>
      </c>
      <c r="AD39" s="544">
        <f>'P-PJOK'!D40</f>
        <v>0</v>
      </c>
      <c r="AE39" s="544" t="str">
        <f>'P-BJAWA'!AV42</f>
        <v xml:space="preserve"> </v>
      </c>
      <c r="AF39" s="544" t="str">
        <f>'P-BJAWA'!AW42</f>
        <v xml:space="preserve">  </v>
      </c>
      <c r="AG39" s="383" t="str">
        <f t="shared" si="0"/>
        <v xml:space="preserve"> </v>
      </c>
      <c r="AH39" s="544" t="e">
        <f t="shared" si="1"/>
        <v>#VALUE!</v>
      </c>
      <c r="AI39" s="65"/>
    </row>
    <row r="40" spans="1:35"/>
    <row r="41" spans="1:35">
      <c r="G41" t="s">
        <v>108</v>
      </c>
      <c r="AE41" s="490" t="s">
        <v>63</v>
      </c>
      <c r="AF41" s="652"/>
    </row>
    <row r="42" spans="1:35"/>
    <row r="43" spans="1:35"/>
    <row r="44" spans="1:35">
      <c r="G44" t="str">
        <f>MENU!N27</f>
        <v>SRILESTARI, S.PdI</v>
      </c>
      <c r="AE44" s="490" t="str">
        <f>MENU!N24</f>
        <v>TUTIK RAHAYU, S.Pd</v>
      </c>
      <c r="AF44" s="652"/>
    </row>
    <row r="45" spans="1:35">
      <c r="G45" t="str">
        <f>MENU!F28&amp;" "&amp;MENU!N28</f>
        <v>NBM 954033</v>
      </c>
      <c r="AE45" s="490" t="str">
        <f>MENU!F25&amp;" "&amp;MENU!N25</f>
        <v>NBM 1295423</v>
      </c>
      <c r="AF45" s="652"/>
    </row>
    <row r="46" spans="1:35"/>
    <row r="47" spans="1:35"/>
    <row r="48" spans="1:35"/>
    <row r="49"/>
    <row r="50"/>
    <row r="51"/>
    <row r="52"/>
    <row r="53"/>
    <row r="54"/>
    <row r="55"/>
  </sheetData>
  <sheetProtection sheet="1" objects="1" scenarios="1" formatCells="0" formatColumns="0" formatRows="0"/>
  <mergeCells count="16">
    <mergeCell ref="AC4:AD4"/>
    <mergeCell ref="AE4:AF4"/>
    <mergeCell ref="B1:AA1"/>
    <mergeCell ref="C4:D4"/>
    <mergeCell ref="E4:F4"/>
    <mergeCell ref="G4:H4"/>
    <mergeCell ref="I4:J4"/>
    <mergeCell ref="K4:L4"/>
    <mergeCell ref="M4:N4"/>
    <mergeCell ref="O4:P4"/>
    <mergeCell ref="Q4:R4"/>
    <mergeCell ref="S4:T4"/>
    <mergeCell ref="U4:V4"/>
    <mergeCell ref="W4:X4"/>
    <mergeCell ref="Y4:Z4"/>
    <mergeCell ref="AA4:AB4"/>
  </mergeCells>
  <pageMargins left="0.35433070866141736" right="0.23622047244094491" top="0.47244094488188981" bottom="0.51181102362204722" header="0.31496062992125984" footer="0.31496062992125984"/>
  <pageSetup paperSize="5" orientation="landscape" horizontalDpi="4294967294" verticalDpi="4294967294"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C000"/>
  </sheetPr>
  <dimension ref="A1:AW56"/>
  <sheetViews>
    <sheetView showRowColHeaders="0" showZeros="0" workbookViewId="0">
      <pane ySplit="5" topLeftCell="A6" activePane="bottomLeft" state="frozen"/>
      <selection pane="bottomLeft" activeCell="AC22" sqref="AC22"/>
    </sheetView>
  </sheetViews>
  <sheetFormatPr defaultColWidth="0" defaultRowHeight="15" zeroHeight="1"/>
  <cols>
    <col min="1" max="1" width="4.7109375" customWidth="1"/>
    <col min="2" max="2" width="29.28515625" customWidth="1"/>
    <col min="3" max="32" width="3.7109375" customWidth="1"/>
    <col min="33" max="35" width="4.7109375" customWidth="1"/>
    <col min="36" max="49" width="0" hidden="1" customWidth="1"/>
    <col min="50" max="16384" width="9.140625" hidden="1"/>
  </cols>
  <sheetData>
    <row r="1" spans="1:35">
      <c r="C1" s="152" t="s">
        <v>396</v>
      </c>
    </row>
    <row r="2" spans="1:35">
      <c r="C2" t="s">
        <v>51</v>
      </c>
      <c r="S2" t="str">
        <f>MENU!M7</f>
        <v>SD MUHAMMADIYAH BENDO</v>
      </c>
    </row>
    <row r="3" spans="1:35">
      <c r="C3" t="s">
        <v>164</v>
      </c>
      <c r="S3" t="str">
        <f>MENU!N20&amp;" / "&amp;MENU!N21</f>
        <v>V ( Lima ) / 1 ( satu )</v>
      </c>
    </row>
    <row r="4" spans="1:35" ht="15.75" thickBot="1">
      <c r="B4" s="292"/>
      <c r="C4" t="s">
        <v>28</v>
      </c>
      <c r="S4" t="str">
        <f>MENU!N22</f>
        <v>2019/2020</v>
      </c>
    </row>
    <row r="5" spans="1:35" ht="30" customHeight="1" thickBot="1">
      <c r="A5" s="644" t="s">
        <v>9</v>
      </c>
      <c r="B5" s="657" t="s">
        <v>111</v>
      </c>
      <c r="C5" s="930" t="s">
        <v>408</v>
      </c>
      <c r="D5" s="929"/>
      <c r="E5" s="929" t="s">
        <v>409</v>
      </c>
      <c r="F5" s="929"/>
      <c r="G5" s="929" t="s">
        <v>410</v>
      </c>
      <c r="H5" s="929"/>
      <c r="I5" s="929" t="s">
        <v>426</v>
      </c>
      <c r="J5" s="929"/>
      <c r="K5" s="929" t="s">
        <v>411</v>
      </c>
      <c r="L5" s="929"/>
      <c r="M5" s="929" t="s">
        <v>412</v>
      </c>
      <c r="N5" s="929"/>
      <c r="O5" s="929" t="s">
        <v>431</v>
      </c>
      <c r="P5" s="929"/>
      <c r="Q5" s="927" t="s">
        <v>119</v>
      </c>
      <c r="R5" s="927"/>
      <c r="S5" s="927" t="s">
        <v>160</v>
      </c>
      <c r="T5" s="927"/>
      <c r="U5" s="927" t="s">
        <v>165</v>
      </c>
      <c r="V5" s="927"/>
      <c r="W5" s="927" t="s">
        <v>205</v>
      </c>
      <c r="X5" s="927"/>
      <c r="Y5" s="927" t="s">
        <v>206</v>
      </c>
      <c r="Z5" s="927"/>
      <c r="AA5" s="927" t="s">
        <v>122</v>
      </c>
      <c r="AB5" s="927"/>
      <c r="AC5" s="927" t="s">
        <v>123</v>
      </c>
      <c r="AD5" s="927"/>
      <c r="AE5" s="927" t="s">
        <v>432</v>
      </c>
      <c r="AF5" s="928"/>
      <c r="AG5" s="754" t="s">
        <v>531</v>
      </c>
      <c r="AH5" s="753" t="s">
        <v>529</v>
      </c>
      <c r="AI5" s="753" t="s">
        <v>530</v>
      </c>
    </row>
    <row r="6" spans="1:35">
      <c r="A6" s="298">
        <v>1</v>
      </c>
      <c r="B6" s="299" t="str">
        <f>SISWA!B6</f>
        <v>Afif Rafiudin</v>
      </c>
      <c r="C6" s="658" t="e">
        <f>#REF!</f>
        <v>#REF!</v>
      </c>
      <c r="D6" s="662" t="e">
        <f>#REF!</f>
        <v>#REF!</v>
      </c>
      <c r="E6" s="668" t="e">
        <f>#REF!</f>
        <v>#REF!</v>
      </c>
      <c r="F6" s="669" t="e">
        <f>#REF!</f>
        <v>#REF!</v>
      </c>
      <c r="G6" s="665" t="e">
        <f>#REF!</f>
        <v>#REF!</v>
      </c>
      <c r="H6" s="662" t="e">
        <f>#REF!</f>
        <v>#REF!</v>
      </c>
      <c r="I6" s="668" t="e">
        <f>#REF!</f>
        <v>#REF!</v>
      </c>
      <c r="J6" s="669" t="e">
        <f>#REF!</f>
        <v>#REF!</v>
      </c>
      <c r="K6" s="665" t="e">
        <f>#REF!</f>
        <v>#REF!</v>
      </c>
      <c r="L6" s="662" t="e">
        <f>#REF!</f>
        <v>#REF!</v>
      </c>
      <c r="M6" s="668" t="e">
        <f>#REF!</f>
        <v>#REF!</v>
      </c>
      <c r="N6" s="669" t="e">
        <f>#REF!</f>
        <v>#REF!</v>
      </c>
      <c r="O6" s="665" t="e">
        <f>#REF!</f>
        <v>#REF!</v>
      </c>
      <c r="P6" s="662" t="e">
        <f>#REF!</f>
        <v>#REF!</v>
      </c>
      <c r="Q6" s="668">
        <f>'K-pkn'!DK8</f>
        <v>82</v>
      </c>
      <c r="R6" s="669" t="str">
        <f>'K-pkn'!DL8</f>
        <v>C</v>
      </c>
      <c r="S6" s="665">
        <f>'K-BI'!EQ8</f>
        <v>82</v>
      </c>
      <c r="T6" s="662" t="str">
        <f>'K-BI'!ER8</f>
        <v>C</v>
      </c>
      <c r="U6" s="668">
        <f>'K-MAT'!AY8</f>
        <v>79</v>
      </c>
      <c r="V6" s="669" t="str">
        <f>'K-MAT'!AZ8</f>
        <v>C</v>
      </c>
      <c r="W6" s="665">
        <f>'K-IPA'!EQ8</f>
        <v>83</v>
      </c>
      <c r="X6" s="662" t="str">
        <f>'K-IPA'!ER8</f>
        <v>B</v>
      </c>
      <c r="Y6" s="668">
        <f>'K-IPS'!DK8</f>
        <v>84</v>
      </c>
      <c r="Z6" s="669" t="str">
        <f>'K-IPS'!DL8</f>
        <v>B</v>
      </c>
      <c r="AA6" s="665">
        <f>'K-SBDP'!DK8</f>
        <v>83</v>
      </c>
      <c r="AB6" s="662" t="str">
        <f>'K-SBDP'!DL8</f>
        <v>B</v>
      </c>
      <c r="AC6" s="673">
        <f>'K-PJOK'!C8</f>
        <v>84</v>
      </c>
      <c r="AD6" s="674" t="str">
        <f>'K-PJOK'!D8</f>
        <v>B</v>
      </c>
      <c r="AE6" s="670">
        <f>'K-BJAWA'!CP8</f>
        <v>80</v>
      </c>
      <c r="AF6" s="662" t="str">
        <f>'K-BJAWA'!CQ8</f>
        <v>C</v>
      </c>
      <c r="AG6" s="662" t="e">
        <f>SUM(C6:AE6)</f>
        <v>#REF!</v>
      </c>
      <c r="AH6" s="739" t="str">
        <f>IFERROR(AVERAGE(C6,E6,G6,I6,K6,M6,O6,Q6,S6,U6,W6,Y6,AA6,AC6,AE6),"")</f>
        <v/>
      </c>
      <c r="AI6" s="739" t="e">
        <f>IF(AG6&gt;1,RANK(AG6,AG$6:AG$40,0),"")</f>
        <v>#REF!</v>
      </c>
    </row>
    <row r="7" spans="1:35">
      <c r="A7" s="39">
        <v>2</v>
      </c>
      <c r="B7" s="296" t="str">
        <f>SISWA!B7</f>
        <v>Ahmad Faiq Athaya</v>
      </c>
      <c r="C7" s="659" t="e">
        <f>#REF!</f>
        <v>#REF!</v>
      </c>
      <c r="D7" s="663" t="e">
        <f>#REF!</f>
        <v>#REF!</v>
      </c>
      <c r="E7" s="659" t="e">
        <f>#REF!</f>
        <v>#REF!</v>
      </c>
      <c r="F7" s="297" t="e">
        <f>#REF!</f>
        <v>#REF!</v>
      </c>
      <c r="G7" s="666" t="e">
        <f>#REF!</f>
        <v>#REF!</v>
      </c>
      <c r="H7" s="663" t="e">
        <f>#REF!</f>
        <v>#REF!</v>
      </c>
      <c r="I7" s="659" t="e">
        <f>#REF!</f>
        <v>#REF!</v>
      </c>
      <c r="J7" s="297" t="e">
        <f>#REF!</f>
        <v>#REF!</v>
      </c>
      <c r="K7" s="666" t="e">
        <f>#REF!</f>
        <v>#REF!</v>
      </c>
      <c r="L7" s="663" t="e">
        <f>#REF!</f>
        <v>#REF!</v>
      </c>
      <c r="M7" s="659" t="e">
        <f>#REF!</f>
        <v>#REF!</v>
      </c>
      <c r="N7" s="297" t="e">
        <f>#REF!</f>
        <v>#REF!</v>
      </c>
      <c r="O7" s="666" t="e">
        <f>#REF!</f>
        <v>#REF!</v>
      </c>
      <c r="P7" s="663" t="e">
        <f>#REF!</f>
        <v>#REF!</v>
      </c>
      <c r="Q7" s="659">
        <f>'K-pkn'!DK9</f>
        <v>88</v>
      </c>
      <c r="R7" s="297" t="str">
        <f>'K-pkn'!DL9</f>
        <v>B</v>
      </c>
      <c r="S7" s="666">
        <f>'K-BI'!EQ9</f>
        <v>86</v>
      </c>
      <c r="T7" s="663" t="str">
        <f>'K-BI'!ER9</f>
        <v>B</v>
      </c>
      <c r="U7" s="659">
        <f>'K-MAT'!AY9</f>
        <v>83</v>
      </c>
      <c r="V7" s="297" t="str">
        <f>'K-MAT'!AZ9</f>
        <v>B</v>
      </c>
      <c r="W7" s="666">
        <f>'K-IPA'!EQ9</f>
        <v>88</v>
      </c>
      <c r="X7" s="663" t="str">
        <f>'K-IPA'!ER9</f>
        <v>B</v>
      </c>
      <c r="Y7" s="659">
        <f>'K-IPS'!DK9</f>
        <v>88</v>
      </c>
      <c r="Z7" s="297" t="str">
        <f>'K-IPS'!DL9</f>
        <v>B</v>
      </c>
      <c r="AA7" s="666">
        <f>'K-SBDP'!DK9</f>
        <v>86</v>
      </c>
      <c r="AB7" s="663" t="str">
        <f>'K-SBDP'!DL9</f>
        <v>B</v>
      </c>
      <c r="AC7" s="675">
        <f>'K-PJOK'!C9</f>
        <v>84</v>
      </c>
      <c r="AD7" s="676" t="str">
        <f>'K-PJOK'!D9</f>
        <v>B</v>
      </c>
      <c r="AE7" s="671">
        <f>'K-BJAWA'!CP9</f>
        <v>87</v>
      </c>
      <c r="AF7" s="663" t="str">
        <f>'K-BJAWA'!CQ9</f>
        <v>B</v>
      </c>
      <c r="AG7" s="662" t="e">
        <f t="shared" ref="AG7:AG40" si="0">SUM(C7:AE7)</f>
        <v>#REF!</v>
      </c>
      <c r="AH7" s="739" t="str">
        <f t="shared" ref="AH7:AH40" si="1">IFERROR(AVERAGE(C7,E7,G7,I7,K7,M7,O7,Q7,S7,U7,W7,Y7,AA7,AC7,AE7),"")</f>
        <v/>
      </c>
      <c r="AI7" s="739" t="e">
        <f t="shared" ref="AI7:AI40" si="2">IF(AG7&gt;1,RANK(AG7,AG$6:AG$40,0),"")</f>
        <v>#REF!</v>
      </c>
    </row>
    <row r="8" spans="1:35">
      <c r="A8" s="39">
        <v>3</v>
      </c>
      <c r="B8" s="296" t="str">
        <f>SISWA!B8</f>
        <v>Amira Zerlinda</v>
      </c>
      <c r="C8" s="659" t="e">
        <f>#REF!</f>
        <v>#REF!</v>
      </c>
      <c r="D8" s="663" t="e">
        <f>#REF!</f>
        <v>#REF!</v>
      </c>
      <c r="E8" s="659" t="e">
        <f>#REF!</f>
        <v>#REF!</v>
      </c>
      <c r="F8" s="297" t="e">
        <f>#REF!</f>
        <v>#REF!</v>
      </c>
      <c r="G8" s="666" t="e">
        <f>#REF!</f>
        <v>#REF!</v>
      </c>
      <c r="H8" s="663" t="e">
        <f>#REF!</f>
        <v>#REF!</v>
      </c>
      <c r="I8" s="659" t="e">
        <f>#REF!</f>
        <v>#REF!</v>
      </c>
      <c r="J8" s="297" t="e">
        <f>#REF!</f>
        <v>#REF!</v>
      </c>
      <c r="K8" s="666" t="e">
        <f>#REF!</f>
        <v>#REF!</v>
      </c>
      <c r="L8" s="663" t="e">
        <f>#REF!</f>
        <v>#REF!</v>
      </c>
      <c r="M8" s="659" t="e">
        <f>#REF!</f>
        <v>#REF!</v>
      </c>
      <c r="N8" s="297" t="e">
        <f>#REF!</f>
        <v>#REF!</v>
      </c>
      <c r="O8" s="666" t="e">
        <f>#REF!</f>
        <v>#REF!</v>
      </c>
      <c r="P8" s="663" t="e">
        <f>#REF!</f>
        <v>#REF!</v>
      </c>
      <c r="Q8" s="659">
        <f>'K-pkn'!DK10</f>
        <v>87</v>
      </c>
      <c r="R8" s="297" t="str">
        <f>'K-pkn'!DL10</f>
        <v>B</v>
      </c>
      <c r="S8" s="666">
        <f>'K-BI'!EQ10</f>
        <v>87</v>
      </c>
      <c r="T8" s="663" t="str">
        <f>'K-BI'!ER10</f>
        <v>B</v>
      </c>
      <c r="U8" s="659">
        <f>'K-MAT'!AY10</f>
        <v>78</v>
      </c>
      <c r="V8" s="297" t="str">
        <f>'K-MAT'!AZ10</f>
        <v>C</v>
      </c>
      <c r="W8" s="666">
        <f>'K-IPA'!EQ10</f>
        <v>85</v>
      </c>
      <c r="X8" s="663" t="str">
        <f>'K-IPA'!ER10</f>
        <v>B</v>
      </c>
      <c r="Y8" s="659">
        <f>'K-IPS'!DK10</f>
        <v>89</v>
      </c>
      <c r="Z8" s="297" t="str">
        <f>'K-IPS'!DL10</f>
        <v>B</v>
      </c>
      <c r="AA8" s="666">
        <f>'K-SBDP'!DK10</f>
        <v>88</v>
      </c>
      <c r="AB8" s="663" t="str">
        <f>'K-SBDP'!DL10</f>
        <v>B</v>
      </c>
      <c r="AC8" s="675">
        <f>'K-PJOK'!C10</f>
        <v>84</v>
      </c>
      <c r="AD8" s="676" t="str">
        <f>'K-PJOK'!D10</f>
        <v>B</v>
      </c>
      <c r="AE8" s="671">
        <f>'K-BJAWA'!CP10</f>
        <v>78</v>
      </c>
      <c r="AF8" s="663" t="str">
        <f>'K-BJAWA'!CQ10</f>
        <v>C</v>
      </c>
      <c r="AG8" s="662" t="e">
        <f>SUM(C8:AE8)</f>
        <v>#REF!</v>
      </c>
      <c r="AH8" s="739" t="str">
        <f t="shared" si="1"/>
        <v/>
      </c>
      <c r="AI8" s="739" t="e">
        <f t="shared" si="2"/>
        <v>#REF!</v>
      </c>
    </row>
    <row r="9" spans="1:35">
      <c r="A9" s="39">
        <v>4</v>
      </c>
      <c r="B9" s="296" t="str">
        <f>SISWA!B9</f>
        <v>Andrian Putra Pangestu</v>
      </c>
      <c r="C9" s="659" t="e">
        <f>#REF!</f>
        <v>#REF!</v>
      </c>
      <c r="D9" s="663" t="e">
        <f>#REF!</f>
        <v>#REF!</v>
      </c>
      <c r="E9" s="659" t="e">
        <f>#REF!</f>
        <v>#REF!</v>
      </c>
      <c r="F9" s="297" t="e">
        <f>#REF!</f>
        <v>#REF!</v>
      </c>
      <c r="G9" s="666" t="e">
        <f>#REF!</f>
        <v>#REF!</v>
      </c>
      <c r="H9" s="663" t="e">
        <f>#REF!</f>
        <v>#REF!</v>
      </c>
      <c r="I9" s="659" t="e">
        <f>#REF!</f>
        <v>#REF!</v>
      </c>
      <c r="J9" s="297" t="e">
        <f>#REF!</f>
        <v>#REF!</v>
      </c>
      <c r="K9" s="666" t="e">
        <f>#REF!</f>
        <v>#REF!</v>
      </c>
      <c r="L9" s="663" t="e">
        <f>#REF!</f>
        <v>#REF!</v>
      </c>
      <c r="M9" s="659" t="e">
        <f>#REF!</f>
        <v>#REF!</v>
      </c>
      <c r="N9" s="297" t="e">
        <f>#REF!</f>
        <v>#REF!</v>
      </c>
      <c r="O9" s="666" t="e">
        <f>#REF!</f>
        <v>#REF!</v>
      </c>
      <c r="P9" s="663" t="e">
        <f>#REF!</f>
        <v>#REF!</v>
      </c>
      <c r="Q9" s="659">
        <f>'K-pkn'!DK11</f>
        <v>76</v>
      </c>
      <c r="R9" s="297" t="str">
        <f>'K-pkn'!DL11</f>
        <v>C</v>
      </c>
      <c r="S9" s="666">
        <f>'K-BI'!EQ11</f>
        <v>76</v>
      </c>
      <c r="T9" s="663" t="str">
        <f>'K-BI'!ER11</f>
        <v>C</v>
      </c>
      <c r="U9" s="659">
        <f>'K-MAT'!AY11</f>
        <v>78</v>
      </c>
      <c r="V9" s="297" t="str">
        <f>'K-MAT'!AZ11</f>
        <v>C</v>
      </c>
      <c r="W9" s="666">
        <f>'K-IPA'!EQ11</f>
        <v>76</v>
      </c>
      <c r="X9" s="663" t="str">
        <f>'K-IPA'!ER11</f>
        <v>C</v>
      </c>
      <c r="Y9" s="659">
        <f>'K-IPS'!DK11</f>
        <v>76</v>
      </c>
      <c r="Z9" s="297" t="str">
        <f>'K-IPS'!DL11</f>
        <v>C</v>
      </c>
      <c r="AA9" s="666">
        <f>'K-SBDP'!DK11</f>
        <v>76</v>
      </c>
      <c r="AB9" s="663" t="str">
        <f>'K-SBDP'!DL11</f>
        <v>C</v>
      </c>
      <c r="AC9" s="675">
        <f>'K-PJOK'!C11</f>
        <v>84</v>
      </c>
      <c r="AD9" s="676" t="str">
        <f>'K-PJOK'!D11</f>
        <v>B</v>
      </c>
      <c r="AE9" s="671">
        <f>'K-BJAWA'!CP11</f>
        <v>82</v>
      </c>
      <c r="AF9" s="663" t="str">
        <f>'K-BJAWA'!CQ11</f>
        <v>C</v>
      </c>
      <c r="AG9" s="662" t="e">
        <f t="shared" si="0"/>
        <v>#REF!</v>
      </c>
      <c r="AH9" s="739" t="str">
        <f t="shared" si="1"/>
        <v/>
      </c>
      <c r="AI9" s="739" t="e">
        <f t="shared" si="2"/>
        <v>#REF!</v>
      </c>
    </row>
    <row r="10" spans="1:35">
      <c r="A10" s="39">
        <v>5</v>
      </c>
      <c r="B10" s="296" t="str">
        <f>SISWA!B10</f>
        <v>Gresiya Suma Safitri</v>
      </c>
      <c r="C10" s="659" t="e">
        <f>#REF!</f>
        <v>#REF!</v>
      </c>
      <c r="D10" s="663" t="e">
        <f>#REF!</f>
        <v>#REF!</v>
      </c>
      <c r="E10" s="659" t="e">
        <f>#REF!</f>
        <v>#REF!</v>
      </c>
      <c r="F10" s="297" t="e">
        <f>#REF!</f>
        <v>#REF!</v>
      </c>
      <c r="G10" s="666" t="e">
        <f>#REF!</f>
        <v>#REF!</v>
      </c>
      <c r="H10" s="663" t="e">
        <f>#REF!</f>
        <v>#REF!</v>
      </c>
      <c r="I10" s="659" t="e">
        <f>#REF!</f>
        <v>#REF!</v>
      </c>
      <c r="J10" s="297" t="e">
        <f>#REF!</f>
        <v>#REF!</v>
      </c>
      <c r="K10" s="666" t="e">
        <f>#REF!</f>
        <v>#REF!</v>
      </c>
      <c r="L10" s="663" t="e">
        <f>#REF!</f>
        <v>#REF!</v>
      </c>
      <c r="M10" s="659" t="e">
        <f>#REF!</f>
        <v>#REF!</v>
      </c>
      <c r="N10" s="297" t="e">
        <f>#REF!</f>
        <v>#REF!</v>
      </c>
      <c r="O10" s="666" t="e">
        <f>#REF!</f>
        <v>#REF!</v>
      </c>
      <c r="P10" s="663" t="e">
        <f>#REF!</f>
        <v>#REF!</v>
      </c>
      <c r="Q10" s="659">
        <f>'K-pkn'!DK12</f>
        <v>85</v>
      </c>
      <c r="R10" s="297" t="str">
        <f>'K-pkn'!DL12</f>
        <v>B</v>
      </c>
      <c r="S10" s="666">
        <f>'K-BI'!EQ12</f>
        <v>80</v>
      </c>
      <c r="T10" s="663" t="str">
        <f>'K-BI'!ER12</f>
        <v>C</v>
      </c>
      <c r="U10" s="659">
        <f>'K-MAT'!AY12</f>
        <v>79</v>
      </c>
      <c r="V10" s="297" t="str">
        <f>'K-MAT'!AZ12</f>
        <v>C</v>
      </c>
      <c r="W10" s="666">
        <f>'K-IPA'!EQ12</f>
        <v>86</v>
      </c>
      <c r="X10" s="663" t="str">
        <f>'K-IPA'!ER12</f>
        <v>B</v>
      </c>
      <c r="Y10" s="659">
        <f>'K-IPS'!DK12</f>
        <v>84</v>
      </c>
      <c r="Z10" s="297" t="str">
        <f>'K-IPS'!DL12</f>
        <v>B</v>
      </c>
      <c r="AA10" s="666">
        <f>'K-SBDP'!DK12</f>
        <v>84</v>
      </c>
      <c r="AB10" s="663" t="str">
        <f>'K-SBDP'!DL12</f>
        <v>B</v>
      </c>
      <c r="AC10" s="675">
        <f>'K-PJOK'!C12</f>
        <v>84</v>
      </c>
      <c r="AD10" s="676" t="str">
        <f>'K-PJOK'!D12</f>
        <v>B</v>
      </c>
      <c r="AE10" s="671">
        <f>'K-BJAWA'!CP12</f>
        <v>88</v>
      </c>
      <c r="AF10" s="663" t="str">
        <f>'K-BJAWA'!CQ12</f>
        <v>B</v>
      </c>
      <c r="AG10" s="662" t="e">
        <f t="shared" si="0"/>
        <v>#REF!</v>
      </c>
      <c r="AH10" s="739" t="str">
        <f t="shared" si="1"/>
        <v/>
      </c>
      <c r="AI10" s="739" t="e">
        <f t="shared" si="2"/>
        <v>#REF!</v>
      </c>
    </row>
    <row r="11" spans="1:35">
      <c r="A11" s="39">
        <v>6</v>
      </c>
      <c r="B11" s="296" t="str">
        <f>SISWA!B11</f>
        <v>Hasna Fathitya Sabrina</v>
      </c>
      <c r="C11" s="659" t="e">
        <f>#REF!</f>
        <v>#REF!</v>
      </c>
      <c r="D11" s="663" t="e">
        <f>#REF!</f>
        <v>#REF!</v>
      </c>
      <c r="E11" s="659" t="e">
        <f>#REF!</f>
        <v>#REF!</v>
      </c>
      <c r="F11" s="297" t="e">
        <f>#REF!</f>
        <v>#REF!</v>
      </c>
      <c r="G11" s="666" t="e">
        <f>#REF!</f>
        <v>#REF!</v>
      </c>
      <c r="H11" s="663" t="e">
        <f>#REF!</f>
        <v>#REF!</v>
      </c>
      <c r="I11" s="659" t="e">
        <f>#REF!</f>
        <v>#REF!</v>
      </c>
      <c r="J11" s="297" t="e">
        <f>#REF!</f>
        <v>#REF!</v>
      </c>
      <c r="K11" s="666" t="e">
        <f>#REF!</f>
        <v>#REF!</v>
      </c>
      <c r="L11" s="663" t="e">
        <f>#REF!</f>
        <v>#REF!</v>
      </c>
      <c r="M11" s="659" t="e">
        <f>#REF!</f>
        <v>#REF!</v>
      </c>
      <c r="N11" s="297" t="e">
        <f>#REF!</f>
        <v>#REF!</v>
      </c>
      <c r="O11" s="666" t="e">
        <f>#REF!</f>
        <v>#REF!</v>
      </c>
      <c r="P11" s="663" t="e">
        <f>#REF!</f>
        <v>#REF!</v>
      </c>
      <c r="Q11" s="659">
        <f>'K-pkn'!DK13</f>
        <v>83</v>
      </c>
      <c r="R11" s="297" t="str">
        <f>'K-pkn'!DL13</f>
        <v>B</v>
      </c>
      <c r="S11" s="666">
        <f>'K-BI'!EQ13</f>
        <v>84</v>
      </c>
      <c r="T11" s="663" t="str">
        <f>'K-BI'!ER13</f>
        <v>B</v>
      </c>
      <c r="U11" s="659">
        <f>'K-MAT'!AY13</f>
        <v>79</v>
      </c>
      <c r="V11" s="297" t="str">
        <f>'K-MAT'!AZ13</f>
        <v>C</v>
      </c>
      <c r="W11" s="666">
        <f>'K-IPA'!EQ13</f>
        <v>86</v>
      </c>
      <c r="X11" s="663" t="str">
        <f>'K-IPA'!ER13</f>
        <v>B</v>
      </c>
      <c r="Y11" s="659">
        <f>'K-IPS'!DK13</f>
        <v>86</v>
      </c>
      <c r="Z11" s="297" t="str">
        <f>'K-IPS'!DL13</f>
        <v>B</v>
      </c>
      <c r="AA11" s="666">
        <f>'K-SBDP'!DK13</f>
        <v>86</v>
      </c>
      <c r="AB11" s="663" t="str">
        <f>'K-SBDP'!DL13</f>
        <v>B</v>
      </c>
      <c r="AC11" s="675">
        <f>'K-PJOK'!C13</f>
        <v>84</v>
      </c>
      <c r="AD11" s="676" t="str">
        <f>'K-PJOK'!D13</f>
        <v>B</v>
      </c>
      <c r="AE11" s="671">
        <f>'K-BJAWA'!CP13</f>
        <v>83</v>
      </c>
      <c r="AF11" s="663" t="str">
        <f>'K-BJAWA'!CQ13</f>
        <v>B</v>
      </c>
      <c r="AG11" s="662" t="e">
        <f t="shared" si="0"/>
        <v>#REF!</v>
      </c>
      <c r="AH11" s="739" t="str">
        <f t="shared" si="1"/>
        <v/>
      </c>
      <c r="AI11" s="739" t="e">
        <f t="shared" si="2"/>
        <v>#REF!</v>
      </c>
    </row>
    <row r="12" spans="1:35">
      <c r="A12" s="39">
        <v>7</v>
      </c>
      <c r="B12" s="296" t="str">
        <f>SISWA!B12</f>
        <v>Indah Fitria Ningrum</v>
      </c>
      <c r="C12" s="659" t="e">
        <f>#REF!</f>
        <v>#REF!</v>
      </c>
      <c r="D12" s="663" t="e">
        <f>#REF!</f>
        <v>#REF!</v>
      </c>
      <c r="E12" s="659" t="e">
        <f>#REF!</f>
        <v>#REF!</v>
      </c>
      <c r="F12" s="297" t="e">
        <f>#REF!</f>
        <v>#REF!</v>
      </c>
      <c r="G12" s="666" t="e">
        <f>#REF!</f>
        <v>#REF!</v>
      </c>
      <c r="H12" s="663" t="e">
        <f>#REF!</f>
        <v>#REF!</v>
      </c>
      <c r="I12" s="659" t="e">
        <f>#REF!</f>
        <v>#REF!</v>
      </c>
      <c r="J12" s="297" t="e">
        <f>#REF!</f>
        <v>#REF!</v>
      </c>
      <c r="K12" s="666" t="e">
        <f>#REF!</f>
        <v>#REF!</v>
      </c>
      <c r="L12" s="663" t="e">
        <f>#REF!</f>
        <v>#REF!</v>
      </c>
      <c r="M12" s="659" t="e">
        <f>#REF!</f>
        <v>#REF!</v>
      </c>
      <c r="N12" s="297" t="e">
        <f>#REF!</f>
        <v>#REF!</v>
      </c>
      <c r="O12" s="666" t="e">
        <f>#REF!</f>
        <v>#REF!</v>
      </c>
      <c r="P12" s="663" t="e">
        <f>#REF!</f>
        <v>#REF!</v>
      </c>
      <c r="Q12" s="659">
        <f>'K-pkn'!DK14</f>
        <v>86</v>
      </c>
      <c r="R12" s="297" t="str">
        <f>'K-pkn'!DL14</f>
        <v>B</v>
      </c>
      <c r="S12" s="666">
        <f>'K-BI'!EQ14</f>
        <v>84</v>
      </c>
      <c r="T12" s="663" t="str">
        <f>'K-BI'!ER14</f>
        <v>B</v>
      </c>
      <c r="U12" s="659">
        <f>'K-MAT'!AY14</f>
        <v>81</v>
      </c>
      <c r="V12" s="297" t="str">
        <f>'K-MAT'!AZ14</f>
        <v>C</v>
      </c>
      <c r="W12" s="666">
        <f>'K-IPA'!EQ14</f>
        <v>85</v>
      </c>
      <c r="X12" s="663" t="str">
        <f>'K-IPA'!ER14</f>
        <v>B</v>
      </c>
      <c r="Y12" s="659">
        <f>'K-IPS'!DK14</f>
        <v>89</v>
      </c>
      <c r="Z12" s="297" t="str">
        <f>'K-IPS'!DL14</f>
        <v>B</v>
      </c>
      <c r="AA12" s="666">
        <f>'K-SBDP'!DK14</f>
        <v>84</v>
      </c>
      <c r="AB12" s="663" t="str">
        <f>'K-SBDP'!DL14</f>
        <v>B</v>
      </c>
      <c r="AC12" s="675">
        <f>'K-PJOK'!C14</f>
        <v>84</v>
      </c>
      <c r="AD12" s="676" t="str">
        <f>'K-PJOK'!D14</f>
        <v>B</v>
      </c>
      <c r="AE12" s="671">
        <f>'K-BJAWA'!CP14</f>
        <v>85</v>
      </c>
      <c r="AF12" s="663" t="str">
        <f>'K-BJAWA'!CQ14</f>
        <v>B</v>
      </c>
      <c r="AG12" s="662" t="e">
        <f t="shared" si="0"/>
        <v>#REF!</v>
      </c>
      <c r="AH12" s="739" t="str">
        <f t="shared" si="1"/>
        <v/>
      </c>
      <c r="AI12" s="739" t="e">
        <f t="shared" si="2"/>
        <v>#REF!</v>
      </c>
    </row>
    <row r="13" spans="1:35">
      <c r="A13" s="39">
        <v>8</v>
      </c>
      <c r="B13" s="296" t="str">
        <f>SISWA!B13</f>
        <v>Muhammad Ilham Sarifuddin</v>
      </c>
      <c r="C13" s="659" t="e">
        <f>#REF!</f>
        <v>#REF!</v>
      </c>
      <c r="D13" s="663" t="e">
        <f>#REF!</f>
        <v>#REF!</v>
      </c>
      <c r="E13" s="659" t="e">
        <f>#REF!</f>
        <v>#REF!</v>
      </c>
      <c r="F13" s="297" t="e">
        <f>#REF!</f>
        <v>#REF!</v>
      </c>
      <c r="G13" s="666" t="e">
        <f>#REF!</f>
        <v>#REF!</v>
      </c>
      <c r="H13" s="663" t="e">
        <f>#REF!</f>
        <v>#REF!</v>
      </c>
      <c r="I13" s="659" t="e">
        <f>#REF!</f>
        <v>#REF!</v>
      </c>
      <c r="J13" s="297" t="e">
        <f>#REF!</f>
        <v>#REF!</v>
      </c>
      <c r="K13" s="666" t="e">
        <f>#REF!</f>
        <v>#REF!</v>
      </c>
      <c r="L13" s="663" t="e">
        <f>#REF!</f>
        <v>#REF!</v>
      </c>
      <c r="M13" s="659" t="e">
        <f>#REF!</f>
        <v>#REF!</v>
      </c>
      <c r="N13" s="297" t="e">
        <f>#REF!</f>
        <v>#REF!</v>
      </c>
      <c r="O13" s="666" t="e">
        <f>#REF!</f>
        <v>#REF!</v>
      </c>
      <c r="P13" s="663" t="e">
        <f>#REF!</f>
        <v>#REF!</v>
      </c>
      <c r="Q13" s="659">
        <f>'K-pkn'!DK15</f>
        <v>83</v>
      </c>
      <c r="R13" s="297" t="str">
        <f>'K-pkn'!DL15</f>
        <v>B</v>
      </c>
      <c r="S13" s="666">
        <f>'K-BI'!EQ15</f>
        <v>83</v>
      </c>
      <c r="T13" s="663" t="str">
        <f>'K-BI'!ER15</f>
        <v>B</v>
      </c>
      <c r="U13" s="659">
        <f>'K-MAT'!AY15</f>
        <v>78</v>
      </c>
      <c r="V13" s="297" t="str">
        <f>'K-MAT'!AZ15</f>
        <v>C</v>
      </c>
      <c r="W13" s="666">
        <f>'K-IPA'!EQ15</f>
        <v>78</v>
      </c>
      <c r="X13" s="663" t="str">
        <f>'K-IPA'!ER15</f>
        <v>C</v>
      </c>
      <c r="Y13" s="659">
        <f>'K-IPS'!DK15</f>
        <v>83</v>
      </c>
      <c r="Z13" s="297" t="str">
        <f>'K-IPS'!DL15</f>
        <v>B</v>
      </c>
      <c r="AA13" s="666">
        <f>'K-SBDP'!DK15</f>
        <v>82</v>
      </c>
      <c r="AB13" s="663" t="str">
        <f>'K-SBDP'!DL15</f>
        <v>C</v>
      </c>
      <c r="AC13" s="675">
        <f>'K-PJOK'!C15</f>
        <v>84</v>
      </c>
      <c r="AD13" s="676" t="str">
        <f>'K-PJOK'!D15</f>
        <v>B</v>
      </c>
      <c r="AE13" s="671">
        <f>'K-BJAWA'!CP15</f>
        <v>82</v>
      </c>
      <c r="AF13" s="663" t="str">
        <f>'K-BJAWA'!CQ15</f>
        <v>C</v>
      </c>
      <c r="AG13" s="662" t="e">
        <f t="shared" si="0"/>
        <v>#REF!</v>
      </c>
      <c r="AH13" s="739" t="str">
        <f t="shared" si="1"/>
        <v/>
      </c>
      <c r="AI13" s="739" t="e">
        <f t="shared" si="2"/>
        <v>#REF!</v>
      </c>
    </row>
    <row r="14" spans="1:35">
      <c r="A14" s="39">
        <v>9</v>
      </c>
      <c r="B14" s="296" t="str">
        <f>SISWA!B14</f>
        <v>Muhammad Raditya Ainul Yaqin</v>
      </c>
      <c r="C14" s="659" t="e">
        <f>#REF!</f>
        <v>#REF!</v>
      </c>
      <c r="D14" s="663" t="e">
        <f>#REF!</f>
        <v>#REF!</v>
      </c>
      <c r="E14" s="659" t="e">
        <f>#REF!</f>
        <v>#REF!</v>
      </c>
      <c r="F14" s="297" t="e">
        <f>#REF!</f>
        <v>#REF!</v>
      </c>
      <c r="G14" s="666" t="e">
        <f>#REF!</f>
        <v>#REF!</v>
      </c>
      <c r="H14" s="663" t="e">
        <f>#REF!</f>
        <v>#REF!</v>
      </c>
      <c r="I14" s="659" t="e">
        <f>#REF!</f>
        <v>#REF!</v>
      </c>
      <c r="J14" s="297" t="e">
        <f>#REF!</f>
        <v>#REF!</v>
      </c>
      <c r="K14" s="666" t="e">
        <f>#REF!</f>
        <v>#REF!</v>
      </c>
      <c r="L14" s="663" t="e">
        <f>#REF!</f>
        <v>#REF!</v>
      </c>
      <c r="M14" s="659" t="e">
        <f>#REF!</f>
        <v>#REF!</v>
      </c>
      <c r="N14" s="297" t="e">
        <f>#REF!</f>
        <v>#REF!</v>
      </c>
      <c r="O14" s="666" t="e">
        <f>#REF!</f>
        <v>#REF!</v>
      </c>
      <c r="P14" s="663" t="e">
        <f>#REF!</f>
        <v>#REF!</v>
      </c>
      <c r="Q14" s="659">
        <f>'K-pkn'!DK16</f>
        <v>79</v>
      </c>
      <c r="R14" s="297" t="str">
        <f>'K-pkn'!DL16</f>
        <v>C</v>
      </c>
      <c r="S14" s="666">
        <f>'K-BI'!EQ16</f>
        <v>80</v>
      </c>
      <c r="T14" s="663" t="str">
        <f>'K-BI'!ER16</f>
        <v>C</v>
      </c>
      <c r="U14" s="659">
        <f>'K-MAT'!AY16</f>
        <v>78</v>
      </c>
      <c r="V14" s="297" t="str">
        <f>'K-MAT'!AZ16</f>
        <v>C</v>
      </c>
      <c r="W14" s="666">
        <f>'K-IPA'!EQ16</f>
        <v>80</v>
      </c>
      <c r="X14" s="663" t="str">
        <f>'K-IPA'!ER16</f>
        <v>C</v>
      </c>
      <c r="Y14" s="659">
        <f>'K-IPS'!DK16</f>
        <v>87</v>
      </c>
      <c r="Z14" s="297" t="str">
        <f>'K-IPS'!DL16</f>
        <v>B</v>
      </c>
      <c r="AA14" s="666">
        <f>'K-SBDP'!DK16</f>
        <v>82</v>
      </c>
      <c r="AB14" s="663" t="str">
        <f>'K-SBDP'!DL16</f>
        <v>C</v>
      </c>
      <c r="AC14" s="675">
        <f>'K-PJOK'!C16</f>
        <v>84</v>
      </c>
      <c r="AD14" s="676" t="str">
        <f>'K-PJOK'!D16</f>
        <v>B</v>
      </c>
      <c r="AE14" s="671">
        <f>'K-BJAWA'!CP16</f>
        <v>82</v>
      </c>
      <c r="AF14" s="663" t="str">
        <f>'K-BJAWA'!CQ16</f>
        <v>C</v>
      </c>
      <c r="AG14" s="662" t="e">
        <f t="shared" si="0"/>
        <v>#REF!</v>
      </c>
      <c r="AH14" s="739" t="str">
        <f t="shared" si="1"/>
        <v/>
      </c>
      <c r="AI14" s="739" t="e">
        <f t="shared" si="2"/>
        <v>#REF!</v>
      </c>
    </row>
    <row r="15" spans="1:35">
      <c r="A15" s="39">
        <v>10</v>
      </c>
      <c r="B15" s="296" t="str">
        <f>SISWA!B15</f>
        <v>Muhammad Shulhan Al-farisi</v>
      </c>
      <c r="C15" s="659" t="e">
        <f>#REF!</f>
        <v>#REF!</v>
      </c>
      <c r="D15" s="663" t="e">
        <f>#REF!</f>
        <v>#REF!</v>
      </c>
      <c r="E15" s="659" t="e">
        <f>#REF!</f>
        <v>#REF!</v>
      </c>
      <c r="F15" s="297" t="e">
        <f>#REF!</f>
        <v>#REF!</v>
      </c>
      <c r="G15" s="666" t="e">
        <f>#REF!</f>
        <v>#REF!</v>
      </c>
      <c r="H15" s="663" t="e">
        <f>#REF!</f>
        <v>#REF!</v>
      </c>
      <c r="I15" s="659" t="e">
        <f>#REF!</f>
        <v>#REF!</v>
      </c>
      <c r="J15" s="297" t="e">
        <f>#REF!</f>
        <v>#REF!</v>
      </c>
      <c r="K15" s="666" t="e">
        <f>#REF!</f>
        <v>#REF!</v>
      </c>
      <c r="L15" s="663" t="e">
        <f>#REF!</f>
        <v>#REF!</v>
      </c>
      <c r="M15" s="659" t="e">
        <f>#REF!</f>
        <v>#REF!</v>
      </c>
      <c r="N15" s="297" t="e">
        <f>#REF!</f>
        <v>#REF!</v>
      </c>
      <c r="O15" s="666" t="e">
        <f>#REF!</f>
        <v>#REF!</v>
      </c>
      <c r="P15" s="663" t="e">
        <f>#REF!</f>
        <v>#REF!</v>
      </c>
      <c r="Q15" s="659">
        <f>'K-pkn'!DK17</f>
        <v>82</v>
      </c>
      <c r="R15" s="297" t="str">
        <f>'K-pkn'!DL17</f>
        <v>C</v>
      </c>
      <c r="S15" s="666">
        <f>'K-BI'!EQ17</f>
        <v>84</v>
      </c>
      <c r="T15" s="663" t="str">
        <f>'K-BI'!ER17</f>
        <v>B</v>
      </c>
      <c r="U15" s="659">
        <f>'K-MAT'!AY17</f>
        <v>83</v>
      </c>
      <c r="V15" s="297" t="str">
        <f>'K-MAT'!AZ17</f>
        <v>B</v>
      </c>
      <c r="W15" s="666">
        <f>'K-IPA'!EQ17</f>
        <v>83</v>
      </c>
      <c r="X15" s="663" t="str">
        <f>'K-IPA'!ER17</f>
        <v>B</v>
      </c>
      <c r="Y15" s="659">
        <f>'K-IPS'!DK17</f>
        <v>87</v>
      </c>
      <c r="Z15" s="297" t="str">
        <f>'K-IPS'!DL17</f>
        <v>B</v>
      </c>
      <c r="AA15" s="666">
        <f>'K-SBDP'!DK17</f>
        <v>84</v>
      </c>
      <c r="AB15" s="663" t="str">
        <f>'K-SBDP'!DL17</f>
        <v>B</v>
      </c>
      <c r="AC15" s="675">
        <f>'K-PJOK'!C17</f>
        <v>84</v>
      </c>
      <c r="AD15" s="676" t="str">
        <f>'K-PJOK'!D17</f>
        <v>B</v>
      </c>
      <c r="AE15" s="671">
        <f>'K-BJAWA'!CP17</f>
        <v>83</v>
      </c>
      <c r="AF15" s="663" t="str">
        <f>'K-BJAWA'!CQ17</f>
        <v>B</v>
      </c>
      <c r="AG15" s="662" t="e">
        <f t="shared" si="0"/>
        <v>#REF!</v>
      </c>
      <c r="AH15" s="739" t="str">
        <f t="shared" si="1"/>
        <v/>
      </c>
      <c r="AI15" s="739" t="e">
        <f t="shared" si="2"/>
        <v>#REF!</v>
      </c>
    </row>
    <row r="16" spans="1:35">
      <c r="A16" s="39">
        <v>11</v>
      </c>
      <c r="B16" s="296" t="str">
        <f>SISWA!B16</f>
        <v>Novaris Dwi Firmansyah</v>
      </c>
      <c r="C16" s="659" t="e">
        <f>#REF!</f>
        <v>#REF!</v>
      </c>
      <c r="D16" s="663" t="e">
        <f>#REF!</f>
        <v>#REF!</v>
      </c>
      <c r="E16" s="659" t="e">
        <f>#REF!</f>
        <v>#REF!</v>
      </c>
      <c r="F16" s="297" t="e">
        <f>#REF!</f>
        <v>#REF!</v>
      </c>
      <c r="G16" s="666" t="e">
        <f>#REF!</f>
        <v>#REF!</v>
      </c>
      <c r="H16" s="663" t="e">
        <f>#REF!</f>
        <v>#REF!</v>
      </c>
      <c r="I16" s="659" t="e">
        <f>#REF!</f>
        <v>#REF!</v>
      </c>
      <c r="J16" s="297" t="e">
        <f>#REF!</f>
        <v>#REF!</v>
      </c>
      <c r="K16" s="666" t="e">
        <f>#REF!</f>
        <v>#REF!</v>
      </c>
      <c r="L16" s="663" t="e">
        <f>#REF!</f>
        <v>#REF!</v>
      </c>
      <c r="M16" s="659" t="e">
        <f>#REF!</f>
        <v>#REF!</v>
      </c>
      <c r="N16" s="297" t="e">
        <f>#REF!</f>
        <v>#REF!</v>
      </c>
      <c r="O16" s="666" t="e">
        <f>#REF!</f>
        <v>#REF!</v>
      </c>
      <c r="P16" s="663" t="e">
        <f>#REF!</f>
        <v>#REF!</v>
      </c>
      <c r="Q16" s="659">
        <f>'K-pkn'!DK18</f>
        <v>83</v>
      </c>
      <c r="R16" s="297" t="str">
        <f>'K-pkn'!DL18</f>
        <v>B</v>
      </c>
      <c r="S16" s="666">
        <f>'K-BI'!EQ18</f>
        <v>83</v>
      </c>
      <c r="T16" s="663" t="str">
        <f>'K-BI'!ER18</f>
        <v>B</v>
      </c>
      <c r="U16" s="659">
        <f>'K-MAT'!AY18</f>
        <v>79</v>
      </c>
      <c r="V16" s="297" t="str">
        <f>'K-MAT'!AZ18</f>
        <v>C</v>
      </c>
      <c r="W16" s="666">
        <f>'K-IPA'!EQ18</f>
        <v>82</v>
      </c>
      <c r="X16" s="663" t="str">
        <f>'K-IPA'!ER18</f>
        <v>C</v>
      </c>
      <c r="Y16" s="659">
        <f>'K-IPS'!DK18</f>
        <v>85</v>
      </c>
      <c r="Z16" s="297" t="str">
        <f>'K-IPS'!DL18</f>
        <v>B</v>
      </c>
      <c r="AA16" s="666">
        <f>'K-SBDP'!DK18</f>
        <v>80</v>
      </c>
      <c r="AB16" s="663" t="str">
        <f>'K-SBDP'!DL18</f>
        <v>C</v>
      </c>
      <c r="AC16" s="675">
        <f>'K-PJOK'!C18</f>
        <v>84</v>
      </c>
      <c r="AD16" s="676" t="str">
        <f>'K-PJOK'!D18</f>
        <v>B</v>
      </c>
      <c r="AE16" s="671">
        <f>'K-BJAWA'!CP18</f>
        <v>80</v>
      </c>
      <c r="AF16" s="663" t="str">
        <f>'K-BJAWA'!CQ18</f>
        <v>C</v>
      </c>
      <c r="AG16" s="662" t="e">
        <f t="shared" si="0"/>
        <v>#REF!</v>
      </c>
      <c r="AH16" s="739" t="str">
        <f t="shared" si="1"/>
        <v/>
      </c>
      <c r="AI16" s="739" t="e">
        <f t="shared" si="2"/>
        <v>#REF!</v>
      </c>
    </row>
    <row r="17" spans="1:35">
      <c r="A17" s="39">
        <v>12</v>
      </c>
      <c r="B17" s="296" t="str">
        <f>SISWA!B17</f>
        <v>Oktafiya Duwi Safitri</v>
      </c>
      <c r="C17" s="659" t="e">
        <f>#REF!</f>
        <v>#REF!</v>
      </c>
      <c r="D17" s="663" t="e">
        <f>#REF!</f>
        <v>#REF!</v>
      </c>
      <c r="E17" s="659" t="e">
        <f>#REF!</f>
        <v>#REF!</v>
      </c>
      <c r="F17" s="297" t="e">
        <f>#REF!</f>
        <v>#REF!</v>
      </c>
      <c r="G17" s="666" t="e">
        <f>#REF!</f>
        <v>#REF!</v>
      </c>
      <c r="H17" s="663" t="e">
        <f>#REF!</f>
        <v>#REF!</v>
      </c>
      <c r="I17" s="659" t="e">
        <f>#REF!</f>
        <v>#REF!</v>
      </c>
      <c r="J17" s="297" t="e">
        <f>#REF!</f>
        <v>#REF!</v>
      </c>
      <c r="K17" s="666" t="e">
        <f>#REF!</f>
        <v>#REF!</v>
      </c>
      <c r="L17" s="663" t="e">
        <f>#REF!</f>
        <v>#REF!</v>
      </c>
      <c r="M17" s="659" t="e">
        <f>#REF!</f>
        <v>#REF!</v>
      </c>
      <c r="N17" s="297" t="e">
        <f>#REF!</f>
        <v>#REF!</v>
      </c>
      <c r="O17" s="666" t="e">
        <f>#REF!</f>
        <v>#REF!</v>
      </c>
      <c r="P17" s="663" t="e">
        <f>#REF!</f>
        <v>#REF!</v>
      </c>
      <c r="Q17" s="659">
        <f>'K-pkn'!DK19</f>
        <v>76</v>
      </c>
      <c r="R17" s="297" t="str">
        <f>'K-pkn'!DL19</f>
        <v>C</v>
      </c>
      <c r="S17" s="666">
        <f>'K-BI'!EQ19</f>
        <v>75</v>
      </c>
      <c r="T17" s="663" t="str">
        <f>'K-BI'!ER19</f>
        <v>C</v>
      </c>
      <c r="U17" s="659">
        <f>'K-MAT'!AY19</f>
        <v>76</v>
      </c>
      <c r="V17" s="297" t="str">
        <f>'K-MAT'!AZ19</f>
        <v>C</v>
      </c>
      <c r="W17" s="666">
        <f>'K-IPA'!EQ19</f>
        <v>78</v>
      </c>
      <c r="X17" s="663" t="str">
        <f>'K-IPA'!ER19</f>
        <v>C</v>
      </c>
      <c r="Y17" s="659">
        <f>'K-IPS'!DK19</f>
        <v>76</v>
      </c>
      <c r="Z17" s="297" t="str">
        <f>'K-IPS'!DL19</f>
        <v>C</v>
      </c>
      <c r="AA17" s="666">
        <f>'K-SBDP'!DK19</f>
        <v>78</v>
      </c>
      <c r="AB17" s="663" t="str">
        <f>'K-SBDP'!DL19</f>
        <v>C</v>
      </c>
      <c r="AC17" s="675">
        <f>'K-PJOK'!C19</f>
        <v>83</v>
      </c>
      <c r="AD17" s="676" t="str">
        <f>'K-PJOK'!D19</f>
        <v>B</v>
      </c>
      <c r="AE17" s="671">
        <f>'K-BJAWA'!CP19</f>
        <v>78</v>
      </c>
      <c r="AF17" s="663" t="str">
        <f>'K-BJAWA'!CQ19</f>
        <v>C</v>
      </c>
      <c r="AG17" s="662" t="e">
        <f t="shared" si="0"/>
        <v>#REF!</v>
      </c>
      <c r="AH17" s="739" t="str">
        <f t="shared" si="1"/>
        <v/>
      </c>
      <c r="AI17" s="739" t="e">
        <f t="shared" si="2"/>
        <v>#REF!</v>
      </c>
    </row>
    <row r="18" spans="1:35">
      <c r="A18" s="39">
        <v>13</v>
      </c>
      <c r="B18" s="296" t="str">
        <f>SISWA!B18</f>
        <v>Prastika Guntur Firmansyah</v>
      </c>
      <c r="C18" s="659" t="e">
        <f>#REF!</f>
        <v>#REF!</v>
      </c>
      <c r="D18" s="663" t="e">
        <f>#REF!</f>
        <v>#REF!</v>
      </c>
      <c r="E18" s="659" t="e">
        <f>#REF!</f>
        <v>#REF!</v>
      </c>
      <c r="F18" s="297" t="e">
        <f>#REF!</f>
        <v>#REF!</v>
      </c>
      <c r="G18" s="666" t="e">
        <f>#REF!</f>
        <v>#REF!</v>
      </c>
      <c r="H18" s="663" t="e">
        <f>#REF!</f>
        <v>#REF!</v>
      </c>
      <c r="I18" s="659" t="e">
        <f>#REF!</f>
        <v>#REF!</v>
      </c>
      <c r="J18" s="297" t="e">
        <f>#REF!</f>
        <v>#REF!</v>
      </c>
      <c r="K18" s="666" t="e">
        <f>#REF!</f>
        <v>#REF!</v>
      </c>
      <c r="L18" s="663" t="e">
        <f>#REF!</f>
        <v>#REF!</v>
      </c>
      <c r="M18" s="659" t="e">
        <f>#REF!</f>
        <v>#REF!</v>
      </c>
      <c r="N18" s="297" t="e">
        <f>#REF!</f>
        <v>#REF!</v>
      </c>
      <c r="O18" s="666" t="e">
        <f>#REF!</f>
        <v>#REF!</v>
      </c>
      <c r="P18" s="663" t="e">
        <f>#REF!</f>
        <v>#REF!</v>
      </c>
      <c r="Q18" s="659">
        <f>'K-pkn'!DK20</f>
        <v>81</v>
      </c>
      <c r="R18" s="297" t="str">
        <f>'K-pkn'!DL20</f>
        <v>C</v>
      </c>
      <c r="S18" s="666">
        <f>'K-BI'!EQ20</f>
        <v>82</v>
      </c>
      <c r="T18" s="663" t="str">
        <f>'K-BI'!ER20</f>
        <v>C</v>
      </c>
      <c r="U18" s="659">
        <f>'K-MAT'!AY20</f>
        <v>84</v>
      </c>
      <c r="V18" s="297" t="str">
        <f>'K-MAT'!AZ20</f>
        <v>B</v>
      </c>
      <c r="W18" s="666">
        <f>'K-IPA'!EQ20</f>
        <v>84</v>
      </c>
      <c r="X18" s="663" t="str">
        <f>'K-IPA'!ER20</f>
        <v>B</v>
      </c>
      <c r="Y18" s="659">
        <f>'K-IPS'!DK20</f>
        <v>84</v>
      </c>
      <c r="Z18" s="297" t="str">
        <f>'K-IPS'!DL20</f>
        <v>B</v>
      </c>
      <c r="AA18" s="666">
        <f>'K-SBDP'!DK20</f>
        <v>84</v>
      </c>
      <c r="AB18" s="663" t="str">
        <f>'K-SBDP'!DL20</f>
        <v>B</v>
      </c>
      <c r="AC18" s="675">
        <f>'K-PJOK'!C20</f>
        <v>84</v>
      </c>
      <c r="AD18" s="676" t="str">
        <f>'K-PJOK'!D20</f>
        <v>B</v>
      </c>
      <c r="AE18" s="671">
        <f>'K-BJAWA'!CP20</f>
        <v>87</v>
      </c>
      <c r="AF18" s="663" t="str">
        <f>'K-BJAWA'!CQ20</f>
        <v>B</v>
      </c>
      <c r="AG18" s="662" t="e">
        <f t="shared" si="0"/>
        <v>#REF!</v>
      </c>
      <c r="AH18" s="739" t="str">
        <f t="shared" si="1"/>
        <v/>
      </c>
      <c r="AI18" s="739" t="e">
        <f t="shared" si="2"/>
        <v>#REF!</v>
      </c>
    </row>
    <row r="19" spans="1:35">
      <c r="A19" s="39">
        <v>14</v>
      </c>
      <c r="B19" s="296" t="str">
        <f>SISWA!B19</f>
        <v>Siti Musyafiani</v>
      </c>
      <c r="C19" s="659" t="e">
        <f>#REF!</f>
        <v>#REF!</v>
      </c>
      <c r="D19" s="663" t="e">
        <f>#REF!</f>
        <v>#REF!</v>
      </c>
      <c r="E19" s="659" t="e">
        <f>#REF!</f>
        <v>#REF!</v>
      </c>
      <c r="F19" s="297" t="e">
        <f>#REF!</f>
        <v>#REF!</v>
      </c>
      <c r="G19" s="666" t="e">
        <f>#REF!</f>
        <v>#REF!</v>
      </c>
      <c r="H19" s="663" t="e">
        <f>#REF!</f>
        <v>#REF!</v>
      </c>
      <c r="I19" s="659" t="e">
        <f>#REF!</f>
        <v>#REF!</v>
      </c>
      <c r="J19" s="297" t="e">
        <f>#REF!</f>
        <v>#REF!</v>
      </c>
      <c r="K19" s="666" t="e">
        <f>#REF!</f>
        <v>#REF!</v>
      </c>
      <c r="L19" s="663" t="e">
        <f>#REF!</f>
        <v>#REF!</v>
      </c>
      <c r="M19" s="659" t="e">
        <f>#REF!</f>
        <v>#REF!</v>
      </c>
      <c r="N19" s="297" t="e">
        <f>#REF!</f>
        <v>#REF!</v>
      </c>
      <c r="O19" s="666" t="e">
        <f>#REF!</f>
        <v>#REF!</v>
      </c>
      <c r="P19" s="663" t="e">
        <f>#REF!</f>
        <v>#REF!</v>
      </c>
      <c r="Q19" s="659">
        <f>'K-pkn'!DK21</f>
        <v>83</v>
      </c>
      <c r="R19" s="297" t="str">
        <f>'K-pkn'!DL21</f>
        <v>B</v>
      </c>
      <c r="S19" s="666">
        <f>'K-BI'!EQ21</f>
        <v>82</v>
      </c>
      <c r="T19" s="663" t="str">
        <f>'K-BI'!ER21</f>
        <v>C</v>
      </c>
      <c r="U19" s="659">
        <f>'K-MAT'!AY21</f>
        <v>78</v>
      </c>
      <c r="V19" s="297" t="str">
        <f>'K-MAT'!AZ21</f>
        <v>C</v>
      </c>
      <c r="W19" s="666">
        <f>'K-IPA'!EQ21</f>
        <v>83</v>
      </c>
      <c r="X19" s="663" t="str">
        <f>'K-IPA'!ER21</f>
        <v>B</v>
      </c>
      <c r="Y19" s="659">
        <f>'K-IPS'!DK21</f>
        <v>88</v>
      </c>
      <c r="Z19" s="297" t="str">
        <f>'K-IPS'!DL21</f>
        <v>B</v>
      </c>
      <c r="AA19" s="666">
        <f>'K-SBDP'!DK21</f>
        <v>84</v>
      </c>
      <c r="AB19" s="663" t="str">
        <f>'K-SBDP'!DL21</f>
        <v>B</v>
      </c>
      <c r="AC19" s="675">
        <f>'K-PJOK'!C21</f>
        <v>83</v>
      </c>
      <c r="AD19" s="676" t="str">
        <f>'K-PJOK'!D21</f>
        <v>B</v>
      </c>
      <c r="AE19" s="671">
        <f>'K-BJAWA'!CP21</f>
        <v>85</v>
      </c>
      <c r="AF19" s="663" t="str">
        <f>'K-BJAWA'!CQ21</f>
        <v>B</v>
      </c>
      <c r="AG19" s="662" t="e">
        <f t="shared" si="0"/>
        <v>#REF!</v>
      </c>
      <c r="AH19" s="739" t="str">
        <f t="shared" si="1"/>
        <v/>
      </c>
      <c r="AI19" s="739" t="e">
        <f t="shared" si="2"/>
        <v>#REF!</v>
      </c>
    </row>
    <row r="20" spans="1:35">
      <c r="A20" s="39">
        <v>15</v>
      </c>
      <c r="B20" s="296" t="str">
        <f>SISWA!B20</f>
        <v>Tegar Arya Pangestu</v>
      </c>
      <c r="C20" s="659" t="e">
        <f>#REF!</f>
        <v>#REF!</v>
      </c>
      <c r="D20" s="663" t="e">
        <f>#REF!</f>
        <v>#REF!</v>
      </c>
      <c r="E20" s="659" t="e">
        <f>#REF!</f>
        <v>#REF!</v>
      </c>
      <c r="F20" s="297" t="e">
        <f>#REF!</f>
        <v>#REF!</v>
      </c>
      <c r="G20" s="666" t="e">
        <f>#REF!</f>
        <v>#REF!</v>
      </c>
      <c r="H20" s="663" t="e">
        <f>#REF!</f>
        <v>#REF!</v>
      </c>
      <c r="I20" s="659" t="e">
        <f>#REF!</f>
        <v>#REF!</v>
      </c>
      <c r="J20" s="297" t="e">
        <f>#REF!</f>
        <v>#REF!</v>
      </c>
      <c r="K20" s="666" t="e">
        <f>#REF!</f>
        <v>#REF!</v>
      </c>
      <c r="L20" s="663" t="e">
        <f>#REF!</f>
        <v>#REF!</v>
      </c>
      <c r="M20" s="659" t="e">
        <f>#REF!</f>
        <v>#REF!</v>
      </c>
      <c r="N20" s="297" t="e">
        <f>#REF!</f>
        <v>#REF!</v>
      </c>
      <c r="O20" s="666" t="e">
        <f>#REF!</f>
        <v>#REF!</v>
      </c>
      <c r="P20" s="663" t="e">
        <f>#REF!</f>
        <v>#REF!</v>
      </c>
      <c r="Q20" s="659">
        <f>'K-pkn'!DK22</f>
        <v>85</v>
      </c>
      <c r="R20" s="297" t="str">
        <f>'K-pkn'!DL22</f>
        <v>B</v>
      </c>
      <c r="S20" s="666">
        <f>'K-BI'!EQ22</f>
        <v>85</v>
      </c>
      <c r="T20" s="663" t="str">
        <f>'K-BI'!ER22</f>
        <v>B</v>
      </c>
      <c r="U20" s="659">
        <f>'K-MAT'!AY22</f>
        <v>79</v>
      </c>
      <c r="V20" s="297" t="str">
        <f>'K-MAT'!AZ22</f>
        <v>C</v>
      </c>
      <c r="W20" s="666">
        <f>'K-IPA'!EQ22</f>
        <v>85</v>
      </c>
      <c r="X20" s="663" t="str">
        <f>'K-IPA'!ER22</f>
        <v>B</v>
      </c>
      <c r="Y20" s="659">
        <f>'K-IPS'!DK22</f>
        <v>88</v>
      </c>
      <c r="Z20" s="297" t="str">
        <f>'K-IPS'!DL22</f>
        <v>B</v>
      </c>
      <c r="AA20" s="666">
        <f>'K-SBDP'!DK22</f>
        <v>86</v>
      </c>
      <c r="AB20" s="663" t="str">
        <f>'K-SBDP'!DL22</f>
        <v>B</v>
      </c>
      <c r="AC20" s="675">
        <f>'K-PJOK'!C22</f>
        <v>83</v>
      </c>
      <c r="AD20" s="676" t="str">
        <f>'K-PJOK'!D22</f>
        <v>B</v>
      </c>
      <c r="AE20" s="671">
        <f>'K-BJAWA'!CP22</f>
        <v>82</v>
      </c>
      <c r="AF20" s="663" t="str">
        <f>'K-BJAWA'!CQ22</f>
        <v>C</v>
      </c>
      <c r="AG20" s="662" t="e">
        <f t="shared" si="0"/>
        <v>#REF!</v>
      </c>
      <c r="AH20" s="739" t="str">
        <f t="shared" si="1"/>
        <v/>
      </c>
      <c r="AI20" s="739" t="e">
        <f t="shared" si="2"/>
        <v>#REF!</v>
      </c>
    </row>
    <row r="21" spans="1:35">
      <c r="A21" s="39">
        <v>16</v>
      </c>
      <c r="B21" s="296">
        <f>SISWA!B21</f>
        <v>0</v>
      </c>
      <c r="C21" s="659" t="e">
        <f>#REF!</f>
        <v>#REF!</v>
      </c>
      <c r="D21" s="663" t="e">
        <f>#REF!</f>
        <v>#REF!</v>
      </c>
      <c r="E21" s="659" t="e">
        <f>#REF!</f>
        <v>#REF!</v>
      </c>
      <c r="F21" s="297" t="e">
        <f>#REF!</f>
        <v>#REF!</v>
      </c>
      <c r="G21" s="666" t="e">
        <f>#REF!</f>
        <v>#REF!</v>
      </c>
      <c r="H21" s="663" t="e">
        <f>#REF!</f>
        <v>#REF!</v>
      </c>
      <c r="I21" s="659" t="e">
        <f>#REF!</f>
        <v>#REF!</v>
      </c>
      <c r="J21" s="297" t="e">
        <f>#REF!</f>
        <v>#REF!</v>
      </c>
      <c r="K21" s="666" t="e">
        <f>#REF!</f>
        <v>#REF!</v>
      </c>
      <c r="L21" s="663" t="e">
        <f>#REF!</f>
        <v>#REF!</v>
      </c>
      <c r="M21" s="659" t="e">
        <f>#REF!</f>
        <v>#REF!</v>
      </c>
      <c r="N21" s="297" t="e">
        <f>#REF!</f>
        <v>#REF!</v>
      </c>
      <c r="O21" s="666" t="e">
        <f>#REF!</f>
        <v>#REF!</v>
      </c>
      <c r="P21" s="663" t="e">
        <f>#REF!</f>
        <v>#REF!</v>
      </c>
      <c r="Q21" s="659" t="str">
        <f>'K-pkn'!DK23</f>
        <v/>
      </c>
      <c r="R21" s="297" t="str">
        <f>'K-pkn'!DL23</f>
        <v xml:space="preserve">  </v>
      </c>
      <c r="S21" s="666" t="str">
        <f>'K-BI'!EQ23</f>
        <v/>
      </c>
      <c r="T21" s="663" t="str">
        <f>'K-BI'!ER23</f>
        <v xml:space="preserve">  </v>
      </c>
      <c r="U21" s="659" t="str">
        <f>'K-MAT'!AY23</f>
        <v/>
      </c>
      <c r="V21" s="297" t="str">
        <f>'K-MAT'!AZ23</f>
        <v xml:space="preserve">  </v>
      </c>
      <c r="W21" s="666" t="str">
        <f>'K-IPA'!EQ23</f>
        <v/>
      </c>
      <c r="X21" s="663" t="str">
        <f>'K-IPA'!ER23</f>
        <v xml:space="preserve">  </v>
      </c>
      <c r="Y21" s="659" t="str">
        <f>'K-IPS'!DK23</f>
        <v/>
      </c>
      <c r="Z21" s="297" t="str">
        <f>'K-IPS'!DL23</f>
        <v xml:space="preserve">  </v>
      </c>
      <c r="AA21" s="666" t="str">
        <f>'K-SBDP'!DK23</f>
        <v/>
      </c>
      <c r="AB21" s="663" t="str">
        <f>'K-SBDP'!DL23</f>
        <v xml:space="preserve">  </v>
      </c>
      <c r="AC21" s="675">
        <f>'K-PJOK'!C23</f>
        <v>0</v>
      </c>
      <c r="AD21" s="676">
        <f>'K-PJOK'!D23</f>
        <v>0</v>
      </c>
      <c r="AE21" s="671" t="str">
        <f>'K-BJAWA'!CP23</f>
        <v xml:space="preserve"> </v>
      </c>
      <c r="AF21" s="663" t="str">
        <f>'K-BJAWA'!CQ23</f>
        <v xml:space="preserve">  </v>
      </c>
      <c r="AG21" s="662" t="e">
        <f t="shared" si="0"/>
        <v>#REF!</v>
      </c>
      <c r="AH21" s="739" t="str">
        <f t="shared" si="1"/>
        <v/>
      </c>
      <c r="AI21" s="739" t="e">
        <f t="shared" si="2"/>
        <v>#REF!</v>
      </c>
    </row>
    <row r="22" spans="1:35">
      <c r="A22" s="39">
        <v>17</v>
      </c>
      <c r="B22" s="296">
        <f>SISWA!B22</f>
        <v>0</v>
      </c>
      <c r="C22" s="659" t="e">
        <f>#REF!</f>
        <v>#REF!</v>
      </c>
      <c r="D22" s="663" t="e">
        <f>#REF!</f>
        <v>#REF!</v>
      </c>
      <c r="E22" s="659" t="e">
        <f>#REF!</f>
        <v>#REF!</v>
      </c>
      <c r="F22" s="297" t="e">
        <f>#REF!</f>
        <v>#REF!</v>
      </c>
      <c r="G22" s="666" t="e">
        <f>#REF!</f>
        <v>#REF!</v>
      </c>
      <c r="H22" s="663" t="e">
        <f>#REF!</f>
        <v>#REF!</v>
      </c>
      <c r="I22" s="659" t="e">
        <f>#REF!</f>
        <v>#REF!</v>
      </c>
      <c r="J22" s="297" t="e">
        <f>#REF!</f>
        <v>#REF!</v>
      </c>
      <c r="K22" s="666" t="e">
        <f>#REF!</f>
        <v>#REF!</v>
      </c>
      <c r="L22" s="663" t="e">
        <f>#REF!</f>
        <v>#REF!</v>
      </c>
      <c r="M22" s="659" t="e">
        <f>#REF!</f>
        <v>#REF!</v>
      </c>
      <c r="N22" s="297" t="e">
        <f>#REF!</f>
        <v>#REF!</v>
      </c>
      <c r="O22" s="666" t="e">
        <f>#REF!</f>
        <v>#REF!</v>
      </c>
      <c r="P22" s="663" t="e">
        <f>#REF!</f>
        <v>#REF!</v>
      </c>
      <c r="Q22" s="659" t="str">
        <f>'K-pkn'!DK24</f>
        <v/>
      </c>
      <c r="R22" s="297" t="str">
        <f>'K-pkn'!DL24</f>
        <v xml:space="preserve">  </v>
      </c>
      <c r="S22" s="666" t="str">
        <f>'K-BI'!EQ24</f>
        <v/>
      </c>
      <c r="T22" s="663" t="str">
        <f>'K-BI'!ER24</f>
        <v xml:space="preserve">  </v>
      </c>
      <c r="U22" s="659" t="str">
        <f>'K-MAT'!AY24</f>
        <v/>
      </c>
      <c r="V22" s="297" t="str">
        <f>'K-MAT'!AZ24</f>
        <v xml:space="preserve">  </v>
      </c>
      <c r="W22" s="666" t="str">
        <f>'K-IPA'!EQ24</f>
        <v/>
      </c>
      <c r="X22" s="663" t="str">
        <f>'K-IPA'!ER24</f>
        <v xml:space="preserve">  </v>
      </c>
      <c r="Y22" s="659" t="str">
        <f>'K-IPS'!DK24</f>
        <v/>
      </c>
      <c r="Z22" s="297" t="str">
        <f>'K-IPS'!DL24</f>
        <v xml:space="preserve">  </v>
      </c>
      <c r="AA22" s="666" t="str">
        <f>'K-SBDP'!DK24</f>
        <v/>
      </c>
      <c r="AB22" s="663" t="str">
        <f>'K-SBDP'!DL24</f>
        <v xml:space="preserve">  </v>
      </c>
      <c r="AC22" s="675">
        <f>'K-PJOK'!C24</f>
        <v>0</v>
      </c>
      <c r="AD22" s="676">
        <f>'K-PJOK'!D24</f>
        <v>0</v>
      </c>
      <c r="AE22" s="671" t="str">
        <f>'K-BJAWA'!CP24</f>
        <v xml:space="preserve"> </v>
      </c>
      <c r="AF22" s="663" t="str">
        <f>'K-BJAWA'!CQ24</f>
        <v xml:space="preserve">  </v>
      </c>
      <c r="AG22" s="662" t="e">
        <f t="shared" si="0"/>
        <v>#REF!</v>
      </c>
      <c r="AH22" s="739" t="str">
        <f t="shared" si="1"/>
        <v/>
      </c>
      <c r="AI22" s="739" t="e">
        <f t="shared" si="2"/>
        <v>#REF!</v>
      </c>
    </row>
    <row r="23" spans="1:35">
      <c r="A23" s="39">
        <v>18</v>
      </c>
      <c r="B23" s="296">
        <f>SISWA!B23</f>
        <v>0</v>
      </c>
      <c r="C23" s="659" t="e">
        <f>#REF!</f>
        <v>#REF!</v>
      </c>
      <c r="D23" s="663" t="e">
        <f>#REF!</f>
        <v>#REF!</v>
      </c>
      <c r="E23" s="659" t="e">
        <f>#REF!</f>
        <v>#REF!</v>
      </c>
      <c r="F23" s="297" t="e">
        <f>#REF!</f>
        <v>#REF!</v>
      </c>
      <c r="G23" s="666" t="e">
        <f>#REF!</f>
        <v>#REF!</v>
      </c>
      <c r="H23" s="663" t="e">
        <f>#REF!</f>
        <v>#REF!</v>
      </c>
      <c r="I23" s="659" t="e">
        <f>#REF!</f>
        <v>#REF!</v>
      </c>
      <c r="J23" s="297" t="e">
        <f>#REF!</f>
        <v>#REF!</v>
      </c>
      <c r="K23" s="666" t="e">
        <f>#REF!</f>
        <v>#REF!</v>
      </c>
      <c r="L23" s="663" t="e">
        <f>#REF!</f>
        <v>#REF!</v>
      </c>
      <c r="M23" s="659" t="e">
        <f>#REF!</f>
        <v>#REF!</v>
      </c>
      <c r="N23" s="297" t="e">
        <f>#REF!</f>
        <v>#REF!</v>
      </c>
      <c r="O23" s="666" t="e">
        <f>#REF!</f>
        <v>#REF!</v>
      </c>
      <c r="P23" s="663" t="e">
        <f>#REF!</f>
        <v>#REF!</v>
      </c>
      <c r="Q23" s="659" t="str">
        <f>'K-pkn'!DK25</f>
        <v/>
      </c>
      <c r="R23" s="297" t="str">
        <f>'K-pkn'!DL25</f>
        <v xml:space="preserve">  </v>
      </c>
      <c r="S23" s="666" t="str">
        <f>'K-BI'!EQ25</f>
        <v/>
      </c>
      <c r="T23" s="663" t="str">
        <f>'K-BI'!ER25</f>
        <v xml:space="preserve">  </v>
      </c>
      <c r="U23" s="659" t="str">
        <f>'K-MAT'!AY25</f>
        <v/>
      </c>
      <c r="V23" s="297" t="str">
        <f>'K-MAT'!AZ25</f>
        <v xml:space="preserve">  </v>
      </c>
      <c r="W23" s="666" t="str">
        <f>'K-IPA'!EQ25</f>
        <v/>
      </c>
      <c r="X23" s="663" t="str">
        <f>'K-IPA'!ER25</f>
        <v xml:space="preserve">  </v>
      </c>
      <c r="Y23" s="659" t="str">
        <f>'K-IPS'!DK25</f>
        <v/>
      </c>
      <c r="Z23" s="297" t="str">
        <f>'K-IPS'!DL25</f>
        <v xml:space="preserve">  </v>
      </c>
      <c r="AA23" s="666" t="str">
        <f>'K-SBDP'!DK25</f>
        <v/>
      </c>
      <c r="AB23" s="663" t="str">
        <f>'K-SBDP'!DL25</f>
        <v xml:space="preserve">  </v>
      </c>
      <c r="AC23" s="675">
        <f>'K-PJOK'!C25</f>
        <v>0</v>
      </c>
      <c r="AD23" s="676">
        <f>'K-PJOK'!D25</f>
        <v>0</v>
      </c>
      <c r="AE23" s="671" t="str">
        <f>'K-BJAWA'!CP25</f>
        <v xml:space="preserve"> </v>
      </c>
      <c r="AF23" s="663" t="str">
        <f>'K-BJAWA'!CQ25</f>
        <v xml:space="preserve">  </v>
      </c>
      <c r="AG23" s="662" t="e">
        <f t="shared" si="0"/>
        <v>#REF!</v>
      </c>
      <c r="AH23" s="739" t="str">
        <f t="shared" si="1"/>
        <v/>
      </c>
      <c r="AI23" s="739" t="e">
        <f t="shared" si="2"/>
        <v>#REF!</v>
      </c>
    </row>
    <row r="24" spans="1:35">
      <c r="A24" s="39">
        <v>19</v>
      </c>
      <c r="B24" s="296">
        <f>SISWA!B24</f>
        <v>0</v>
      </c>
      <c r="C24" s="659" t="e">
        <f>#REF!</f>
        <v>#REF!</v>
      </c>
      <c r="D24" s="663" t="e">
        <f>#REF!</f>
        <v>#REF!</v>
      </c>
      <c r="E24" s="659" t="e">
        <f>#REF!</f>
        <v>#REF!</v>
      </c>
      <c r="F24" s="297" t="e">
        <f>#REF!</f>
        <v>#REF!</v>
      </c>
      <c r="G24" s="666" t="e">
        <f>#REF!</f>
        <v>#REF!</v>
      </c>
      <c r="H24" s="663" t="e">
        <f>#REF!</f>
        <v>#REF!</v>
      </c>
      <c r="I24" s="659" t="e">
        <f>#REF!</f>
        <v>#REF!</v>
      </c>
      <c r="J24" s="297" t="e">
        <f>#REF!</f>
        <v>#REF!</v>
      </c>
      <c r="K24" s="666" t="e">
        <f>#REF!</f>
        <v>#REF!</v>
      </c>
      <c r="L24" s="663" t="e">
        <f>#REF!</f>
        <v>#REF!</v>
      </c>
      <c r="M24" s="659" t="e">
        <f>#REF!</f>
        <v>#REF!</v>
      </c>
      <c r="N24" s="297" t="e">
        <f>#REF!</f>
        <v>#REF!</v>
      </c>
      <c r="O24" s="666" t="e">
        <f>#REF!</f>
        <v>#REF!</v>
      </c>
      <c r="P24" s="663" t="e">
        <f>#REF!</f>
        <v>#REF!</v>
      </c>
      <c r="Q24" s="659" t="str">
        <f>'K-pkn'!DK26</f>
        <v/>
      </c>
      <c r="R24" s="297" t="str">
        <f>'K-pkn'!DL26</f>
        <v xml:space="preserve">  </v>
      </c>
      <c r="S24" s="666" t="str">
        <f>'K-BI'!EQ26</f>
        <v/>
      </c>
      <c r="T24" s="663" t="str">
        <f>'K-BI'!ER26</f>
        <v xml:space="preserve">  </v>
      </c>
      <c r="U24" s="659" t="str">
        <f>'K-MAT'!AY26</f>
        <v/>
      </c>
      <c r="V24" s="297" t="str">
        <f>'K-MAT'!AZ26</f>
        <v xml:space="preserve">  </v>
      </c>
      <c r="W24" s="666" t="str">
        <f>'K-IPA'!EQ26</f>
        <v/>
      </c>
      <c r="X24" s="663" t="str">
        <f>'K-IPA'!ER26</f>
        <v xml:space="preserve">  </v>
      </c>
      <c r="Y24" s="659" t="str">
        <f>'K-IPS'!DK26</f>
        <v/>
      </c>
      <c r="Z24" s="297" t="str">
        <f>'K-IPS'!DL26</f>
        <v xml:space="preserve">  </v>
      </c>
      <c r="AA24" s="666" t="str">
        <f>'K-SBDP'!DK26</f>
        <v/>
      </c>
      <c r="AB24" s="663" t="str">
        <f>'K-SBDP'!DL26</f>
        <v xml:space="preserve">  </v>
      </c>
      <c r="AC24" s="675">
        <f>'K-PJOK'!C26</f>
        <v>0</v>
      </c>
      <c r="AD24" s="676">
        <f>'K-PJOK'!D26</f>
        <v>0</v>
      </c>
      <c r="AE24" s="671" t="str">
        <f>'K-BJAWA'!CP26</f>
        <v xml:space="preserve"> </v>
      </c>
      <c r="AF24" s="663" t="str">
        <f>'K-BJAWA'!CQ26</f>
        <v xml:space="preserve">  </v>
      </c>
      <c r="AG24" s="662" t="e">
        <f t="shared" si="0"/>
        <v>#REF!</v>
      </c>
      <c r="AH24" s="739" t="str">
        <f t="shared" si="1"/>
        <v/>
      </c>
      <c r="AI24" s="739" t="e">
        <f t="shared" si="2"/>
        <v>#REF!</v>
      </c>
    </row>
    <row r="25" spans="1:35">
      <c r="A25" s="39">
        <v>20</v>
      </c>
      <c r="B25" s="296">
        <f>SISWA!B25</f>
        <v>0</v>
      </c>
      <c r="C25" s="659" t="e">
        <f>#REF!</f>
        <v>#REF!</v>
      </c>
      <c r="D25" s="663" t="e">
        <f>#REF!</f>
        <v>#REF!</v>
      </c>
      <c r="E25" s="659" t="e">
        <f>#REF!</f>
        <v>#REF!</v>
      </c>
      <c r="F25" s="297" t="e">
        <f>#REF!</f>
        <v>#REF!</v>
      </c>
      <c r="G25" s="666" t="e">
        <f>#REF!</f>
        <v>#REF!</v>
      </c>
      <c r="H25" s="663" t="e">
        <f>#REF!</f>
        <v>#REF!</v>
      </c>
      <c r="I25" s="659" t="e">
        <f>#REF!</f>
        <v>#REF!</v>
      </c>
      <c r="J25" s="297" t="e">
        <f>#REF!</f>
        <v>#REF!</v>
      </c>
      <c r="K25" s="666" t="e">
        <f>#REF!</f>
        <v>#REF!</v>
      </c>
      <c r="L25" s="663" t="e">
        <f>#REF!</f>
        <v>#REF!</v>
      </c>
      <c r="M25" s="659" t="e">
        <f>#REF!</f>
        <v>#REF!</v>
      </c>
      <c r="N25" s="297" t="e">
        <f>#REF!</f>
        <v>#REF!</v>
      </c>
      <c r="O25" s="666" t="e">
        <f>#REF!</f>
        <v>#REF!</v>
      </c>
      <c r="P25" s="663" t="e">
        <f>#REF!</f>
        <v>#REF!</v>
      </c>
      <c r="Q25" s="659" t="str">
        <f>'K-pkn'!DK27</f>
        <v/>
      </c>
      <c r="R25" s="297" t="str">
        <f>'K-pkn'!DL27</f>
        <v xml:space="preserve">  </v>
      </c>
      <c r="S25" s="666" t="str">
        <f>'K-BI'!EQ27</f>
        <v/>
      </c>
      <c r="T25" s="663" t="str">
        <f>'K-BI'!ER27</f>
        <v xml:space="preserve">  </v>
      </c>
      <c r="U25" s="659" t="str">
        <f>'K-MAT'!AY27</f>
        <v/>
      </c>
      <c r="V25" s="297" t="str">
        <f>'K-MAT'!AZ27</f>
        <v xml:space="preserve">  </v>
      </c>
      <c r="W25" s="666" t="str">
        <f>'K-IPA'!EQ27</f>
        <v/>
      </c>
      <c r="X25" s="663" t="str">
        <f>'K-IPA'!ER27</f>
        <v xml:space="preserve">  </v>
      </c>
      <c r="Y25" s="659" t="str">
        <f>'K-IPS'!DK27</f>
        <v/>
      </c>
      <c r="Z25" s="297" t="str">
        <f>'K-IPS'!DL27</f>
        <v xml:space="preserve">  </v>
      </c>
      <c r="AA25" s="666" t="str">
        <f>'K-SBDP'!DK27</f>
        <v/>
      </c>
      <c r="AB25" s="663" t="str">
        <f>'K-SBDP'!DL27</f>
        <v xml:space="preserve">  </v>
      </c>
      <c r="AC25" s="675">
        <f>'K-PJOK'!C27</f>
        <v>0</v>
      </c>
      <c r="AD25" s="676">
        <f>'K-PJOK'!D27</f>
        <v>0</v>
      </c>
      <c r="AE25" s="671" t="str">
        <f>'K-BJAWA'!CP27</f>
        <v xml:space="preserve"> </v>
      </c>
      <c r="AF25" s="663" t="str">
        <f>'K-BJAWA'!CQ27</f>
        <v xml:space="preserve">  </v>
      </c>
      <c r="AG25" s="662" t="e">
        <f t="shared" si="0"/>
        <v>#REF!</v>
      </c>
      <c r="AH25" s="739" t="str">
        <f t="shared" si="1"/>
        <v/>
      </c>
      <c r="AI25" s="739" t="e">
        <f t="shared" si="2"/>
        <v>#REF!</v>
      </c>
    </row>
    <row r="26" spans="1:35">
      <c r="A26" s="39">
        <v>21</v>
      </c>
      <c r="B26" s="296">
        <f>SISWA!B26</f>
        <v>0</v>
      </c>
      <c r="C26" s="659" t="e">
        <f>#REF!</f>
        <v>#REF!</v>
      </c>
      <c r="D26" s="663" t="e">
        <f>#REF!</f>
        <v>#REF!</v>
      </c>
      <c r="E26" s="659" t="e">
        <f>#REF!</f>
        <v>#REF!</v>
      </c>
      <c r="F26" s="297" t="e">
        <f>#REF!</f>
        <v>#REF!</v>
      </c>
      <c r="G26" s="666" t="e">
        <f>#REF!</f>
        <v>#REF!</v>
      </c>
      <c r="H26" s="663" t="e">
        <f>#REF!</f>
        <v>#REF!</v>
      </c>
      <c r="I26" s="659" t="e">
        <f>#REF!</f>
        <v>#REF!</v>
      </c>
      <c r="J26" s="297" t="e">
        <f>#REF!</f>
        <v>#REF!</v>
      </c>
      <c r="K26" s="666" t="e">
        <f>#REF!</f>
        <v>#REF!</v>
      </c>
      <c r="L26" s="663" t="e">
        <f>#REF!</f>
        <v>#REF!</v>
      </c>
      <c r="M26" s="659" t="e">
        <f>#REF!</f>
        <v>#REF!</v>
      </c>
      <c r="N26" s="297" t="e">
        <f>#REF!</f>
        <v>#REF!</v>
      </c>
      <c r="O26" s="666" t="e">
        <f>#REF!</f>
        <v>#REF!</v>
      </c>
      <c r="P26" s="663" t="e">
        <f>#REF!</f>
        <v>#REF!</v>
      </c>
      <c r="Q26" s="659" t="str">
        <f>'K-pkn'!DK28</f>
        <v/>
      </c>
      <c r="R26" s="297" t="str">
        <f>'K-pkn'!DL28</f>
        <v xml:space="preserve">  </v>
      </c>
      <c r="S26" s="666" t="str">
        <f>'K-BI'!EQ28</f>
        <v/>
      </c>
      <c r="T26" s="663" t="str">
        <f>'K-BI'!ER28</f>
        <v xml:space="preserve">  </v>
      </c>
      <c r="U26" s="659" t="str">
        <f>'K-MAT'!AY28</f>
        <v/>
      </c>
      <c r="V26" s="297" t="str">
        <f>'K-MAT'!AZ28</f>
        <v xml:space="preserve">  </v>
      </c>
      <c r="W26" s="666" t="str">
        <f>'K-IPA'!EQ28</f>
        <v/>
      </c>
      <c r="X26" s="663" t="str">
        <f>'K-IPA'!ER28</f>
        <v xml:space="preserve">  </v>
      </c>
      <c r="Y26" s="659" t="str">
        <f>'K-IPS'!DK28</f>
        <v/>
      </c>
      <c r="Z26" s="297" t="str">
        <f>'K-IPS'!DL28</f>
        <v xml:space="preserve">  </v>
      </c>
      <c r="AA26" s="666" t="str">
        <f>'K-SBDP'!DK28</f>
        <v/>
      </c>
      <c r="AB26" s="663" t="str">
        <f>'K-SBDP'!DL28</f>
        <v xml:space="preserve">  </v>
      </c>
      <c r="AC26" s="675">
        <f>'K-PJOK'!C28</f>
        <v>0</v>
      </c>
      <c r="AD26" s="676">
        <f>'K-PJOK'!D28</f>
        <v>0</v>
      </c>
      <c r="AE26" s="671" t="str">
        <f>'K-BJAWA'!CP28</f>
        <v xml:space="preserve"> </v>
      </c>
      <c r="AF26" s="663" t="str">
        <f>'K-BJAWA'!CQ28</f>
        <v xml:space="preserve">  </v>
      </c>
      <c r="AG26" s="662" t="e">
        <f t="shared" si="0"/>
        <v>#REF!</v>
      </c>
      <c r="AH26" s="739" t="str">
        <f t="shared" si="1"/>
        <v/>
      </c>
      <c r="AI26" s="739" t="e">
        <f t="shared" si="2"/>
        <v>#REF!</v>
      </c>
    </row>
    <row r="27" spans="1:35">
      <c r="A27" s="39">
        <v>22</v>
      </c>
      <c r="B27" s="296">
        <f>SISWA!B27</f>
        <v>0</v>
      </c>
      <c r="C27" s="659" t="e">
        <f>#REF!</f>
        <v>#REF!</v>
      </c>
      <c r="D27" s="663" t="e">
        <f>#REF!</f>
        <v>#REF!</v>
      </c>
      <c r="E27" s="659" t="e">
        <f>#REF!</f>
        <v>#REF!</v>
      </c>
      <c r="F27" s="297" t="e">
        <f>#REF!</f>
        <v>#REF!</v>
      </c>
      <c r="G27" s="666" t="e">
        <f>#REF!</f>
        <v>#REF!</v>
      </c>
      <c r="H27" s="663" t="e">
        <f>#REF!</f>
        <v>#REF!</v>
      </c>
      <c r="I27" s="659" t="e">
        <f>#REF!</f>
        <v>#REF!</v>
      </c>
      <c r="J27" s="297" t="e">
        <f>#REF!</f>
        <v>#REF!</v>
      </c>
      <c r="K27" s="666" t="e">
        <f>#REF!</f>
        <v>#REF!</v>
      </c>
      <c r="L27" s="663" t="e">
        <f>#REF!</f>
        <v>#REF!</v>
      </c>
      <c r="M27" s="659" t="e">
        <f>#REF!</f>
        <v>#REF!</v>
      </c>
      <c r="N27" s="297" t="e">
        <f>#REF!</f>
        <v>#REF!</v>
      </c>
      <c r="O27" s="666" t="e">
        <f>#REF!</f>
        <v>#REF!</v>
      </c>
      <c r="P27" s="663" t="e">
        <f>#REF!</f>
        <v>#REF!</v>
      </c>
      <c r="Q27" s="659" t="str">
        <f>'K-pkn'!DK29</f>
        <v/>
      </c>
      <c r="R27" s="297" t="str">
        <f>'K-pkn'!DL29</f>
        <v xml:space="preserve">  </v>
      </c>
      <c r="S27" s="666" t="str">
        <f>'K-BI'!EQ29</f>
        <v/>
      </c>
      <c r="T27" s="663" t="str">
        <f>'K-BI'!ER29</f>
        <v xml:space="preserve">  </v>
      </c>
      <c r="U27" s="659" t="str">
        <f>'K-MAT'!AY29</f>
        <v/>
      </c>
      <c r="V27" s="297" t="str">
        <f>'K-MAT'!AZ29</f>
        <v xml:space="preserve">  </v>
      </c>
      <c r="W27" s="666" t="str">
        <f>'K-IPA'!EQ29</f>
        <v/>
      </c>
      <c r="X27" s="663" t="str">
        <f>'K-IPA'!ER29</f>
        <v xml:space="preserve">  </v>
      </c>
      <c r="Y27" s="659" t="str">
        <f>'K-IPS'!DK29</f>
        <v/>
      </c>
      <c r="Z27" s="297" t="str">
        <f>'K-IPS'!DL29</f>
        <v xml:space="preserve">  </v>
      </c>
      <c r="AA27" s="666" t="str">
        <f>'K-SBDP'!DK29</f>
        <v/>
      </c>
      <c r="AB27" s="663" t="str">
        <f>'K-SBDP'!DL29</f>
        <v xml:space="preserve">  </v>
      </c>
      <c r="AC27" s="675">
        <f>'K-PJOK'!C29</f>
        <v>0</v>
      </c>
      <c r="AD27" s="676">
        <f>'K-PJOK'!D29</f>
        <v>0</v>
      </c>
      <c r="AE27" s="671" t="str">
        <f>'K-BJAWA'!CP29</f>
        <v xml:space="preserve"> </v>
      </c>
      <c r="AF27" s="663" t="str">
        <f>'K-BJAWA'!CQ29</f>
        <v xml:space="preserve">  </v>
      </c>
      <c r="AG27" s="662" t="e">
        <f t="shared" si="0"/>
        <v>#REF!</v>
      </c>
      <c r="AH27" s="739" t="str">
        <f t="shared" si="1"/>
        <v/>
      </c>
      <c r="AI27" s="739" t="e">
        <f t="shared" si="2"/>
        <v>#REF!</v>
      </c>
    </row>
    <row r="28" spans="1:35">
      <c r="A28" s="39">
        <v>23</v>
      </c>
      <c r="B28" s="296">
        <f>SISWA!B28</f>
        <v>0</v>
      </c>
      <c r="C28" s="659" t="e">
        <f>#REF!</f>
        <v>#REF!</v>
      </c>
      <c r="D28" s="663" t="e">
        <f>#REF!</f>
        <v>#REF!</v>
      </c>
      <c r="E28" s="659" t="e">
        <f>#REF!</f>
        <v>#REF!</v>
      </c>
      <c r="F28" s="297" t="e">
        <f>#REF!</f>
        <v>#REF!</v>
      </c>
      <c r="G28" s="666" t="e">
        <f>#REF!</f>
        <v>#REF!</v>
      </c>
      <c r="H28" s="663" t="e">
        <f>#REF!</f>
        <v>#REF!</v>
      </c>
      <c r="I28" s="659" t="e">
        <f>#REF!</f>
        <v>#REF!</v>
      </c>
      <c r="J28" s="297" t="e">
        <f>#REF!</f>
        <v>#REF!</v>
      </c>
      <c r="K28" s="666" t="e">
        <f>#REF!</f>
        <v>#REF!</v>
      </c>
      <c r="L28" s="663" t="e">
        <f>#REF!</f>
        <v>#REF!</v>
      </c>
      <c r="M28" s="659" t="e">
        <f>#REF!</f>
        <v>#REF!</v>
      </c>
      <c r="N28" s="297" t="e">
        <f>#REF!</f>
        <v>#REF!</v>
      </c>
      <c r="O28" s="666" t="e">
        <f>#REF!</f>
        <v>#REF!</v>
      </c>
      <c r="P28" s="663" t="e">
        <f>#REF!</f>
        <v>#REF!</v>
      </c>
      <c r="Q28" s="659" t="str">
        <f>'K-pkn'!DK30</f>
        <v/>
      </c>
      <c r="R28" s="297" t="str">
        <f>'K-pkn'!DL30</f>
        <v xml:space="preserve">  </v>
      </c>
      <c r="S28" s="666" t="str">
        <f>'K-BI'!EQ30</f>
        <v/>
      </c>
      <c r="T28" s="663" t="str">
        <f>'K-BI'!ER30</f>
        <v xml:space="preserve">  </v>
      </c>
      <c r="U28" s="659" t="str">
        <f>'K-MAT'!AY30</f>
        <v/>
      </c>
      <c r="V28" s="297" t="str">
        <f>'K-MAT'!AZ30</f>
        <v xml:space="preserve">  </v>
      </c>
      <c r="W28" s="666" t="str">
        <f>'K-IPA'!EQ30</f>
        <v/>
      </c>
      <c r="X28" s="663" t="str">
        <f>'K-IPA'!ER30</f>
        <v xml:space="preserve">  </v>
      </c>
      <c r="Y28" s="659" t="str">
        <f>'K-IPS'!DK30</f>
        <v/>
      </c>
      <c r="Z28" s="297" t="str">
        <f>'K-IPS'!DL30</f>
        <v xml:space="preserve">  </v>
      </c>
      <c r="AA28" s="666" t="str">
        <f>'K-SBDP'!DK30</f>
        <v/>
      </c>
      <c r="AB28" s="663" t="str">
        <f>'K-SBDP'!DL30</f>
        <v xml:space="preserve">  </v>
      </c>
      <c r="AC28" s="675">
        <f>'K-PJOK'!C30</f>
        <v>0</v>
      </c>
      <c r="AD28" s="676">
        <f>'K-PJOK'!D30</f>
        <v>0</v>
      </c>
      <c r="AE28" s="671" t="str">
        <f>'K-BJAWA'!CP30</f>
        <v xml:space="preserve"> </v>
      </c>
      <c r="AF28" s="663" t="str">
        <f>'K-BJAWA'!CQ30</f>
        <v xml:space="preserve">  </v>
      </c>
      <c r="AG28" s="662" t="e">
        <f t="shared" si="0"/>
        <v>#REF!</v>
      </c>
      <c r="AH28" s="739" t="str">
        <f t="shared" si="1"/>
        <v/>
      </c>
      <c r="AI28" s="739" t="e">
        <f t="shared" si="2"/>
        <v>#REF!</v>
      </c>
    </row>
    <row r="29" spans="1:35">
      <c r="A29" s="39">
        <v>24</v>
      </c>
      <c r="B29" s="296">
        <f>SISWA!B29</f>
        <v>0</v>
      </c>
      <c r="C29" s="659" t="e">
        <f>#REF!</f>
        <v>#REF!</v>
      </c>
      <c r="D29" s="663" t="e">
        <f>#REF!</f>
        <v>#REF!</v>
      </c>
      <c r="E29" s="659" t="e">
        <f>#REF!</f>
        <v>#REF!</v>
      </c>
      <c r="F29" s="297" t="e">
        <f>#REF!</f>
        <v>#REF!</v>
      </c>
      <c r="G29" s="666" t="e">
        <f>#REF!</f>
        <v>#REF!</v>
      </c>
      <c r="H29" s="663" t="e">
        <f>#REF!</f>
        <v>#REF!</v>
      </c>
      <c r="I29" s="659" t="e">
        <f>#REF!</f>
        <v>#REF!</v>
      </c>
      <c r="J29" s="297" t="e">
        <f>#REF!</f>
        <v>#REF!</v>
      </c>
      <c r="K29" s="666" t="e">
        <f>#REF!</f>
        <v>#REF!</v>
      </c>
      <c r="L29" s="663" t="e">
        <f>#REF!</f>
        <v>#REF!</v>
      </c>
      <c r="M29" s="659" t="e">
        <f>#REF!</f>
        <v>#REF!</v>
      </c>
      <c r="N29" s="297" t="e">
        <f>#REF!</f>
        <v>#REF!</v>
      </c>
      <c r="O29" s="666" t="e">
        <f>#REF!</f>
        <v>#REF!</v>
      </c>
      <c r="P29" s="663" t="e">
        <f>#REF!</f>
        <v>#REF!</v>
      </c>
      <c r="Q29" s="659" t="str">
        <f>'K-pkn'!DK31</f>
        <v/>
      </c>
      <c r="R29" s="297" t="str">
        <f>'K-pkn'!DL31</f>
        <v xml:space="preserve">  </v>
      </c>
      <c r="S29" s="666" t="str">
        <f>'K-BI'!EQ31</f>
        <v/>
      </c>
      <c r="T29" s="663" t="str">
        <f>'K-BI'!ER31</f>
        <v xml:space="preserve">  </v>
      </c>
      <c r="U29" s="659" t="str">
        <f>'K-MAT'!AY31</f>
        <v/>
      </c>
      <c r="V29" s="297" t="str">
        <f>'K-MAT'!AZ31</f>
        <v xml:space="preserve">  </v>
      </c>
      <c r="W29" s="666" t="str">
        <f>'K-IPA'!EQ31</f>
        <v/>
      </c>
      <c r="X29" s="663" t="str">
        <f>'K-IPA'!ER31</f>
        <v xml:space="preserve">  </v>
      </c>
      <c r="Y29" s="659" t="str">
        <f>'K-IPS'!DK31</f>
        <v/>
      </c>
      <c r="Z29" s="297" t="str">
        <f>'K-IPS'!DL31</f>
        <v xml:space="preserve">  </v>
      </c>
      <c r="AA29" s="666" t="str">
        <f>'K-SBDP'!DK31</f>
        <v/>
      </c>
      <c r="AB29" s="663" t="str">
        <f>'K-SBDP'!DL31</f>
        <v xml:space="preserve">  </v>
      </c>
      <c r="AC29" s="675">
        <f>'K-PJOK'!C31</f>
        <v>0</v>
      </c>
      <c r="AD29" s="676">
        <f>'K-PJOK'!D31</f>
        <v>0</v>
      </c>
      <c r="AE29" s="671" t="str">
        <f>'K-BJAWA'!CP31</f>
        <v xml:space="preserve"> </v>
      </c>
      <c r="AF29" s="663" t="str">
        <f>'K-BJAWA'!CQ31</f>
        <v xml:space="preserve">  </v>
      </c>
      <c r="AG29" s="662" t="e">
        <f t="shared" si="0"/>
        <v>#REF!</v>
      </c>
      <c r="AH29" s="739" t="str">
        <f t="shared" si="1"/>
        <v/>
      </c>
      <c r="AI29" s="739" t="e">
        <f t="shared" si="2"/>
        <v>#REF!</v>
      </c>
    </row>
    <row r="30" spans="1:35">
      <c r="A30" s="39">
        <v>25</v>
      </c>
      <c r="B30" s="296">
        <f>SISWA!B30</f>
        <v>0</v>
      </c>
      <c r="C30" s="659" t="e">
        <f>#REF!</f>
        <v>#REF!</v>
      </c>
      <c r="D30" s="663" t="e">
        <f>#REF!</f>
        <v>#REF!</v>
      </c>
      <c r="E30" s="659" t="e">
        <f>#REF!</f>
        <v>#REF!</v>
      </c>
      <c r="F30" s="297" t="e">
        <f>#REF!</f>
        <v>#REF!</v>
      </c>
      <c r="G30" s="666" t="e">
        <f>#REF!</f>
        <v>#REF!</v>
      </c>
      <c r="H30" s="663" t="e">
        <f>#REF!</f>
        <v>#REF!</v>
      </c>
      <c r="I30" s="659" t="e">
        <f>#REF!</f>
        <v>#REF!</v>
      </c>
      <c r="J30" s="297" t="e">
        <f>#REF!</f>
        <v>#REF!</v>
      </c>
      <c r="K30" s="666" t="e">
        <f>#REF!</f>
        <v>#REF!</v>
      </c>
      <c r="L30" s="663" t="e">
        <f>#REF!</f>
        <v>#REF!</v>
      </c>
      <c r="M30" s="659" t="e">
        <f>#REF!</f>
        <v>#REF!</v>
      </c>
      <c r="N30" s="297" t="e">
        <f>#REF!</f>
        <v>#REF!</v>
      </c>
      <c r="O30" s="666" t="e">
        <f>#REF!</f>
        <v>#REF!</v>
      </c>
      <c r="P30" s="663" t="e">
        <f>#REF!</f>
        <v>#REF!</v>
      </c>
      <c r="Q30" s="659" t="str">
        <f>'K-pkn'!DK32</f>
        <v/>
      </c>
      <c r="R30" s="297" t="str">
        <f>'K-pkn'!DL32</f>
        <v xml:space="preserve">  </v>
      </c>
      <c r="S30" s="666" t="str">
        <f>'K-BI'!EQ32</f>
        <v/>
      </c>
      <c r="T30" s="663" t="str">
        <f>'K-BI'!ER32</f>
        <v xml:space="preserve">  </v>
      </c>
      <c r="U30" s="659" t="str">
        <f>'K-MAT'!AY32</f>
        <v/>
      </c>
      <c r="V30" s="297" t="str">
        <f>'K-MAT'!AZ32</f>
        <v xml:space="preserve">  </v>
      </c>
      <c r="W30" s="666" t="str">
        <f>'K-IPA'!EQ32</f>
        <v/>
      </c>
      <c r="X30" s="663" t="str">
        <f>'K-IPA'!ER32</f>
        <v xml:space="preserve">  </v>
      </c>
      <c r="Y30" s="659" t="str">
        <f>'K-IPS'!DK32</f>
        <v/>
      </c>
      <c r="Z30" s="297" t="str">
        <f>'K-IPS'!DL32</f>
        <v xml:space="preserve">  </v>
      </c>
      <c r="AA30" s="666" t="str">
        <f>'K-SBDP'!DK32</f>
        <v/>
      </c>
      <c r="AB30" s="663" t="str">
        <f>'K-SBDP'!DL32</f>
        <v xml:space="preserve">  </v>
      </c>
      <c r="AC30" s="675">
        <f>'K-PJOK'!C32</f>
        <v>0</v>
      </c>
      <c r="AD30" s="676">
        <f>'K-PJOK'!D32</f>
        <v>0</v>
      </c>
      <c r="AE30" s="671" t="str">
        <f>'K-BJAWA'!CP32</f>
        <v xml:space="preserve"> </v>
      </c>
      <c r="AF30" s="663" t="str">
        <f>'K-BJAWA'!CQ32</f>
        <v xml:space="preserve">  </v>
      </c>
      <c r="AG30" s="662" t="e">
        <f t="shared" si="0"/>
        <v>#REF!</v>
      </c>
      <c r="AH30" s="739" t="str">
        <f t="shared" si="1"/>
        <v/>
      </c>
      <c r="AI30" s="739" t="e">
        <f t="shared" si="2"/>
        <v>#REF!</v>
      </c>
    </row>
    <row r="31" spans="1:35">
      <c r="A31" s="39">
        <v>26</v>
      </c>
      <c r="B31" s="296">
        <f>SISWA!B31</f>
        <v>0</v>
      </c>
      <c r="C31" s="659" t="e">
        <f>#REF!</f>
        <v>#REF!</v>
      </c>
      <c r="D31" s="663" t="e">
        <f>#REF!</f>
        <v>#REF!</v>
      </c>
      <c r="E31" s="659" t="e">
        <f>#REF!</f>
        <v>#REF!</v>
      </c>
      <c r="F31" s="297" t="e">
        <f>#REF!</f>
        <v>#REF!</v>
      </c>
      <c r="G31" s="666" t="e">
        <f>#REF!</f>
        <v>#REF!</v>
      </c>
      <c r="H31" s="663" t="e">
        <f>#REF!</f>
        <v>#REF!</v>
      </c>
      <c r="I31" s="659" t="e">
        <f>#REF!</f>
        <v>#REF!</v>
      </c>
      <c r="J31" s="297" t="e">
        <f>#REF!</f>
        <v>#REF!</v>
      </c>
      <c r="K31" s="666" t="e">
        <f>#REF!</f>
        <v>#REF!</v>
      </c>
      <c r="L31" s="663" t="e">
        <f>#REF!</f>
        <v>#REF!</v>
      </c>
      <c r="M31" s="659" t="e">
        <f>#REF!</f>
        <v>#REF!</v>
      </c>
      <c r="N31" s="297" t="e">
        <f>#REF!</f>
        <v>#REF!</v>
      </c>
      <c r="O31" s="666" t="e">
        <f>#REF!</f>
        <v>#REF!</v>
      </c>
      <c r="P31" s="663" t="e">
        <f>#REF!</f>
        <v>#REF!</v>
      </c>
      <c r="Q31" s="659" t="str">
        <f>'K-pkn'!DK33</f>
        <v/>
      </c>
      <c r="R31" s="297" t="str">
        <f>'K-pkn'!DL33</f>
        <v xml:space="preserve">  </v>
      </c>
      <c r="S31" s="666" t="str">
        <f>'K-BI'!EQ33</f>
        <v/>
      </c>
      <c r="T31" s="663" t="str">
        <f>'K-BI'!ER33</f>
        <v xml:space="preserve">  </v>
      </c>
      <c r="U31" s="659" t="str">
        <f>'K-MAT'!AY33</f>
        <v/>
      </c>
      <c r="V31" s="297" t="str">
        <f>'K-MAT'!AZ33</f>
        <v xml:space="preserve">  </v>
      </c>
      <c r="W31" s="666" t="str">
        <f>'K-IPA'!EQ33</f>
        <v/>
      </c>
      <c r="X31" s="663" t="str">
        <f>'K-IPA'!ER33</f>
        <v xml:space="preserve">  </v>
      </c>
      <c r="Y31" s="659" t="str">
        <f>'K-IPS'!DK33</f>
        <v/>
      </c>
      <c r="Z31" s="297" t="str">
        <f>'K-IPS'!DL33</f>
        <v xml:space="preserve">  </v>
      </c>
      <c r="AA31" s="666" t="str">
        <f>'K-SBDP'!DK33</f>
        <v/>
      </c>
      <c r="AB31" s="663" t="str">
        <f>'K-SBDP'!DL33</f>
        <v xml:space="preserve">  </v>
      </c>
      <c r="AC31" s="675">
        <f>'K-PJOK'!C33</f>
        <v>0</v>
      </c>
      <c r="AD31" s="676">
        <f>'K-PJOK'!D33</f>
        <v>0</v>
      </c>
      <c r="AE31" s="671" t="str">
        <f>'K-BJAWA'!CP33</f>
        <v xml:space="preserve"> </v>
      </c>
      <c r="AF31" s="663" t="str">
        <f>'K-BJAWA'!CQ33</f>
        <v xml:space="preserve">  </v>
      </c>
      <c r="AG31" s="662" t="e">
        <f t="shared" si="0"/>
        <v>#REF!</v>
      </c>
      <c r="AH31" s="739" t="str">
        <f t="shared" si="1"/>
        <v/>
      </c>
      <c r="AI31" s="739" t="e">
        <f t="shared" si="2"/>
        <v>#REF!</v>
      </c>
    </row>
    <row r="32" spans="1:35">
      <c r="A32" s="39">
        <v>27</v>
      </c>
      <c r="B32" s="296">
        <f>SISWA!B32</f>
        <v>0</v>
      </c>
      <c r="C32" s="659" t="e">
        <f>#REF!</f>
        <v>#REF!</v>
      </c>
      <c r="D32" s="663" t="e">
        <f>#REF!</f>
        <v>#REF!</v>
      </c>
      <c r="E32" s="659" t="e">
        <f>#REF!</f>
        <v>#REF!</v>
      </c>
      <c r="F32" s="297" t="e">
        <f>#REF!</f>
        <v>#REF!</v>
      </c>
      <c r="G32" s="666" t="e">
        <f>#REF!</f>
        <v>#REF!</v>
      </c>
      <c r="H32" s="663" t="e">
        <f>#REF!</f>
        <v>#REF!</v>
      </c>
      <c r="I32" s="659" t="e">
        <f>#REF!</f>
        <v>#REF!</v>
      </c>
      <c r="J32" s="297" t="e">
        <f>#REF!</f>
        <v>#REF!</v>
      </c>
      <c r="K32" s="666" t="e">
        <f>#REF!</f>
        <v>#REF!</v>
      </c>
      <c r="L32" s="663" t="e">
        <f>#REF!</f>
        <v>#REF!</v>
      </c>
      <c r="M32" s="659" t="e">
        <f>#REF!</f>
        <v>#REF!</v>
      </c>
      <c r="N32" s="297" t="e">
        <f>#REF!</f>
        <v>#REF!</v>
      </c>
      <c r="O32" s="666" t="e">
        <f>#REF!</f>
        <v>#REF!</v>
      </c>
      <c r="P32" s="663" t="e">
        <f>#REF!</f>
        <v>#REF!</v>
      </c>
      <c r="Q32" s="659" t="str">
        <f>'K-pkn'!DK34</f>
        <v/>
      </c>
      <c r="R32" s="297" t="str">
        <f>'K-pkn'!DL34</f>
        <v xml:space="preserve">  </v>
      </c>
      <c r="S32" s="666" t="str">
        <f>'K-BI'!EQ34</f>
        <v/>
      </c>
      <c r="T32" s="663" t="str">
        <f>'K-BI'!ER34</f>
        <v xml:space="preserve">  </v>
      </c>
      <c r="U32" s="659" t="str">
        <f>'K-MAT'!AY34</f>
        <v/>
      </c>
      <c r="V32" s="297" t="str">
        <f>'K-MAT'!AZ34</f>
        <v xml:space="preserve">  </v>
      </c>
      <c r="W32" s="666" t="str">
        <f>'K-IPA'!EQ34</f>
        <v/>
      </c>
      <c r="X32" s="663" t="str">
        <f>'K-IPA'!ER34</f>
        <v xml:space="preserve">  </v>
      </c>
      <c r="Y32" s="659" t="str">
        <f>'K-IPS'!DK34</f>
        <v/>
      </c>
      <c r="Z32" s="297" t="str">
        <f>'K-IPS'!DL34</f>
        <v xml:space="preserve">  </v>
      </c>
      <c r="AA32" s="666" t="str">
        <f>'K-SBDP'!DK34</f>
        <v/>
      </c>
      <c r="AB32" s="663" t="str">
        <f>'K-SBDP'!DL34</f>
        <v xml:space="preserve">  </v>
      </c>
      <c r="AC32" s="675">
        <f>'K-PJOK'!C34</f>
        <v>0</v>
      </c>
      <c r="AD32" s="676">
        <f>'K-PJOK'!D34</f>
        <v>0</v>
      </c>
      <c r="AE32" s="671" t="str">
        <f>'K-BJAWA'!CP34</f>
        <v xml:space="preserve"> </v>
      </c>
      <c r="AF32" s="663" t="str">
        <f>'K-BJAWA'!CQ34</f>
        <v xml:space="preserve">  </v>
      </c>
      <c r="AG32" s="662" t="e">
        <f t="shared" si="0"/>
        <v>#REF!</v>
      </c>
      <c r="AH32" s="739" t="str">
        <f t="shared" si="1"/>
        <v/>
      </c>
      <c r="AI32" s="739" t="e">
        <f t="shared" si="2"/>
        <v>#REF!</v>
      </c>
    </row>
    <row r="33" spans="1:35">
      <c r="A33" s="39">
        <v>28</v>
      </c>
      <c r="B33" s="296">
        <f>SISWA!B33</f>
        <v>0</v>
      </c>
      <c r="C33" s="659" t="e">
        <f>#REF!</f>
        <v>#REF!</v>
      </c>
      <c r="D33" s="663" t="e">
        <f>#REF!</f>
        <v>#REF!</v>
      </c>
      <c r="E33" s="659" t="e">
        <f>#REF!</f>
        <v>#REF!</v>
      </c>
      <c r="F33" s="297" t="e">
        <f>#REF!</f>
        <v>#REF!</v>
      </c>
      <c r="G33" s="666" t="e">
        <f>#REF!</f>
        <v>#REF!</v>
      </c>
      <c r="H33" s="663" t="e">
        <f>#REF!</f>
        <v>#REF!</v>
      </c>
      <c r="I33" s="659" t="e">
        <f>#REF!</f>
        <v>#REF!</v>
      </c>
      <c r="J33" s="297" t="e">
        <f>#REF!</f>
        <v>#REF!</v>
      </c>
      <c r="K33" s="666" t="e">
        <f>#REF!</f>
        <v>#REF!</v>
      </c>
      <c r="L33" s="663" t="e">
        <f>#REF!</f>
        <v>#REF!</v>
      </c>
      <c r="M33" s="659" t="e">
        <f>#REF!</f>
        <v>#REF!</v>
      </c>
      <c r="N33" s="297" t="e">
        <f>#REF!</f>
        <v>#REF!</v>
      </c>
      <c r="O33" s="666" t="e">
        <f>#REF!</f>
        <v>#REF!</v>
      </c>
      <c r="P33" s="663" t="e">
        <f>#REF!</f>
        <v>#REF!</v>
      </c>
      <c r="Q33" s="659" t="str">
        <f>'K-pkn'!DK35</f>
        <v/>
      </c>
      <c r="R33" s="297" t="str">
        <f>'K-pkn'!DL35</f>
        <v xml:space="preserve">  </v>
      </c>
      <c r="S33" s="666" t="str">
        <f>'K-BI'!EQ35</f>
        <v/>
      </c>
      <c r="T33" s="663" t="str">
        <f>'K-BI'!ER35</f>
        <v xml:space="preserve">  </v>
      </c>
      <c r="U33" s="659" t="str">
        <f>'K-MAT'!AY35</f>
        <v/>
      </c>
      <c r="V33" s="297" t="str">
        <f>'K-MAT'!AZ35</f>
        <v xml:space="preserve">  </v>
      </c>
      <c r="W33" s="666" t="str">
        <f>'K-IPA'!EQ35</f>
        <v/>
      </c>
      <c r="X33" s="663" t="str">
        <f>'K-IPA'!ER35</f>
        <v xml:space="preserve">  </v>
      </c>
      <c r="Y33" s="659" t="str">
        <f>'K-IPS'!DK35</f>
        <v/>
      </c>
      <c r="Z33" s="297" t="str">
        <f>'K-IPS'!DL35</f>
        <v xml:space="preserve">  </v>
      </c>
      <c r="AA33" s="666" t="str">
        <f>'K-SBDP'!DK35</f>
        <v/>
      </c>
      <c r="AB33" s="663" t="str">
        <f>'K-SBDP'!DL35</f>
        <v xml:space="preserve">  </v>
      </c>
      <c r="AC33" s="675">
        <f>'K-PJOK'!C35</f>
        <v>0</v>
      </c>
      <c r="AD33" s="676">
        <f>'K-PJOK'!D35</f>
        <v>0</v>
      </c>
      <c r="AE33" s="671" t="str">
        <f>'K-BJAWA'!CP35</f>
        <v xml:space="preserve"> </v>
      </c>
      <c r="AF33" s="663" t="str">
        <f>'K-BJAWA'!CQ35</f>
        <v xml:space="preserve">  </v>
      </c>
      <c r="AG33" s="662" t="e">
        <f t="shared" si="0"/>
        <v>#REF!</v>
      </c>
      <c r="AH33" s="739" t="str">
        <f t="shared" si="1"/>
        <v/>
      </c>
      <c r="AI33" s="739" t="e">
        <f t="shared" si="2"/>
        <v>#REF!</v>
      </c>
    </row>
    <row r="34" spans="1:35">
      <c r="A34" s="39">
        <v>29</v>
      </c>
      <c r="B34" s="296">
        <f>SISWA!B34</f>
        <v>0</v>
      </c>
      <c r="C34" s="659" t="e">
        <f>#REF!</f>
        <v>#REF!</v>
      </c>
      <c r="D34" s="663" t="e">
        <f>#REF!</f>
        <v>#REF!</v>
      </c>
      <c r="E34" s="659" t="e">
        <f>#REF!</f>
        <v>#REF!</v>
      </c>
      <c r="F34" s="297" t="e">
        <f>#REF!</f>
        <v>#REF!</v>
      </c>
      <c r="G34" s="666" t="e">
        <f>#REF!</f>
        <v>#REF!</v>
      </c>
      <c r="H34" s="663" t="e">
        <f>#REF!</f>
        <v>#REF!</v>
      </c>
      <c r="I34" s="659" t="e">
        <f>#REF!</f>
        <v>#REF!</v>
      </c>
      <c r="J34" s="297" t="e">
        <f>#REF!</f>
        <v>#REF!</v>
      </c>
      <c r="K34" s="666" t="e">
        <f>#REF!</f>
        <v>#REF!</v>
      </c>
      <c r="L34" s="663" t="e">
        <f>#REF!</f>
        <v>#REF!</v>
      </c>
      <c r="M34" s="659" t="e">
        <f>#REF!</f>
        <v>#REF!</v>
      </c>
      <c r="N34" s="297" t="e">
        <f>#REF!</f>
        <v>#REF!</v>
      </c>
      <c r="O34" s="666" t="e">
        <f>#REF!</f>
        <v>#REF!</v>
      </c>
      <c r="P34" s="663" t="e">
        <f>#REF!</f>
        <v>#REF!</v>
      </c>
      <c r="Q34" s="659" t="str">
        <f>'K-pkn'!DK36</f>
        <v/>
      </c>
      <c r="R34" s="297" t="str">
        <f>'K-pkn'!DL36</f>
        <v xml:space="preserve">  </v>
      </c>
      <c r="S34" s="666" t="str">
        <f>'K-BI'!EQ36</f>
        <v/>
      </c>
      <c r="T34" s="663" t="str">
        <f>'K-BI'!ER36</f>
        <v xml:space="preserve">  </v>
      </c>
      <c r="U34" s="659" t="str">
        <f>'K-MAT'!AY36</f>
        <v/>
      </c>
      <c r="V34" s="297" t="str">
        <f>'K-MAT'!AZ36</f>
        <v xml:space="preserve">  </v>
      </c>
      <c r="W34" s="666" t="str">
        <f>'K-IPA'!EQ36</f>
        <v/>
      </c>
      <c r="X34" s="663" t="str">
        <f>'K-IPA'!ER36</f>
        <v xml:space="preserve">  </v>
      </c>
      <c r="Y34" s="659" t="str">
        <f>'K-IPS'!DK36</f>
        <v/>
      </c>
      <c r="Z34" s="297" t="str">
        <f>'K-IPS'!DL36</f>
        <v xml:space="preserve">  </v>
      </c>
      <c r="AA34" s="666" t="str">
        <f>'K-SBDP'!DK36</f>
        <v/>
      </c>
      <c r="AB34" s="663" t="str">
        <f>'K-SBDP'!DL36</f>
        <v xml:space="preserve">  </v>
      </c>
      <c r="AC34" s="675">
        <f>'K-PJOK'!C36</f>
        <v>0</v>
      </c>
      <c r="AD34" s="676">
        <f>'K-PJOK'!D36</f>
        <v>0</v>
      </c>
      <c r="AE34" s="671" t="str">
        <f>'K-BJAWA'!CP36</f>
        <v xml:space="preserve"> </v>
      </c>
      <c r="AF34" s="663" t="str">
        <f>'K-BJAWA'!CQ36</f>
        <v xml:space="preserve">  </v>
      </c>
      <c r="AG34" s="662" t="e">
        <f t="shared" si="0"/>
        <v>#REF!</v>
      </c>
      <c r="AH34" s="739" t="str">
        <f t="shared" si="1"/>
        <v/>
      </c>
      <c r="AI34" s="739" t="e">
        <f t="shared" si="2"/>
        <v>#REF!</v>
      </c>
    </row>
    <row r="35" spans="1:35">
      <c r="A35" s="39">
        <v>30</v>
      </c>
      <c r="B35" s="296">
        <f>SISWA!B35</f>
        <v>0</v>
      </c>
      <c r="C35" s="659" t="e">
        <f>#REF!</f>
        <v>#REF!</v>
      </c>
      <c r="D35" s="663" t="e">
        <f>#REF!</f>
        <v>#REF!</v>
      </c>
      <c r="E35" s="659" t="e">
        <f>#REF!</f>
        <v>#REF!</v>
      </c>
      <c r="F35" s="297" t="e">
        <f>#REF!</f>
        <v>#REF!</v>
      </c>
      <c r="G35" s="666" t="e">
        <f>#REF!</f>
        <v>#REF!</v>
      </c>
      <c r="H35" s="663" t="e">
        <f>#REF!</f>
        <v>#REF!</v>
      </c>
      <c r="I35" s="659" t="e">
        <f>#REF!</f>
        <v>#REF!</v>
      </c>
      <c r="J35" s="297" t="e">
        <f>#REF!</f>
        <v>#REF!</v>
      </c>
      <c r="K35" s="666" t="e">
        <f>#REF!</f>
        <v>#REF!</v>
      </c>
      <c r="L35" s="663" t="e">
        <f>#REF!</f>
        <v>#REF!</v>
      </c>
      <c r="M35" s="659" t="e">
        <f>#REF!</f>
        <v>#REF!</v>
      </c>
      <c r="N35" s="297" t="e">
        <f>#REF!</f>
        <v>#REF!</v>
      </c>
      <c r="O35" s="666" t="e">
        <f>#REF!</f>
        <v>#REF!</v>
      </c>
      <c r="P35" s="663" t="e">
        <f>#REF!</f>
        <v>#REF!</v>
      </c>
      <c r="Q35" s="659" t="str">
        <f>'K-pkn'!DK37</f>
        <v/>
      </c>
      <c r="R35" s="297" t="str">
        <f>'K-pkn'!DL37</f>
        <v xml:space="preserve">  </v>
      </c>
      <c r="S35" s="666" t="str">
        <f>'K-BI'!EQ37</f>
        <v/>
      </c>
      <c r="T35" s="663" t="str">
        <f>'K-BI'!ER37</f>
        <v xml:space="preserve">  </v>
      </c>
      <c r="U35" s="659" t="str">
        <f>'K-MAT'!AY37</f>
        <v/>
      </c>
      <c r="V35" s="297" t="str">
        <f>'K-MAT'!AZ37</f>
        <v xml:space="preserve">  </v>
      </c>
      <c r="W35" s="666" t="str">
        <f>'K-IPA'!EQ37</f>
        <v/>
      </c>
      <c r="X35" s="663" t="str">
        <f>'K-IPA'!ER37</f>
        <v xml:space="preserve">  </v>
      </c>
      <c r="Y35" s="659" t="str">
        <f>'K-IPS'!DK37</f>
        <v/>
      </c>
      <c r="Z35" s="297" t="str">
        <f>'K-IPS'!DL37</f>
        <v xml:space="preserve">  </v>
      </c>
      <c r="AA35" s="666" t="str">
        <f>'K-SBDP'!DK37</f>
        <v/>
      </c>
      <c r="AB35" s="663" t="str">
        <f>'K-SBDP'!DL37</f>
        <v xml:space="preserve">  </v>
      </c>
      <c r="AC35" s="675">
        <f>'K-PJOK'!C37</f>
        <v>0</v>
      </c>
      <c r="AD35" s="676">
        <f>'K-PJOK'!D37</f>
        <v>0</v>
      </c>
      <c r="AE35" s="671" t="str">
        <f>'K-BJAWA'!CP37</f>
        <v xml:space="preserve"> </v>
      </c>
      <c r="AF35" s="663" t="str">
        <f>'K-BJAWA'!CQ37</f>
        <v xml:space="preserve">  </v>
      </c>
      <c r="AG35" s="662" t="e">
        <f t="shared" si="0"/>
        <v>#REF!</v>
      </c>
      <c r="AH35" s="739" t="str">
        <f t="shared" si="1"/>
        <v/>
      </c>
      <c r="AI35" s="739" t="e">
        <f t="shared" si="2"/>
        <v>#REF!</v>
      </c>
    </row>
    <row r="36" spans="1:35">
      <c r="A36" s="39">
        <v>31</v>
      </c>
      <c r="B36" s="296">
        <f>SISWA!B36</f>
        <v>0</v>
      </c>
      <c r="C36" s="659" t="e">
        <f>#REF!</f>
        <v>#REF!</v>
      </c>
      <c r="D36" s="663" t="e">
        <f>#REF!</f>
        <v>#REF!</v>
      </c>
      <c r="E36" s="659" t="e">
        <f>#REF!</f>
        <v>#REF!</v>
      </c>
      <c r="F36" s="297" t="e">
        <f>#REF!</f>
        <v>#REF!</v>
      </c>
      <c r="G36" s="666" t="e">
        <f>#REF!</f>
        <v>#REF!</v>
      </c>
      <c r="H36" s="663" t="e">
        <f>#REF!</f>
        <v>#REF!</v>
      </c>
      <c r="I36" s="659" t="e">
        <f>#REF!</f>
        <v>#REF!</v>
      </c>
      <c r="J36" s="297" t="e">
        <f>#REF!</f>
        <v>#REF!</v>
      </c>
      <c r="K36" s="666" t="e">
        <f>#REF!</f>
        <v>#REF!</v>
      </c>
      <c r="L36" s="663" t="e">
        <f>#REF!</f>
        <v>#REF!</v>
      </c>
      <c r="M36" s="659" t="e">
        <f>#REF!</f>
        <v>#REF!</v>
      </c>
      <c r="N36" s="297" t="e">
        <f>#REF!</f>
        <v>#REF!</v>
      </c>
      <c r="O36" s="666" t="e">
        <f>#REF!</f>
        <v>#REF!</v>
      </c>
      <c r="P36" s="663" t="e">
        <f>#REF!</f>
        <v>#REF!</v>
      </c>
      <c r="Q36" s="659" t="str">
        <f>'K-pkn'!DK38</f>
        <v/>
      </c>
      <c r="R36" s="297" t="str">
        <f>'K-pkn'!DL38</f>
        <v xml:space="preserve">  </v>
      </c>
      <c r="S36" s="666" t="str">
        <f>'K-BI'!EQ38</f>
        <v/>
      </c>
      <c r="T36" s="663" t="str">
        <f>'K-BI'!ER38</f>
        <v xml:space="preserve">  </v>
      </c>
      <c r="U36" s="659" t="str">
        <f>'K-MAT'!AY38</f>
        <v/>
      </c>
      <c r="V36" s="297" t="str">
        <f>'K-MAT'!AZ38</f>
        <v xml:space="preserve">  </v>
      </c>
      <c r="W36" s="666" t="str">
        <f>'K-IPA'!EQ38</f>
        <v/>
      </c>
      <c r="X36" s="663" t="str">
        <f>'K-IPA'!ER38</f>
        <v xml:space="preserve">  </v>
      </c>
      <c r="Y36" s="659" t="str">
        <f>'K-IPS'!DK38</f>
        <v/>
      </c>
      <c r="Z36" s="297" t="str">
        <f>'K-IPS'!DL38</f>
        <v xml:space="preserve">  </v>
      </c>
      <c r="AA36" s="666" t="str">
        <f>'K-SBDP'!DK38</f>
        <v/>
      </c>
      <c r="AB36" s="663" t="str">
        <f>'K-SBDP'!DL38</f>
        <v xml:space="preserve">  </v>
      </c>
      <c r="AC36" s="675">
        <f>'K-PJOK'!C38</f>
        <v>0</v>
      </c>
      <c r="AD36" s="676">
        <f>'K-PJOK'!D38</f>
        <v>0</v>
      </c>
      <c r="AE36" s="671" t="str">
        <f>'K-BJAWA'!CP38</f>
        <v xml:space="preserve"> </v>
      </c>
      <c r="AF36" s="663" t="str">
        <f>'K-BJAWA'!CQ38</f>
        <v xml:space="preserve">  </v>
      </c>
      <c r="AG36" s="662" t="e">
        <f t="shared" si="0"/>
        <v>#REF!</v>
      </c>
      <c r="AH36" s="739" t="str">
        <f t="shared" si="1"/>
        <v/>
      </c>
      <c r="AI36" s="739" t="e">
        <f t="shared" si="2"/>
        <v>#REF!</v>
      </c>
    </row>
    <row r="37" spans="1:35">
      <c r="A37" s="39">
        <v>32</v>
      </c>
      <c r="B37" s="296">
        <f>SISWA!B37</f>
        <v>0</v>
      </c>
      <c r="C37" s="659" t="e">
        <f>#REF!</f>
        <v>#REF!</v>
      </c>
      <c r="D37" s="663" t="e">
        <f>#REF!</f>
        <v>#REF!</v>
      </c>
      <c r="E37" s="659" t="e">
        <f>#REF!</f>
        <v>#REF!</v>
      </c>
      <c r="F37" s="297" t="e">
        <f>#REF!</f>
        <v>#REF!</v>
      </c>
      <c r="G37" s="666" t="e">
        <f>#REF!</f>
        <v>#REF!</v>
      </c>
      <c r="H37" s="663" t="e">
        <f>#REF!</f>
        <v>#REF!</v>
      </c>
      <c r="I37" s="659" t="e">
        <f>#REF!</f>
        <v>#REF!</v>
      </c>
      <c r="J37" s="297" t="e">
        <f>#REF!</f>
        <v>#REF!</v>
      </c>
      <c r="K37" s="666" t="e">
        <f>#REF!</f>
        <v>#REF!</v>
      </c>
      <c r="L37" s="663" t="e">
        <f>#REF!</f>
        <v>#REF!</v>
      </c>
      <c r="M37" s="659" t="e">
        <f>#REF!</f>
        <v>#REF!</v>
      </c>
      <c r="N37" s="297" t="e">
        <f>#REF!</f>
        <v>#REF!</v>
      </c>
      <c r="O37" s="666" t="e">
        <f>#REF!</f>
        <v>#REF!</v>
      </c>
      <c r="P37" s="663" t="e">
        <f>#REF!</f>
        <v>#REF!</v>
      </c>
      <c r="Q37" s="659" t="str">
        <f>'K-pkn'!DK39</f>
        <v/>
      </c>
      <c r="R37" s="297" t="str">
        <f>'K-pkn'!DL39</f>
        <v xml:space="preserve">  </v>
      </c>
      <c r="S37" s="666" t="str">
        <f>'K-BI'!EQ39</f>
        <v/>
      </c>
      <c r="T37" s="663" t="str">
        <f>'K-BI'!ER39</f>
        <v xml:space="preserve">  </v>
      </c>
      <c r="U37" s="659" t="str">
        <f>'K-MAT'!AY39</f>
        <v/>
      </c>
      <c r="V37" s="297" t="str">
        <f>'K-MAT'!AZ39</f>
        <v xml:space="preserve">  </v>
      </c>
      <c r="W37" s="666" t="str">
        <f>'K-IPA'!EQ39</f>
        <v/>
      </c>
      <c r="X37" s="663" t="str">
        <f>'K-IPA'!ER39</f>
        <v xml:space="preserve">  </v>
      </c>
      <c r="Y37" s="659" t="str">
        <f>'K-IPS'!DK39</f>
        <v/>
      </c>
      <c r="Z37" s="297" t="str">
        <f>'K-IPS'!DL39</f>
        <v xml:space="preserve">  </v>
      </c>
      <c r="AA37" s="666" t="str">
        <f>'K-SBDP'!DK39</f>
        <v/>
      </c>
      <c r="AB37" s="663" t="str">
        <f>'K-SBDP'!DL39</f>
        <v xml:space="preserve">  </v>
      </c>
      <c r="AC37" s="675">
        <f>'K-PJOK'!C39</f>
        <v>0</v>
      </c>
      <c r="AD37" s="676">
        <f>'K-PJOK'!D39</f>
        <v>0</v>
      </c>
      <c r="AE37" s="671" t="str">
        <f>'K-BJAWA'!CP39</f>
        <v xml:space="preserve"> </v>
      </c>
      <c r="AF37" s="663" t="str">
        <f>'K-BJAWA'!CQ39</f>
        <v xml:space="preserve">  </v>
      </c>
      <c r="AG37" s="662" t="e">
        <f t="shared" si="0"/>
        <v>#REF!</v>
      </c>
      <c r="AH37" s="739" t="str">
        <f t="shared" si="1"/>
        <v/>
      </c>
      <c r="AI37" s="739" t="e">
        <f t="shared" si="2"/>
        <v>#REF!</v>
      </c>
    </row>
    <row r="38" spans="1:35">
      <c r="A38" s="39">
        <v>33</v>
      </c>
      <c r="B38" s="296">
        <f>SISWA!B38</f>
        <v>0</v>
      </c>
      <c r="C38" s="659" t="e">
        <f>#REF!</f>
        <v>#REF!</v>
      </c>
      <c r="D38" s="663" t="e">
        <f>#REF!</f>
        <v>#REF!</v>
      </c>
      <c r="E38" s="659" t="e">
        <f>#REF!</f>
        <v>#REF!</v>
      </c>
      <c r="F38" s="297" t="e">
        <f>#REF!</f>
        <v>#REF!</v>
      </c>
      <c r="G38" s="666" t="e">
        <f>#REF!</f>
        <v>#REF!</v>
      </c>
      <c r="H38" s="663" t="e">
        <f>#REF!</f>
        <v>#REF!</v>
      </c>
      <c r="I38" s="659" t="e">
        <f>#REF!</f>
        <v>#REF!</v>
      </c>
      <c r="J38" s="297" t="e">
        <f>#REF!</f>
        <v>#REF!</v>
      </c>
      <c r="K38" s="666" t="e">
        <f>#REF!</f>
        <v>#REF!</v>
      </c>
      <c r="L38" s="663" t="e">
        <f>#REF!</f>
        <v>#REF!</v>
      </c>
      <c r="M38" s="659" t="e">
        <f>#REF!</f>
        <v>#REF!</v>
      </c>
      <c r="N38" s="297" t="e">
        <f>#REF!</f>
        <v>#REF!</v>
      </c>
      <c r="O38" s="666" t="e">
        <f>#REF!</f>
        <v>#REF!</v>
      </c>
      <c r="P38" s="663" t="e">
        <f>#REF!</f>
        <v>#REF!</v>
      </c>
      <c r="Q38" s="659" t="str">
        <f>'K-pkn'!DK40</f>
        <v/>
      </c>
      <c r="R38" s="297" t="str">
        <f>'K-pkn'!DL40</f>
        <v xml:space="preserve">  </v>
      </c>
      <c r="S38" s="666" t="str">
        <f>'K-BI'!EQ40</f>
        <v/>
      </c>
      <c r="T38" s="663" t="str">
        <f>'K-BI'!ER40</f>
        <v xml:space="preserve">  </v>
      </c>
      <c r="U38" s="659" t="str">
        <f>'K-MAT'!AY40</f>
        <v/>
      </c>
      <c r="V38" s="297" t="str">
        <f>'K-MAT'!AZ40</f>
        <v xml:space="preserve">  </v>
      </c>
      <c r="W38" s="666" t="str">
        <f>'K-IPA'!EQ40</f>
        <v/>
      </c>
      <c r="X38" s="663" t="str">
        <f>'K-IPA'!ER40</f>
        <v xml:space="preserve">  </v>
      </c>
      <c r="Y38" s="659" t="str">
        <f>'K-IPS'!DK40</f>
        <v/>
      </c>
      <c r="Z38" s="297" t="str">
        <f>'K-IPS'!DL40</f>
        <v xml:space="preserve">  </v>
      </c>
      <c r="AA38" s="666" t="str">
        <f>'K-SBDP'!DK40</f>
        <v/>
      </c>
      <c r="AB38" s="663" t="str">
        <f>'K-SBDP'!DL40</f>
        <v xml:space="preserve">  </v>
      </c>
      <c r="AC38" s="675">
        <f>'K-PJOK'!C40</f>
        <v>0</v>
      </c>
      <c r="AD38" s="676">
        <f>'K-PJOK'!D40</f>
        <v>0</v>
      </c>
      <c r="AE38" s="671" t="str">
        <f>'K-BJAWA'!CP40</f>
        <v xml:space="preserve"> </v>
      </c>
      <c r="AF38" s="663" t="str">
        <f>'K-BJAWA'!CQ40</f>
        <v xml:space="preserve">  </v>
      </c>
      <c r="AG38" s="662" t="e">
        <f t="shared" si="0"/>
        <v>#REF!</v>
      </c>
      <c r="AH38" s="739" t="str">
        <f t="shared" si="1"/>
        <v/>
      </c>
      <c r="AI38" s="739" t="e">
        <f t="shared" si="2"/>
        <v>#REF!</v>
      </c>
    </row>
    <row r="39" spans="1:35">
      <c r="A39" s="39">
        <v>34</v>
      </c>
      <c r="B39" s="296">
        <f>SISWA!B39</f>
        <v>0</v>
      </c>
      <c r="C39" s="659" t="e">
        <f>#REF!</f>
        <v>#REF!</v>
      </c>
      <c r="D39" s="663" t="e">
        <f>#REF!</f>
        <v>#REF!</v>
      </c>
      <c r="E39" s="659" t="e">
        <f>#REF!</f>
        <v>#REF!</v>
      </c>
      <c r="F39" s="297" t="e">
        <f>#REF!</f>
        <v>#REF!</v>
      </c>
      <c r="G39" s="666" t="e">
        <f>#REF!</f>
        <v>#REF!</v>
      </c>
      <c r="H39" s="663" t="e">
        <f>#REF!</f>
        <v>#REF!</v>
      </c>
      <c r="I39" s="659" t="e">
        <f>#REF!</f>
        <v>#REF!</v>
      </c>
      <c r="J39" s="297" t="e">
        <f>#REF!</f>
        <v>#REF!</v>
      </c>
      <c r="K39" s="666" t="e">
        <f>#REF!</f>
        <v>#REF!</v>
      </c>
      <c r="L39" s="663" t="e">
        <f>#REF!</f>
        <v>#REF!</v>
      </c>
      <c r="M39" s="659" t="e">
        <f>#REF!</f>
        <v>#REF!</v>
      </c>
      <c r="N39" s="297" t="e">
        <f>#REF!</f>
        <v>#REF!</v>
      </c>
      <c r="O39" s="666" t="e">
        <f>#REF!</f>
        <v>#REF!</v>
      </c>
      <c r="P39" s="663" t="e">
        <f>#REF!</f>
        <v>#REF!</v>
      </c>
      <c r="Q39" s="659" t="str">
        <f>'K-pkn'!DK41</f>
        <v/>
      </c>
      <c r="R39" s="297" t="str">
        <f>'K-pkn'!DL41</f>
        <v xml:space="preserve">  </v>
      </c>
      <c r="S39" s="666" t="str">
        <f>'K-BI'!EQ41</f>
        <v/>
      </c>
      <c r="T39" s="663" t="str">
        <f>'K-BI'!ER41</f>
        <v xml:space="preserve">  </v>
      </c>
      <c r="U39" s="659" t="str">
        <f>'K-MAT'!AY41</f>
        <v/>
      </c>
      <c r="V39" s="297" t="str">
        <f>'K-MAT'!AZ41</f>
        <v xml:space="preserve">  </v>
      </c>
      <c r="W39" s="666" t="str">
        <f>'K-IPA'!EQ41</f>
        <v/>
      </c>
      <c r="X39" s="663" t="str">
        <f>'K-IPA'!ER41</f>
        <v xml:space="preserve">  </v>
      </c>
      <c r="Y39" s="659" t="str">
        <f>'K-IPS'!DK41</f>
        <v/>
      </c>
      <c r="Z39" s="297" t="str">
        <f>'K-IPS'!DL41</f>
        <v xml:space="preserve">  </v>
      </c>
      <c r="AA39" s="666" t="str">
        <f>'K-SBDP'!DK41</f>
        <v/>
      </c>
      <c r="AB39" s="663" t="str">
        <f>'K-SBDP'!DL41</f>
        <v xml:space="preserve">  </v>
      </c>
      <c r="AC39" s="675">
        <f>'K-PJOK'!C41</f>
        <v>0</v>
      </c>
      <c r="AD39" s="676">
        <f>'K-PJOK'!D41</f>
        <v>0</v>
      </c>
      <c r="AE39" s="671" t="str">
        <f>'K-BJAWA'!CP41</f>
        <v xml:space="preserve"> </v>
      </c>
      <c r="AF39" s="663" t="str">
        <f>'K-BJAWA'!CQ41</f>
        <v xml:space="preserve">  </v>
      </c>
      <c r="AG39" s="662" t="e">
        <f t="shared" si="0"/>
        <v>#REF!</v>
      </c>
      <c r="AH39" s="739" t="str">
        <f t="shared" si="1"/>
        <v/>
      </c>
      <c r="AI39" s="739" t="e">
        <f t="shared" si="2"/>
        <v>#REF!</v>
      </c>
    </row>
    <row r="40" spans="1:35" ht="15.75" thickBot="1">
      <c r="A40" s="39">
        <v>35</v>
      </c>
      <c r="B40" s="296">
        <f>SISWA!B40</f>
        <v>0</v>
      </c>
      <c r="C40" s="660" t="e">
        <f>#REF!</f>
        <v>#REF!</v>
      </c>
      <c r="D40" s="664" t="e">
        <f>#REF!</f>
        <v>#REF!</v>
      </c>
      <c r="E40" s="660" t="e">
        <f>#REF!</f>
        <v>#REF!</v>
      </c>
      <c r="F40" s="661" t="e">
        <f>#REF!</f>
        <v>#REF!</v>
      </c>
      <c r="G40" s="667" t="e">
        <f>#REF!</f>
        <v>#REF!</v>
      </c>
      <c r="H40" s="664" t="e">
        <f>#REF!</f>
        <v>#REF!</v>
      </c>
      <c r="I40" s="660" t="e">
        <f>#REF!</f>
        <v>#REF!</v>
      </c>
      <c r="J40" s="661" t="e">
        <f>#REF!</f>
        <v>#REF!</v>
      </c>
      <c r="K40" s="667" t="e">
        <f>#REF!</f>
        <v>#REF!</v>
      </c>
      <c r="L40" s="664" t="e">
        <f>#REF!</f>
        <v>#REF!</v>
      </c>
      <c r="M40" s="660" t="e">
        <f>#REF!</f>
        <v>#REF!</v>
      </c>
      <c r="N40" s="661" t="e">
        <f>#REF!</f>
        <v>#REF!</v>
      </c>
      <c r="O40" s="667" t="e">
        <f>#REF!</f>
        <v>#REF!</v>
      </c>
      <c r="P40" s="664" t="e">
        <f>#REF!</f>
        <v>#REF!</v>
      </c>
      <c r="Q40" s="660" t="str">
        <f>'K-pkn'!DK42</f>
        <v/>
      </c>
      <c r="R40" s="661" t="str">
        <f>'K-pkn'!DL42</f>
        <v xml:space="preserve">  </v>
      </c>
      <c r="S40" s="667">
        <f>'K-BI'!EQ42</f>
        <v>0</v>
      </c>
      <c r="T40" s="664" t="str">
        <f>'K-BI'!ER42</f>
        <v>A</v>
      </c>
      <c r="U40" s="660" t="str">
        <f>'K-MAT'!AY42</f>
        <v/>
      </c>
      <c r="V40" s="661" t="str">
        <f>'K-MAT'!AZ42</f>
        <v xml:space="preserve">  </v>
      </c>
      <c r="W40" s="667" t="str">
        <f>'K-IPA'!EQ42</f>
        <v/>
      </c>
      <c r="X40" s="664" t="str">
        <f>'K-IPA'!ER42</f>
        <v xml:space="preserve">  </v>
      </c>
      <c r="Y40" s="660" t="str">
        <f>'K-IPS'!DK42</f>
        <v/>
      </c>
      <c r="Z40" s="661" t="str">
        <f>'K-IPS'!DL42</f>
        <v xml:space="preserve">  </v>
      </c>
      <c r="AA40" s="667" t="str">
        <f>'K-SBDP'!DK42</f>
        <v/>
      </c>
      <c r="AB40" s="664" t="str">
        <f>'K-SBDP'!DL42</f>
        <v xml:space="preserve">  </v>
      </c>
      <c r="AC40" s="677">
        <f>'K-PJOK'!C42</f>
        <v>0</v>
      </c>
      <c r="AD40" s="678">
        <f>'K-PJOK'!D42</f>
        <v>0</v>
      </c>
      <c r="AE40" s="672" t="str">
        <f>'K-BJAWA'!CP42</f>
        <v xml:space="preserve"> </v>
      </c>
      <c r="AF40" s="664" t="str">
        <f>'K-BJAWA'!CQ42</f>
        <v xml:space="preserve">  </v>
      </c>
      <c r="AG40" s="662" t="e">
        <f t="shared" si="0"/>
        <v>#REF!</v>
      </c>
      <c r="AH40" s="739" t="str">
        <f t="shared" si="1"/>
        <v/>
      </c>
      <c r="AI40" s="739" t="e">
        <f t="shared" si="2"/>
        <v>#REF!</v>
      </c>
    </row>
    <row r="41" spans="1:35"/>
    <row r="42" spans="1:35"/>
    <row r="43" spans="1:35">
      <c r="C43" t="s">
        <v>91</v>
      </c>
      <c r="W43" t="s">
        <v>63</v>
      </c>
    </row>
    <row r="44" spans="1:35"/>
    <row r="45" spans="1:35"/>
    <row r="46" spans="1:35">
      <c r="C46" t="str">
        <f>MENU!N27</f>
        <v>SRILESTARI, S.PdI</v>
      </c>
      <c r="W46" t="str">
        <f>MENU!N24</f>
        <v>TUTIK RAHAYU, S.Pd</v>
      </c>
    </row>
    <row r="47" spans="1:35">
      <c r="C47" t="str">
        <f>MENU!F28&amp;" "&amp;MENU!N28</f>
        <v>NBM 954033</v>
      </c>
      <c r="W47" t="str">
        <f>MENU!F25&amp;" "&amp;MENU!N25</f>
        <v>NBM 1295423</v>
      </c>
    </row>
    <row r="48" spans="1:35">
      <c r="AB48" s="220"/>
      <c r="AC48" s="220"/>
      <c r="AD48" s="220"/>
      <c r="AE48" s="220"/>
    </row>
    <row r="49"/>
    <row r="50"/>
    <row r="51"/>
    <row r="52"/>
    <row r="53"/>
    <row r="54"/>
    <row r="55"/>
    <row r="56"/>
  </sheetData>
  <sheetProtection sheet="1" objects="1" scenarios="1" formatCells="0" formatColumns="0" formatRows="0"/>
  <mergeCells count="15">
    <mergeCell ref="M5:N5"/>
    <mergeCell ref="O5:P5"/>
    <mergeCell ref="C5:D5"/>
    <mergeCell ref="E5:F5"/>
    <mergeCell ref="G5:H5"/>
    <mergeCell ref="I5:J5"/>
    <mergeCell ref="K5:L5"/>
    <mergeCell ref="AC5:AD5"/>
    <mergeCell ref="AE5:AF5"/>
    <mergeCell ref="Q5:R5"/>
    <mergeCell ref="S5:T5"/>
    <mergeCell ref="U5:V5"/>
    <mergeCell ref="AA5:AB5"/>
    <mergeCell ref="W5:X5"/>
    <mergeCell ref="Y5:Z5"/>
  </mergeCells>
  <pageMargins left="0.82" right="0.43" top="0.41" bottom="0.37" header="0.3" footer="0.3"/>
  <pageSetup paperSize="5" orientation="landscape" horizontalDpi="4294967294" verticalDpi="4294967294"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FF00"/>
  </sheetPr>
  <dimension ref="A1:IB61"/>
  <sheetViews>
    <sheetView showRowColHeaders="0" showZeros="0" workbookViewId="0">
      <pane xSplit="2" ySplit="7" topLeftCell="C8" activePane="bottomRight" state="frozen"/>
      <selection pane="topRight" activeCell="C1" sqref="C1"/>
      <selection pane="bottomLeft" activeCell="A9" sqref="A9"/>
      <selection pane="bottomRight" activeCell="BU8" sqref="BU8"/>
    </sheetView>
  </sheetViews>
  <sheetFormatPr defaultColWidth="0" defaultRowHeight="15" zeroHeight="1"/>
  <cols>
    <col min="1" max="1" width="4.7109375" customWidth="1"/>
    <col min="2" max="2" width="31" customWidth="1"/>
    <col min="3" max="6" width="3.7109375" customWidth="1"/>
    <col min="7" max="9" width="3.7109375" hidden="1" customWidth="1"/>
    <col min="10" max="13" width="3.7109375" customWidth="1"/>
    <col min="14" max="16" width="3.7109375" hidden="1" customWidth="1"/>
    <col min="17" max="20" width="3.7109375" customWidth="1"/>
    <col min="21" max="23" width="3.7109375" hidden="1" customWidth="1"/>
    <col min="24" max="26" width="3.7109375" customWidth="1"/>
    <col min="27" max="29" width="3.7109375" hidden="1" customWidth="1"/>
    <col min="30" max="33" width="3.7109375" customWidth="1"/>
    <col min="34" max="36" width="3.7109375" hidden="1" customWidth="1"/>
    <col min="37" max="40" width="3.7109375" customWidth="1"/>
    <col min="41" max="43" width="3.7109375" hidden="1" customWidth="1"/>
    <col min="44" max="48" width="3.7109375" customWidth="1"/>
    <col min="49" max="51" width="3.7109375" hidden="1" customWidth="1"/>
    <col min="52" max="55" width="3.7109375" customWidth="1"/>
    <col min="56" max="58" width="3.7109375" hidden="1" customWidth="1"/>
    <col min="59" max="62" width="3.7109375" customWidth="1"/>
    <col min="63" max="65" width="3.7109375" hidden="1" customWidth="1"/>
    <col min="66" max="69" width="3.7109375" customWidth="1"/>
    <col min="70" max="72" width="3.7109375" hidden="1" customWidth="1"/>
    <col min="73" max="76" width="3.7109375" customWidth="1"/>
    <col min="77" max="79" width="3.7109375" hidden="1" customWidth="1"/>
    <col min="80" max="83" width="3.7109375" customWidth="1"/>
    <col min="84" max="86" width="3.7109375" hidden="1" customWidth="1"/>
    <col min="87" max="90" width="3.7109375" customWidth="1"/>
    <col min="91" max="93" width="3.7109375" hidden="1" customWidth="1"/>
    <col min="94" max="97" width="3.7109375" customWidth="1"/>
    <col min="98" max="100" width="3.7109375" hidden="1" customWidth="1"/>
    <col min="101" max="104" width="3.7109375" customWidth="1"/>
    <col min="105" max="107" width="3.7109375" hidden="1" customWidth="1"/>
    <col min="108" max="112" width="3.7109375" customWidth="1"/>
    <col min="113" max="114" width="3.7109375" hidden="1" customWidth="1"/>
    <col min="115" max="116" width="3.7109375" customWidth="1"/>
    <col min="117" max="117" width="100.7109375" customWidth="1"/>
    <col min="118" max="118" width="3.7109375" customWidth="1"/>
    <col min="119" max="236" width="3.7109375" hidden="1" customWidth="1"/>
  </cols>
  <sheetData>
    <row r="1" spans="1:236">
      <c r="A1" s="22"/>
      <c r="B1" s="894" t="s">
        <v>176</v>
      </c>
      <c r="C1" s="894"/>
      <c r="D1" s="894"/>
      <c r="E1" s="894"/>
      <c r="F1" s="894"/>
      <c r="G1" s="894"/>
      <c r="H1" s="894"/>
      <c r="I1" s="894"/>
      <c r="J1" s="894"/>
      <c r="K1" s="894"/>
      <c r="L1" s="894"/>
      <c r="M1" s="894"/>
      <c r="N1" s="894"/>
      <c r="O1" s="894"/>
      <c r="P1" s="894"/>
      <c r="Q1" s="894"/>
      <c r="R1" s="894"/>
      <c r="S1" s="894"/>
      <c r="T1" s="894"/>
      <c r="U1" s="894"/>
      <c r="V1" s="894"/>
      <c r="W1" s="894"/>
      <c r="X1" s="894"/>
      <c r="Y1" s="894"/>
      <c r="Z1" s="894"/>
      <c r="AA1" s="894"/>
      <c r="AB1" s="894"/>
      <c r="AC1" s="894"/>
      <c r="AD1" s="894"/>
      <c r="AE1" s="894"/>
      <c r="AF1" s="894"/>
      <c r="AG1" s="894"/>
      <c r="AH1" s="894"/>
      <c r="AI1" s="894"/>
      <c r="AJ1" s="894"/>
      <c r="AK1" s="894"/>
      <c r="AL1" s="894"/>
      <c r="AM1" s="894"/>
      <c r="AN1" s="894"/>
      <c r="DO1" t="s">
        <v>255</v>
      </c>
      <c r="DP1">
        <f>KKM!D29</f>
        <v>92</v>
      </c>
      <c r="DS1">
        <v>100</v>
      </c>
    </row>
    <row r="2" spans="1:236">
      <c r="A2" s="22"/>
      <c r="B2" s="7" t="s">
        <v>3</v>
      </c>
      <c r="C2" s="943" t="s">
        <v>4</v>
      </c>
      <c r="D2" s="943"/>
      <c r="E2" s="943"/>
      <c r="F2" s="943"/>
      <c r="G2" s="943"/>
      <c r="H2" s="943"/>
      <c r="I2" s="943"/>
      <c r="J2" s="943"/>
      <c r="K2" s="943"/>
      <c r="L2" s="943"/>
      <c r="M2" s="943"/>
      <c r="N2" s="943"/>
      <c r="O2" s="943"/>
      <c r="P2" s="943"/>
      <c r="Q2" s="943"/>
      <c r="R2" s="8"/>
      <c r="S2" s="9"/>
      <c r="T2" s="9"/>
      <c r="U2" s="9"/>
      <c r="V2" s="9"/>
      <c r="W2" s="9"/>
      <c r="X2" s="9"/>
      <c r="Y2" s="9"/>
      <c r="Z2" s="9"/>
      <c r="AA2" s="9"/>
      <c r="AB2" s="9"/>
      <c r="AC2" s="9"/>
      <c r="AD2" s="9"/>
      <c r="AE2" s="9"/>
      <c r="AF2" s="9"/>
      <c r="AG2" s="10"/>
      <c r="AH2" s="10"/>
      <c r="AL2" s="9"/>
      <c r="AM2" s="11"/>
      <c r="AN2" s="12"/>
      <c r="DO2" t="s">
        <v>207</v>
      </c>
      <c r="DP2">
        <f>KKM!D30</f>
        <v>83</v>
      </c>
      <c r="DS2">
        <f>(DS1-DP2)/2</f>
        <v>8.5</v>
      </c>
    </row>
    <row r="3" spans="1:236">
      <c r="A3" s="231"/>
      <c r="B3" s="364" t="s">
        <v>177</v>
      </c>
      <c r="C3" s="959" t="str">
        <f>MENU!N20</f>
        <v>V ( Lima )</v>
      </c>
      <c r="D3" s="959"/>
      <c r="E3" s="959"/>
      <c r="F3" s="959"/>
      <c r="G3" s="959"/>
      <c r="H3" s="959"/>
      <c r="I3" s="959"/>
      <c r="J3" s="959"/>
      <c r="K3" s="959"/>
      <c r="L3" s="959"/>
      <c r="M3" s="959"/>
      <c r="N3" s="959"/>
      <c r="O3" s="959"/>
      <c r="P3" s="959"/>
      <c r="Q3" s="959"/>
      <c r="R3" s="20"/>
      <c r="S3" s="20"/>
      <c r="T3" s="20" t="s">
        <v>202</v>
      </c>
      <c r="Y3" t="s">
        <v>35</v>
      </c>
      <c r="Z3" t="str">
        <f>MENU!N22</f>
        <v>2019/2020</v>
      </c>
      <c r="AE3" s="9"/>
      <c r="AF3" s="8"/>
      <c r="AG3" s="21"/>
      <c r="AH3" s="8"/>
      <c r="AI3" s="238"/>
      <c r="AJ3" s="238"/>
      <c r="AK3" s="238"/>
      <c r="AL3" s="22"/>
      <c r="AM3" s="22"/>
      <c r="AN3" s="22"/>
      <c r="AO3" s="22"/>
      <c r="AP3" s="22"/>
      <c r="AQ3" s="22"/>
      <c r="AR3" s="22"/>
      <c r="AS3" s="22"/>
      <c r="AT3" s="22"/>
      <c r="AU3" s="22"/>
      <c r="BG3" s="8"/>
      <c r="BH3" s="23"/>
      <c r="DO3" t="s">
        <v>394</v>
      </c>
      <c r="DP3">
        <f>KKM!D31</f>
        <v>75</v>
      </c>
    </row>
    <row r="4" spans="1:236">
      <c r="A4" s="365"/>
      <c r="B4" s="568" t="s">
        <v>383</v>
      </c>
      <c r="C4" s="942">
        <f>KKM!D18</f>
        <v>75</v>
      </c>
      <c r="D4" s="942"/>
      <c r="E4" s="942"/>
      <c r="F4" s="942"/>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DM4" s="46" t="str">
        <f>CONCATENATE(IF(DA4&gt;100,"  ",IF(DA4&gt;95,"Sangat mahir dalam  "&amp;$B$45,IF(DA4&gt;87,"Mahir dalam "&amp;$B$45,IF(DA4&gt;79,"Sudah terampil dalam "&amp;$B$45,IF(DA4&gt;71,"Menguasai dengan baik dalam "&amp;$B$45,IF(DA4&gt;62,"Perlu banyak latihan dalam "&amp;$B$45,IF(DA4&gt;0,"Perlu bimbingan dalam "&amp;$B$45,IF(DA4=0," ",IF(DA4="",""))))))))),IF(DB4&gt;100,"  ",IF(DB4&gt;95," Sangat mahir dalam "&amp;$B$46,IF(DB4&gt;87," Mahir dalam "&amp;$B$46,IF(DB4&gt;79," Sudah terampil dalam "&amp;$B$46,IF(DB4&gt;71," Menguasai dengan baik dalam "&amp;$B$46,IF(DB4&gt;62," Perlu banyak latihan dalam "&amp;$B$46,IF(DB4&gt;0," Perlu bimbingan dalam "&amp;$B$46,IF(DB4=0," ",IF(DB4="",""))))))))),IF(DC4&gt;100,"  ",IF(DC4&gt;95," Sangat mahir dalam "&amp;$B$47,IF(DC4&gt;87," Mahir dalam "&amp;$B$47,IF(DC4&gt;79," Sudah terampil dalam "&amp;$B$47,IF(DC4&gt;71," Menguasai dengan baik dalam "&amp;$B$47,IF(DC4&gt;62," Perlu banyak latihan dalam "&amp;$B$47,IF(DC4&gt;0," Perlu bimbingan dalam "&amp;$B$47,IF(DC4=0," ",IF(DC4="",""))))))))),IF(DD4&gt;100,"   ",IF(DD4&gt;95," Sangat mahir "&amp;$B$48,IF(DD4&gt;87," Mahir dalam "&amp;$B$48,IF(DD4&gt;79," Sudah terampil dalam "&amp;$B$48,IF(DD4&gt;71," Menguasai dengan baik dalam "&amp;$B$48,IF(DD4&gt;62," Perlu banyak latihan dalam "&amp;$B$48,IF(DD4&gt;0," Perlu bimbingan dalam "&amp;$B$48,IF(DD4=0," ",IF(DD4="",""))))))))),IF(DE4&gt;100,"  ",IF(DE4&gt;95," Sangat mahir dalam "&amp;$B$49,IF(DE4&gt;87," Mahir dalam "&amp;$B$49,IF(DE4&gt;79," Sudah terampil dalam "&amp;$B$49,IF(DE4&gt;71," Menguasai dengan baik  dalam "&amp;$B$49,IF(DE4&gt;62," Perlu banyak latihan dalam "&amp;$B$49,IF(DE4&gt;0," Perlu bimbingan dalam "&amp;$B$49,IF(DE4=0," ",IF(DE4="",""))))))))),IF(DF4&gt;100,"  ",IF(DF4&gt;95," Sangat mahir dalam "&amp;$B$50,IF(DF4&gt;87," Mahir dalam "&amp;$B$50,IF(DF4&gt;79," Sudah terampil dalam "&amp;$B$50,IF(DF4&gt;71," Menguasai dengan baik  dalam "&amp;$B$50,IF(DF4&gt;62," Perlu banyak latihan dalam "&amp;$B$50,IF(DF4&gt;0," Perlu bimbingan dalam "&amp;$B$50,IF(DF4=0," ",IF(DF4="",""))))))))),IF(DG4&gt;100,"  ",IF(DG4&gt;95," Sangat mahir dalam "&amp;$B$51,IF(DG4&gt;87," Mahir dalam "&amp;$B$51,IF(DG4&gt;79," Sudah terampil dalam "&amp;$B$51,IF(DG4&gt;71," Menguasai dengan baik  dalam "&amp;$B$51,IF(DG4&gt;62," Perlu banyak latihan dalam "&amp;$B$51,IF(DG4&gt;0," Perlu bimbingan dalam "&amp;$B$51,IF(DG4=0," ",IF(DG4="",""))))))))))</f>
        <v xml:space="preserve">       </v>
      </c>
      <c r="DO4" t="s">
        <v>395</v>
      </c>
      <c r="DP4">
        <f>KKM!D32</f>
        <v>75</v>
      </c>
    </row>
    <row r="5" spans="1:236" ht="15" customHeight="1">
      <c r="A5" s="960" t="s">
        <v>9</v>
      </c>
      <c r="B5" s="960" t="s">
        <v>10</v>
      </c>
      <c r="C5" s="962" t="s">
        <v>269</v>
      </c>
      <c r="D5" s="963"/>
      <c r="E5" s="963"/>
      <c r="F5" s="963"/>
      <c r="G5" s="963"/>
      <c r="H5" s="963"/>
      <c r="I5" s="963"/>
      <c r="J5" s="963"/>
      <c r="K5" s="963"/>
      <c r="L5" s="963"/>
      <c r="M5" s="963"/>
      <c r="N5" s="963"/>
      <c r="O5" s="963"/>
      <c r="P5" s="963"/>
      <c r="Q5" s="963"/>
      <c r="R5" s="963"/>
      <c r="S5" s="963"/>
      <c r="T5" s="963"/>
      <c r="U5" s="963"/>
      <c r="V5" s="963"/>
      <c r="W5" s="963"/>
      <c r="X5" s="964" t="s">
        <v>270</v>
      </c>
      <c r="Y5" s="965"/>
      <c r="Z5" s="965"/>
      <c r="AA5" s="965"/>
      <c r="AB5" s="965"/>
      <c r="AC5" s="965"/>
      <c r="AD5" s="965"/>
      <c r="AE5" s="965"/>
      <c r="AF5" s="965"/>
      <c r="AG5" s="965"/>
      <c r="AH5" s="965"/>
      <c r="AI5" s="965"/>
      <c r="AJ5" s="965"/>
      <c r="AK5" s="965"/>
      <c r="AL5" s="965"/>
      <c r="AM5" s="965"/>
      <c r="AN5" s="965"/>
      <c r="AO5" s="965"/>
      <c r="AP5" s="965"/>
      <c r="AQ5" s="965"/>
      <c r="AR5" s="965"/>
      <c r="AS5" s="952" t="s">
        <v>271</v>
      </c>
      <c r="AT5" s="953"/>
      <c r="AU5" s="953"/>
      <c r="AV5" s="953"/>
      <c r="AW5" s="953"/>
      <c r="AX5" s="953"/>
      <c r="AY5" s="953"/>
      <c r="AZ5" s="953"/>
      <c r="BA5" s="953"/>
      <c r="BB5" s="953"/>
      <c r="BC5" s="953"/>
      <c r="BD5" s="953"/>
      <c r="BE5" s="953"/>
      <c r="BF5" s="953"/>
      <c r="BG5" s="953"/>
      <c r="BH5" s="953"/>
      <c r="BI5" s="953"/>
      <c r="BJ5" s="953"/>
      <c r="BK5" s="953"/>
      <c r="BL5" s="953"/>
      <c r="BM5" s="953"/>
      <c r="BN5" s="954" t="s">
        <v>272</v>
      </c>
      <c r="BO5" s="955"/>
      <c r="BP5" s="955"/>
      <c r="BQ5" s="955"/>
      <c r="BR5" s="955"/>
      <c r="BS5" s="955"/>
      <c r="BT5" s="955"/>
      <c r="BU5" s="955"/>
      <c r="BV5" s="955"/>
      <c r="BW5" s="955"/>
      <c r="BX5" s="955"/>
      <c r="BY5" s="955"/>
      <c r="BZ5" s="955"/>
      <c r="CA5" s="955"/>
      <c r="CB5" s="955"/>
      <c r="CC5" s="955"/>
      <c r="CD5" s="955"/>
      <c r="CE5" s="955"/>
      <c r="CF5" s="955"/>
      <c r="CG5" s="955"/>
      <c r="CH5" s="955"/>
      <c r="CI5" s="965" t="s">
        <v>273</v>
      </c>
      <c r="CJ5" s="965"/>
      <c r="CK5" s="965"/>
      <c r="CL5" s="965"/>
      <c r="CM5" s="965"/>
      <c r="CN5" s="965"/>
      <c r="CO5" s="965"/>
      <c r="CP5" s="965"/>
      <c r="CQ5" s="965"/>
      <c r="CR5" s="965"/>
      <c r="CS5" s="965"/>
      <c r="CT5" s="965"/>
      <c r="CU5" s="965"/>
      <c r="CV5" s="965"/>
      <c r="CW5" s="965"/>
      <c r="CX5" s="965"/>
      <c r="CY5" s="965"/>
      <c r="CZ5" s="965"/>
      <c r="DA5" s="965"/>
      <c r="DB5" s="965"/>
      <c r="DC5" s="970"/>
      <c r="DD5" s="956" t="s">
        <v>13</v>
      </c>
      <c r="DE5" s="957"/>
      <c r="DF5" s="957"/>
      <c r="DG5" s="957"/>
      <c r="DH5" s="957"/>
      <c r="DI5" s="957"/>
      <c r="DJ5" s="958"/>
      <c r="DK5" s="968" t="s">
        <v>179</v>
      </c>
      <c r="DL5" s="966" t="s">
        <v>15</v>
      </c>
      <c r="DM5" s="944" t="s">
        <v>180</v>
      </c>
      <c r="EA5" t="s">
        <v>398</v>
      </c>
    </row>
    <row r="6" spans="1:236" ht="15" customHeight="1">
      <c r="A6" s="900"/>
      <c r="B6" s="900"/>
      <c r="C6" s="931" t="s">
        <v>181</v>
      </c>
      <c r="D6" s="932"/>
      <c r="E6" s="932"/>
      <c r="F6" s="932"/>
      <c r="G6" s="932"/>
      <c r="H6" s="932"/>
      <c r="I6" s="933"/>
      <c r="J6" s="946" t="s">
        <v>532</v>
      </c>
      <c r="K6" s="947"/>
      <c r="L6" s="947"/>
      <c r="M6" s="947"/>
      <c r="N6" s="947"/>
      <c r="O6" s="947"/>
      <c r="P6" s="948"/>
      <c r="Q6" s="949" t="s">
        <v>182</v>
      </c>
      <c r="R6" s="950"/>
      <c r="S6" s="950"/>
      <c r="T6" s="950"/>
      <c r="U6" s="950"/>
      <c r="V6" s="950"/>
      <c r="W6" s="951"/>
      <c r="X6" s="931" t="s">
        <v>181</v>
      </c>
      <c r="Y6" s="932"/>
      <c r="Z6" s="932"/>
      <c r="AA6" s="932"/>
      <c r="AB6" s="932"/>
      <c r="AC6" s="932"/>
      <c r="AD6" s="933"/>
      <c r="AE6" s="946" t="s">
        <v>532</v>
      </c>
      <c r="AF6" s="947"/>
      <c r="AG6" s="947"/>
      <c r="AH6" s="947"/>
      <c r="AI6" s="947"/>
      <c r="AJ6" s="947"/>
      <c r="AK6" s="948"/>
      <c r="AL6" s="949" t="s">
        <v>182</v>
      </c>
      <c r="AM6" s="950"/>
      <c r="AN6" s="950"/>
      <c r="AO6" s="950"/>
      <c r="AP6" s="950"/>
      <c r="AQ6" s="950"/>
      <c r="AR6" s="951"/>
      <c r="AS6" s="931" t="s">
        <v>181</v>
      </c>
      <c r="AT6" s="932"/>
      <c r="AU6" s="932"/>
      <c r="AV6" s="932"/>
      <c r="AW6" s="932"/>
      <c r="AX6" s="932"/>
      <c r="AY6" s="933"/>
      <c r="AZ6" s="946" t="s">
        <v>532</v>
      </c>
      <c r="BA6" s="947"/>
      <c r="BB6" s="947"/>
      <c r="BC6" s="947"/>
      <c r="BD6" s="947"/>
      <c r="BE6" s="947"/>
      <c r="BF6" s="948"/>
      <c r="BG6" s="949" t="s">
        <v>182</v>
      </c>
      <c r="BH6" s="950"/>
      <c r="BI6" s="950"/>
      <c r="BJ6" s="950"/>
      <c r="BK6" s="950"/>
      <c r="BL6" s="950"/>
      <c r="BM6" s="951"/>
      <c r="BN6" s="931" t="s">
        <v>181</v>
      </c>
      <c r="BO6" s="932"/>
      <c r="BP6" s="932"/>
      <c r="BQ6" s="932"/>
      <c r="BR6" s="932"/>
      <c r="BS6" s="932"/>
      <c r="BT6" s="933"/>
      <c r="BU6" s="946" t="s">
        <v>532</v>
      </c>
      <c r="BV6" s="947"/>
      <c r="BW6" s="947"/>
      <c r="BX6" s="947"/>
      <c r="BY6" s="947"/>
      <c r="BZ6" s="947"/>
      <c r="CA6" s="948"/>
      <c r="CB6" s="949" t="s">
        <v>182</v>
      </c>
      <c r="CC6" s="950"/>
      <c r="CD6" s="950"/>
      <c r="CE6" s="950"/>
      <c r="CF6" s="950"/>
      <c r="CG6" s="950"/>
      <c r="CH6" s="951"/>
      <c r="CI6" s="931" t="s">
        <v>181</v>
      </c>
      <c r="CJ6" s="932"/>
      <c r="CK6" s="932"/>
      <c r="CL6" s="932"/>
      <c r="CM6" s="932"/>
      <c r="CN6" s="932"/>
      <c r="CO6" s="933"/>
      <c r="CP6" s="946" t="s">
        <v>532</v>
      </c>
      <c r="CQ6" s="947"/>
      <c r="CR6" s="947"/>
      <c r="CS6" s="947"/>
      <c r="CT6" s="947"/>
      <c r="CU6" s="947"/>
      <c r="CV6" s="948"/>
      <c r="CW6" s="949" t="s">
        <v>182</v>
      </c>
      <c r="CX6" s="950"/>
      <c r="CY6" s="950"/>
      <c r="CZ6" s="950"/>
      <c r="DA6" s="950"/>
      <c r="DB6" s="950"/>
      <c r="DC6" s="951"/>
      <c r="DD6" s="239" t="s">
        <v>19</v>
      </c>
      <c r="DE6" s="239" t="s">
        <v>19</v>
      </c>
      <c r="DF6" s="239" t="s">
        <v>19</v>
      </c>
      <c r="DG6" s="239" t="s">
        <v>19</v>
      </c>
      <c r="DH6" s="239" t="s">
        <v>19</v>
      </c>
      <c r="DI6" s="239" t="s">
        <v>19</v>
      </c>
      <c r="DJ6" s="239" t="s">
        <v>19</v>
      </c>
      <c r="DK6" s="969"/>
      <c r="DL6" s="967"/>
      <c r="DM6" s="944"/>
      <c r="DP6" s="931" t="s">
        <v>279</v>
      </c>
      <c r="DQ6" s="932"/>
      <c r="DR6" s="932"/>
      <c r="DS6" s="932"/>
      <c r="DT6" s="932"/>
      <c r="DU6" s="932"/>
      <c r="DV6" s="932"/>
      <c r="DW6" s="932"/>
      <c r="DX6" s="932"/>
      <c r="DY6" s="933"/>
      <c r="DZ6" s="937" t="s">
        <v>399</v>
      </c>
      <c r="EA6" s="934" t="s">
        <v>280</v>
      </c>
      <c r="EB6" s="935"/>
      <c r="EC6" s="935"/>
      <c r="ED6" s="935"/>
      <c r="EE6" s="935"/>
      <c r="EF6" s="935"/>
      <c r="EG6" s="935"/>
      <c r="EH6" s="935"/>
      <c r="EI6" s="935"/>
      <c r="EJ6" s="936"/>
      <c r="EK6" s="937" t="s">
        <v>399</v>
      </c>
      <c r="EL6" s="939" t="s">
        <v>400</v>
      </c>
      <c r="EM6" s="940"/>
      <c r="EN6" s="940"/>
      <c r="EO6" s="940"/>
      <c r="EP6" s="940"/>
      <c r="EQ6" s="940"/>
      <c r="ER6" s="940"/>
      <c r="ES6" s="940"/>
      <c r="ET6" s="940"/>
      <c r="EU6" s="941"/>
      <c r="EV6" s="971" t="s">
        <v>399</v>
      </c>
      <c r="EW6" s="972">
        <v>1</v>
      </c>
      <c r="EX6" s="973"/>
      <c r="EY6" s="973"/>
      <c r="EZ6" s="976"/>
      <c r="FA6" s="976"/>
      <c r="FB6" s="976"/>
      <c r="FC6" s="972">
        <v>2</v>
      </c>
      <c r="FD6" s="973"/>
      <c r="FE6" s="973"/>
      <c r="FF6" s="976"/>
      <c r="FG6" s="976"/>
      <c r="FH6" s="976"/>
      <c r="FI6" s="972">
        <v>3</v>
      </c>
      <c r="FJ6" s="973"/>
      <c r="FK6" s="973"/>
      <c r="FL6" s="976"/>
      <c r="FM6" s="976"/>
      <c r="FN6" s="976"/>
      <c r="FO6" s="972">
        <v>4</v>
      </c>
      <c r="FP6" s="973"/>
      <c r="FQ6" s="973"/>
      <c r="FR6" s="976"/>
      <c r="FS6" s="976"/>
      <c r="FT6" s="976"/>
      <c r="FU6" s="972">
        <v>5</v>
      </c>
      <c r="FV6" s="973"/>
      <c r="FW6" s="973"/>
      <c r="FX6" s="976"/>
      <c r="FY6" s="976"/>
      <c r="FZ6" s="976"/>
      <c r="GA6" s="972">
        <v>6</v>
      </c>
      <c r="GB6" s="973"/>
      <c r="GC6" s="973"/>
      <c r="GD6" s="976"/>
      <c r="GE6" s="976"/>
      <c r="GF6" s="976"/>
      <c r="GG6" s="972">
        <v>7</v>
      </c>
      <c r="GH6" s="973"/>
      <c r="GI6" s="973"/>
      <c r="GJ6" s="976"/>
      <c r="GK6" s="976"/>
      <c r="GL6" s="976"/>
      <c r="GV6" s="68" t="s">
        <v>184</v>
      </c>
      <c r="GW6" s="68" t="s">
        <v>185</v>
      </c>
      <c r="GX6" s="755"/>
      <c r="GY6" s="978"/>
      <c r="GZ6" s="979" t="str">
        <f>B45</f>
        <v>menyajikan hasil identifikasi nilai-nilai Pancasila dalam kehidupan sehari-hari</v>
      </c>
      <c r="HA6" s="979" t="str">
        <f>B46</f>
        <v>menjelaskan hak, kewajiban, dan tanggung jawab sebagai warga masyarakat dalam kehidupan sehari-hari</v>
      </c>
      <c r="HB6" s="979" t="str">
        <f>B47</f>
        <v>menyelenggarakan kegiatan yang mendukung keberagaman sosial budaya masyarakat</v>
      </c>
      <c r="HC6" s="979" t="str">
        <f>B48</f>
        <v>menyajikan hasil penggalian tentang manfaat persatuan dan kesatuan untuk membangun kerukunan.</v>
      </c>
      <c r="HD6" s="979">
        <f>B49</f>
        <v>0</v>
      </c>
      <c r="HE6" s="979">
        <f>B50</f>
        <v>0</v>
      </c>
      <c r="HF6" s="979">
        <f>B51</f>
        <v>0</v>
      </c>
      <c r="HG6" s="979">
        <f>B52</f>
        <v>0</v>
      </c>
      <c r="HH6" s="979">
        <f>B58</f>
        <v>0</v>
      </c>
      <c r="HI6" s="979">
        <f>B59</f>
        <v>0</v>
      </c>
      <c r="HJ6" s="979"/>
      <c r="HK6" s="981"/>
      <c r="HL6" s="981" t="s">
        <v>186</v>
      </c>
      <c r="HM6" s="981" t="s">
        <v>187</v>
      </c>
      <c r="HO6" s="983" t="str">
        <f>GZ6</f>
        <v>menyajikan hasil identifikasi nilai-nilai Pancasila dalam kehidupan sehari-hari</v>
      </c>
      <c r="HP6" s="983" t="str">
        <f t="shared" ref="HP6:HX6" si="0">HA6</f>
        <v>menjelaskan hak, kewajiban, dan tanggung jawab sebagai warga masyarakat dalam kehidupan sehari-hari</v>
      </c>
      <c r="HQ6" s="983" t="str">
        <f t="shared" si="0"/>
        <v>menyelenggarakan kegiatan yang mendukung keberagaman sosial budaya masyarakat</v>
      </c>
      <c r="HR6" s="983" t="str">
        <f t="shared" si="0"/>
        <v>menyajikan hasil penggalian tentang manfaat persatuan dan kesatuan untuk membangun kerukunan.</v>
      </c>
      <c r="HS6" s="983">
        <f t="shared" si="0"/>
        <v>0</v>
      </c>
      <c r="HT6" s="983">
        <f t="shared" si="0"/>
        <v>0</v>
      </c>
      <c r="HU6" s="983">
        <f t="shared" si="0"/>
        <v>0</v>
      </c>
      <c r="HV6" s="983">
        <f t="shared" si="0"/>
        <v>0</v>
      </c>
      <c r="HW6" s="983">
        <f t="shared" si="0"/>
        <v>0</v>
      </c>
      <c r="HX6" s="983">
        <f t="shared" si="0"/>
        <v>0</v>
      </c>
      <c r="HZ6" s="978" t="s">
        <v>401</v>
      </c>
      <c r="IB6" s="985" t="s">
        <v>402</v>
      </c>
    </row>
    <row r="7" spans="1:236" ht="21" customHeight="1">
      <c r="A7" s="900"/>
      <c r="B7" s="961"/>
      <c r="C7" s="240" t="str">
        <f>A45</f>
        <v>4.1</v>
      </c>
      <c r="D7" s="240" t="str">
        <f>A46</f>
        <v>4.2</v>
      </c>
      <c r="E7" s="240" t="str">
        <f>A47</f>
        <v>4.3</v>
      </c>
      <c r="F7" s="240" t="str">
        <f>A48</f>
        <v>4.4</v>
      </c>
      <c r="G7" s="240">
        <f>A49</f>
        <v>0</v>
      </c>
      <c r="H7" s="240">
        <f>A50</f>
        <v>0</v>
      </c>
      <c r="I7" s="240">
        <f>A51</f>
        <v>0</v>
      </c>
      <c r="J7" s="240" t="str">
        <f t="shared" ref="J7:BU7" si="1">C7</f>
        <v>4.1</v>
      </c>
      <c r="K7" s="240" t="str">
        <f t="shared" si="1"/>
        <v>4.2</v>
      </c>
      <c r="L7" s="240" t="str">
        <f t="shared" si="1"/>
        <v>4.3</v>
      </c>
      <c r="M7" s="240" t="str">
        <f t="shared" si="1"/>
        <v>4.4</v>
      </c>
      <c r="N7" s="240">
        <f t="shared" si="1"/>
        <v>0</v>
      </c>
      <c r="O7" s="240">
        <f t="shared" si="1"/>
        <v>0</v>
      </c>
      <c r="P7" s="240">
        <f t="shared" si="1"/>
        <v>0</v>
      </c>
      <c r="Q7" s="240" t="str">
        <f t="shared" si="1"/>
        <v>4.1</v>
      </c>
      <c r="R7" s="240" t="str">
        <f t="shared" si="1"/>
        <v>4.2</v>
      </c>
      <c r="S7" s="240" t="str">
        <f t="shared" si="1"/>
        <v>4.3</v>
      </c>
      <c r="T7" s="240" t="str">
        <f t="shared" si="1"/>
        <v>4.4</v>
      </c>
      <c r="U7" s="240">
        <f t="shared" si="1"/>
        <v>0</v>
      </c>
      <c r="V7" s="240">
        <f t="shared" si="1"/>
        <v>0</v>
      </c>
      <c r="W7" s="240">
        <f t="shared" si="1"/>
        <v>0</v>
      </c>
      <c r="X7" s="240" t="str">
        <f t="shared" si="1"/>
        <v>4.1</v>
      </c>
      <c r="Y7" s="240" t="str">
        <f t="shared" si="1"/>
        <v>4.2</v>
      </c>
      <c r="Z7" s="240" t="str">
        <f t="shared" si="1"/>
        <v>4.3</v>
      </c>
      <c r="AA7" s="240" t="str">
        <f t="shared" si="1"/>
        <v>4.4</v>
      </c>
      <c r="AB7" s="240">
        <f t="shared" si="1"/>
        <v>0</v>
      </c>
      <c r="AC7" s="240">
        <f t="shared" si="1"/>
        <v>0</v>
      </c>
      <c r="AD7" s="240">
        <f t="shared" si="1"/>
        <v>0</v>
      </c>
      <c r="AE7" s="240" t="str">
        <f t="shared" si="1"/>
        <v>4.1</v>
      </c>
      <c r="AF7" s="240" t="str">
        <f t="shared" si="1"/>
        <v>4.2</v>
      </c>
      <c r="AG7" s="240" t="str">
        <f t="shared" si="1"/>
        <v>4.3</v>
      </c>
      <c r="AH7" s="240" t="str">
        <f t="shared" si="1"/>
        <v>4.4</v>
      </c>
      <c r="AI7" s="240">
        <f t="shared" si="1"/>
        <v>0</v>
      </c>
      <c r="AJ7" s="240">
        <f t="shared" si="1"/>
        <v>0</v>
      </c>
      <c r="AK7" s="240">
        <f t="shared" si="1"/>
        <v>0</v>
      </c>
      <c r="AL7" s="240" t="str">
        <f t="shared" si="1"/>
        <v>4.1</v>
      </c>
      <c r="AM7" s="240" t="str">
        <f t="shared" si="1"/>
        <v>4.2</v>
      </c>
      <c r="AN7" s="240" t="str">
        <f t="shared" si="1"/>
        <v>4.3</v>
      </c>
      <c r="AO7" s="240" t="str">
        <f t="shared" si="1"/>
        <v>4.4</v>
      </c>
      <c r="AP7" s="240">
        <f t="shared" si="1"/>
        <v>0</v>
      </c>
      <c r="AQ7" s="240">
        <f t="shared" si="1"/>
        <v>0</v>
      </c>
      <c r="AR7" s="240">
        <f t="shared" si="1"/>
        <v>0</v>
      </c>
      <c r="AS7" s="240" t="str">
        <f t="shared" si="1"/>
        <v>4.1</v>
      </c>
      <c r="AT7" s="240" t="str">
        <f t="shared" si="1"/>
        <v>4.2</v>
      </c>
      <c r="AU7" s="240" t="str">
        <f t="shared" si="1"/>
        <v>4.3</v>
      </c>
      <c r="AV7" s="240" t="str">
        <f t="shared" si="1"/>
        <v>4.4</v>
      </c>
      <c r="AW7" s="240">
        <f t="shared" si="1"/>
        <v>0</v>
      </c>
      <c r="AX7" s="240">
        <f t="shared" si="1"/>
        <v>0</v>
      </c>
      <c r="AY7" s="240">
        <f t="shared" si="1"/>
        <v>0</v>
      </c>
      <c r="AZ7" s="240" t="str">
        <f t="shared" si="1"/>
        <v>4.1</v>
      </c>
      <c r="BA7" s="240" t="str">
        <f t="shared" si="1"/>
        <v>4.2</v>
      </c>
      <c r="BB7" s="240" t="str">
        <f t="shared" si="1"/>
        <v>4.3</v>
      </c>
      <c r="BC7" s="240" t="str">
        <f t="shared" si="1"/>
        <v>4.4</v>
      </c>
      <c r="BD7" s="240">
        <f t="shared" si="1"/>
        <v>0</v>
      </c>
      <c r="BE7" s="240">
        <f t="shared" si="1"/>
        <v>0</v>
      </c>
      <c r="BF7" s="240">
        <f t="shared" si="1"/>
        <v>0</v>
      </c>
      <c r="BG7" s="240" t="str">
        <f t="shared" si="1"/>
        <v>4.1</v>
      </c>
      <c r="BH7" s="240" t="str">
        <f t="shared" si="1"/>
        <v>4.2</v>
      </c>
      <c r="BI7" s="240" t="str">
        <f t="shared" si="1"/>
        <v>4.3</v>
      </c>
      <c r="BJ7" s="240" t="str">
        <f t="shared" si="1"/>
        <v>4.4</v>
      </c>
      <c r="BK7" s="240">
        <f t="shared" si="1"/>
        <v>0</v>
      </c>
      <c r="BL7" s="240">
        <f t="shared" si="1"/>
        <v>0</v>
      </c>
      <c r="BM7" s="240">
        <f t="shared" si="1"/>
        <v>0</v>
      </c>
      <c r="BN7" s="240" t="str">
        <f t="shared" si="1"/>
        <v>4.1</v>
      </c>
      <c r="BO7" s="240" t="str">
        <f t="shared" si="1"/>
        <v>4.2</v>
      </c>
      <c r="BP7" s="240" t="str">
        <f t="shared" si="1"/>
        <v>4.3</v>
      </c>
      <c r="BQ7" s="240" t="str">
        <f t="shared" si="1"/>
        <v>4.4</v>
      </c>
      <c r="BR7" s="240">
        <f t="shared" si="1"/>
        <v>0</v>
      </c>
      <c r="BS7" s="240">
        <f t="shared" si="1"/>
        <v>0</v>
      </c>
      <c r="BT7" s="240">
        <f t="shared" si="1"/>
        <v>0</v>
      </c>
      <c r="BU7" s="240" t="str">
        <f t="shared" si="1"/>
        <v>4.1</v>
      </c>
      <c r="BV7" s="240" t="str">
        <f t="shared" ref="BV7:CH7" si="2">BO7</f>
        <v>4.2</v>
      </c>
      <c r="BW7" s="240" t="str">
        <f t="shared" si="2"/>
        <v>4.3</v>
      </c>
      <c r="BX7" s="240" t="str">
        <f t="shared" si="2"/>
        <v>4.4</v>
      </c>
      <c r="BY7" s="240">
        <f t="shared" si="2"/>
        <v>0</v>
      </c>
      <c r="BZ7" s="240">
        <f t="shared" si="2"/>
        <v>0</v>
      </c>
      <c r="CA7" s="240">
        <f t="shared" si="2"/>
        <v>0</v>
      </c>
      <c r="CB7" s="240" t="str">
        <f t="shared" si="2"/>
        <v>4.1</v>
      </c>
      <c r="CC7" s="240" t="str">
        <f t="shared" si="2"/>
        <v>4.2</v>
      </c>
      <c r="CD7" s="240" t="str">
        <f t="shared" si="2"/>
        <v>4.3</v>
      </c>
      <c r="CE7" s="240" t="str">
        <f t="shared" si="2"/>
        <v>4.4</v>
      </c>
      <c r="CF7" s="240">
        <f t="shared" si="2"/>
        <v>0</v>
      </c>
      <c r="CG7" s="240">
        <f t="shared" si="2"/>
        <v>0</v>
      </c>
      <c r="CH7" s="240">
        <f t="shared" si="2"/>
        <v>0</v>
      </c>
      <c r="CI7" s="240" t="str">
        <f t="shared" ref="CI7" si="3">CB7</f>
        <v>4.1</v>
      </c>
      <c r="CJ7" s="240" t="str">
        <f t="shared" ref="CJ7" si="4">CC7</f>
        <v>4.2</v>
      </c>
      <c r="CK7" s="240" t="str">
        <f t="shared" ref="CK7" si="5">CD7</f>
        <v>4.3</v>
      </c>
      <c r="CL7" s="240" t="str">
        <f t="shared" ref="CL7" si="6">CE7</f>
        <v>4.4</v>
      </c>
      <c r="CM7" s="240">
        <f t="shared" ref="CM7" si="7">CF7</f>
        <v>0</v>
      </c>
      <c r="CN7" s="240">
        <f t="shared" ref="CN7" si="8">CG7</f>
        <v>0</v>
      </c>
      <c r="CO7" s="240">
        <f t="shared" ref="CO7" si="9">CH7</f>
        <v>0</v>
      </c>
      <c r="CP7" s="240" t="str">
        <f t="shared" ref="CP7" si="10">CI7</f>
        <v>4.1</v>
      </c>
      <c r="CQ7" s="240" t="str">
        <f t="shared" ref="CQ7" si="11">CJ7</f>
        <v>4.2</v>
      </c>
      <c r="CR7" s="240" t="str">
        <f t="shared" ref="CR7" si="12">CK7</f>
        <v>4.3</v>
      </c>
      <c r="CS7" s="240" t="str">
        <f t="shared" ref="CS7" si="13">CL7</f>
        <v>4.4</v>
      </c>
      <c r="CT7" s="240">
        <f t="shared" ref="CT7" si="14">CM7</f>
        <v>0</v>
      </c>
      <c r="CU7" s="240">
        <f t="shared" ref="CU7" si="15">CN7</f>
        <v>0</v>
      </c>
      <c r="CV7" s="240">
        <f t="shared" ref="CV7" si="16">CO7</f>
        <v>0</v>
      </c>
      <c r="CW7" s="240" t="str">
        <f t="shared" ref="CW7" si="17">CP7</f>
        <v>4.1</v>
      </c>
      <c r="CX7" s="240" t="str">
        <f t="shared" ref="CX7" si="18">CQ7</f>
        <v>4.2</v>
      </c>
      <c r="CY7" s="240" t="str">
        <f t="shared" ref="CY7" si="19">CR7</f>
        <v>4.3</v>
      </c>
      <c r="CZ7" s="240" t="str">
        <f t="shared" ref="CZ7" si="20">CS7</f>
        <v>4.4</v>
      </c>
      <c r="DA7" s="240">
        <f t="shared" ref="DA7" si="21">CT7</f>
        <v>0</v>
      </c>
      <c r="DB7" s="240">
        <f t="shared" ref="DB7" si="22">CU7</f>
        <v>0</v>
      </c>
      <c r="DC7" s="240">
        <f t="shared" ref="DC7" si="23">CV7</f>
        <v>0</v>
      </c>
      <c r="DD7" s="241" t="str">
        <f>CB7</f>
        <v>4.1</v>
      </c>
      <c r="DE7" s="241" t="str">
        <f t="shared" ref="DE7:DJ7" si="24">CC7</f>
        <v>4.2</v>
      </c>
      <c r="DF7" s="241" t="str">
        <f t="shared" si="24"/>
        <v>4.3</v>
      </c>
      <c r="DG7" s="241" t="str">
        <f t="shared" si="24"/>
        <v>4.4</v>
      </c>
      <c r="DH7" s="241">
        <f t="shared" si="24"/>
        <v>0</v>
      </c>
      <c r="DI7" s="241">
        <f t="shared" si="24"/>
        <v>0</v>
      </c>
      <c r="DJ7" s="241">
        <f t="shared" si="24"/>
        <v>0</v>
      </c>
      <c r="DK7" s="969"/>
      <c r="DL7" s="967"/>
      <c r="DM7" s="945"/>
      <c r="DP7" s="39">
        <v>1</v>
      </c>
      <c r="DQ7" s="39">
        <v>2</v>
      </c>
      <c r="DR7" s="39">
        <v>3</v>
      </c>
      <c r="DS7" s="39">
        <v>4</v>
      </c>
      <c r="DT7" s="39">
        <v>5</v>
      </c>
      <c r="DU7" s="39">
        <v>6</v>
      </c>
      <c r="DV7" s="39">
        <v>7</v>
      </c>
      <c r="DW7" s="39"/>
      <c r="DX7" s="39"/>
      <c r="DY7" s="39"/>
      <c r="DZ7" s="938"/>
      <c r="EA7" s="39">
        <v>1</v>
      </c>
      <c r="EB7" s="39">
        <v>2</v>
      </c>
      <c r="EC7" s="39">
        <v>3</v>
      </c>
      <c r="ED7" s="39">
        <v>4</v>
      </c>
      <c r="EE7" s="39">
        <v>5</v>
      </c>
      <c r="EF7" s="39">
        <v>6</v>
      </c>
      <c r="EG7" s="39">
        <v>7</v>
      </c>
      <c r="EH7" s="39"/>
      <c r="EI7" s="39"/>
      <c r="EJ7" s="39"/>
      <c r="EK7" s="938"/>
      <c r="EL7" s="39">
        <v>1</v>
      </c>
      <c r="EM7" s="39">
        <v>2</v>
      </c>
      <c r="EN7" s="39">
        <v>3</v>
      </c>
      <c r="EO7" s="39">
        <v>4</v>
      </c>
      <c r="EP7" s="39">
        <v>5</v>
      </c>
      <c r="EQ7" s="39">
        <v>6</v>
      </c>
      <c r="ER7" s="39">
        <v>7</v>
      </c>
      <c r="ES7" s="39"/>
      <c r="ET7" s="39"/>
      <c r="EU7" s="39"/>
      <c r="EV7" s="971"/>
      <c r="EW7" s="974"/>
      <c r="EX7" s="975"/>
      <c r="EY7" s="975"/>
      <c r="EZ7" s="977"/>
      <c r="FA7" s="977"/>
      <c r="FB7" s="977"/>
      <c r="FC7" s="974"/>
      <c r="FD7" s="975"/>
      <c r="FE7" s="975"/>
      <c r="FF7" s="977"/>
      <c r="FG7" s="977"/>
      <c r="FH7" s="977"/>
      <c r="FI7" s="974"/>
      <c r="FJ7" s="975"/>
      <c r="FK7" s="975"/>
      <c r="FL7" s="977"/>
      <c r="FM7" s="977"/>
      <c r="FN7" s="977"/>
      <c r="FO7" s="974"/>
      <c r="FP7" s="975"/>
      <c r="FQ7" s="975"/>
      <c r="FR7" s="977"/>
      <c r="FS7" s="977"/>
      <c r="FT7" s="977"/>
      <c r="FU7" s="974"/>
      <c r="FV7" s="975"/>
      <c r="FW7" s="975"/>
      <c r="FX7" s="977"/>
      <c r="FY7" s="977"/>
      <c r="FZ7" s="977"/>
      <c r="GA7" s="974"/>
      <c r="GB7" s="975"/>
      <c r="GC7" s="975"/>
      <c r="GD7" s="977"/>
      <c r="GE7" s="977"/>
      <c r="GF7" s="977"/>
      <c r="GG7" s="974"/>
      <c r="GH7" s="975"/>
      <c r="GI7" s="975"/>
      <c r="GJ7" s="977"/>
      <c r="GK7" s="977"/>
      <c r="GL7" s="977"/>
      <c r="GM7" s="578"/>
      <c r="GN7" s="581">
        <v>1</v>
      </c>
      <c r="GO7" s="581">
        <v>2</v>
      </c>
      <c r="GP7" s="581">
        <v>3</v>
      </c>
      <c r="GQ7" s="581">
        <v>4</v>
      </c>
      <c r="GR7" s="581">
        <v>5</v>
      </c>
      <c r="GS7" s="581">
        <v>6</v>
      </c>
      <c r="GT7" s="581">
        <v>7</v>
      </c>
      <c r="GU7" s="578"/>
      <c r="GV7" s="242"/>
      <c r="GW7" s="242"/>
      <c r="GX7" s="755"/>
      <c r="GY7" s="978"/>
      <c r="GZ7" s="980"/>
      <c r="HA7" s="980"/>
      <c r="HB7" s="980"/>
      <c r="HC7" s="980"/>
      <c r="HD7" s="980"/>
      <c r="HE7" s="980"/>
      <c r="HF7" s="980"/>
      <c r="HG7" s="980"/>
      <c r="HH7" s="980"/>
      <c r="HI7" s="980"/>
      <c r="HJ7" s="980"/>
      <c r="HK7" s="982"/>
      <c r="HL7" s="982"/>
      <c r="HM7" s="982"/>
      <c r="HO7" s="984"/>
      <c r="HP7" s="984"/>
      <c r="HQ7" s="984"/>
      <c r="HR7" s="984"/>
      <c r="HS7" s="984"/>
      <c r="HT7" s="984"/>
      <c r="HU7" s="984"/>
      <c r="HV7" s="984"/>
      <c r="HW7" s="984"/>
      <c r="HX7" s="984"/>
      <c r="HZ7" s="978"/>
      <c r="IB7" s="986"/>
    </row>
    <row r="8" spans="1:236" ht="30" customHeight="1">
      <c r="A8" s="223">
        <v>1</v>
      </c>
      <c r="B8" s="290" t="str">
        <f>SISWA!B6</f>
        <v>Afif Rafiudin</v>
      </c>
      <c r="C8" s="123">
        <v>75</v>
      </c>
      <c r="D8" s="123"/>
      <c r="E8" s="123"/>
      <c r="F8" s="123"/>
      <c r="G8" s="123"/>
      <c r="H8" s="123"/>
      <c r="I8" s="123"/>
      <c r="J8" s="255">
        <v>80</v>
      </c>
      <c r="K8" s="255"/>
      <c r="L8" s="255"/>
      <c r="M8" s="255"/>
      <c r="N8" s="255"/>
      <c r="O8" s="255"/>
      <c r="P8" s="255"/>
      <c r="Q8" s="256">
        <v>80</v>
      </c>
      <c r="R8" s="256"/>
      <c r="S8" s="256"/>
      <c r="T8" s="256"/>
      <c r="U8" s="256"/>
      <c r="V8" s="256"/>
      <c r="W8" s="256"/>
      <c r="X8" s="123"/>
      <c r="Y8" s="123">
        <v>85</v>
      </c>
      <c r="Z8" s="123"/>
      <c r="AA8" s="123"/>
      <c r="AB8" s="123"/>
      <c r="AC8" s="123"/>
      <c r="AD8" s="123"/>
      <c r="AE8" s="255"/>
      <c r="AF8" s="255">
        <v>75</v>
      </c>
      <c r="AG8" s="255"/>
      <c r="AH8" s="255"/>
      <c r="AI8" s="255"/>
      <c r="AJ8" s="255"/>
      <c r="AK8" s="255"/>
      <c r="AL8" s="256"/>
      <c r="AM8" s="256">
        <v>90</v>
      </c>
      <c r="AN8" s="256"/>
      <c r="AO8" s="256"/>
      <c r="AP8" s="256"/>
      <c r="AQ8" s="256"/>
      <c r="AR8" s="256"/>
      <c r="AS8" s="123"/>
      <c r="AT8" s="123"/>
      <c r="AU8" s="123">
        <v>90</v>
      </c>
      <c r="AV8" s="123"/>
      <c r="AW8" s="123"/>
      <c r="AX8" s="123"/>
      <c r="AY8" s="123"/>
      <c r="AZ8" s="255"/>
      <c r="BA8" s="255"/>
      <c r="BB8" s="255">
        <v>75</v>
      </c>
      <c r="BC8" s="255"/>
      <c r="BD8" s="255"/>
      <c r="BE8" s="255"/>
      <c r="BF8" s="255"/>
      <c r="BG8" s="256"/>
      <c r="BH8" s="256"/>
      <c r="BI8" s="256">
        <v>85</v>
      </c>
      <c r="BJ8" s="256"/>
      <c r="BK8" s="256"/>
      <c r="BL8" s="256"/>
      <c r="BM8" s="256"/>
      <c r="BN8" s="123"/>
      <c r="BO8" s="123">
        <v>75</v>
      </c>
      <c r="BP8" s="123"/>
      <c r="BQ8" s="123"/>
      <c r="BR8" s="123"/>
      <c r="BS8" s="123"/>
      <c r="BT8" s="123"/>
      <c r="BU8" s="255"/>
      <c r="BV8" s="255">
        <v>85</v>
      </c>
      <c r="BW8" s="255"/>
      <c r="BX8" s="255"/>
      <c r="BY8" s="255"/>
      <c r="BZ8" s="255"/>
      <c r="CA8" s="255"/>
      <c r="CB8" s="256"/>
      <c r="CC8" s="256">
        <v>85</v>
      </c>
      <c r="CD8" s="256"/>
      <c r="CE8" s="256"/>
      <c r="CF8" s="256"/>
      <c r="CG8" s="256"/>
      <c r="CH8" s="256"/>
      <c r="CI8" s="458"/>
      <c r="CJ8" s="458"/>
      <c r="CK8" s="458"/>
      <c r="CL8" s="458">
        <v>75</v>
      </c>
      <c r="CM8" s="458"/>
      <c r="CN8" s="458"/>
      <c r="CO8" s="458"/>
      <c r="CP8" s="457"/>
      <c r="CQ8" s="457"/>
      <c r="CR8" s="457"/>
      <c r="CS8" s="457">
        <v>75</v>
      </c>
      <c r="CT8" s="457"/>
      <c r="CU8" s="457"/>
      <c r="CV8" s="457"/>
      <c r="CW8" s="256"/>
      <c r="CX8" s="256"/>
      <c r="CY8" s="256"/>
      <c r="CZ8" s="256">
        <v>90</v>
      </c>
      <c r="DA8" s="256"/>
      <c r="DB8" s="256"/>
      <c r="DC8" s="256"/>
      <c r="DD8" s="257">
        <f>IFERROR(GN8," ")</f>
        <v>78.333333333333329</v>
      </c>
      <c r="DE8" s="257">
        <f t="shared" ref="DE8:DJ8" si="25">IFERROR(GO8," ")</f>
        <v>86.666666666666671</v>
      </c>
      <c r="DF8" s="257">
        <f t="shared" si="25"/>
        <v>83.333333333333329</v>
      </c>
      <c r="DG8" s="257">
        <f t="shared" si="25"/>
        <v>80</v>
      </c>
      <c r="DH8" s="257" t="str">
        <f t="shared" si="25"/>
        <v/>
      </c>
      <c r="DI8" s="257" t="str">
        <f t="shared" si="25"/>
        <v/>
      </c>
      <c r="DJ8" s="257" t="str">
        <f t="shared" si="25"/>
        <v/>
      </c>
      <c r="DK8" s="569">
        <f>IFERROR(GU8," ")</f>
        <v>82</v>
      </c>
      <c r="DL8" s="291" t="str">
        <f>IF(DK8&gt;100,"  ",IF(DK8&gt;=DP$1,"A",IF(DK8&gt;=DP$2,"B",IF(DK8&gt;=DP$3,"C",IF(DK8&gt;=1,"D","")))))</f>
        <v>C</v>
      </c>
      <c r="DM8" s="243" t="str">
        <f>IFERROR(IB8," ")</f>
        <v>Ananda Afif baik dalam menjelaskan hak, kewajiban, dan tanggung jawab sebagai warga masyarakat dalam kehidupan sehari-hari, cukup dalam menyajikan hasil identifikasi nilai-nilai Pancasila dalam kehidupan sehari-hari.</v>
      </c>
      <c r="DN8" s="39"/>
      <c r="DO8" s="39"/>
      <c r="DP8" s="257">
        <f>IFERROR(MAX(C8,X8,AS8,BN8,CI8)," ")</f>
        <v>75</v>
      </c>
      <c r="DQ8" s="257">
        <f t="shared" ref="DQ8:DV8" si="26">IFERROR(MAX(D8,Y8,AT8,BO8,CJ8)," ")</f>
        <v>85</v>
      </c>
      <c r="DR8" s="257">
        <f t="shared" si="26"/>
        <v>90</v>
      </c>
      <c r="DS8" s="257">
        <f t="shared" si="26"/>
        <v>75</v>
      </c>
      <c r="DT8" s="257">
        <f t="shared" si="26"/>
        <v>0</v>
      </c>
      <c r="DU8" s="257">
        <f t="shared" si="26"/>
        <v>0</v>
      </c>
      <c r="DV8" s="257">
        <f t="shared" si="26"/>
        <v>0</v>
      </c>
      <c r="DW8" s="257"/>
      <c r="DX8" s="257"/>
      <c r="DY8" s="257"/>
      <c r="DZ8" s="289">
        <f>MAX(DP8:DY8)</f>
        <v>90</v>
      </c>
      <c r="EA8" s="257">
        <f>IFERROR(MAX(J8,AE8,AZ8,BU8,CP8)," ")</f>
        <v>80</v>
      </c>
      <c r="EB8" s="257">
        <f t="shared" ref="EB8:EG8" si="27">IFERROR(MAX(K8,AF8,BA8,BV8,CQ8)," ")</f>
        <v>85</v>
      </c>
      <c r="EC8" s="257">
        <f t="shared" si="27"/>
        <v>75</v>
      </c>
      <c r="ED8" s="257">
        <f t="shared" si="27"/>
        <v>75</v>
      </c>
      <c r="EE8" s="257">
        <f t="shared" si="27"/>
        <v>0</v>
      </c>
      <c r="EF8" s="257">
        <f t="shared" si="27"/>
        <v>0</v>
      </c>
      <c r="EG8" s="257">
        <f t="shared" si="27"/>
        <v>0</v>
      </c>
      <c r="EH8" s="223"/>
      <c r="EI8" s="223"/>
      <c r="EJ8" s="223"/>
      <c r="EK8" s="289">
        <f>MAX(EA8:EJ8)</f>
        <v>85</v>
      </c>
      <c r="EL8" s="257">
        <f t="shared" ref="EL8:ER8" si="28">IFERROR(MAX(Q8,AL8,BG8,CB8,CW8)," ")</f>
        <v>80</v>
      </c>
      <c r="EM8" s="257">
        <f t="shared" si="28"/>
        <v>90</v>
      </c>
      <c r="EN8" s="257">
        <f t="shared" si="28"/>
        <v>85</v>
      </c>
      <c r="EO8" s="257">
        <f t="shared" si="28"/>
        <v>90</v>
      </c>
      <c r="EP8" s="257">
        <f t="shared" si="28"/>
        <v>0</v>
      </c>
      <c r="EQ8" s="257">
        <f t="shared" si="28"/>
        <v>0</v>
      </c>
      <c r="ER8" s="257">
        <f t="shared" si="28"/>
        <v>0</v>
      </c>
      <c r="ES8" s="223"/>
      <c r="ET8" s="223"/>
      <c r="EU8" s="223"/>
      <c r="EV8" s="289">
        <f>MAX(EL8:EU8)</f>
        <v>90</v>
      </c>
      <c r="EW8" s="257">
        <f>DP8</f>
        <v>75</v>
      </c>
      <c r="EX8" s="257">
        <f>EA8</f>
        <v>80</v>
      </c>
      <c r="EY8" s="257">
        <f>EL8</f>
        <v>80</v>
      </c>
      <c r="EZ8" s="575">
        <f>COUNTIF(EW8:EY8,)</f>
        <v>0</v>
      </c>
      <c r="FA8" s="506">
        <f>3-EZ8</f>
        <v>3</v>
      </c>
      <c r="FB8" s="39">
        <f>IFERROR(SUM(EW8:EY8)/FA8,"")</f>
        <v>78.333333333333329</v>
      </c>
      <c r="FC8" s="257">
        <f>DQ8</f>
        <v>85</v>
      </c>
      <c r="FD8" s="257">
        <f>EB8</f>
        <v>85</v>
      </c>
      <c r="FE8" s="257">
        <f>EM8</f>
        <v>90</v>
      </c>
      <c r="FF8" s="575">
        <f>COUNTIF(FC8:FE8,)</f>
        <v>0</v>
      </c>
      <c r="FG8" s="506">
        <f>3-FF8</f>
        <v>3</v>
      </c>
      <c r="FH8" s="39">
        <f>IFERROR(SUM(FC8:FE8)/FG8,"")</f>
        <v>86.666666666666671</v>
      </c>
      <c r="FI8" s="257">
        <f>DR8</f>
        <v>90</v>
      </c>
      <c r="FJ8" s="257">
        <f>EC8</f>
        <v>75</v>
      </c>
      <c r="FK8" s="257">
        <f>EN8</f>
        <v>85</v>
      </c>
      <c r="FL8" s="575">
        <f>COUNTIF(FI8:FK8,)</f>
        <v>0</v>
      </c>
      <c r="FM8" s="506">
        <f>3-FL8</f>
        <v>3</v>
      </c>
      <c r="FN8" s="39">
        <f>IFERROR(SUM(FI8:FK8)/FM8,"")</f>
        <v>83.333333333333329</v>
      </c>
      <c r="FO8" s="257">
        <f>DS8</f>
        <v>75</v>
      </c>
      <c r="FP8" s="257">
        <f>ED8</f>
        <v>75</v>
      </c>
      <c r="FQ8" s="257">
        <f>EO8</f>
        <v>90</v>
      </c>
      <c r="FR8" s="575">
        <f>COUNTIF(FO8:FQ8,)</f>
        <v>0</v>
      </c>
      <c r="FS8" s="506">
        <f>3-FR8</f>
        <v>3</v>
      </c>
      <c r="FT8" s="39">
        <f>IFERROR(SUM(FO8:FQ8)/FS8,"")</f>
        <v>80</v>
      </c>
      <c r="FU8" s="257">
        <f>DT8</f>
        <v>0</v>
      </c>
      <c r="FV8" s="257">
        <f>EE8</f>
        <v>0</v>
      </c>
      <c r="FW8" s="257">
        <f>EP8</f>
        <v>0</v>
      </c>
      <c r="FX8" s="575">
        <f>COUNTIF(FU8:FW8,)</f>
        <v>3</v>
      </c>
      <c r="FY8" s="506">
        <f>3-FX8</f>
        <v>0</v>
      </c>
      <c r="FZ8" s="39" t="str">
        <f>IFERROR(SUM(FU8:FW8)/FY8,"")</f>
        <v/>
      </c>
      <c r="GA8" s="257">
        <f>DU8</f>
        <v>0</v>
      </c>
      <c r="GB8" s="257">
        <f>EF8</f>
        <v>0</v>
      </c>
      <c r="GC8" s="257">
        <f>EQ8</f>
        <v>0</v>
      </c>
      <c r="GD8" s="575">
        <f>COUNTIF(GA8:GC8,)</f>
        <v>3</v>
      </c>
      <c r="GE8" s="506">
        <f>3-GD8</f>
        <v>0</v>
      </c>
      <c r="GF8" s="39" t="str">
        <f>IFERROR(SUM(GA8:GC8)/GE8,"")</f>
        <v/>
      </c>
      <c r="GG8" s="257">
        <f>DV8</f>
        <v>0</v>
      </c>
      <c r="GH8" s="257">
        <f>EG8</f>
        <v>0</v>
      </c>
      <c r="GI8" s="257">
        <f>ER8</f>
        <v>0</v>
      </c>
      <c r="GJ8" s="575">
        <f>COUNTIF(GG8:GI8,)</f>
        <v>3</v>
      </c>
      <c r="GK8" s="506">
        <f>3-GJ8</f>
        <v>0</v>
      </c>
      <c r="GL8" s="39" t="str">
        <f>IFERROR(SUM(GG8:GI8)/GK8,"")</f>
        <v/>
      </c>
      <c r="GM8" s="39"/>
      <c r="GN8" s="39">
        <f>FB8</f>
        <v>78.333333333333329</v>
      </c>
      <c r="GO8" s="39">
        <f>FH8</f>
        <v>86.666666666666671</v>
      </c>
      <c r="GP8" s="39">
        <f>FN8</f>
        <v>83.333333333333329</v>
      </c>
      <c r="GQ8" s="39">
        <f>FT8</f>
        <v>80</v>
      </c>
      <c r="GR8" s="39" t="str">
        <f>FZ8</f>
        <v/>
      </c>
      <c r="GS8" s="39" t="str">
        <f>GF8</f>
        <v/>
      </c>
      <c r="GT8" s="257" t="str">
        <f>GL8</f>
        <v/>
      </c>
      <c r="GU8" s="579">
        <f>IFERROR(ROUND(AVERAGE(GN8:GT8),0),"")</f>
        <v>82</v>
      </c>
      <c r="GV8" s="289">
        <f>MAX(GN8:GT8)</f>
        <v>86.666666666666671</v>
      </c>
      <c r="GW8" s="289">
        <f>MIN(GN8:GT8)</f>
        <v>78.333333333333329</v>
      </c>
      <c r="GX8" s="289" t="str">
        <f>SISWA!E6</f>
        <v>Afif</v>
      </c>
      <c r="GY8" s="223" t="str">
        <f>IF(HK8&gt;1,"Ananda "&amp;GX8&amp;" ","")</f>
        <v xml:space="preserve">Ananda Afif </v>
      </c>
      <c r="GZ8" s="580" t="str">
        <f>IF(GN8=$GV8,$GV8,"")</f>
        <v/>
      </c>
      <c r="HA8" s="580">
        <f t="shared" ref="HA8:HF8" si="29">IF(GO8=$GV8,$GV8,"")</f>
        <v>86.666666666666671</v>
      </c>
      <c r="HB8" s="580" t="str">
        <f t="shared" si="29"/>
        <v/>
      </c>
      <c r="HC8" s="580" t="str">
        <f t="shared" si="29"/>
        <v/>
      </c>
      <c r="HD8" s="580" t="str">
        <f t="shared" si="29"/>
        <v/>
      </c>
      <c r="HE8" s="580" t="str">
        <f t="shared" si="29"/>
        <v/>
      </c>
      <c r="HF8" s="580" t="str">
        <f t="shared" si="29"/>
        <v/>
      </c>
      <c r="HG8" s="580"/>
      <c r="HH8" s="580"/>
      <c r="HI8" s="580"/>
      <c r="HJ8" s="580"/>
      <c r="HK8" s="223">
        <f>SUM(GZ8:HH8)</f>
        <v>86.666666666666671</v>
      </c>
      <c r="HL8" s="289" t="str">
        <f>LOOKUP(GV8,(GZ8:HI8),($GZ$6:$HI$6))</f>
        <v>menjelaskan hak, kewajiban, dan tanggung jawab sebagai warga masyarakat dalam kehidupan sehari-hari</v>
      </c>
      <c r="HM8" s="576" t="str">
        <f>IF(GV8&gt;100,"",IF(GV8&gt;DP$1,"sangat baik dalam "&amp;HL8,IF(GV8&gt;=DP$2,"baik dalam "&amp;HL8,IF(GV8&gt;=DP$3,"cukup dalam "&amp;HL8,IF(GV8&lt;DP$3,"dengan bimbingan dapat meningkatkan dalam "&amp;HL8,IF(GV8&lt;1," ",””))))))</f>
        <v>baik dalam menjelaskan hak, kewajiban, dan tanggung jawab sebagai warga masyarakat dalam kehidupan sehari-hari</v>
      </c>
      <c r="HN8" s="223"/>
      <c r="HO8" s="223">
        <f>IF(GN8=$GW8,$GW8,"")</f>
        <v>78.333333333333329</v>
      </c>
      <c r="HP8" s="223" t="str">
        <f t="shared" ref="HP8:HU8" si="30">IF(GO8=$GW8,$GW8,"")</f>
        <v/>
      </c>
      <c r="HQ8" s="223" t="str">
        <f t="shared" si="30"/>
        <v/>
      </c>
      <c r="HR8" s="223" t="str">
        <f t="shared" si="30"/>
        <v/>
      </c>
      <c r="HS8" s="223" t="str">
        <f t="shared" si="30"/>
        <v/>
      </c>
      <c r="HT8" s="223" t="str">
        <f t="shared" si="30"/>
        <v/>
      </c>
      <c r="HU8" s="223" t="str">
        <f t="shared" si="30"/>
        <v/>
      </c>
      <c r="HV8" s="223"/>
      <c r="HW8" s="223"/>
      <c r="HX8" s="223"/>
      <c r="HY8" s="223"/>
      <c r="HZ8" s="223" t="str">
        <f>LOOKUP(GW8,(HO8:HX8),($HO$6:$HX$6))</f>
        <v>menyajikan hasil identifikasi nilai-nilai Pancasila dalam kehidupan sehari-hari</v>
      </c>
      <c r="IA8" s="577" t="str">
        <f>IF(GW8&gt;100,"",IF(GW8&gt;=DP$1,"sangat baik dalam "&amp;HZ8,IF(GW8&gt;=DP$2,"baik dalam "&amp;HZ8,IF(GW8&gt;=DP$3,"cukup dalam "&amp;HZ8,IF(GW8&lt;DP$3,"dengan bimbingan dapat meningkatkan dalam "&amp;HZ8,IF(GW8&lt;1," ",””))))))</f>
        <v>cukup dalam menyajikan hasil identifikasi nilai-nilai Pancasila dalam kehidupan sehari-hari</v>
      </c>
      <c r="IB8" s="223" t="str">
        <f>CONCATENATE(GY8&amp;HM8&amp;", "&amp;IA8&amp;".")</f>
        <v>Ananda Afif baik dalam menjelaskan hak, kewajiban, dan tanggung jawab sebagai warga masyarakat dalam kehidupan sehari-hari, cukup dalam menyajikan hasil identifikasi nilai-nilai Pancasila dalam kehidupan sehari-hari.</v>
      </c>
    </row>
    <row r="9" spans="1:236" ht="45">
      <c r="A9" s="39">
        <v>2</v>
      </c>
      <c r="B9" s="290" t="str">
        <f>SISWA!B7</f>
        <v>Ahmad Faiq Athaya</v>
      </c>
      <c r="C9" s="123">
        <v>80</v>
      </c>
      <c r="D9" s="123"/>
      <c r="E9" s="123"/>
      <c r="F9" s="123"/>
      <c r="G9" s="123"/>
      <c r="H9" s="123"/>
      <c r="I9" s="123"/>
      <c r="J9" s="255">
        <v>90</v>
      </c>
      <c r="K9" s="255"/>
      <c r="L9" s="255"/>
      <c r="M9" s="255"/>
      <c r="N9" s="255"/>
      <c r="O9" s="255"/>
      <c r="P9" s="255"/>
      <c r="Q9" s="256">
        <v>90</v>
      </c>
      <c r="R9" s="256"/>
      <c r="S9" s="256"/>
      <c r="T9" s="256"/>
      <c r="U9" s="256"/>
      <c r="V9" s="256"/>
      <c r="W9" s="256"/>
      <c r="X9" s="123"/>
      <c r="Y9" s="123">
        <v>85</v>
      </c>
      <c r="Z9" s="123"/>
      <c r="AA9" s="123"/>
      <c r="AB9" s="123"/>
      <c r="AC9" s="123"/>
      <c r="AD9" s="123"/>
      <c r="AE9" s="255"/>
      <c r="AF9" s="255">
        <v>90</v>
      </c>
      <c r="AG9" s="255"/>
      <c r="AH9" s="255"/>
      <c r="AI9" s="255"/>
      <c r="AJ9" s="255"/>
      <c r="AK9" s="255"/>
      <c r="AL9" s="256"/>
      <c r="AM9" s="256">
        <v>90</v>
      </c>
      <c r="AN9" s="256"/>
      <c r="AO9" s="256"/>
      <c r="AP9" s="256"/>
      <c r="AQ9" s="256"/>
      <c r="AR9" s="256"/>
      <c r="AS9" s="123"/>
      <c r="AT9" s="123"/>
      <c r="AU9" s="123">
        <v>85</v>
      </c>
      <c r="AV9" s="123"/>
      <c r="AW9" s="123"/>
      <c r="AX9" s="123"/>
      <c r="AY9" s="123"/>
      <c r="AZ9" s="255"/>
      <c r="BA9" s="255"/>
      <c r="BB9" s="255">
        <v>85</v>
      </c>
      <c r="BC9" s="255"/>
      <c r="BD9" s="255"/>
      <c r="BE9" s="255"/>
      <c r="BF9" s="255"/>
      <c r="BG9" s="256"/>
      <c r="BH9" s="256"/>
      <c r="BI9" s="256">
        <v>90</v>
      </c>
      <c r="BJ9" s="256"/>
      <c r="BK9" s="256"/>
      <c r="BL9" s="256"/>
      <c r="BM9" s="256"/>
      <c r="BN9" s="123"/>
      <c r="BO9" s="123">
        <v>90</v>
      </c>
      <c r="BP9" s="123"/>
      <c r="BQ9" s="123"/>
      <c r="BR9" s="123"/>
      <c r="BS9" s="123"/>
      <c r="BT9" s="123"/>
      <c r="BU9" s="255"/>
      <c r="BV9" s="255">
        <v>85</v>
      </c>
      <c r="BW9" s="255"/>
      <c r="BX9" s="255"/>
      <c r="BY9" s="255"/>
      <c r="BZ9" s="255"/>
      <c r="CA9" s="255"/>
      <c r="CB9" s="256"/>
      <c r="CC9" s="256">
        <v>90</v>
      </c>
      <c r="CD9" s="256"/>
      <c r="CE9" s="256"/>
      <c r="CF9" s="256"/>
      <c r="CG9" s="256"/>
      <c r="CH9" s="256"/>
      <c r="CI9" s="458"/>
      <c r="CJ9" s="458"/>
      <c r="CK9" s="458"/>
      <c r="CL9" s="458">
        <v>90</v>
      </c>
      <c r="CM9" s="458"/>
      <c r="CN9" s="458"/>
      <c r="CO9" s="458"/>
      <c r="CP9" s="457"/>
      <c r="CQ9" s="457"/>
      <c r="CR9" s="457"/>
      <c r="CS9" s="457">
        <v>90</v>
      </c>
      <c r="CT9" s="457"/>
      <c r="CU9" s="457"/>
      <c r="CV9" s="457"/>
      <c r="CW9" s="256"/>
      <c r="CX9" s="256"/>
      <c r="CY9" s="256"/>
      <c r="CZ9" s="256">
        <v>90</v>
      </c>
      <c r="DA9" s="256"/>
      <c r="DB9" s="256"/>
      <c r="DC9" s="256"/>
      <c r="DD9" s="257">
        <f t="shared" ref="DD9:DD42" si="31">IFERROR(GN9," ")</f>
        <v>86.666666666666671</v>
      </c>
      <c r="DE9" s="257">
        <f t="shared" ref="DE9:DE42" si="32">IFERROR(GO9," ")</f>
        <v>90</v>
      </c>
      <c r="DF9" s="257">
        <f t="shared" ref="DF9:DF42" si="33">IFERROR(GP9," ")</f>
        <v>86.666666666666671</v>
      </c>
      <c r="DG9" s="257">
        <f t="shared" ref="DG9:DG42" si="34">IFERROR(GQ9," ")</f>
        <v>90</v>
      </c>
      <c r="DH9" s="257" t="str">
        <f t="shared" ref="DH9:DH42" si="35">IFERROR(GR9," ")</f>
        <v/>
      </c>
      <c r="DI9" s="257" t="str">
        <f t="shared" ref="DI9:DI42" si="36">IFERROR(GS9," ")</f>
        <v/>
      </c>
      <c r="DJ9" s="257" t="str">
        <f t="shared" ref="DJ9:DJ42" si="37">IFERROR(GT9," ")</f>
        <v/>
      </c>
      <c r="DK9" s="569">
        <f t="shared" ref="DK9:DK42" si="38">IFERROR(GU9," ")</f>
        <v>88</v>
      </c>
      <c r="DL9" s="291" t="str">
        <f t="shared" ref="DL9:DL42" si="39">IF(DK9&gt;100,"  ",IF(DK9&gt;=DP$1,"A",IF(DK9&gt;=DP$2,"B",IF(DK9&gt;=DP$3,"C",IF(DK9&gt;=1,"D","")))))</f>
        <v>B</v>
      </c>
      <c r="DM9" s="243" t="str">
        <f t="shared" ref="DM9:DM42" si="40">IFERROR(IB9," ")</f>
        <v>Ananda Athaya baik dalam menjelaskan hak, kewajiban, dan tanggung jawab sebagai warga masyarakat dalam kehidupan sehari-hari, baik dalam menyelenggarakan kegiatan yang mendukung keberagaman sosial budaya masyarakat.</v>
      </c>
      <c r="DN9" s="39"/>
      <c r="DO9" s="39"/>
      <c r="DP9" s="257">
        <f t="shared" ref="DP9:DP42" si="41">IFERROR(MAX(C9,X9,AS9,BN9,CI9)," ")</f>
        <v>80</v>
      </c>
      <c r="DQ9" s="257">
        <f t="shared" ref="DQ9:DQ42" si="42">IFERROR(MAX(D9,Y9,AT9,BO9,CJ9)," ")</f>
        <v>90</v>
      </c>
      <c r="DR9" s="257">
        <f t="shared" ref="DR9:DR42" si="43">IFERROR(MAX(E9,Z9,AU9,BP9,CK9)," ")</f>
        <v>85</v>
      </c>
      <c r="DS9" s="257">
        <f t="shared" ref="DS9:DS42" si="44">IFERROR(MAX(F9,AA9,AV9,BQ9,CL9)," ")</f>
        <v>90</v>
      </c>
      <c r="DT9" s="257">
        <f t="shared" ref="DT9:DT42" si="45">IFERROR(MAX(G9,AB9,AW9,BR9,CM9)," ")</f>
        <v>0</v>
      </c>
      <c r="DU9" s="257">
        <f t="shared" ref="DU9:DU42" si="46">IFERROR(MAX(H9,AC9,AX9,BS9,CN9)," ")</f>
        <v>0</v>
      </c>
      <c r="DV9" s="257">
        <f t="shared" ref="DV9:DV42" si="47">IFERROR(MAX(I9,AD9,AY9,BT9,CO9)," ")</f>
        <v>0</v>
      </c>
      <c r="DW9" s="257"/>
      <c r="DX9" s="257"/>
      <c r="DY9" s="257"/>
      <c r="DZ9" s="289">
        <f t="shared" ref="DZ9:DZ42" si="48">MAX(DP9:DY9)</f>
        <v>90</v>
      </c>
      <c r="EA9" s="257">
        <f t="shared" ref="EA9:EA42" si="49">IFERROR(MAX(J9,AE9,AZ9,BU9,CP9)," ")</f>
        <v>90</v>
      </c>
      <c r="EB9" s="257">
        <f t="shared" ref="EB9:EB42" si="50">IFERROR(MAX(K9,AF9,BA9,BV9,CQ9)," ")</f>
        <v>90</v>
      </c>
      <c r="EC9" s="257">
        <f t="shared" ref="EC9:EC42" si="51">IFERROR(MAX(L9,AG9,BB9,BW9,CR9)," ")</f>
        <v>85</v>
      </c>
      <c r="ED9" s="257">
        <f t="shared" ref="ED9:ED42" si="52">IFERROR(MAX(M9,AH9,BC9,BX9,CS9)," ")</f>
        <v>90</v>
      </c>
      <c r="EE9" s="257">
        <f t="shared" ref="EE9:EE42" si="53">IFERROR(MAX(N9,AI9,BD9,BY9,CT9)," ")</f>
        <v>0</v>
      </c>
      <c r="EF9" s="257">
        <f t="shared" ref="EF9:EF42" si="54">IFERROR(MAX(O9,AJ9,BE9,BZ9,CU9)," ")</f>
        <v>0</v>
      </c>
      <c r="EG9" s="257">
        <f t="shared" ref="EG9:EG42" si="55">IFERROR(MAX(P9,AK9,BF9,CA9,CV9)," ")</f>
        <v>0</v>
      </c>
      <c r="EH9" s="223"/>
      <c r="EI9" s="223"/>
      <c r="EJ9" s="223"/>
      <c r="EK9" s="289">
        <f t="shared" ref="EK9:EK42" si="56">MAX(EA9:EJ9)</f>
        <v>90</v>
      </c>
      <c r="EL9" s="257">
        <f t="shared" ref="EL9:EL42" si="57">IFERROR(MAX(Q9,AL9,BG9,CB9,CW9)," ")</f>
        <v>90</v>
      </c>
      <c r="EM9" s="257">
        <f t="shared" ref="EM9:EM42" si="58">IFERROR(MAX(R9,AM9,BH9,CC9,CX9)," ")</f>
        <v>90</v>
      </c>
      <c r="EN9" s="257">
        <f t="shared" ref="EN9:EN42" si="59">IFERROR(MAX(S9,AN9,BI9,CD9,CY9)," ")</f>
        <v>90</v>
      </c>
      <c r="EO9" s="257">
        <f t="shared" ref="EO9:EO42" si="60">IFERROR(MAX(T9,AO9,BJ9,CE9,CZ9)," ")</f>
        <v>90</v>
      </c>
      <c r="EP9" s="257">
        <f t="shared" ref="EP9:EP42" si="61">IFERROR(MAX(U9,AP9,BK9,CF9,DA9)," ")</f>
        <v>0</v>
      </c>
      <c r="EQ9" s="257">
        <f t="shared" ref="EQ9:EQ42" si="62">IFERROR(MAX(V9,AQ9,BL9,CG9,DB9)," ")</f>
        <v>0</v>
      </c>
      <c r="ER9" s="257">
        <f t="shared" ref="ER9:ER42" si="63">IFERROR(MAX(W9,AR9,BM9,CH9,DC9)," ")</f>
        <v>0</v>
      </c>
      <c r="ES9" s="223"/>
      <c r="ET9" s="223"/>
      <c r="EU9" s="223"/>
      <c r="EV9" s="289">
        <f t="shared" ref="EV9:EV42" si="64">MAX(EL9:EU9)</f>
        <v>90</v>
      </c>
      <c r="EW9" s="257">
        <f t="shared" ref="EW9:EW42" si="65">DP9</f>
        <v>80</v>
      </c>
      <c r="EX9" s="257">
        <f t="shared" ref="EX9:EX42" si="66">EA9</f>
        <v>90</v>
      </c>
      <c r="EY9" s="257">
        <f t="shared" ref="EY9:EY42" si="67">EL9</f>
        <v>90</v>
      </c>
      <c r="EZ9" s="575">
        <f t="shared" ref="EZ9:EZ42" si="68">COUNTIF(EW9:EY9,)</f>
        <v>0</v>
      </c>
      <c r="FA9" s="506">
        <f t="shared" ref="FA9:FA42" si="69">3-EZ9</f>
        <v>3</v>
      </c>
      <c r="FB9" s="39">
        <f t="shared" ref="FB9:FB42" si="70">IFERROR(SUM(EW9:EY9)/FA9,"")</f>
        <v>86.666666666666671</v>
      </c>
      <c r="FC9" s="257">
        <f t="shared" ref="FC9:FC42" si="71">DQ9</f>
        <v>90</v>
      </c>
      <c r="FD9" s="257">
        <f t="shared" ref="FD9:FD42" si="72">EB9</f>
        <v>90</v>
      </c>
      <c r="FE9" s="257">
        <f t="shared" ref="FE9:FE42" si="73">EM9</f>
        <v>90</v>
      </c>
      <c r="FF9" s="575">
        <f t="shared" ref="FF9:FF42" si="74">COUNTIF(FC9:FE9,)</f>
        <v>0</v>
      </c>
      <c r="FG9" s="506">
        <f t="shared" ref="FG9:FG42" si="75">3-FF9</f>
        <v>3</v>
      </c>
      <c r="FH9" s="39">
        <f t="shared" ref="FH9:FH42" si="76">IFERROR(SUM(FC9:FE9)/FG9,"")</f>
        <v>90</v>
      </c>
      <c r="FI9" s="257">
        <f t="shared" ref="FI9:FI42" si="77">DR9</f>
        <v>85</v>
      </c>
      <c r="FJ9" s="257">
        <f t="shared" ref="FJ9:FJ42" si="78">EC9</f>
        <v>85</v>
      </c>
      <c r="FK9" s="257">
        <f t="shared" ref="FK9:FK42" si="79">EN9</f>
        <v>90</v>
      </c>
      <c r="FL9" s="575">
        <f t="shared" ref="FL9:FL42" si="80">COUNTIF(FI9:FK9,)</f>
        <v>0</v>
      </c>
      <c r="FM9" s="506">
        <f t="shared" ref="FM9:FM42" si="81">3-FL9</f>
        <v>3</v>
      </c>
      <c r="FN9" s="39">
        <f t="shared" ref="FN9:FN42" si="82">IFERROR(SUM(FI9:FK9)/FM9,"")</f>
        <v>86.666666666666671</v>
      </c>
      <c r="FO9" s="257">
        <f t="shared" ref="FO9:FO42" si="83">DS9</f>
        <v>90</v>
      </c>
      <c r="FP9" s="257">
        <f t="shared" ref="FP9:FP42" si="84">ED9</f>
        <v>90</v>
      </c>
      <c r="FQ9" s="257">
        <f t="shared" ref="FQ9:FQ42" si="85">EO9</f>
        <v>90</v>
      </c>
      <c r="FR9" s="575">
        <f t="shared" ref="FR9:FR42" si="86">COUNTIF(FO9:FQ9,)</f>
        <v>0</v>
      </c>
      <c r="FS9" s="506">
        <f t="shared" ref="FS9:FS42" si="87">3-FR9</f>
        <v>3</v>
      </c>
      <c r="FT9" s="39">
        <f t="shared" ref="FT9:FT42" si="88">IFERROR(SUM(FO9:FQ9)/FS9,"")</f>
        <v>90</v>
      </c>
      <c r="FU9" s="257">
        <f t="shared" ref="FU9:FU42" si="89">DT9</f>
        <v>0</v>
      </c>
      <c r="FV9" s="257">
        <f t="shared" ref="FV9:FV42" si="90">EE9</f>
        <v>0</v>
      </c>
      <c r="FW9" s="257">
        <f t="shared" ref="FW9:FW42" si="91">EP9</f>
        <v>0</v>
      </c>
      <c r="FX9" s="575">
        <f t="shared" ref="FX9:FX42" si="92">COUNTIF(FU9:FW9,)</f>
        <v>3</v>
      </c>
      <c r="FY9" s="506">
        <f t="shared" ref="FY9:FY42" si="93">3-FX9</f>
        <v>0</v>
      </c>
      <c r="FZ9" s="39" t="str">
        <f t="shared" ref="FZ9:FZ42" si="94">IFERROR(SUM(FU9:FW9)/FY9,"")</f>
        <v/>
      </c>
      <c r="GA9" s="257">
        <f t="shared" ref="GA9:GA42" si="95">DU9</f>
        <v>0</v>
      </c>
      <c r="GB9" s="257">
        <f t="shared" ref="GB9:GB42" si="96">EF9</f>
        <v>0</v>
      </c>
      <c r="GC9" s="257">
        <f t="shared" ref="GC9:GC42" si="97">EQ9</f>
        <v>0</v>
      </c>
      <c r="GD9" s="575">
        <f t="shared" ref="GD9:GD42" si="98">COUNTIF(GA9:GC9,)</f>
        <v>3</v>
      </c>
      <c r="GE9" s="506">
        <f t="shared" ref="GE9:GE42" si="99">3-GD9</f>
        <v>0</v>
      </c>
      <c r="GF9" s="39" t="str">
        <f t="shared" ref="GF9:GF42" si="100">IFERROR(SUM(GA9:GC9)/GE9,"")</f>
        <v/>
      </c>
      <c r="GG9" s="257">
        <f t="shared" ref="GG9:GG42" si="101">DV9</f>
        <v>0</v>
      </c>
      <c r="GH9" s="257">
        <f t="shared" ref="GH9:GH42" si="102">EG9</f>
        <v>0</v>
      </c>
      <c r="GI9" s="257">
        <f t="shared" ref="GI9:GI42" si="103">ER9</f>
        <v>0</v>
      </c>
      <c r="GJ9" s="575">
        <f t="shared" ref="GJ9:GJ42" si="104">COUNTIF(GG9:GI9,)</f>
        <v>3</v>
      </c>
      <c r="GK9" s="506">
        <f t="shared" ref="GK9:GK42" si="105">3-GJ9</f>
        <v>0</v>
      </c>
      <c r="GL9" s="39" t="str">
        <f t="shared" ref="GL9:GL42" si="106">IFERROR(SUM(GG9:GI9)/GK9,"")</f>
        <v/>
      </c>
      <c r="GM9" s="39"/>
      <c r="GN9" s="39">
        <f t="shared" ref="GN9:GN42" si="107">FB9</f>
        <v>86.666666666666671</v>
      </c>
      <c r="GO9" s="39">
        <f t="shared" ref="GO9:GO42" si="108">FH9</f>
        <v>90</v>
      </c>
      <c r="GP9" s="39">
        <f t="shared" ref="GP9:GP42" si="109">FN9</f>
        <v>86.666666666666671</v>
      </c>
      <c r="GQ9" s="39">
        <f t="shared" ref="GQ9:GQ42" si="110">FT9</f>
        <v>90</v>
      </c>
      <c r="GR9" s="39" t="str">
        <f t="shared" ref="GR9:GR42" si="111">FZ9</f>
        <v/>
      </c>
      <c r="GS9" s="39" t="str">
        <f t="shared" ref="GS9:GS42" si="112">GF9</f>
        <v/>
      </c>
      <c r="GT9" s="257" t="str">
        <f t="shared" ref="GT9:GT42" si="113">GL9</f>
        <v/>
      </c>
      <c r="GU9" s="579">
        <f t="shared" ref="GU9:GU42" si="114">IFERROR(ROUND(AVERAGE(GN9:GT9),0),"")</f>
        <v>88</v>
      </c>
      <c r="GV9" s="289">
        <f t="shared" ref="GV9:GV42" si="115">MAX(GN9:GT9)</f>
        <v>90</v>
      </c>
      <c r="GW9" s="289">
        <f t="shared" ref="GW9:GW42" si="116">MIN(GN9:GT9)</f>
        <v>86.666666666666671</v>
      </c>
      <c r="GX9" s="289" t="str">
        <f>SISWA!E7</f>
        <v>Athaya</v>
      </c>
      <c r="GY9" s="223" t="str">
        <f t="shared" ref="GY9:GY42" si="117">IF(HK9&gt;1,"Ananda "&amp;GX9&amp;" ","")</f>
        <v xml:space="preserve">Ananda Athaya </v>
      </c>
      <c r="GZ9" s="580" t="str">
        <f t="shared" ref="GZ9:GZ42" si="118">IF(GN9=$GV9,$GV9,"")</f>
        <v/>
      </c>
      <c r="HA9" s="580">
        <f t="shared" ref="HA9:HA42" si="119">IF(GO9=$GV9,$GV9,"")</f>
        <v>90</v>
      </c>
      <c r="HB9" s="580" t="str">
        <f t="shared" ref="HB9:HB42" si="120">IF(GP9=$GV9,$GV9,"")</f>
        <v/>
      </c>
      <c r="HC9" s="580">
        <f t="shared" ref="HC9:HC42" si="121">IF(GQ9=$GV9,$GV9,"")</f>
        <v>90</v>
      </c>
      <c r="HD9" s="580" t="str">
        <f t="shared" ref="HD9:HD42" si="122">IF(GR9=$GV9,$GV9,"")</f>
        <v/>
      </c>
      <c r="HE9" s="580" t="str">
        <f t="shared" ref="HE9:HE42" si="123">IF(GS9=$GV9,$GV9,"")</f>
        <v/>
      </c>
      <c r="HF9" s="580" t="str">
        <f t="shared" ref="HF9:HF42" si="124">IF(GT9=$GV9,$GV9,"")</f>
        <v/>
      </c>
      <c r="HG9" s="580"/>
      <c r="HH9" s="580"/>
      <c r="HI9" s="580"/>
      <c r="HJ9" s="580"/>
      <c r="HK9" s="223">
        <f t="shared" ref="HK9:HK42" si="125">SUM(GZ9:HH9)</f>
        <v>180</v>
      </c>
      <c r="HL9" s="289" t="str">
        <f t="shared" ref="HL9:HL42" si="126">LOOKUP(GV9,(GZ9:HI9),($GZ$6:$HI$6))</f>
        <v>menjelaskan hak, kewajiban, dan tanggung jawab sebagai warga masyarakat dalam kehidupan sehari-hari</v>
      </c>
      <c r="HM9" s="576" t="str">
        <f>IF(GV9&gt;100,"",IF(GV9&gt;DP$1,"sangat baik dalam "&amp;HL9,IF(GV9&gt;=DP$2,"baik dalam "&amp;HL9,IF(GV9&gt;=DP$3,"cukup dalam "&amp;HL9,IF(GV9&lt;DP$3,"dengan bimbingan dapat meningkatkan dalam "&amp;HL9,IF(GV9&lt;1," ",””))))))</f>
        <v>baik dalam menjelaskan hak, kewajiban, dan tanggung jawab sebagai warga masyarakat dalam kehidupan sehari-hari</v>
      </c>
      <c r="HN9" s="223"/>
      <c r="HO9" s="223">
        <f t="shared" ref="HO9:HO42" si="127">IF(GN9=$GW9,$GW9,"")</f>
        <v>86.666666666666671</v>
      </c>
      <c r="HP9" s="223" t="str">
        <f t="shared" ref="HP9:HP42" si="128">IF(GO9=$GW9,$GW9,"")</f>
        <v/>
      </c>
      <c r="HQ9" s="223">
        <f t="shared" ref="HQ9:HQ42" si="129">IF(GP9=$GW9,$GW9,"")</f>
        <v>86.666666666666671</v>
      </c>
      <c r="HR9" s="223" t="str">
        <f t="shared" ref="HR9:HR42" si="130">IF(GQ9=$GW9,$GW9,"")</f>
        <v/>
      </c>
      <c r="HS9" s="223" t="str">
        <f t="shared" ref="HS9:HS42" si="131">IF(GR9=$GW9,$GW9,"")</f>
        <v/>
      </c>
      <c r="HT9" s="223" t="str">
        <f t="shared" ref="HT9:HT42" si="132">IF(GS9=$GW9,$GW9,"")</f>
        <v/>
      </c>
      <c r="HU9" s="223" t="str">
        <f t="shared" ref="HU9:HU42" si="133">IF(GT9=$GW9,$GW9,"")</f>
        <v/>
      </c>
      <c r="HV9" s="223"/>
      <c r="HW9" s="223"/>
      <c r="HX9" s="223"/>
      <c r="HY9" s="223"/>
      <c r="HZ9" s="223" t="str">
        <f t="shared" ref="HZ9:HZ42" si="134">LOOKUP(GW9,(HO9:HX9),($HO$6:$HX$6))</f>
        <v>menyelenggarakan kegiatan yang mendukung keberagaman sosial budaya masyarakat</v>
      </c>
      <c r="IA9" s="577" t="str">
        <f>IF(GW9&gt;100,"",IF(GW9&gt;=DP$1,"sangat baik dalam "&amp;HZ9,IF(GW9&gt;=DP$2,"baik dalam "&amp;HZ9,IF(GW9&gt;=DP$3,"cukup dalam "&amp;HZ9,IF(GW9&lt;DP$3,"dengan bimbingan dapat meningkatkan dalam "&amp;HZ9,IF(GW9&lt;1," ",””))))))</f>
        <v>baik dalam menyelenggarakan kegiatan yang mendukung keberagaman sosial budaya masyarakat</v>
      </c>
      <c r="IB9" s="223" t="str">
        <f t="shared" ref="IB9:IB42" si="135">CONCATENATE(GY9&amp;HM9&amp;", "&amp;IA9&amp;".")</f>
        <v>Ananda Athaya baik dalam menjelaskan hak, kewajiban, dan tanggung jawab sebagai warga masyarakat dalam kehidupan sehari-hari, baik dalam menyelenggarakan kegiatan yang mendukung keberagaman sosial budaya masyarakat.</v>
      </c>
    </row>
    <row r="10" spans="1:236" ht="30">
      <c r="A10" s="39">
        <v>3</v>
      </c>
      <c r="B10" s="290" t="str">
        <f>SISWA!B8</f>
        <v>Amira Zerlinda</v>
      </c>
      <c r="C10" s="123">
        <v>90</v>
      </c>
      <c r="D10" s="123"/>
      <c r="E10" s="123"/>
      <c r="F10" s="123"/>
      <c r="G10" s="123"/>
      <c r="H10" s="123"/>
      <c r="I10" s="123"/>
      <c r="J10" s="255">
        <v>80</v>
      </c>
      <c r="K10" s="255"/>
      <c r="L10" s="255"/>
      <c r="M10" s="255"/>
      <c r="N10" s="255"/>
      <c r="O10" s="255"/>
      <c r="P10" s="255"/>
      <c r="Q10" s="256">
        <v>80</v>
      </c>
      <c r="R10" s="256"/>
      <c r="S10" s="256"/>
      <c r="T10" s="256"/>
      <c r="U10" s="256"/>
      <c r="V10" s="256"/>
      <c r="W10" s="256"/>
      <c r="X10" s="123"/>
      <c r="Y10" s="123">
        <v>75</v>
      </c>
      <c r="Z10" s="123"/>
      <c r="AA10" s="123"/>
      <c r="AB10" s="123"/>
      <c r="AC10" s="123"/>
      <c r="AD10" s="123"/>
      <c r="AE10" s="255"/>
      <c r="AF10" s="255">
        <v>80</v>
      </c>
      <c r="AG10" s="255"/>
      <c r="AH10" s="255"/>
      <c r="AI10" s="255"/>
      <c r="AJ10" s="255"/>
      <c r="AK10" s="255"/>
      <c r="AL10" s="256"/>
      <c r="AM10" s="256">
        <v>90</v>
      </c>
      <c r="AN10" s="256"/>
      <c r="AO10" s="256"/>
      <c r="AP10" s="256"/>
      <c r="AQ10" s="256"/>
      <c r="AR10" s="256"/>
      <c r="AS10" s="123"/>
      <c r="AT10" s="123"/>
      <c r="AU10" s="123">
        <v>90</v>
      </c>
      <c r="AV10" s="123"/>
      <c r="AW10" s="123"/>
      <c r="AX10" s="123"/>
      <c r="AY10" s="123"/>
      <c r="AZ10" s="255"/>
      <c r="BA10" s="255"/>
      <c r="BB10" s="255">
        <v>90</v>
      </c>
      <c r="BC10" s="255"/>
      <c r="BD10" s="255"/>
      <c r="BE10" s="255"/>
      <c r="BF10" s="255"/>
      <c r="BG10" s="256"/>
      <c r="BH10" s="256"/>
      <c r="BI10" s="256">
        <v>90</v>
      </c>
      <c r="BJ10" s="256"/>
      <c r="BK10" s="256"/>
      <c r="BL10" s="256"/>
      <c r="BM10" s="256"/>
      <c r="BN10" s="123"/>
      <c r="BO10" s="123">
        <v>85</v>
      </c>
      <c r="BP10" s="123"/>
      <c r="BQ10" s="123"/>
      <c r="BR10" s="123"/>
      <c r="BS10" s="123"/>
      <c r="BT10" s="123"/>
      <c r="BU10" s="255"/>
      <c r="BV10" s="255">
        <v>90</v>
      </c>
      <c r="BW10" s="255"/>
      <c r="BX10" s="255"/>
      <c r="BY10" s="255"/>
      <c r="BZ10" s="255"/>
      <c r="CA10" s="255"/>
      <c r="CB10" s="256"/>
      <c r="CC10" s="256">
        <v>90</v>
      </c>
      <c r="CD10" s="256"/>
      <c r="CE10" s="256"/>
      <c r="CF10" s="256"/>
      <c r="CG10" s="256"/>
      <c r="CH10" s="256"/>
      <c r="CI10" s="458"/>
      <c r="CJ10" s="458"/>
      <c r="CK10" s="458"/>
      <c r="CL10" s="458">
        <v>90</v>
      </c>
      <c r="CM10" s="458"/>
      <c r="CN10" s="458"/>
      <c r="CO10" s="458"/>
      <c r="CP10" s="457"/>
      <c r="CQ10" s="457"/>
      <c r="CR10" s="457"/>
      <c r="CS10" s="457">
        <v>90</v>
      </c>
      <c r="CT10" s="457"/>
      <c r="CU10" s="457"/>
      <c r="CV10" s="457"/>
      <c r="CW10" s="256"/>
      <c r="CX10" s="256"/>
      <c r="CY10" s="256"/>
      <c r="CZ10" s="256">
        <v>75</v>
      </c>
      <c r="DA10" s="256"/>
      <c r="DB10" s="256"/>
      <c r="DC10" s="256"/>
      <c r="DD10" s="257">
        <f t="shared" si="31"/>
        <v>83.333333333333329</v>
      </c>
      <c r="DE10" s="257">
        <f t="shared" si="32"/>
        <v>88.333333333333329</v>
      </c>
      <c r="DF10" s="257">
        <f t="shared" si="33"/>
        <v>90</v>
      </c>
      <c r="DG10" s="257">
        <f t="shared" si="34"/>
        <v>85</v>
      </c>
      <c r="DH10" s="257" t="str">
        <f t="shared" si="35"/>
        <v/>
      </c>
      <c r="DI10" s="257" t="str">
        <f t="shared" si="36"/>
        <v/>
      </c>
      <c r="DJ10" s="257" t="str">
        <f t="shared" si="37"/>
        <v/>
      </c>
      <c r="DK10" s="569">
        <f t="shared" si="38"/>
        <v>87</v>
      </c>
      <c r="DL10" s="291" t="str">
        <f t="shared" si="39"/>
        <v>B</v>
      </c>
      <c r="DM10" s="243" t="str">
        <f t="shared" si="40"/>
        <v>Ananda Amira baik dalam menyelenggarakan kegiatan yang mendukung keberagaman sosial budaya masyarakat, baik dalam menyajikan hasil identifikasi nilai-nilai Pancasila dalam kehidupan sehari-hari.</v>
      </c>
      <c r="DN10" s="39"/>
      <c r="DO10" s="39"/>
      <c r="DP10" s="257">
        <f t="shared" si="41"/>
        <v>90</v>
      </c>
      <c r="DQ10" s="257">
        <f t="shared" si="42"/>
        <v>85</v>
      </c>
      <c r="DR10" s="257">
        <f t="shared" si="43"/>
        <v>90</v>
      </c>
      <c r="DS10" s="257">
        <f t="shared" si="44"/>
        <v>90</v>
      </c>
      <c r="DT10" s="257">
        <f t="shared" si="45"/>
        <v>0</v>
      </c>
      <c r="DU10" s="257">
        <f t="shared" si="46"/>
        <v>0</v>
      </c>
      <c r="DV10" s="257">
        <f t="shared" si="47"/>
        <v>0</v>
      </c>
      <c r="DW10" s="257"/>
      <c r="DX10" s="257"/>
      <c r="DY10" s="257"/>
      <c r="DZ10" s="289">
        <f t="shared" si="48"/>
        <v>90</v>
      </c>
      <c r="EA10" s="257">
        <f t="shared" si="49"/>
        <v>80</v>
      </c>
      <c r="EB10" s="257">
        <f t="shared" si="50"/>
        <v>90</v>
      </c>
      <c r="EC10" s="257">
        <f t="shared" si="51"/>
        <v>90</v>
      </c>
      <c r="ED10" s="257">
        <f t="shared" si="52"/>
        <v>90</v>
      </c>
      <c r="EE10" s="257">
        <f t="shared" si="53"/>
        <v>0</v>
      </c>
      <c r="EF10" s="257">
        <f t="shared" si="54"/>
        <v>0</v>
      </c>
      <c r="EG10" s="257">
        <f t="shared" si="55"/>
        <v>0</v>
      </c>
      <c r="EH10" s="223"/>
      <c r="EI10" s="223"/>
      <c r="EJ10" s="223"/>
      <c r="EK10" s="289">
        <f t="shared" si="56"/>
        <v>90</v>
      </c>
      <c r="EL10" s="257">
        <f t="shared" si="57"/>
        <v>80</v>
      </c>
      <c r="EM10" s="257">
        <f t="shared" si="58"/>
        <v>90</v>
      </c>
      <c r="EN10" s="257">
        <f t="shared" si="59"/>
        <v>90</v>
      </c>
      <c r="EO10" s="257">
        <f t="shared" si="60"/>
        <v>75</v>
      </c>
      <c r="EP10" s="257">
        <f t="shared" si="61"/>
        <v>0</v>
      </c>
      <c r="EQ10" s="257">
        <f t="shared" si="62"/>
        <v>0</v>
      </c>
      <c r="ER10" s="257">
        <f t="shared" si="63"/>
        <v>0</v>
      </c>
      <c r="ES10" s="223"/>
      <c r="ET10" s="223"/>
      <c r="EU10" s="223"/>
      <c r="EV10" s="289">
        <f t="shared" si="64"/>
        <v>90</v>
      </c>
      <c r="EW10" s="257">
        <f t="shared" si="65"/>
        <v>90</v>
      </c>
      <c r="EX10" s="257">
        <f t="shared" si="66"/>
        <v>80</v>
      </c>
      <c r="EY10" s="257">
        <f t="shared" si="67"/>
        <v>80</v>
      </c>
      <c r="EZ10" s="575">
        <f t="shared" si="68"/>
        <v>0</v>
      </c>
      <c r="FA10" s="506">
        <f t="shared" si="69"/>
        <v>3</v>
      </c>
      <c r="FB10" s="39">
        <f t="shared" si="70"/>
        <v>83.333333333333329</v>
      </c>
      <c r="FC10" s="257">
        <f t="shared" si="71"/>
        <v>85</v>
      </c>
      <c r="FD10" s="257">
        <f t="shared" si="72"/>
        <v>90</v>
      </c>
      <c r="FE10" s="257">
        <f t="shared" si="73"/>
        <v>90</v>
      </c>
      <c r="FF10" s="575">
        <f t="shared" si="74"/>
        <v>0</v>
      </c>
      <c r="FG10" s="506">
        <f t="shared" si="75"/>
        <v>3</v>
      </c>
      <c r="FH10" s="39">
        <f t="shared" si="76"/>
        <v>88.333333333333329</v>
      </c>
      <c r="FI10" s="257">
        <f t="shared" si="77"/>
        <v>90</v>
      </c>
      <c r="FJ10" s="257">
        <f t="shared" si="78"/>
        <v>90</v>
      </c>
      <c r="FK10" s="257">
        <f t="shared" si="79"/>
        <v>90</v>
      </c>
      <c r="FL10" s="575">
        <f t="shared" si="80"/>
        <v>0</v>
      </c>
      <c r="FM10" s="506">
        <f t="shared" si="81"/>
        <v>3</v>
      </c>
      <c r="FN10" s="39">
        <f t="shared" si="82"/>
        <v>90</v>
      </c>
      <c r="FO10" s="257">
        <f t="shared" si="83"/>
        <v>90</v>
      </c>
      <c r="FP10" s="257">
        <f t="shared" si="84"/>
        <v>90</v>
      </c>
      <c r="FQ10" s="257">
        <f t="shared" si="85"/>
        <v>75</v>
      </c>
      <c r="FR10" s="575">
        <f t="shared" si="86"/>
        <v>0</v>
      </c>
      <c r="FS10" s="506">
        <f t="shared" si="87"/>
        <v>3</v>
      </c>
      <c r="FT10" s="39">
        <f t="shared" si="88"/>
        <v>85</v>
      </c>
      <c r="FU10" s="257">
        <f t="shared" si="89"/>
        <v>0</v>
      </c>
      <c r="FV10" s="257">
        <f t="shared" si="90"/>
        <v>0</v>
      </c>
      <c r="FW10" s="257">
        <f t="shared" si="91"/>
        <v>0</v>
      </c>
      <c r="FX10" s="575">
        <f t="shared" si="92"/>
        <v>3</v>
      </c>
      <c r="FY10" s="506">
        <f t="shared" si="93"/>
        <v>0</v>
      </c>
      <c r="FZ10" s="39" t="str">
        <f t="shared" si="94"/>
        <v/>
      </c>
      <c r="GA10" s="257">
        <f t="shared" si="95"/>
        <v>0</v>
      </c>
      <c r="GB10" s="257">
        <f t="shared" si="96"/>
        <v>0</v>
      </c>
      <c r="GC10" s="257">
        <f t="shared" si="97"/>
        <v>0</v>
      </c>
      <c r="GD10" s="575">
        <f t="shared" si="98"/>
        <v>3</v>
      </c>
      <c r="GE10" s="506">
        <f t="shared" si="99"/>
        <v>0</v>
      </c>
      <c r="GF10" s="39" t="str">
        <f t="shared" si="100"/>
        <v/>
      </c>
      <c r="GG10" s="257">
        <f t="shared" si="101"/>
        <v>0</v>
      </c>
      <c r="GH10" s="257">
        <f t="shared" si="102"/>
        <v>0</v>
      </c>
      <c r="GI10" s="257">
        <f t="shared" si="103"/>
        <v>0</v>
      </c>
      <c r="GJ10" s="575">
        <f t="shared" si="104"/>
        <v>3</v>
      </c>
      <c r="GK10" s="506">
        <f t="shared" si="105"/>
        <v>0</v>
      </c>
      <c r="GL10" s="39" t="str">
        <f t="shared" si="106"/>
        <v/>
      </c>
      <c r="GM10" s="39"/>
      <c r="GN10" s="39">
        <f t="shared" si="107"/>
        <v>83.333333333333329</v>
      </c>
      <c r="GO10" s="39">
        <f t="shared" si="108"/>
        <v>88.333333333333329</v>
      </c>
      <c r="GP10" s="39">
        <f t="shared" si="109"/>
        <v>90</v>
      </c>
      <c r="GQ10" s="39">
        <f t="shared" si="110"/>
        <v>85</v>
      </c>
      <c r="GR10" s="39" t="str">
        <f t="shared" si="111"/>
        <v/>
      </c>
      <c r="GS10" s="39" t="str">
        <f t="shared" si="112"/>
        <v/>
      </c>
      <c r="GT10" s="257" t="str">
        <f t="shared" si="113"/>
        <v/>
      </c>
      <c r="GU10" s="579">
        <f t="shared" si="114"/>
        <v>87</v>
      </c>
      <c r="GV10" s="289">
        <f t="shared" si="115"/>
        <v>90</v>
      </c>
      <c r="GW10" s="289">
        <f t="shared" si="116"/>
        <v>83.333333333333329</v>
      </c>
      <c r="GX10" s="289" t="str">
        <f>SISWA!E8</f>
        <v>Amira</v>
      </c>
      <c r="GY10" s="223" t="str">
        <f t="shared" si="117"/>
        <v xml:space="preserve">Ananda Amira </v>
      </c>
      <c r="GZ10" s="580" t="str">
        <f t="shared" si="118"/>
        <v/>
      </c>
      <c r="HA10" s="580" t="str">
        <f t="shared" si="119"/>
        <v/>
      </c>
      <c r="HB10" s="580">
        <f t="shared" si="120"/>
        <v>90</v>
      </c>
      <c r="HC10" s="580" t="str">
        <f t="shared" si="121"/>
        <v/>
      </c>
      <c r="HD10" s="580" t="str">
        <f t="shared" si="122"/>
        <v/>
      </c>
      <c r="HE10" s="580" t="str">
        <f t="shared" si="123"/>
        <v/>
      </c>
      <c r="HF10" s="580" t="str">
        <f t="shared" si="124"/>
        <v/>
      </c>
      <c r="HG10" s="580"/>
      <c r="HH10" s="580"/>
      <c r="HI10" s="580"/>
      <c r="HJ10" s="580"/>
      <c r="HK10" s="223">
        <f t="shared" si="125"/>
        <v>90</v>
      </c>
      <c r="HL10" s="289" t="str">
        <f t="shared" si="126"/>
        <v>menyelenggarakan kegiatan yang mendukung keberagaman sosial budaya masyarakat</v>
      </c>
      <c r="HM10" s="576" t="str">
        <f>IF(GV10&gt;100,"",IF(GV10&gt;DP$1,"sangat baik dalam "&amp;HL10,IF(GV10&gt;=DP$2,"baik dalam "&amp;HL10,IF(GV10&gt;=DP$3,"cukup dalam "&amp;HL10,IF(GV10&lt;DP$3,"dengan bimbingan dapat meningkatkan dalam "&amp;HL10,IF(GV10&lt;1," ",””))))))</f>
        <v>baik dalam menyelenggarakan kegiatan yang mendukung keberagaman sosial budaya masyarakat</v>
      </c>
      <c r="HN10" s="223"/>
      <c r="HO10" s="223">
        <f t="shared" si="127"/>
        <v>83.333333333333329</v>
      </c>
      <c r="HP10" s="223" t="str">
        <f t="shared" si="128"/>
        <v/>
      </c>
      <c r="HQ10" s="223" t="str">
        <f t="shared" si="129"/>
        <v/>
      </c>
      <c r="HR10" s="223" t="str">
        <f t="shared" si="130"/>
        <v/>
      </c>
      <c r="HS10" s="223" t="str">
        <f t="shared" si="131"/>
        <v/>
      </c>
      <c r="HT10" s="223" t="str">
        <f t="shared" si="132"/>
        <v/>
      </c>
      <c r="HU10" s="223" t="str">
        <f t="shared" si="133"/>
        <v/>
      </c>
      <c r="HV10" s="223"/>
      <c r="HW10" s="223"/>
      <c r="HX10" s="223"/>
      <c r="HY10" s="223"/>
      <c r="HZ10" s="223" t="str">
        <f t="shared" si="134"/>
        <v>menyajikan hasil identifikasi nilai-nilai Pancasila dalam kehidupan sehari-hari</v>
      </c>
      <c r="IA10" s="577" t="str">
        <f>IF(GW10&gt;100,"",IF(GW10&gt;=DP$1,"sangat baik dalam "&amp;HZ10,IF(GW10&gt;=DP$2,"baik dalam "&amp;HZ10,IF(GW10&gt;=DP$3,"cukup dalam "&amp;HZ10,IF(GW10&lt;DP$3,"dengan bimbingan dapat meningkatkan dalam "&amp;HZ10,IF(GW10&lt;1," ",””))))))</f>
        <v>baik dalam menyajikan hasil identifikasi nilai-nilai Pancasila dalam kehidupan sehari-hari</v>
      </c>
      <c r="IB10" s="223" t="str">
        <f t="shared" si="135"/>
        <v>Ananda Amira baik dalam menyelenggarakan kegiatan yang mendukung keberagaman sosial budaya masyarakat, baik dalam menyajikan hasil identifikasi nilai-nilai Pancasila dalam kehidupan sehari-hari.</v>
      </c>
    </row>
    <row r="11" spans="1:236" ht="45">
      <c r="A11" s="39">
        <v>4</v>
      </c>
      <c r="B11" s="290" t="str">
        <f>SISWA!B9</f>
        <v>Andrian Putra Pangestu</v>
      </c>
      <c r="C11" s="123">
        <v>75</v>
      </c>
      <c r="D11" s="123"/>
      <c r="E11" s="123"/>
      <c r="F11" s="123"/>
      <c r="G11" s="123"/>
      <c r="H11" s="123"/>
      <c r="I11" s="123"/>
      <c r="J11" s="255">
        <v>80</v>
      </c>
      <c r="K11" s="255"/>
      <c r="L11" s="255"/>
      <c r="M11" s="255"/>
      <c r="N11" s="255"/>
      <c r="O11" s="255"/>
      <c r="P11" s="255"/>
      <c r="Q11" s="256">
        <v>75</v>
      </c>
      <c r="R11" s="256"/>
      <c r="S11" s="256"/>
      <c r="T11" s="256"/>
      <c r="U11" s="256"/>
      <c r="V11" s="256"/>
      <c r="W11" s="256"/>
      <c r="X11" s="123"/>
      <c r="Y11" s="123">
        <v>75</v>
      </c>
      <c r="Z11" s="123"/>
      <c r="AA11" s="123"/>
      <c r="AB11" s="123"/>
      <c r="AC11" s="123"/>
      <c r="AD11" s="123"/>
      <c r="AE11" s="255"/>
      <c r="AF11" s="255">
        <v>75</v>
      </c>
      <c r="AG11" s="255"/>
      <c r="AH11" s="255"/>
      <c r="AI11" s="255"/>
      <c r="AJ11" s="255"/>
      <c r="AK11" s="255"/>
      <c r="AL11" s="256"/>
      <c r="AM11" s="256">
        <v>75</v>
      </c>
      <c r="AN11" s="256"/>
      <c r="AO11" s="256"/>
      <c r="AP11" s="256"/>
      <c r="AQ11" s="256"/>
      <c r="AR11" s="256"/>
      <c r="AS11" s="123"/>
      <c r="AT11" s="123"/>
      <c r="AU11" s="123">
        <v>75</v>
      </c>
      <c r="AV11" s="123"/>
      <c r="AW11" s="123"/>
      <c r="AX11" s="123"/>
      <c r="AY11" s="123"/>
      <c r="AZ11" s="255"/>
      <c r="BA11" s="255"/>
      <c r="BB11" s="255">
        <v>75</v>
      </c>
      <c r="BC11" s="255"/>
      <c r="BD11" s="255"/>
      <c r="BE11" s="255"/>
      <c r="BF11" s="255"/>
      <c r="BG11" s="256"/>
      <c r="BH11" s="256"/>
      <c r="BI11" s="256">
        <v>75</v>
      </c>
      <c r="BJ11" s="256"/>
      <c r="BK11" s="256"/>
      <c r="BL11" s="256"/>
      <c r="BM11" s="256"/>
      <c r="BN11" s="123"/>
      <c r="BO11" s="123">
        <v>75</v>
      </c>
      <c r="BP11" s="123"/>
      <c r="BQ11" s="123"/>
      <c r="BR11" s="123"/>
      <c r="BS11" s="123"/>
      <c r="BT11" s="123"/>
      <c r="BU11" s="255"/>
      <c r="BV11" s="255">
        <v>75</v>
      </c>
      <c r="BW11" s="255"/>
      <c r="BX11" s="255"/>
      <c r="BY11" s="255"/>
      <c r="BZ11" s="255"/>
      <c r="CA11" s="255"/>
      <c r="CB11" s="256"/>
      <c r="CC11" s="256">
        <v>75</v>
      </c>
      <c r="CD11" s="256"/>
      <c r="CE11" s="256"/>
      <c r="CF11" s="256"/>
      <c r="CG11" s="256"/>
      <c r="CH11" s="256"/>
      <c r="CI11" s="458"/>
      <c r="CJ11" s="458"/>
      <c r="CK11" s="458"/>
      <c r="CL11" s="458">
        <v>75</v>
      </c>
      <c r="CM11" s="458"/>
      <c r="CN11" s="458"/>
      <c r="CO11" s="458"/>
      <c r="CP11" s="457"/>
      <c r="CQ11" s="457"/>
      <c r="CR11" s="457"/>
      <c r="CS11" s="457">
        <v>85</v>
      </c>
      <c r="CT11" s="457"/>
      <c r="CU11" s="457"/>
      <c r="CV11" s="457"/>
      <c r="CW11" s="256"/>
      <c r="CX11" s="256"/>
      <c r="CY11" s="256"/>
      <c r="CZ11" s="256">
        <v>75</v>
      </c>
      <c r="DA11" s="256"/>
      <c r="DB11" s="256"/>
      <c r="DC11" s="256"/>
      <c r="DD11" s="257">
        <f t="shared" si="31"/>
        <v>76.666666666666671</v>
      </c>
      <c r="DE11" s="257">
        <f t="shared" si="32"/>
        <v>75</v>
      </c>
      <c r="DF11" s="257">
        <f t="shared" si="33"/>
        <v>75</v>
      </c>
      <c r="DG11" s="257">
        <f t="shared" si="34"/>
        <v>78.333333333333329</v>
      </c>
      <c r="DH11" s="257" t="str">
        <f t="shared" si="35"/>
        <v/>
      </c>
      <c r="DI11" s="257" t="str">
        <f t="shared" si="36"/>
        <v/>
      </c>
      <c r="DJ11" s="257" t="str">
        <f t="shared" si="37"/>
        <v/>
      </c>
      <c r="DK11" s="569">
        <f t="shared" si="38"/>
        <v>76</v>
      </c>
      <c r="DL11" s="291" t="str">
        <f t="shared" si="39"/>
        <v>C</v>
      </c>
      <c r="DM11" s="243" t="str">
        <f t="shared" si="40"/>
        <v>Ananda Andri cukup dalam menyajikan hasil penggalian tentang manfaat persatuan dan kesatuan untuk membangun kerukunan., cukup dalam menyelenggarakan kegiatan yang mendukung keberagaman sosial budaya masyarakat.</v>
      </c>
      <c r="DN11" s="39"/>
      <c r="DO11" s="39"/>
      <c r="DP11" s="257">
        <f t="shared" si="41"/>
        <v>75</v>
      </c>
      <c r="DQ11" s="257">
        <f t="shared" si="42"/>
        <v>75</v>
      </c>
      <c r="DR11" s="257">
        <f t="shared" si="43"/>
        <v>75</v>
      </c>
      <c r="DS11" s="257">
        <f t="shared" si="44"/>
        <v>75</v>
      </c>
      <c r="DT11" s="257">
        <f t="shared" si="45"/>
        <v>0</v>
      </c>
      <c r="DU11" s="257">
        <f t="shared" si="46"/>
        <v>0</v>
      </c>
      <c r="DV11" s="257">
        <f t="shared" si="47"/>
        <v>0</v>
      </c>
      <c r="DW11" s="257"/>
      <c r="DX11" s="257"/>
      <c r="DY11" s="257"/>
      <c r="DZ11" s="289">
        <f t="shared" si="48"/>
        <v>75</v>
      </c>
      <c r="EA11" s="257">
        <f t="shared" si="49"/>
        <v>80</v>
      </c>
      <c r="EB11" s="257">
        <f t="shared" si="50"/>
        <v>75</v>
      </c>
      <c r="EC11" s="257">
        <f t="shared" si="51"/>
        <v>75</v>
      </c>
      <c r="ED11" s="257">
        <f t="shared" si="52"/>
        <v>85</v>
      </c>
      <c r="EE11" s="257">
        <f t="shared" si="53"/>
        <v>0</v>
      </c>
      <c r="EF11" s="257">
        <f t="shared" si="54"/>
        <v>0</v>
      </c>
      <c r="EG11" s="257">
        <f t="shared" si="55"/>
        <v>0</v>
      </c>
      <c r="EH11" s="223"/>
      <c r="EI11" s="223"/>
      <c r="EJ11" s="223"/>
      <c r="EK11" s="289">
        <f t="shared" si="56"/>
        <v>85</v>
      </c>
      <c r="EL11" s="257">
        <f t="shared" si="57"/>
        <v>75</v>
      </c>
      <c r="EM11" s="257">
        <f t="shared" si="58"/>
        <v>75</v>
      </c>
      <c r="EN11" s="257">
        <f t="shared" si="59"/>
        <v>75</v>
      </c>
      <c r="EO11" s="257">
        <f t="shared" si="60"/>
        <v>75</v>
      </c>
      <c r="EP11" s="257">
        <f t="shared" si="61"/>
        <v>0</v>
      </c>
      <c r="EQ11" s="257">
        <f t="shared" si="62"/>
        <v>0</v>
      </c>
      <c r="ER11" s="257">
        <f t="shared" si="63"/>
        <v>0</v>
      </c>
      <c r="ES11" s="223"/>
      <c r="ET11" s="223"/>
      <c r="EU11" s="223"/>
      <c r="EV11" s="289">
        <f t="shared" si="64"/>
        <v>75</v>
      </c>
      <c r="EW11" s="257">
        <f t="shared" si="65"/>
        <v>75</v>
      </c>
      <c r="EX11" s="257">
        <f t="shared" si="66"/>
        <v>80</v>
      </c>
      <c r="EY11" s="257">
        <f t="shared" si="67"/>
        <v>75</v>
      </c>
      <c r="EZ11" s="575">
        <f t="shared" si="68"/>
        <v>0</v>
      </c>
      <c r="FA11" s="506">
        <f t="shared" si="69"/>
        <v>3</v>
      </c>
      <c r="FB11" s="39">
        <f t="shared" si="70"/>
        <v>76.666666666666671</v>
      </c>
      <c r="FC11" s="257">
        <f t="shared" si="71"/>
        <v>75</v>
      </c>
      <c r="FD11" s="257">
        <f t="shared" si="72"/>
        <v>75</v>
      </c>
      <c r="FE11" s="257">
        <f t="shared" si="73"/>
        <v>75</v>
      </c>
      <c r="FF11" s="575">
        <f t="shared" si="74"/>
        <v>0</v>
      </c>
      <c r="FG11" s="506">
        <f t="shared" si="75"/>
        <v>3</v>
      </c>
      <c r="FH11" s="39">
        <f t="shared" si="76"/>
        <v>75</v>
      </c>
      <c r="FI11" s="257">
        <f t="shared" si="77"/>
        <v>75</v>
      </c>
      <c r="FJ11" s="257">
        <f t="shared" si="78"/>
        <v>75</v>
      </c>
      <c r="FK11" s="257">
        <f t="shared" si="79"/>
        <v>75</v>
      </c>
      <c r="FL11" s="575">
        <f t="shared" si="80"/>
        <v>0</v>
      </c>
      <c r="FM11" s="506">
        <f t="shared" si="81"/>
        <v>3</v>
      </c>
      <c r="FN11" s="39">
        <f t="shared" si="82"/>
        <v>75</v>
      </c>
      <c r="FO11" s="257">
        <f t="shared" si="83"/>
        <v>75</v>
      </c>
      <c r="FP11" s="257">
        <f t="shared" si="84"/>
        <v>85</v>
      </c>
      <c r="FQ11" s="257">
        <f t="shared" si="85"/>
        <v>75</v>
      </c>
      <c r="FR11" s="575">
        <f t="shared" si="86"/>
        <v>0</v>
      </c>
      <c r="FS11" s="506">
        <f t="shared" si="87"/>
        <v>3</v>
      </c>
      <c r="FT11" s="39">
        <f t="shared" si="88"/>
        <v>78.333333333333329</v>
      </c>
      <c r="FU11" s="257">
        <f t="shared" si="89"/>
        <v>0</v>
      </c>
      <c r="FV11" s="257">
        <f t="shared" si="90"/>
        <v>0</v>
      </c>
      <c r="FW11" s="257">
        <f t="shared" si="91"/>
        <v>0</v>
      </c>
      <c r="FX11" s="575">
        <f t="shared" si="92"/>
        <v>3</v>
      </c>
      <c r="FY11" s="506">
        <f t="shared" si="93"/>
        <v>0</v>
      </c>
      <c r="FZ11" s="39" t="str">
        <f t="shared" si="94"/>
        <v/>
      </c>
      <c r="GA11" s="257">
        <f t="shared" si="95"/>
        <v>0</v>
      </c>
      <c r="GB11" s="257">
        <f t="shared" si="96"/>
        <v>0</v>
      </c>
      <c r="GC11" s="257">
        <f t="shared" si="97"/>
        <v>0</v>
      </c>
      <c r="GD11" s="575">
        <f t="shared" si="98"/>
        <v>3</v>
      </c>
      <c r="GE11" s="506">
        <f t="shared" si="99"/>
        <v>0</v>
      </c>
      <c r="GF11" s="39" t="str">
        <f t="shared" si="100"/>
        <v/>
      </c>
      <c r="GG11" s="257">
        <f t="shared" si="101"/>
        <v>0</v>
      </c>
      <c r="GH11" s="257">
        <f t="shared" si="102"/>
        <v>0</v>
      </c>
      <c r="GI11" s="257">
        <f t="shared" si="103"/>
        <v>0</v>
      </c>
      <c r="GJ11" s="575">
        <f t="shared" si="104"/>
        <v>3</v>
      </c>
      <c r="GK11" s="506">
        <f t="shared" si="105"/>
        <v>0</v>
      </c>
      <c r="GL11" s="39" t="str">
        <f t="shared" si="106"/>
        <v/>
      </c>
      <c r="GM11" s="39"/>
      <c r="GN11" s="39">
        <f t="shared" si="107"/>
        <v>76.666666666666671</v>
      </c>
      <c r="GO11" s="39">
        <f t="shared" si="108"/>
        <v>75</v>
      </c>
      <c r="GP11" s="39">
        <f t="shared" si="109"/>
        <v>75</v>
      </c>
      <c r="GQ11" s="39">
        <f t="shared" si="110"/>
        <v>78.333333333333329</v>
      </c>
      <c r="GR11" s="39" t="str">
        <f t="shared" si="111"/>
        <v/>
      </c>
      <c r="GS11" s="39" t="str">
        <f t="shared" si="112"/>
        <v/>
      </c>
      <c r="GT11" s="257" t="str">
        <f t="shared" si="113"/>
        <v/>
      </c>
      <c r="GU11" s="579">
        <f t="shared" si="114"/>
        <v>76</v>
      </c>
      <c r="GV11" s="289">
        <f t="shared" si="115"/>
        <v>78.333333333333329</v>
      </c>
      <c r="GW11" s="289">
        <f t="shared" si="116"/>
        <v>75</v>
      </c>
      <c r="GX11" s="289" t="str">
        <f>SISWA!E9</f>
        <v>Andri</v>
      </c>
      <c r="GY11" s="223" t="str">
        <f t="shared" si="117"/>
        <v xml:space="preserve">Ananda Andri </v>
      </c>
      <c r="GZ11" s="580" t="str">
        <f t="shared" si="118"/>
        <v/>
      </c>
      <c r="HA11" s="580" t="str">
        <f t="shared" si="119"/>
        <v/>
      </c>
      <c r="HB11" s="580" t="str">
        <f t="shared" si="120"/>
        <v/>
      </c>
      <c r="HC11" s="580">
        <f t="shared" si="121"/>
        <v>78.333333333333329</v>
      </c>
      <c r="HD11" s="580" t="str">
        <f t="shared" si="122"/>
        <v/>
      </c>
      <c r="HE11" s="580" t="str">
        <f t="shared" si="123"/>
        <v/>
      </c>
      <c r="HF11" s="580" t="str">
        <f t="shared" si="124"/>
        <v/>
      </c>
      <c r="HG11" s="580"/>
      <c r="HH11" s="580"/>
      <c r="HI11" s="580"/>
      <c r="HJ11" s="580"/>
      <c r="HK11" s="223">
        <f t="shared" si="125"/>
        <v>78.333333333333329</v>
      </c>
      <c r="HL11" s="289" t="str">
        <f t="shared" si="126"/>
        <v>menyajikan hasil penggalian tentang manfaat persatuan dan kesatuan untuk membangun kerukunan.</v>
      </c>
      <c r="HM11" s="576" t="str">
        <f>IF(GV11&gt;100,"",IF(GV11&gt;DP$1,"sangat baik dalam "&amp;HL11,IF(GV11&gt;=DP$2,"baik dalam "&amp;HL11,IF(GV11&gt;=DP$3,"cukup dalam "&amp;HL11,IF(GV11&lt;DP$3,"dengan bimbingan dapat meningkatkan dalam "&amp;HL11,IF(GV11&lt;1," ",””))))))</f>
        <v>cukup dalam menyajikan hasil penggalian tentang manfaat persatuan dan kesatuan untuk membangun kerukunan.</v>
      </c>
      <c r="HN11" s="223"/>
      <c r="HO11" s="223" t="str">
        <f t="shared" si="127"/>
        <v/>
      </c>
      <c r="HP11" s="223">
        <f t="shared" si="128"/>
        <v>75</v>
      </c>
      <c r="HQ11" s="223">
        <f t="shared" si="129"/>
        <v>75</v>
      </c>
      <c r="HR11" s="223" t="str">
        <f t="shared" si="130"/>
        <v/>
      </c>
      <c r="HS11" s="223" t="str">
        <f t="shared" si="131"/>
        <v/>
      </c>
      <c r="HT11" s="223" t="str">
        <f t="shared" si="132"/>
        <v/>
      </c>
      <c r="HU11" s="223" t="str">
        <f t="shared" si="133"/>
        <v/>
      </c>
      <c r="HV11" s="223"/>
      <c r="HW11" s="223"/>
      <c r="HX11" s="223"/>
      <c r="HY11" s="223"/>
      <c r="HZ11" s="223" t="str">
        <f t="shared" si="134"/>
        <v>menyelenggarakan kegiatan yang mendukung keberagaman sosial budaya masyarakat</v>
      </c>
      <c r="IA11" s="577" t="str">
        <f>IF(GW11&gt;100,"",IF(GW11&gt;=DP$1,"sangat baik dalam "&amp;HZ11,IF(GW11&gt;=DP$2,"baik dalam "&amp;HZ11,IF(GW11&gt;=DP$3,"cukup dalam "&amp;HZ11,IF(GW11&lt;DP$3,"dengan bimbingan dapat meningkatkan dalam "&amp;HZ11,IF(GW11&lt;1," ",””))))))</f>
        <v>cukup dalam menyelenggarakan kegiatan yang mendukung keberagaman sosial budaya masyarakat</v>
      </c>
      <c r="IB11" s="223" t="str">
        <f t="shared" si="135"/>
        <v>Ananda Andri cukup dalam menyajikan hasil penggalian tentang manfaat persatuan dan kesatuan untuk membangun kerukunan., cukup dalam menyelenggarakan kegiatan yang mendukung keberagaman sosial budaya masyarakat.</v>
      </c>
    </row>
    <row r="12" spans="1:236" ht="45">
      <c r="A12" s="39">
        <v>5</v>
      </c>
      <c r="B12" s="290" t="str">
        <f>SISWA!B10</f>
        <v>Gresiya Suma Safitri</v>
      </c>
      <c r="C12" s="123">
        <v>80</v>
      </c>
      <c r="D12" s="123"/>
      <c r="E12" s="123"/>
      <c r="F12" s="123"/>
      <c r="G12" s="123"/>
      <c r="H12" s="123"/>
      <c r="I12" s="123"/>
      <c r="J12" s="255">
        <v>90</v>
      </c>
      <c r="K12" s="255"/>
      <c r="L12" s="255"/>
      <c r="M12" s="255"/>
      <c r="N12" s="255"/>
      <c r="O12" s="255"/>
      <c r="P12" s="255"/>
      <c r="Q12" s="256">
        <v>90</v>
      </c>
      <c r="R12" s="256"/>
      <c r="S12" s="256"/>
      <c r="T12" s="256"/>
      <c r="U12" s="256"/>
      <c r="V12" s="256"/>
      <c r="W12" s="256"/>
      <c r="X12" s="123"/>
      <c r="Y12" s="123">
        <v>85</v>
      </c>
      <c r="Z12" s="123"/>
      <c r="AA12" s="123"/>
      <c r="AB12" s="123"/>
      <c r="AC12" s="123"/>
      <c r="AD12" s="123"/>
      <c r="AE12" s="255"/>
      <c r="AF12" s="255">
        <v>75</v>
      </c>
      <c r="AG12" s="255"/>
      <c r="AH12" s="255"/>
      <c r="AI12" s="255"/>
      <c r="AJ12" s="255"/>
      <c r="AK12" s="255"/>
      <c r="AL12" s="256"/>
      <c r="AM12" s="256">
        <v>90</v>
      </c>
      <c r="AN12" s="256"/>
      <c r="AO12" s="256"/>
      <c r="AP12" s="256"/>
      <c r="AQ12" s="256"/>
      <c r="AR12" s="256"/>
      <c r="AS12" s="123"/>
      <c r="AT12" s="123"/>
      <c r="AU12" s="123">
        <v>75</v>
      </c>
      <c r="AV12" s="123"/>
      <c r="AW12" s="123"/>
      <c r="AX12" s="123"/>
      <c r="AY12" s="123"/>
      <c r="AZ12" s="255"/>
      <c r="BA12" s="255"/>
      <c r="BB12" s="255">
        <v>80</v>
      </c>
      <c r="BC12" s="255"/>
      <c r="BD12" s="255"/>
      <c r="BE12" s="255"/>
      <c r="BF12" s="255"/>
      <c r="BG12" s="256"/>
      <c r="BH12" s="256"/>
      <c r="BI12" s="256">
        <v>85</v>
      </c>
      <c r="BJ12" s="256"/>
      <c r="BK12" s="256"/>
      <c r="BL12" s="256"/>
      <c r="BM12" s="256"/>
      <c r="BN12" s="123"/>
      <c r="BO12" s="123">
        <v>85</v>
      </c>
      <c r="BP12" s="123"/>
      <c r="BQ12" s="123"/>
      <c r="BR12" s="123"/>
      <c r="BS12" s="123"/>
      <c r="BT12" s="123"/>
      <c r="BU12" s="255"/>
      <c r="BV12" s="255">
        <v>80</v>
      </c>
      <c r="BW12" s="255"/>
      <c r="BX12" s="255"/>
      <c r="BY12" s="255"/>
      <c r="BZ12" s="255"/>
      <c r="CA12" s="255"/>
      <c r="CB12" s="256"/>
      <c r="CC12" s="256">
        <v>90</v>
      </c>
      <c r="CD12" s="256"/>
      <c r="CE12" s="256"/>
      <c r="CF12" s="256"/>
      <c r="CG12" s="256"/>
      <c r="CH12" s="256"/>
      <c r="CI12" s="458"/>
      <c r="CJ12" s="458"/>
      <c r="CK12" s="458"/>
      <c r="CL12" s="458">
        <v>90</v>
      </c>
      <c r="CM12" s="458"/>
      <c r="CN12" s="458"/>
      <c r="CO12" s="458"/>
      <c r="CP12" s="457"/>
      <c r="CQ12" s="457"/>
      <c r="CR12" s="457"/>
      <c r="CS12" s="457">
        <v>90</v>
      </c>
      <c r="CT12" s="457"/>
      <c r="CU12" s="457"/>
      <c r="CV12" s="457"/>
      <c r="CW12" s="256"/>
      <c r="CX12" s="256"/>
      <c r="CY12" s="256"/>
      <c r="CZ12" s="256">
        <v>90</v>
      </c>
      <c r="DA12" s="256"/>
      <c r="DB12" s="256"/>
      <c r="DC12" s="256"/>
      <c r="DD12" s="257">
        <f t="shared" si="31"/>
        <v>86.666666666666671</v>
      </c>
      <c r="DE12" s="257">
        <f t="shared" si="32"/>
        <v>85</v>
      </c>
      <c r="DF12" s="257">
        <f t="shared" si="33"/>
        <v>80</v>
      </c>
      <c r="DG12" s="257">
        <f t="shared" si="34"/>
        <v>90</v>
      </c>
      <c r="DH12" s="257" t="str">
        <f t="shared" si="35"/>
        <v/>
      </c>
      <c r="DI12" s="257" t="str">
        <f t="shared" si="36"/>
        <v/>
      </c>
      <c r="DJ12" s="257" t="str">
        <f t="shared" si="37"/>
        <v/>
      </c>
      <c r="DK12" s="569">
        <f t="shared" si="38"/>
        <v>85</v>
      </c>
      <c r="DL12" s="291" t="str">
        <f t="shared" si="39"/>
        <v>B</v>
      </c>
      <c r="DM12" s="243" t="str">
        <f t="shared" si="40"/>
        <v>Ananda Gresia baik dalam menyajikan hasil penggalian tentang manfaat persatuan dan kesatuan untuk membangun kerukunan., cukup dalam menyelenggarakan kegiatan yang mendukung keberagaman sosial budaya masyarakat.</v>
      </c>
      <c r="DN12" s="39"/>
      <c r="DO12" s="39"/>
      <c r="DP12" s="257">
        <f t="shared" si="41"/>
        <v>80</v>
      </c>
      <c r="DQ12" s="257">
        <f t="shared" si="42"/>
        <v>85</v>
      </c>
      <c r="DR12" s="257">
        <f t="shared" si="43"/>
        <v>75</v>
      </c>
      <c r="DS12" s="257">
        <f t="shared" si="44"/>
        <v>90</v>
      </c>
      <c r="DT12" s="257">
        <f t="shared" si="45"/>
        <v>0</v>
      </c>
      <c r="DU12" s="257">
        <f t="shared" si="46"/>
        <v>0</v>
      </c>
      <c r="DV12" s="257">
        <f t="shared" si="47"/>
        <v>0</v>
      </c>
      <c r="DW12" s="257"/>
      <c r="DX12" s="257"/>
      <c r="DY12" s="257"/>
      <c r="DZ12" s="289">
        <f t="shared" si="48"/>
        <v>90</v>
      </c>
      <c r="EA12" s="257">
        <f t="shared" si="49"/>
        <v>90</v>
      </c>
      <c r="EB12" s="257">
        <f t="shared" si="50"/>
        <v>80</v>
      </c>
      <c r="EC12" s="257">
        <f t="shared" si="51"/>
        <v>80</v>
      </c>
      <c r="ED12" s="257">
        <f t="shared" si="52"/>
        <v>90</v>
      </c>
      <c r="EE12" s="257">
        <f t="shared" si="53"/>
        <v>0</v>
      </c>
      <c r="EF12" s="257">
        <f t="shared" si="54"/>
        <v>0</v>
      </c>
      <c r="EG12" s="257">
        <f t="shared" si="55"/>
        <v>0</v>
      </c>
      <c r="EH12" s="223"/>
      <c r="EI12" s="223"/>
      <c r="EJ12" s="223"/>
      <c r="EK12" s="289">
        <f t="shared" si="56"/>
        <v>90</v>
      </c>
      <c r="EL12" s="257">
        <f t="shared" si="57"/>
        <v>90</v>
      </c>
      <c r="EM12" s="257">
        <f t="shared" si="58"/>
        <v>90</v>
      </c>
      <c r="EN12" s="257">
        <f t="shared" si="59"/>
        <v>85</v>
      </c>
      <c r="EO12" s="257">
        <f t="shared" si="60"/>
        <v>90</v>
      </c>
      <c r="EP12" s="257">
        <f t="shared" si="61"/>
        <v>0</v>
      </c>
      <c r="EQ12" s="257">
        <f t="shared" si="62"/>
        <v>0</v>
      </c>
      <c r="ER12" s="257">
        <f t="shared" si="63"/>
        <v>0</v>
      </c>
      <c r="ES12" s="223"/>
      <c r="ET12" s="223"/>
      <c r="EU12" s="223"/>
      <c r="EV12" s="289">
        <f t="shared" si="64"/>
        <v>90</v>
      </c>
      <c r="EW12" s="257">
        <f t="shared" si="65"/>
        <v>80</v>
      </c>
      <c r="EX12" s="257">
        <f t="shared" si="66"/>
        <v>90</v>
      </c>
      <c r="EY12" s="257">
        <f t="shared" si="67"/>
        <v>90</v>
      </c>
      <c r="EZ12" s="575">
        <f t="shared" si="68"/>
        <v>0</v>
      </c>
      <c r="FA12" s="506">
        <f t="shared" si="69"/>
        <v>3</v>
      </c>
      <c r="FB12" s="39">
        <f t="shared" si="70"/>
        <v>86.666666666666671</v>
      </c>
      <c r="FC12" s="257">
        <f t="shared" si="71"/>
        <v>85</v>
      </c>
      <c r="FD12" s="257">
        <f t="shared" si="72"/>
        <v>80</v>
      </c>
      <c r="FE12" s="257">
        <f t="shared" si="73"/>
        <v>90</v>
      </c>
      <c r="FF12" s="575">
        <f t="shared" si="74"/>
        <v>0</v>
      </c>
      <c r="FG12" s="506">
        <f t="shared" si="75"/>
        <v>3</v>
      </c>
      <c r="FH12" s="39">
        <f t="shared" si="76"/>
        <v>85</v>
      </c>
      <c r="FI12" s="257">
        <f t="shared" si="77"/>
        <v>75</v>
      </c>
      <c r="FJ12" s="257">
        <f t="shared" si="78"/>
        <v>80</v>
      </c>
      <c r="FK12" s="257">
        <f t="shared" si="79"/>
        <v>85</v>
      </c>
      <c r="FL12" s="575">
        <f t="shared" si="80"/>
        <v>0</v>
      </c>
      <c r="FM12" s="506">
        <f t="shared" si="81"/>
        <v>3</v>
      </c>
      <c r="FN12" s="39">
        <f t="shared" si="82"/>
        <v>80</v>
      </c>
      <c r="FO12" s="257">
        <f t="shared" si="83"/>
        <v>90</v>
      </c>
      <c r="FP12" s="257">
        <f t="shared" si="84"/>
        <v>90</v>
      </c>
      <c r="FQ12" s="257">
        <f t="shared" si="85"/>
        <v>90</v>
      </c>
      <c r="FR12" s="575">
        <f t="shared" si="86"/>
        <v>0</v>
      </c>
      <c r="FS12" s="506">
        <f t="shared" si="87"/>
        <v>3</v>
      </c>
      <c r="FT12" s="39">
        <f t="shared" si="88"/>
        <v>90</v>
      </c>
      <c r="FU12" s="257">
        <f t="shared" si="89"/>
        <v>0</v>
      </c>
      <c r="FV12" s="257">
        <f t="shared" si="90"/>
        <v>0</v>
      </c>
      <c r="FW12" s="257">
        <f t="shared" si="91"/>
        <v>0</v>
      </c>
      <c r="FX12" s="575">
        <f t="shared" si="92"/>
        <v>3</v>
      </c>
      <c r="FY12" s="506">
        <f t="shared" si="93"/>
        <v>0</v>
      </c>
      <c r="FZ12" s="39" t="str">
        <f t="shared" si="94"/>
        <v/>
      </c>
      <c r="GA12" s="257">
        <f t="shared" si="95"/>
        <v>0</v>
      </c>
      <c r="GB12" s="257">
        <f t="shared" si="96"/>
        <v>0</v>
      </c>
      <c r="GC12" s="257">
        <f t="shared" si="97"/>
        <v>0</v>
      </c>
      <c r="GD12" s="575">
        <f t="shared" si="98"/>
        <v>3</v>
      </c>
      <c r="GE12" s="506">
        <f t="shared" si="99"/>
        <v>0</v>
      </c>
      <c r="GF12" s="39" t="str">
        <f t="shared" si="100"/>
        <v/>
      </c>
      <c r="GG12" s="257">
        <f t="shared" si="101"/>
        <v>0</v>
      </c>
      <c r="GH12" s="257">
        <f t="shared" si="102"/>
        <v>0</v>
      </c>
      <c r="GI12" s="257">
        <f t="shared" si="103"/>
        <v>0</v>
      </c>
      <c r="GJ12" s="575">
        <f t="shared" si="104"/>
        <v>3</v>
      </c>
      <c r="GK12" s="506">
        <f t="shared" si="105"/>
        <v>0</v>
      </c>
      <c r="GL12" s="39" t="str">
        <f t="shared" si="106"/>
        <v/>
      </c>
      <c r="GM12" s="39"/>
      <c r="GN12" s="39">
        <f t="shared" si="107"/>
        <v>86.666666666666671</v>
      </c>
      <c r="GO12" s="39">
        <f t="shared" si="108"/>
        <v>85</v>
      </c>
      <c r="GP12" s="39">
        <f t="shared" si="109"/>
        <v>80</v>
      </c>
      <c r="GQ12" s="39">
        <f t="shared" si="110"/>
        <v>90</v>
      </c>
      <c r="GR12" s="39" t="str">
        <f t="shared" si="111"/>
        <v/>
      </c>
      <c r="GS12" s="39" t="str">
        <f t="shared" si="112"/>
        <v/>
      </c>
      <c r="GT12" s="257" t="str">
        <f t="shared" si="113"/>
        <v/>
      </c>
      <c r="GU12" s="579">
        <f t="shared" si="114"/>
        <v>85</v>
      </c>
      <c r="GV12" s="289">
        <f t="shared" si="115"/>
        <v>90</v>
      </c>
      <c r="GW12" s="289">
        <f t="shared" si="116"/>
        <v>80</v>
      </c>
      <c r="GX12" s="289" t="str">
        <f>SISWA!E10</f>
        <v>Gresia</v>
      </c>
      <c r="GY12" s="223" t="str">
        <f t="shared" si="117"/>
        <v xml:space="preserve">Ananda Gresia </v>
      </c>
      <c r="GZ12" s="580" t="str">
        <f t="shared" si="118"/>
        <v/>
      </c>
      <c r="HA12" s="580" t="str">
        <f t="shared" si="119"/>
        <v/>
      </c>
      <c r="HB12" s="580" t="str">
        <f t="shared" si="120"/>
        <v/>
      </c>
      <c r="HC12" s="580">
        <f t="shared" si="121"/>
        <v>90</v>
      </c>
      <c r="HD12" s="580" t="str">
        <f t="shared" si="122"/>
        <v/>
      </c>
      <c r="HE12" s="580" t="str">
        <f t="shared" si="123"/>
        <v/>
      </c>
      <c r="HF12" s="580" t="str">
        <f t="shared" si="124"/>
        <v/>
      </c>
      <c r="HG12" s="580"/>
      <c r="HH12" s="580"/>
      <c r="HI12" s="580"/>
      <c r="HJ12" s="580"/>
      <c r="HK12" s="223">
        <f t="shared" si="125"/>
        <v>90</v>
      </c>
      <c r="HL12" s="289" t="str">
        <f t="shared" si="126"/>
        <v>menyajikan hasil penggalian tentang manfaat persatuan dan kesatuan untuk membangun kerukunan.</v>
      </c>
      <c r="HM12" s="576" t="str">
        <f>IF(GV12&gt;100,"",IF(GV12&gt;DP$1,"sangat baik dalam "&amp;HL12,IF(GV12&gt;=DP$2,"baik dalam "&amp;HL12,IF(GV12&gt;=DP$3,"cukup dalam "&amp;HL12,IF(GV12&lt;DP$3,"dengan bimbingan dapat meningkatkan dalam "&amp;HL12,IF(GV12&lt;1," ",””))))))</f>
        <v>baik dalam menyajikan hasil penggalian tentang manfaat persatuan dan kesatuan untuk membangun kerukunan.</v>
      </c>
      <c r="HN12" s="223"/>
      <c r="HO12" s="223" t="str">
        <f t="shared" si="127"/>
        <v/>
      </c>
      <c r="HP12" s="223" t="str">
        <f t="shared" si="128"/>
        <v/>
      </c>
      <c r="HQ12" s="223">
        <f t="shared" si="129"/>
        <v>80</v>
      </c>
      <c r="HR12" s="223" t="str">
        <f t="shared" si="130"/>
        <v/>
      </c>
      <c r="HS12" s="223" t="str">
        <f t="shared" si="131"/>
        <v/>
      </c>
      <c r="HT12" s="223" t="str">
        <f t="shared" si="132"/>
        <v/>
      </c>
      <c r="HU12" s="223" t="str">
        <f t="shared" si="133"/>
        <v/>
      </c>
      <c r="HV12" s="223"/>
      <c r="HW12" s="223"/>
      <c r="HX12" s="223"/>
      <c r="HY12" s="223"/>
      <c r="HZ12" s="223" t="str">
        <f t="shared" si="134"/>
        <v>menyelenggarakan kegiatan yang mendukung keberagaman sosial budaya masyarakat</v>
      </c>
      <c r="IA12" s="577" t="str">
        <f>IF(GW12&gt;100,"",IF(GW12&gt;=DP$1,"sangat baik dalam "&amp;HZ12,IF(GW12&gt;=DP$2,"baik dalam "&amp;HZ12,IF(GW12&gt;=DP$3,"cukup dalam "&amp;HZ12,IF(GW12&lt;DP$3,"dengan bimbingan dapat meningkatkan dalam "&amp;HZ12,IF(GW12&lt;1," ",””))))))</f>
        <v>cukup dalam menyelenggarakan kegiatan yang mendukung keberagaman sosial budaya masyarakat</v>
      </c>
      <c r="IB12" s="223" t="str">
        <f t="shared" si="135"/>
        <v>Ananda Gresia baik dalam menyajikan hasil penggalian tentang manfaat persatuan dan kesatuan untuk membangun kerukunan., cukup dalam menyelenggarakan kegiatan yang mendukung keberagaman sosial budaya masyarakat.</v>
      </c>
    </row>
    <row r="13" spans="1:236" ht="45">
      <c r="A13" s="39">
        <v>6</v>
      </c>
      <c r="B13" s="290" t="str">
        <f>SISWA!B11</f>
        <v>Hasna Fathitya Sabrina</v>
      </c>
      <c r="C13" s="123">
        <v>80</v>
      </c>
      <c r="D13" s="123"/>
      <c r="E13" s="123"/>
      <c r="F13" s="123"/>
      <c r="G13" s="123"/>
      <c r="H13" s="123"/>
      <c r="I13" s="123"/>
      <c r="J13" s="255">
        <v>90</v>
      </c>
      <c r="K13" s="255"/>
      <c r="L13" s="255"/>
      <c r="M13" s="255"/>
      <c r="N13" s="255"/>
      <c r="O13" s="255"/>
      <c r="P13" s="255"/>
      <c r="Q13" s="256">
        <v>75</v>
      </c>
      <c r="R13" s="256"/>
      <c r="S13" s="256"/>
      <c r="T13" s="256"/>
      <c r="U13" s="256"/>
      <c r="V13" s="256"/>
      <c r="W13" s="256"/>
      <c r="X13" s="123"/>
      <c r="Y13" s="123">
        <v>85</v>
      </c>
      <c r="Z13" s="123"/>
      <c r="AA13" s="123"/>
      <c r="AB13" s="123"/>
      <c r="AC13" s="123"/>
      <c r="AD13" s="123"/>
      <c r="AE13" s="255"/>
      <c r="AF13" s="255">
        <v>85</v>
      </c>
      <c r="AG13" s="255"/>
      <c r="AH13" s="255"/>
      <c r="AI13" s="255"/>
      <c r="AJ13" s="255"/>
      <c r="AK13" s="255"/>
      <c r="AL13" s="256"/>
      <c r="AM13" s="256">
        <v>75</v>
      </c>
      <c r="AN13" s="256"/>
      <c r="AO13" s="256"/>
      <c r="AP13" s="256"/>
      <c r="AQ13" s="256"/>
      <c r="AR13" s="256"/>
      <c r="AS13" s="123"/>
      <c r="AT13" s="123"/>
      <c r="AU13" s="123">
        <v>90</v>
      </c>
      <c r="AV13" s="123"/>
      <c r="AW13" s="123"/>
      <c r="AX13" s="123"/>
      <c r="AY13" s="123"/>
      <c r="AZ13" s="255"/>
      <c r="BA13" s="255"/>
      <c r="BB13" s="255">
        <v>80</v>
      </c>
      <c r="BC13" s="255"/>
      <c r="BD13" s="255"/>
      <c r="BE13" s="255"/>
      <c r="BF13" s="255"/>
      <c r="BG13" s="256"/>
      <c r="BH13" s="256"/>
      <c r="BI13" s="256">
        <v>90</v>
      </c>
      <c r="BJ13" s="256"/>
      <c r="BK13" s="256"/>
      <c r="BL13" s="256"/>
      <c r="BM13" s="256"/>
      <c r="BN13" s="123"/>
      <c r="BO13" s="123">
        <v>75</v>
      </c>
      <c r="BP13" s="123"/>
      <c r="BQ13" s="123"/>
      <c r="BR13" s="123"/>
      <c r="BS13" s="123"/>
      <c r="BT13" s="123"/>
      <c r="BU13" s="255"/>
      <c r="BV13" s="255">
        <v>75</v>
      </c>
      <c r="BW13" s="255"/>
      <c r="BX13" s="255"/>
      <c r="BY13" s="255"/>
      <c r="BZ13" s="255"/>
      <c r="CA13" s="255"/>
      <c r="CB13" s="256"/>
      <c r="CC13" s="256">
        <v>90</v>
      </c>
      <c r="CD13" s="256"/>
      <c r="CE13" s="256"/>
      <c r="CF13" s="256"/>
      <c r="CG13" s="256"/>
      <c r="CH13" s="256"/>
      <c r="CI13" s="458"/>
      <c r="CJ13" s="458"/>
      <c r="CK13" s="458"/>
      <c r="CL13" s="458">
        <v>80</v>
      </c>
      <c r="CM13" s="458"/>
      <c r="CN13" s="458"/>
      <c r="CO13" s="458"/>
      <c r="CP13" s="457"/>
      <c r="CQ13" s="457"/>
      <c r="CR13" s="457"/>
      <c r="CS13" s="457">
        <v>75</v>
      </c>
      <c r="CT13" s="457"/>
      <c r="CU13" s="457"/>
      <c r="CV13" s="457"/>
      <c r="CW13" s="256"/>
      <c r="CX13" s="256"/>
      <c r="CY13" s="256"/>
      <c r="CZ13" s="256">
        <v>75</v>
      </c>
      <c r="DA13" s="256"/>
      <c r="DB13" s="256"/>
      <c r="DC13" s="256"/>
      <c r="DD13" s="257">
        <f t="shared" si="31"/>
        <v>81.666666666666671</v>
      </c>
      <c r="DE13" s="257">
        <f t="shared" si="32"/>
        <v>86.666666666666671</v>
      </c>
      <c r="DF13" s="257">
        <f t="shared" si="33"/>
        <v>86.666666666666671</v>
      </c>
      <c r="DG13" s="257">
        <f t="shared" si="34"/>
        <v>76.666666666666671</v>
      </c>
      <c r="DH13" s="257" t="str">
        <f t="shared" si="35"/>
        <v/>
      </c>
      <c r="DI13" s="257" t="str">
        <f t="shared" si="36"/>
        <v/>
      </c>
      <c r="DJ13" s="257" t="str">
        <f t="shared" si="37"/>
        <v/>
      </c>
      <c r="DK13" s="569">
        <f t="shared" si="38"/>
        <v>83</v>
      </c>
      <c r="DL13" s="291" t="str">
        <f t="shared" si="39"/>
        <v>B</v>
      </c>
      <c r="DM13" s="243" t="str">
        <f t="shared" si="40"/>
        <v>Ananda Hasna baik dalam menyelenggarakan kegiatan yang mendukung keberagaman sosial budaya masyarakat, cukup dalam menyajikan hasil penggalian tentang manfaat persatuan dan kesatuan untuk membangun kerukunan..</v>
      </c>
      <c r="DN13" s="39"/>
      <c r="DO13" s="39"/>
      <c r="DP13" s="257">
        <f t="shared" si="41"/>
        <v>80</v>
      </c>
      <c r="DQ13" s="257">
        <f t="shared" si="42"/>
        <v>85</v>
      </c>
      <c r="DR13" s="257">
        <f t="shared" si="43"/>
        <v>90</v>
      </c>
      <c r="DS13" s="257">
        <f t="shared" si="44"/>
        <v>80</v>
      </c>
      <c r="DT13" s="257">
        <f t="shared" si="45"/>
        <v>0</v>
      </c>
      <c r="DU13" s="257">
        <f t="shared" si="46"/>
        <v>0</v>
      </c>
      <c r="DV13" s="257">
        <f t="shared" si="47"/>
        <v>0</v>
      </c>
      <c r="DW13" s="257"/>
      <c r="DX13" s="257"/>
      <c r="DY13" s="257"/>
      <c r="DZ13" s="289">
        <f t="shared" si="48"/>
        <v>90</v>
      </c>
      <c r="EA13" s="257">
        <f t="shared" si="49"/>
        <v>90</v>
      </c>
      <c r="EB13" s="257">
        <f t="shared" si="50"/>
        <v>85</v>
      </c>
      <c r="EC13" s="257">
        <f t="shared" si="51"/>
        <v>80</v>
      </c>
      <c r="ED13" s="257">
        <f t="shared" si="52"/>
        <v>75</v>
      </c>
      <c r="EE13" s="257">
        <f t="shared" si="53"/>
        <v>0</v>
      </c>
      <c r="EF13" s="257">
        <f t="shared" si="54"/>
        <v>0</v>
      </c>
      <c r="EG13" s="257">
        <f t="shared" si="55"/>
        <v>0</v>
      </c>
      <c r="EH13" s="223"/>
      <c r="EI13" s="223"/>
      <c r="EJ13" s="223"/>
      <c r="EK13" s="289">
        <f t="shared" si="56"/>
        <v>90</v>
      </c>
      <c r="EL13" s="257">
        <f t="shared" si="57"/>
        <v>75</v>
      </c>
      <c r="EM13" s="257">
        <f t="shared" si="58"/>
        <v>90</v>
      </c>
      <c r="EN13" s="257">
        <f t="shared" si="59"/>
        <v>90</v>
      </c>
      <c r="EO13" s="257">
        <f t="shared" si="60"/>
        <v>75</v>
      </c>
      <c r="EP13" s="257">
        <f t="shared" si="61"/>
        <v>0</v>
      </c>
      <c r="EQ13" s="257">
        <f t="shared" si="62"/>
        <v>0</v>
      </c>
      <c r="ER13" s="257">
        <f t="shared" si="63"/>
        <v>0</v>
      </c>
      <c r="ES13" s="223"/>
      <c r="ET13" s="223"/>
      <c r="EU13" s="223"/>
      <c r="EV13" s="289">
        <f t="shared" si="64"/>
        <v>90</v>
      </c>
      <c r="EW13" s="257">
        <f t="shared" si="65"/>
        <v>80</v>
      </c>
      <c r="EX13" s="257">
        <f t="shared" si="66"/>
        <v>90</v>
      </c>
      <c r="EY13" s="257">
        <f t="shared" si="67"/>
        <v>75</v>
      </c>
      <c r="EZ13" s="575">
        <f t="shared" si="68"/>
        <v>0</v>
      </c>
      <c r="FA13" s="506">
        <f t="shared" si="69"/>
        <v>3</v>
      </c>
      <c r="FB13" s="39">
        <f t="shared" si="70"/>
        <v>81.666666666666671</v>
      </c>
      <c r="FC13" s="257">
        <f t="shared" si="71"/>
        <v>85</v>
      </c>
      <c r="FD13" s="257">
        <f t="shared" si="72"/>
        <v>85</v>
      </c>
      <c r="FE13" s="257">
        <f t="shared" si="73"/>
        <v>90</v>
      </c>
      <c r="FF13" s="575">
        <f t="shared" si="74"/>
        <v>0</v>
      </c>
      <c r="FG13" s="506">
        <f t="shared" si="75"/>
        <v>3</v>
      </c>
      <c r="FH13" s="39">
        <f t="shared" si="76"/>
        <v>86.666666666666671</v>
      </c>
      <c r="FI13" s="257">
        <f t="shared" si="77"/>
        <v>90</v>
      </c>
      <c r="FJ13" s="257">
        <f t="shared" si="78"/>
        <v>80</v>
      </c>
      <c r="FK13" s="257">
        <f t="shared" si="79"/>
        <v>90</v>
      </c>
      <c r="FL13" s="575">
        <f t="shared" si="80"/>
        <v>0</v>
      </c>
      <c r="FM13" s="506">
        <f t="shared" si="81"/>
        <v>3</v>
      </c>
      <c r="FN13" s="39">
        <f t="shared" si="82"/>
        <v>86.666666666666671</v>
      </c>
      <c r="FO13" s="257">
        <f t="shared" si="83"/>
        <v>80</v>
      </c>
      <c r="FP13" s="257">
        <f t="shared" si="84"/>
        <v>75</v>
      </c>
      <c r="FQ13" s="257">
        <f t="shared" si="85"/>
        <v>75</v>
      </c>
      <c r="FR13" s="575">
        <f t="shared" si="86"/>
        <v>0</v>
      </c>
      <c r="FS13" s="506">
        <f t="shared" si="87"/>
        <v>3</v>
      </c>
      <c r="FT13" s="39">
        <f t="shared" si="88"/>
        <v>76.666666666666671</v>
      </c>
      <c r="FU13" s="257">
        <f t="shared" si="89"/>
        <v>0</v>
      </c>
      <c r="FV13" s="257">
        <f t="shared" si="90"/>
        <v>0</v>
      </c>
      <c r="FW13" s="257">
        <f t="shared" si="91"/>
        <v>0</v>
      </c>
      <c r="FX13" s="575">
        <f t="shared" si="92"/>
        <v>3</v>
      </c>
      <c r="FY13" s="506">
        <f t="shared" si="93"/>
        <v>0</v>
      </c>
      <c r="FZ13" s="39" t="str">
        <f t="shared" si="94"/>
        <v/>
      </c>
      <c r="GA13" s="257">
        <f t="shared" si="95"/>
        <v>0</v>
      </c>
      <c r="GB13" s="257">
        <f t="shared" si="96"/>
        <v>0</v>
      </c>
      <c r="GC13" s="257">
        <f t="shared" si="97"/>
        <v>0</v>
      </c>
      <c r="GD13" s="575">
        <f t="shared" si="98"/>
        <v>3</v>
      </c>
      <c r="GE13" s="506">
        <f t="shared" si="99"/>
        <v>0</v>
      </c>
      <c r="GF13" s="39" t="str">
        <f t="shared" si="100"/>
        <v/>
      </c>
      <c r="GG13" s="257">
        <f t="shared" si="101"/>
        <v>0</v>
      </c>
      <c r="GH13" s="257">
        <f t="shared" si="102"/>
        <v>0</v>
      </c>
      <c r="GI13" s="257">
        <f t="shared" si="103"/>
        <v>0</v>
      </c>
      <c r="GJ13" s="575">
        <f t="shared" si="104"/>
        <v>3</v>
      </c>
      <c r="GK13" s="506">
        <f t="shared" si="105"/>
        <v>0</v>
      </c>
      <c r="GL13" s="39" t="str">
        <f t="shared" si="106"/>
        <v/>
      </c>
      <c r="GM13" s="39"/>
      <c r="GN13" s="39">
        <f t="shared" si="107"/>
        <v>81.666666666666671</v>
      </c>
      <c r="GO13" s="39">
        <f t="shared" si="108"/>
        <v>86.666666666666671</v>
      </c>
      <c r="GP13" s="39">
        <f t="shared" si="109"/>
        <v>86.666666666666671</v>
      </c>
      <c r="GQ13" s="39">
        <f t="shared" si="110"/>
        <v>76.666666666666671</v>
      </c>
      <c r="GR13" s="39" t="str">
        <f t="shared" si="111"/>
        <v/>
      </c>
      <c r="GS13" s="39" t="str">
        <f t="shared" si="112"/>
        <v/>
      </c>
      <c r="GT13" s="257" t="str">
        <f t="shared" si="113"/>
        <v/>
      </c>
      <c r="GU13" s="579">
        <f t="shared" si="114"/>
        <v>83</v>
      </c>
      <c r="GV13" s="289">
        <f t="shared" si="115"/>
        <v>86.666666666666671</v>
      </c>
      <c r="GW13" s="289">
        <f t="shared" si="116"/>
        <v>76.666666666666671</v>
      </c>
      <c r="GX13" s="289" t="str">
        <f>SISWA!E11</f>
        <v>Hasna</v>
      </c>
      <c r="GY13" s="223" t="str">
        <f t="shared" si="117"/>
        <v xml:space="preserve">Ananda Hasna </v>
      </c>
      <c r="GZ13" s="580" t="str">
        <f t="shared" si="118"/>
        <v/>
      </c>
      <c r="HA13" s="580">
        <f t="shared" si="119"/>
        <v>86.666666666666671</v>
      </c>
      <c r="HB13" s="580">
        <f t="shared" si="120"/>
        <v>86.666666666666671</v>
      </c>
      <c r="HC13" s="580" t="str">
        <f t="shared" si="121"/>
        <v/>
      </c>
      <c r="HD13" s="580" t="str">
        <f t="shared" si="122"/>
        <v/>
      </c>
      <c r="HE13" s="580" t="str">
        <f t="shared" si="123"/>
        <v/>
      </c>
      <c r="HF13" s="580" t="str">
        <f t="shared" si="124"/>
        <v/>
      </c>
      <c r="HG13" s="580"/>
      <c r="HH13" s="580"/>
      <c r="HI13" s="580"/>
      <c r="HJ13" s="580"/>
      <c r="HK13" s="223">
        <f t="shared" si="125"/>
        <v>173.33333333333334</v>
      </c>
      <c r="HL13" s="289" t="str">
        <f t="shared" si="126"/>
        <v>menyelenggarakan kegiatan yang mendukung keberagaman sosial budaya masyarakat</v>
      </c>
      <c r="HM13" s="576" t="str">
        <f>IF(GV13&gt;100,"",IF(GV13&gt;DP$1,"sangat baik dalam "&amp;HL13,IF(GV13&gt;=DP$2,"baik dalam "&amp;HL13,IF(GV13&gt;=DP$3,"cukup dalam "&amp;HL13,IF(GV13&lt;DP$3,"dengan bimbingan dapat meningkatkan dalam "&amp;HL13,IF(GV13&lt;1," ",””))))))</f>
        <v>baik dalam menyelenggarakan kegiatan yang mendukung keberagaman sosial budaya masyarakat</v>
      </c>
      <c r="HN13" s="223"/>
      <c r="HO13" s="223" t="str">
        <f t="shared" si="127"/>
        <v/>
      </c>
      <c r="HP13" s="223" t="str">
        <f t="shared" si="128"/>
        <v/>
      </c>
      <c r="HQ13" s="223" t="str">
        <f t="shared" si="129"/>
        <v/>
      </c>
      <c r="HR13" s="223">
        <f t="shared" si="130"/>
        <v>76.666666666666671</v>
      </c>
      <c r="HS13" s="223" t="str">
        <f t="shared" si="131"/>
        <v/>
      </c>
      <c r="HT13" s="223" t="str">
        <f t="shared" si="132"/>
        <v/>
      </c>
      <c r="HU13" s="223" t="str">
        <f t="shared" si="133"/>
        <v/>
      </c>
      <c r="HV13" s="223"/>
      <c r="HW13" s="223"/>
      <c r="HX13" s="223"/>
      <c r="HY13" s="223"/>
      <c r="HZ13" s="223" t="str">
        <f t="shared" si="134"/>
        <v>menyajikan hasil penggalian tentang manfaat persatuan dan kesatuan untuk membangun kerukunan.</v>
      </c>
      <c r="IA13" s="577" t="str">
        <f>IF(GW13&gt;100,"",IF(GW13&gt;=DP$1,"sangat baik dalam "&amp;HZ13,IF(GW13&gt;=DP$2,"baik dalam "&amp;HZ13,IF(GW13&gt;=DP$3,"cukup dalam "&amp;HZ13,IF(GW13&lt;DP$3,"dengan bimbingan dapat meningkatkan dalam "&amp;HZ13,IF(GW13&lt;1," ",””))))))</f>
        <v>cukup dalam menyajikan hasil penggalian tentang manfaat persatuan dan kesatuan untuk membangun kerukunan.</v>
      </c>
      <c r="IB13" s="223" t="str">
        <f t="shared" si="135"/>
        <v>Ananda Hasna baik dalam menyelenggarakan kegiatan yang mendukung keberagaman sosial budaya masyarakat, cukup dalam menyajikan hasil penggalian tentang manfaat persatuan dan kesatuan untuk membangun kerukunan..</v>
      </c>
    </row>
    <row r="14" spans="1:236" ht="45">
      <c r="A14" s="39">
        <v>7</v>
      </c>
      <c r="B14" s="290" t="str">
        <f>SISWA!B12</f>
        <v>Indah Fitria Ningrum</v>
      </c>
      <c r="C14" s="123">
        <v>75</v>
      </c>
      <c r="D14" s="123"/>
      <c r="E14" s="123"/>
      <c r="F14" s="123"/>
      <c r="G14" s="123"/>
      <c r="H14" s="123"/>
      <c r="I14" s="123"/>
      <c r="J14" s="255">
        <v>90</v>
      </c>
      <c r="K14" s="255"/>
      <c r="L14" s="255"/>
      <c r="M14" s="255"/>
      <c r="N14" s="255"/>
      <c r="O14" s="255"/>
      <c r="P14" s="255"/>
      <c r="Q14" s="256">
        <v>90</v>
      </c>
      <c r="R14" s="256"/>
      <c r="S14" s="256"/>
      <c r="T14" s="256"/>
      <c r="U14" s="256"/>
      <c r="V14" s="256"/>
      <c r="W14" s="256"/>
      <c r="X14" s="123"/>
      <c r="Y14" s="123">
        <v>90</v>
      </c>
      <c r="Z14" s="123"/>
      <c r="AA14" s="123"/>
      <c r="AB14" s="123"/>
      <c r="AC14" s="123"/>
      <c r="AD14" s="123"/>
      <c r="AE14" s="255"/>
      <c r="AF14" s="255">
        <v>80</v>
      </c>
      <c r="AG14" s="255"/>
      <c r="AH14" s="255"/>
      <c r="AI14" s="255"/>
      <c r="AJ14" s="255"/>
      <c r="AK14" s="255"/>
      <c r="AL14" s="256"/>
      <c r="AM14" s="256">
        <v>80</v>
      </c>
      <c r="AN14" s="256"/>
      <c r="AO14" s="256"/>
      <c r="AP14" s="256"/>
      <c r="AQ14" s="256"/>
      <c r="AR14" s="256"/>
      <c r="AS14" s="123"/>
      <c r="AT14" s="123"/>
      <c r="AU14" s="123">
        <v>85</v>
      </c>
      <c r="AV14" s="123"/>
      <c r="AW14" s="123"/>
      <c r="AX14" s="123"/>
      <c r="AY14" s="123"/>
      <c r="AZ14" s="255"/>
      <c r="BA14" s="255"/>
      <c r="BB14" s="255">
        <v>85</v>
      </c>
      <c r="BC14" s="255"/>
      <c r="BD14" s="255"/>
      <c r="BE14" s="255"/>
      <c r="BF14" s="255"/>
      <c r="BG14" s="256"/>
      <c r="BH14" s="256"/>
      <c r="BI14" s="256">
        <v>80</v>
      </c>
      <c r="BJ14" s="256"/>
      <c r="BK14" s="256"/>
      <c r="BL14" s="256"/>
      <c r="BM14" s="256"/>
      <c r="BN14" s="123"/>
      <c r="BO14" s="123">
        <v>85</v>
      </c>
      <c r="BP14" s="123"/>
      <c r="BQ14" s="123"/>
      <c r="BR14" s="123"/>
      <c r="BS14" s="123"/>
      <c r="BT14" s="123"/>
      <c r="BU14" s="255"/>
      <c r="BV14" s="255">
        <v>85</v>
      </c>
      <c r="BW14" s="255"/>
      <c r="BX14" s="255"/>
      <c r="BY14" s="255"/>
      <c r="BZ14" s="255"/>
      <c r="CA14" s="255"/>
      <c r="CB14" s="256"/>
      <c r="CC14" s="256">
        <v>90</v>
      </c>
      <c r="CD14" s="256"/>
      <c r="CE14" s="256"/>
      <c r="CF14" s="256"/>
      <c r="CG14" s="256"/>
      <c r="CH14" s="256"/>
      <c r="CI14" s="458"/>
      <c r="CJ14" s="458"/>
      <c r="CK14" s="458"/>
      <c r="CL14" s="458">
        <v>80</v>
      </c>
      <c r="CM14" s="458"/>
      <c r="CN14" s="458"/>
      <c r="CO14" s="458"/>
      <c r="CP14" s="457"/>
      <c r="CQ14" s="457"/>
      <c r="CR14" s="457"/>
      <c r="CS14" s="457">
        <v>90</v>
      </c>
      <c r="CT14" s="457"/>
      <c r="CU14" s="457"/>
      <c r="CV14" s="457"/>
      <c r="CW14" s="256"/>
      <c r="CX14" s="256"/>
      <c r="CY14" s="256"/>
      <c r="CZ14" s="256">
        <v>90</v>
      </c>
      <c r="DA14" s="256"/>
      <c r="DB14" s="256"/>
      <c r="DC14" s="256"/>
      <c r="DD14" s="257">
        <f t="shared" si="31"/>
        <v>85</v>
      </c>
      <c r="DE14" s="257">
        <f t="shared" si="32"/>
        <v>88.333333333333329</v>
      </c>
      <c r="DF14" s="257">
        <f t="shared" si="33"/>
        <v>83.333333333333329</v>
      </c>
      <c r="DG14" s="257">
        <f t="shared" si="34"/>
        <v>86.666666666666671</v>
      </c>
      <c r="DH14" s="257" t="str">
        <f t="shared" si="35"/>
        <v/>
      </c>
      <c r="DI14" s="257" t="str">
        <f t="shared" si="36"/>
        <v/>
      </c>
      <c r="DJ14" s="257" t="str">
        <f t="shared" si="37"/>
        <v/>
      </c>
      <c r="DK14" s="569">
        <f t="shared" si="38"/>
        <v>86</v>
      </c>
      <c r="DL14" s="291" t="str">
        <f t="shared" si="39"/>
        <v>B</v>
      </c>
      <c r="DM14" s="243" t="str">
        <f t="shared" si="40"/>
        <v>Ananda Indah baik dalam menjelaskan hak, kewajiban, dan tanggung jawab sebagai warga masyarakat dalam kehidupan sehari-hari, baik dalam menyelenggarakan kegiatan yang mendukung keberagaman sosial budaya masyarakat.</v>
      </c>
      <c r="DN14" s="39"/>
      <c r="DO14" s="39"/>
      <c r="DP14" s="257">
        <f t="shared" si="41"/>
        <v>75</v>
      </c>
      <c r="DQ14" s="257">
        <f t="shared" si="42"/>
        <v>90</v>
      </c>
      <c r="DR14" s="257">
        <f t="shared" si="43"/>
        <v>85</v>
      </c>
      <c r="DS14" s="257">
        <f t="shared" si="44"/>
        <v>80</v>
      </c>
      <c r="DT14" s="257">
        <f t="shared" si="45"/>
        <v>0</v>
      </c>
      <c r="DU14" s="257">
        <f t="shared" si="46"/>
        <v>0</v>
      </c>
      <c r="DV14" s="257">
        <f t="shared" si="47"/>
        <v>0</v>
      </c>
      <c r="DW14" s="257"/>
      <c r="DX14" s="257"/>
      <c r="DY14" s="257"/>
      <c r="DZ14" s="289">
        <f t="shared" si="48"/>
        <v>90</v>
      </c>
      <c r="EA14" s="257">
        <f t="shared" si="49"/>
        <v>90</v>
      </c>
      <c r="EB14" s="257">
        <f t="shared" si="50"/>
        <v>85</v>
      </c>
      <c r="EC14" s="257">
        <f t="shared" si="51"/>
        <v>85</v>
      </c>
      <c r="ED14" s="257">
        <f t="shared" si="52"/>
        <v>90</v>
      </c>
      <c r="EE14" s="257">
        <f t="shared" si="53"/>
        <v>0</v>
      </c>
      <c r="EF14" s="257">
        <f t="shared" si="54"/>
        <v>0</v>
      </c>
      <c r="EG14" s="257">
        <f t="shared" si="55"/>
        <v>0</v>
      </c>
      <c r="EH14" s="223"/>
      <c r="EI14" s="223"/>
      <c r="EJ14" s="223"/>
      <c r="EK14" s="289">
        <f t="shared" si="56"/>
        <v>90</v>
      </c>
      <c r="EL14" s="257">
        <f t="shared" si="57"/>
        <v>90</v>
      </c>
      <c r="EM14" s="257">
        <f t="shared" si="58"/>
        <v>90</v>
      </c>
      <c r="EN14" s="257">
        <f t="shared" si="59"/>
        <v>80</v>
      </c>
      <c r="EO14" s="257">
        <f t="shared" si="60"/>
        <v>90</v>
      </c>
      <c r="EP14" s="257">
        <f t="shared" si="61"/>
        <v>0</v>
      </c>
      <c r="EQ14" s="257">
        <f t="shared" si="62"/>
        <v>0</v>
      </c>
      <c r="ER14" s="257">
        <f t="shared" si="63"/>
        <v>0</v>
      </c>
      <c r="ES14" s="223"/>
      <c r="ET14" s="223"/>
      <c r="EU14" s="223"/>
      <c r="EV14" s="289">
        <f t="shared" si="64"/>
        <v>90</v>
      </c>
      <c r="EW14" s="257">
        <f t="shared" si="65"/>
        <v>75</v>
      </c>
      <c r="EX14" s="257">
        <f t="shared" si="66"/>
        <v>90</v>
      </c>
      <c r="EY14" s="257">
        <f t="shared" si="67"/>
        <v>90</v>
      </c>
      <c r="EZ14" s="575">
        <f t="shared" si="68"/>
        <v>0</v>
      </c>
      <c r="FA14" s="506">
        <f t="shared" si="69"/>
        <v>3</v>
      </c>
      <c r="FB14" s="39">
        <f t="shared" si="70"/>
        <v>85</v>
      </c>
      <c r="FC14" s="257">
        <f t="shared" si="71"/>
        <v>90</v>
      </c>
      <c r="FD14" s="257">
        <f t="shared" si="72"/>
        <v>85</v>
      </c>
      <c r="FE14" s="257">
        <f t="shared" si="73"/>
        <v>90</v>
      </c>
      <c r="FF14" s="575">
        <f t="shared" si="74"/>
        <v>0</v>
      </c>
      <c r="FG14" s="506">
        <f t="shared" si="75"/>
        <v>3</v>
      </c>
      <c r="FH14" s="39">
        <f t="shared" si="76"/>
        <v>88.333333333333329</v>
      </c>
      <c r="FI14" s="257">
        <f t="shared" si="77"/>
        <v>85</v>
      </c>
      <c r="FJ14" s="257">
        <f t="shared" si="78"/>
        <v>85</v>
      </c>
      <c r="FK14" s="257">
        <f t="shared" si="79"/>
        <v>80</v>
      </c>
      <c r="FL14" s="575">
        <f t="shared" si="80"/>
        <v>0</v>
      </c>
      <c r="FM14" s="506">
        <f t="shared" si="81"/>
        <v>3</v>
      </c>
      <c r="FN14" s="39">
        <f t="shared" si="82"/>
        <v>83.333333333333329</v>
      </c>
      <c r="FO14" s="257">
        <f t="shared" si="83"/>
        <v>80</v>
      </c>
      <c r="FP14" s="257">
        <f t="shared" si="84"/>
        <v>90</v>
      </c>
      <c r="FQ14" s="257">
        <f t="shared" si="85"/>
        <v>90</v>
      </c>
      <c r="FR14" s="575">
        <f t="shared" si="86"/>
        <v>0</v>
      </c>
      <c r="FS14" s="506">
        <f t="shared" si="87"/>
        <v>3</v>
      </c>
      <c r="FT14" s="39">
        <f t="shared" si="88"/>
        <v>86.666666666666671</v>
      </c>
      <c r="FU14" s="257">
        <f t="shared" si="89"/>
        <v>0</v>
      </c>
      <c r="FV14" s="257">
        <f t="shared" si="90"/>
        <v>0</v>
      </c>
      <c r="FW14" s="257">
        <f t="shared" si="91"/>
        <v>0</v>
      </c>
      <c r="FX14" s="575">
        <f t="shared" si="92"/>
        <v>3</v>
      </c>
      <c r="FY14" s="506">
        <f t="shared" si="93"/>
        <v>0</v>
      </c>
      <c r="FZ14" s="39" t="str">
        <f t="shared" si="94"/>
        <v/>
      </c>
      <c r="GA14" s="257">
        <f t="shared" si="95"/>
        <v>0</v>
      </c>
      <c r="GB14" s="257">
        <f t="shared" si="96"/>
        <v>0</v>
      </c>
      <c r="GC14" s="257">
        <f t="shared" si="97"/>
        <v>0</v>
      </c>
      <c r="GD14" s="575">
        <f t="shared" si="98"/>
        <v>3</v>
      </c>
      <c r="GE14" s="506">
        <f t="shared" si="99"/>
        <v>0</v>
      </c>
      <c r="GF14" s="39" t="str">
        <f t="shared" si="100"/>
        <v/>
      </c>
      <c r="GG14" s="257">
        <f t="shared" si="101"/>
        <v>0</v>
      </c>
      <c r="GH14" s="257">
        <f t="shared" si="102"/>
        <v>0</v>
      </c>
      <c r="GI14" s="257">
        <f t="shared" si="103"/>
        <v>0</v>
      </c>
      <c r="GJ14" s="575">
        <f t="shared" si="104"/>
        <v>3</v>
      </c>
      <c r="GK14" s="506">
        <f t="shared" si="105"/>
        <v>0</v>
      </c>
      <c r="GL14" s="39" t="str">
        <f t="shared" si="106"/>
        <v/>
      </c>
      <c r="GM14" s="39"/>
      <c r="GN14" s="39">
        <f t="shared" si="107"/>
        <v>85</v>
      </c>
      <c r="GO14" s="39">
        <f t="shared" si="108"/>
        <v>88.333333333333329</v>
      </c>
      <c r="GP14" s="39">
        <f t="shared" si="109"/>
        <v>83.333333333333329</v>
      </c>
      <c r="GQ14" s="39">
        <f t="shared" si="110"/>
        <v>86.666666666666671</v>
      </c>
      <c r="GR14" s="39" t="str">
        <f t="shared" si="111"/>
        <v/>
      </c>
      <c r="GS14" s="39" t="str">
        <f t="shared" si="112"/>
        <v/>
      </c>
      <c r="GT14" s="257" t="str">
        <f t="shared" si="113"/>
        <v/>
      </c>
      <c r="GU14" s="579">
        <f t="shared" si="114"/>
        <v>86</v>
      </c>
      <c r="GV14" s="289">
        <f t="shared" si="115"/>
        <v>88.333333333333329</v>
      </c>
      <c r="GW14" s="289">
        <f t="shared" si="116"/>
        <v>83.333333333333329</v>
      </c>
      <c r="GX14" s="289" t="str">
        <f>SISWA!E12</f>
        <v>Indah</v>
      </c>
      <c r="GY14" s="223" t="str">
        <f t="shared" si="117"/>
        <v xml:space="preserve">Ananda Indah </v>
      </c>
      <c r="GZ14" s="580" t="str">
        <f t="shared" si="118"/>
        <v/>
      </c>
      <c r="HA14" s="580">
        <f t="shared" si="119"/>
        <v>88.333333333333329</v>
      </c>
      <c r="HB14" s="580" t="str">
        <f t="shared" si="120"/>
        <v/>
      </c>
      <c r="HC14" s="580" t="str">
        <f t="shared" si="121"/>
        <v/>
      </c>
      <c r="HD14" s="580" t="str">
        <f t="shared" si="122"/>
        <v/>
      </c>
      <c r="HE14" s="580" t="str">
        <f t="shared" si="123"/>
        <v/>
      </c>
      <c r="HF14" s="580" t="str">
        <f t="shared" si="124"/>
        <v/>
      </c>
      <c r="HG14" s="580"/>
      <c r="HH14" s="580"/>
      <c r="HI14" s="580"/>
      <c r="HJ14" s="580"/>
      <c r="HK14" s="223">
        <f t="shared" si="125"/>
        <v>88.333333333333329</v>
      </c>
      <c r="HL14" s="289" t="str">
        <f t="shared" si="126"/>
        <v>menjelaskan hak, kewajiban, dan tanggung jawab sebagai warga masyarakat dalam kehidupan sehari-hari</v>
      </c>
      <c r="HM14" s="576" t="str">
        <f>IF(GV14&gt;100,"",IF(GV14&gt;DP$1,"sangat baik dalam "&amp;HL14,IF(GV14&gt;=DP$2,"baik dalam "&amp;HL14,IF(GV14&gt;=DP$3,"cukup dalam "&amp;HL14,IF(GV14&lt;DP$3,"dengan bimbingan dapat meningkatkan dalam "&amp;HL14,IF(GV14&lt;1," ",””))))))</f>
        <v>baik dalam menjelaskan hak, kewajiban, dan tanggung jawab sebagai warga masyarakat dalam kehidupan sehari-hari</v>
      </c>
      <c r="HN14" s="223"/>
      <c r="HO14" s="223" t="str">
        <f t="shared" si="127"/>
        <v/>
      </c>
      <c r="HP14" s="223" t="str">
        <f t="shared" si="128"/>
        <v/>
      </c>
      <c r="HQ14" s="223">
        <f t="shared" si="129"/>
        <v>83.333333333333329</v>
      </c>
      <c r="HR14" s="223" t="str">
        <f t="shared" si="130"/>
        <v/>
      </c>
      <c r="HS14" s="223" t="str">
        <f t="shared" si="131"/>
        <v/>
      </c>
      <c r="HT14" s="223" t="str">
        <f t="shared" si="132"/>
        <v/>
      </c>
      <c r="HU14" s="223" t="str">
        <f t="shared" si="133"/>
        <v/>
      </c>
      <c r="HV14" s="223"/>
      <c r="HW14" s="223"/>
      <c r="HX14" s="223"/>
      <c r="HY14" s="223"/>
      <c r="HZ14" s="223" t="str">
        <f t="shared" si="134"/>
        <v>menyelenggarakan kegiatan yang mendukung keberagaman sosial budaya masyarakat</v>
      </c>
      <c r="IA14" s="577" t="str">
        <f>IF(GW14&gt;100,"",IF(GW14&gt;=DP$1,"sangat baik dalam "&amp;HZ14,IF(GW14&gt;=DP$2,"baik dalam "&amp;HZ14,IF(GW14&gt;=DP$3,"cukup dalam "&amp;HZ14,IF(GW14&lt;DP$3,"dengan bimbingan dapat meningkatkan dalam "&amp;HZ14,IF(GW14&lt;1," ",””))))))</f>
        <v>baik dalam menyelenggarakan kegiatan yang mendukung keberagaman sosial budaya masyarakat</v>
      </c>
      <c r="IB14" s="223" t="str">
        <f t="shared" si="135"/>
        <v>Ananda Indah baik dalam menjelaskan hak, kewajiban, dan tanggung jawab sebagai warga masyarakat dalam kehidupan sehari-hari, baik dalam menyelenggarakan kegiatan yang mendukung keberagaman sosial budaya masyarakat.</v>
      </c>
    </row>
    <row r="15" spans="1:236" ht="45">
      <c r="A15" s="39">
        <v>8</v>
      </c>
      <c r="B15" s="290" t="str">
        <f>SISWA!B13</f>
        <v>Muhammad Ilham Sarifuddin</v>
      </c>
      <c r="C15" s="123">
        <v>75</v>
      </c>
      <c r="D15" s="123"/>
      <c r="E15" s="123"/>
      <c r="F15" s="123"/>
      <c r="G15" s="123"/>
      <c r="H15" s="123"/>
      <c r="I15" s="123"/>
      <c r="J15" s="255">
        <v>90</v>
      </c>
      <c r="K15" s="255"/>
      <c r="L15" s="255"/>
      <c r="M15" s="255"/>
      <c r="N15" s="255"/>
      <c r="O15" s="255"/>
      <c r="P15" s="255"/>
      <c r="Q15" s="256">
        <v>80</v>
      </c>
      <c r="R15" s="256"/>
      <c r="S15" s="256"/>
      <c r="T15" s="256"/>
      <c r="U15" s="256"/>
      <c r="V15" s="256"/>
      <c r="W15" s="256"/>
      <c r="X15" s="123"/>
      <c r="Y15" s="123">
        <v>80</v>
      </c>
      <c r="Z15" s="123"/>
      <c r="AA15" s="123"/>
      <c r="AB15" s="123"/>
      <c r="AC15" s="123"/>
      <c r="AD15" s="123"/>
      <c r="AE15" s="255"/>
      <c r="AF15" s="255">
        <v>75</v>
      </c>
      <c r="AG15" s="255"/>
      <c r="AH15" s="255"/>
      <c r="AI15" s="255"/>
      <c r="AJ15" s="255"/>
      <c r="AK15" s="255"/>
      <c r="AL15" s="256"/>
      <c r="AM15" s="256">
        <v>85</v>
      </c>
      <c r="AN15" s="256"/>
      <c r="AO15" s="256"/>
      <c r="AP15" s="256"/>
      <c r="AQ15" s="256"/>
      <c r="AR15" s="256"/>
      <c r="AS15" s="123"/>
      <c r="AT15" s="123"/>
      <c r="AU15" s="123">
        <v>75</v>
      </c>
      <c r="AV15" s="123"/>
      <c r="AW15" s="123"/>
      <c r="AX15" s="123"/>
      <c r="AY15" s="123"/>
      <c r="AZ15" s="255"/>
      <c r="BA15" s="255"/>
      <c r="BB15" s="255">
        <v>90</v>
      </c>
      <c r="BC15" s="255"/>
      <c r="BD15" s="255"/>
      <c r="BE15" s="255"/>
      <c r="BF15" s="255"/>
      <c r="BG15" s="256"/>
      <c r="BH15" s="256"/>
      <c r="BI15" s="256">
        <v>75</v>
      </c>
      <c r="BJ15" s="256"/>
      <c r="BK15" s="256"/>
      <c r="BL15" s="256"/>
      <c r="BM15" s="256"/>
      <c r="BN15" s="123"/>
      <c r="BO15" s="123">
        <v>75</v>
      </c>
      <c r="BP15" s="123"/>
      <c r="BQ15" s="123"/>
      <c r="BR15" s="123"/>
      <c r="BS15" s="123"/>
      <c r="BT15" s="123"/>
      <c r="BU15" s="255"/>
      <c r="BV15" s="255">
        <v>90</v>
      </c>
      <c r="BW15" s="255"/>
      <c r="BX15" s="255"/>
      <c r="BY15" s="255"/>
      <c r="BZ15" s="255"/>
      <c r="CA15" s="255"/>
      <c r="CB15" s="256"/>
      <c r="CC15" s="256">
        <v>75</v>
      </c>
      <c r="CD15" s="256"/>
      <c r="CE15" s="256"/>
      <c r="CF15" s="256"/>
      <c r="CG15" s="256"/>
      <c r="CH15" s="256"/>
      <c r="CI15" s="458"/>
      <c r="CJ15" s="458"/>
      <c r="CK15" s="458"/>
      <c r="CL15" s="458">
        <v>80</v>
      </c>
      <c r="CM15" s="458"/>
      <c r="CN15" s="458"/>
      <c r="CO15" s="458"/>
      <c r="CP15" s="457"/>
      <c r="CQ15" s="457"/>
      <c r="CR15" s="457"/>
      <c r="CS15" s="457">
        <v>85</v>
      </c>
      <c r="CT15" s="457"/>
      <c r="CU15" s="457"/>
      <c r="CV15" s="457"/>
      <c r="CW15" s="256"/>
      <c r="CX15" s="256"/>
      <c r="CY15" s="256"/>
      <c r="CZ15" s="256">
        <v>90</v>
      </c>
      <c r="DA15" s="256"/>
      <c r="DB15" s="256"/>
      <c r="DC15" s="256"/>
      <c r="DD15" s="257">
        <f t="shared" si="31"/>
        <v>81.666666666666671</v>
      </c>
      <c r="DE15" s="257">
        <f t="shared" si="32"/>
        <v>85</v>
      </c>
      <c r="DF15" s="257">
        <f t="shared" si="33"/>
        <v>80</v>
      </c>
      <c r="DG15" s="257">
        <f t="shared" si="34"/>
        <v>85</v>
      </c>
      <c r="DH15" s="257" t="str">
        <f t="shared" si="35"/>
        <v/>
      </c>
      <c r="DI15" s="257" t="str">
        <f t="shared" si="36"/>
        <v/>
      </c>
      <c r="DJ15" s="257" t="str">
        <f t="shared" si="37"/>
        <v/>
      </c>
      <c r="DK15" s="569">
        <f t="shared" si="38"/>
        <v>83</v>
      </c>
      <c r="DL15" s="291" t="str">
        <f t="shared" si="39"/>
        <v>B</v>
      </c>
      <c r="DM15" s="243" t="str">
        <f t="shared" si="40"/>
        <v>Ananda Ilham baik dalam menjelaskan hak, kewajiban, dan tanggung jawab sebagai warga masyarakat dalam kehidupan sehari-hari, cukup dalam menyelenggarakan kegiatan yang mendukung keberagaman sosial budaya masyarakat.</v>
      </c>
      <c r="DN15" s="39"/>
      <c r="DO15" s="39"/>
      <c r="DP15" s="257">
        <f t="shared" si="41"/>
        <v>75</v>
      </c>
      <c r="DQ15" s="257">
        <f t="shared" si="42"/>
        <v>80</v>
      </c>
      <c r="DR15" s="257">
        <f t="shared" si="43"/>
        <v>75</v>
      </c>
      <c r="DS15" s="257">
        <f t="shared" si="44"/>
        <v>80</v>
      </c>
      <c r="DT15" s="257">
        <f t="shared" si="45"/>
        <v>0</v>
      </c>
      <c r="DU15" s="257">
        <f t="shared" si="46"/>
        <v>0</v>
      </c>
      <c r="DV15" s="257">
        <f t="shared" si="47"/>
        <v>0</v>
      </c>
      <c r="DW15" s="257"/>
      <c r="DX15" s="257"/>
      <c r="DY15" s="257"/>
      <c r="DZ15" s="289">
        <f t="shared" si="48"/>
        <v>80</v>
      </c>
      <c r="EA15" s="257">
        <f t="shared" si="49"/>
        <v>90</v>
      </c>
      <c r="EB15" s="257">
        <f t="shared" si="50"/>
        <v>90</v>
      </c>
      <c r="EC15" s="257">
        <f t="shared" si="51"/>
        <v>90</v>
      </c>
      <c r="ED15" s="257">
        <f t="shared" si="52"/>
        <v>85</v>
      </c>
      <c r="EE15" s="257">
        <f t="shared" si="53"/>
        <v>0</v>
      </c>
      <c r="EF15" s="257">
        <f t="shared" si="54"/>
        <v>0</v>
      </c>
      <c r="EG15" s="257">
        <f t="shared" si="55"/>
        <v>0</v>
      </c>
      <c r="EH15" s="223"/>
      <c r="EI15" s="223"/>
      <c r="EJ15" s="223"/>
      <c r="EK15" s="289">
        <f t="shared" si="56"/>
        <v>90</v>
      </c>
      <c r="EL15" s="257">
        <f t="shared" si="57"/>
        <v>80</v>
      </c>
      <c r="EM15" s="257">
        <f t="shared" si="58"/>
        <v>85</v>
      </c>
      <c r="EN15" s="257">
        <f t="shared" si="59"/>
        <v>75</v>
      </c>
      <c r="EO15" s="257">
        <f t="shared" si="60"/>
        <v>90</v>
      </c>
      <c r="EP15" s="257">
        <f t="shared" si="61"/>
        <v>0</v>
      </c>
      <c r="EQ15" s="257">
        <f t="shared" si="62"/>
        <v>0</v>
      </c>
      <c r="ER15" s="257">
        <f t="shared" si="63"/>
        <v>0</v>
      </c>
      <c r="ES15" s="223"/>
      <c r="ET15" s="223"/>
      <c r="EU15" s="223"/>
      <c r="EV15" s="289">
        <f t="shared" si="64"/>
        <v>90</v>
      </c>
      <c r="EW15" s="257">
        <f t="shared" si="65"/>
        <v>75</v>
      </c>
      <c r="EX15" s="257">
        <f t="shared" si="66"/>
        <v>90</v>
      </c>
      <c r="EY15" s="257">
        <f t="shared" si="67"/>
        <v>80</v>
      </c>
      <c r="EZ15" s="575">
        <f t="shared" si="68"/>
        <v>0</v>
      </c>
      <c r="FA15" s="506">
        <f t="shared" si="69"/>
        <v>3</v>
      </c>
      <c r="FB15" s="39">
        <f t="shared" si="70"/>
        <v>81.666666666666671</v>
      </c>
      <c r="FC15" s="257">
        <f t="shared" si="71"/>
        <v>80</v>
      </c>
      <c r="FD15" s="257">
        <f t="shared" si="72"/>
        <v>90</v>
      </c>
      <c r="FE15" s="257">
        <f t="shared" si="73"/>
        <v>85</v>
      </c>
      <c r="FF15" s="575">
        <f t="shared" si="74"/>
        <v>0</v>
      </c>
      <c r="FG15" s="506">
        <f t="shared" si="75"/>
        <v>3</v>
      </c>
      <c r="FH15" s="39">
        <f t="shared" si="76"/>
        <v>85</v>
      </c>
      <c r="FI15" s="257">
        <f t="shared" si="77"/>
        <v>75</v>
      </c>
      <c r="FJ15" s="257">
        <f t="shared" si="78"/>
        <v>90</v>
      </c>
      <c r="FK15" s="257">
        <f t="shared" si="79"/>
        <v>75</v>
      </c>
      <c r="FL15" s="575">
        <f t="shared" si="80"/>
        <v>0</v>
      </c>
      <c r="FM15" s="506">
        <f t="shared" si="81"/>
        <v>3</v>
      </c>
      <c r="FN15" s="39">
        <f t="shared" si="82"/>
        <v>80</v>
      </c>
      <c r="FO15" s="257">
        <f t="shared" si="83"/>
        <v>80</v>
      </c>
      <c r="FP15" s="257">
        <f t="shared" si="84"/>
        <v>85</v>
      </c>
      <c r="FQ15" s="257">
        <f t="shared" si="85"/>
        <v>90</v>
      </c>
      <c r="FR15" s="575">
        <f t="shared" si="86"/>
        <v>0</v>
      </c>
      <c r="FS15" s="506">
        <f t="shared" si="87"/>
        <v>3</v>
      </c>
      <c r="FT15" s="39">
        <f t="shared" si="88"/>
        <v>85</v>
      </c>
      <c r="FU15" s="257">
        <f t="shared" si="89"/>
        <v>0</v>
      </c>
      <c r="FV15" s="257">
        <f t="shared" si="90"/>
        <v>0</v>
      </c>
      <c r="FW15" s="257">
        <f t="shared" si="91"/>
        <v>0</v>
      </c>
      <c r="FX15" s="575">
        <f t="shared" si="92"/>
        <v>3</v>
      </c>
      <c r="FY15" s="506">
        <f t="shared" si="93"/>
        <v>0</v>
      </c>
      <c r="FZ15" s="39" t="str">
        <f t="shared" si="94"/>
        <v/>
      </c>
      <c r="GA15" s="257">
        <f t="shared" si="95"/>
        <v>0</v>
      </c>
      <c r="GB15" s="257">
        <f t="shared" si="96"/>
        <v>0</v>
      </c>
      <c r="GC15" s="257">
        <f t="shared" si="97"/>
        <v>0</v>
      </c>
      <c r="GD15" s="575">
        <f t="shared" si="98"/>
        <v>3</v>
      </c>
      <c r="GE15" s="506">
        <f t="shared" si="99"/>
        <v>0</v>
      </c>
      <c r="GF15" s="39" t="str">
        <f t="shared" si="100"/>
        <v/>
      </c>
      <c r="GG15" s="257">
        <f t="shared" si="101"/>
        <v>0</v>
      </c>
      <c r="GH15" s="257">
        <f t="shared" si="102"/>
        <v>0</v>
      </c>
      <c r="GI15" s="257">
        <f t="shared" si="103"/>
        <v>0</v>
      </c>
      <c r="GJ15" s="575">
        <f t="shared" si="104"/>
        <v>3</v>
      </c>
      <c r="GK15" s="506">
        <f t="shared" si="105"/>
        <v>0</v>
      </c>
      <c r="GL15" s="39" t="str">
        <f t="shared" si="106"/>
        <v/>
      </c>
      <c r="GM15" s="39"/>
      <c r="GN15" s="39">
        <f t="shared" si="107"/>
        <v>81.666666666666671</v>
      </c>
      <c r="GO15" s="39">
        <f t="shared" si="108"/>
        <v>85</v>
      </c>
      <c r="GP15" s="39">
        <f t="shared" si="109"/>
        <v>80</v>
      </c>
      <c r="GQ15" s="39">
        <f t="shared" si="110"/>
        <v>85</v>
      </c>
      <c r="GR15" s="39" t="str">
        <f t="shared" si="111"/>
        <v/>
      </c>
      <c r="GS15" s="39" t="str">
        <f t="shared" si="112"/>
        <v/>
      </c>
      <c r="GT15" s="257" t="str">
        <f t="shared" si="113"/>
        <v/>
      </c>
      <c r="GU15" s="579">
        <f t="shared" si="114"/>
        <v>83</v>
      </c>
      <c r="GV15" s="289">
        <f t="shared" si="115"/>
        <v>85</v>
      </c>
      <c r="GW15" s="289">
        <f t="shared" si="116"/>
        <v>80</v>
      </c>
      <c r="GX15" s="289" t="str">
        <f>SISWA!E13</f>
        <v>Ilham</v>
      </c>
      <c r="GY15" s="223" t="str">
        <f t="shared" si="117"/>
        <v xml:space="preserve">Ananda Ilham </v>
      </c>
      <c r="GZ15" s="580" t="str">
        <f t="shared" si="118"/>
        <v/>
      </c>
      <c r="HA15" s="580">
        <f t="shared" si="119"/>
        <v>85</v>
      </c>
      <c r="HB15" s="580" t="str">
        <f t="shared" si="120"/>
        <v/>
      </c>
      <c r="HC15" s="580">
        <f t="shared" si="121"/>
        <v>85</v>
      </c>
      <c r="HD15" s="580" t="str">
        <f t="shared" si="122"/>
        <v/>
      </c>
      <c r="HE15" s="580" t="str">
        <f t="shared" si="123"/>
        <v/>
      </c>
      <c r="HF15" s="580" t="str">
        <f t="shared" si="124"/>
        <v/>
      </c>
      <c r="HG15" s="580"/>
      <c r="HH15" s="580"/>
      <c r="HI15" s="580"/>
      <c r="HJ15" s="580"/>
      <c r="HK15" s="223">
        <f t="shared" si="125"/>
        <v>170</v>
      </c>
      <c r="HL15" s="289" t="str">
        <f t="shared" si="126"/>
        <v>menjelaskan hak, kewajiban, dan tanggung jawab sebagai warga masyarakat dalam kehidupan sehari-hari</v>
      </c>
      <c r="HM15" s="576" t="str">
        <f>IF(GV15&gt;100,"",IF(GV15&gt;DP$1,"sangat baik dalam "&amp;HL15,IF(GV15&gt;=DP$2,"baik dalam "&amp;HL15,IF(GV15&gt;=DP$3,"cukup dalam "&amp;HL15,IF(GV15&lt;DP$3,"dengan bimbingan dapat meningkatkan dalam "&amp;HL15,IF(GV15&lt;1," ",””))))))</f>
        <v>baik dalam menjelaskan hak, kewajiban, dan tanggung jawab sebagai warga masyarakat dalam kehidupan sehari-hari</v>
      </c>
      <c r="HN15" s="223"/>
      <c r="HO15" s="223" t="str">
        <f t="shared" si="127"/>
        <v/>
      </c>
      <c r="HP15" s="223" t="str">
        <f t="shared" si="128"/>
        <v/>
      </c>
      <c r="HQ15" s="223">
        <f t="shared" si="129"/>
        <v>80</v>
      </c>
      <c r="HR15" s="223" t="str">
        <f t="shared" si="130"/>
        <v/>
      </c>
      <c r="HS15" s="223" t="str">
        <f t="shared" si="131"/>
        <v/>
      </c>
      <c r="HT15" s="223" t="str">
        <f t="shared" si="132"/>
        <v/>
      </c>
      <c r="HU15" s="223" t="str">
        <f t="shared" si="133"/>
        <v/>
      </c>
      <c r="HV15" s="223"/>
      <c r="HW15" s="223"/>
      <c r="HX15" s="223"/>
      <c r="HY15" s="223"/>
      <c r="HZ15" s="223" t="str">
        <f t="shared" si="134"/>
        <v>menyelenggarakan kegiatan yang mendukung keberagaman sosial budaya masyarakat</v>
      </c>
      <c r="IA15" s="577" t="str">
        <f>IF(GW15&gt;100,"",IF(GW15&gt;=DP$1,"sangat baik dalam "&amp;HZ15,IF(GW15&gt;=DP$2,"baik dalam "&amp;HZ15,IF(GW15&gt;=DP$3,"cukup dalam "&amp;HZ15,IF(GW15&lt;DP$3,"dengan bimbingan dapat meningkatkan dalam "&amp;HZ15,IF(GW15&lt;1," ",””))))))</f>
        <v>cukup dalam menyelenggarakan kegiatan yang mendukung keberagaman sosial budaya masyarakat</v>
      </c>
      <c r="IB15" s="223" t="str">
        <f t="shared" si="135"/>
        <v>Ananda Ilham baik dalam menjelaskan hak, kewajiban, dan tanggung jawab sebagai warga masyarakat dalam kehidupan sehari-hari, cukup dalam menyelenggarakan kegiatan yang mendukung keberagaman sosial budaya masyarakat.</v>
      </c>
    </row>
    <row r="16" spans="1:236" ht="45">
      <c r="A16" s="39">
        <v>9</v>
      </c>
      <c r="B16" s="290" t="str">
        <f>SISWA!B14</f>
        <v>Muhammad Raditya Ainul Yaqin</v>
      </c>
      <c r="C16" s="123">
        <v>75</v>
      </c>
      <c r="D16" s="123"/>
      <c r="E16" s="123"/>
      <c r="F16" s="123"/>
      <c r="G16" s="123"/>
      <c r="H16" s="123"/>
      <c r="I16" s="123"/>
      <c r="J16" s="255">
        <v>80</v>
      </c>
      <c r="K16" s="255"/>
      <c r="L16" s="255"/>
      <c r="M16" s="255"/>
      <c r="N16" s="255"/>
      <c r="O16" s="255"/>
      <c r="P16" s="255"/>
      <c r="Q16" s="256">
        <v>75</v>
      </c>
      <c r="R16" s="256"/>
      <c r="S16" s="256"/>
      <c r="T16" s="256"/>
      <c r="U16" s="256"/>
      <c r="V16" s="256"/>
      <c r="W16" s="256"/>
      <c r="X16" s="123"/>
      <c r="Y16" s="123">
        <v>80</v>
      </c>
      <c r="Z16" s="123"/>
      <c r="AA16" s="123"/>
      <c r="AB16" s="123"/>
      <c r="AC16" s="123"/>
      <c r="AD16" s="123"/>
      <c r="AE16" s="255"/>
      <c r="AF16" s="255">
        <v>75</v>
      </c>
      <c r="AG16" s="255"/>
      <c r="AH16" s="255"/>
      <c r="AI16" s="255"/>
      <c r="AJ16" s="255"/>
      <c r="AK16" s="255"/>
      <c r="AL16" s="256"/>
      <c r="AM16" s="256">
        <v>85</v>
      </c>
      <c r="AN16" s="256"/>
      <c r="AO16" s="256"/>
      <c r="AP16" s="256"/>
      <c r="AQ16" s="256"/>
      <c r="AR16" s="256"/>
      <c r="AS16" s="123"/>
      <c r="AT16" s="123"/>
      <c r="AU16" s="123">
        <v>75</v>
      </c>
      <c r="AV16" s="123"/>
      <c r="AW16" s="123"/>
      <c r="AX16" s="123"/>
      <c r="AY16" s="123"/>
      <c r="AZ16" s="255"/>
      <c r="BA16" s="255"/>
      <c r="BB16" s="255">
        <v>80</v>
      </c>
      <c r="BC16" s="255"/>
      <c r="BD16" s="255"/>
      <c r="BE16" s="255"/>
      <c r="BF16" s="255"/>
      <c r="BG16" s="256"/>
      <c r="BH16" s="256"/>
      <c r="BI16" s="256">
        <v>80</v>
      </c>
      <c r="BJ16" s="256"/>
      <c r="BK16" s="256"/>
      <c r="BL16" s="256"/>
      <c r="BM16" s="256"/>
      <c r="BN16" s="123"/>
      <c r="BO16" s="123">
        <v>75</v>
      </c>
      <c r="BP16" s="123"/>
      <c r="BQ16" s="123"/>
      <c r="BR16" s="123"/>
      <c r="BS16" s="123"/>
      <c r="BT16" s="123"/>
      <c r="BU16" s="255"/>
      <c r="BV16" s="255">
        <v>90</v>
      </c>
      <c r="BW16" s="255"/>
      <c r="BX16" s="255"/>
      <c r="BY16" s="255"/>
      <c r="BZ16" s="255"/>
      <c r="CA16" s="255"/>
      <c r="CB16" s="256"/>
      <c r="CC16" s="256">
        <v>85</v>
      </c>
      <c r="CD16" s="256"/>
      <c r="CE16" s="256"/>
      <c r="CF16" s="256"/>
      <c r="CG16" s="256"/>
      <c r="CH16" s="256"/>
      <c r="CI16" s="458"/>
      <c r="CJ16" s="458"/>
      <c r="CK16" s="458"/>
      <c r="CL16" s="458">
        <v>75</v>
      </c>
      <c r="CM16" s="458"/>
      <c r="CN16" s="458"/>
      <c r="CO16" s="458"/>
      <c r="CP16" s="457"/>
      <c r="CQ16" s="457"/>
      <c r="CR16" s="457"/>
      <c r="CS16" s="457">
        <v>75</v>
      </c>
      <c r="CT16" s="457"/>
      <c r="CU16" s="457"/>
      <c r="CV16" s="457"/>
      <c r="CW16" s="256"/>
      <c r="CX16" s="256"/>
      <c r="CY16" s="256"/>
      <c r="CZ16" s="256">
        <v>75</v>
      </c>
      <c r="DA16" s="256"/>
      <c r="DB16" s="256"/>
      <c r="DC16" s="256"/>
      <c r="DD16" s="257">
        <f t="shared" si="31"/>
        <v>76.666666666666671</v>
      </c>
      <c r="DE16" s="257">
        <f t="shared" si="32"/>
        <v>85</v>
      </c>
      <c r="DF16" s="257">
        <f t="shared" si="33"/>
        <v>78.333333333333329</v>
      </c>
      <c r="DG16" s="257">
        <f t="shared" si="34"/>
        <v>75</v>
      </c>
      <c r="DH16" s="257" t="str">
        <f t="shared" si="35"/>
        <v/>
      </c>
      <c r="DI16" s="257" t="str">
        <f t="shared" si="36"/>
        <v/>
      </c>
      <c r="DJ16" s="257" t="str">
        <f t="shared" si="37"/>
        <v/>
      </c>
      <c r="DK16" s="569">
        <f t="shared" si="38"/>
        <v>79</v>
      </c>
      <c r="DL16" s="291" t="str">
        <f t="shared" si="39"/>
        <v>C</v>
      </c>
      <c r="DM16" s="243" t="str">
        <f t="shared" si="40"/>
        <v>Ananda Radit baik dalam menjelaskan hak, kewajiban, dan tanggung jawab sebagai warga masyarakat dalam kehidupan sehari-hari, cukup dalam menyajikan hasil penggalian tentang manfaat persatuan dan kesatuan untuk membangun kerukunan..</v>
      </c>
      <c r="DN16" s="39"/>
      <c r="DO16" s="39"/>
      <c r="DP16" s="257">
        <f t="shared" si="41"/>
        <v>75</v>
      </c>
      <c r="DQ16" s="257">
        <f t="shared" si="42"/>
        <v>80</v>
      </c>
      <c r="DR16" s="257">
        <f t="shared" si="43"/>
        <v>75</v>
      </c>
      <c r="DS16" s="257">
        <f t="shared" si="44"/>
        <v>75</v>
      </c>
      <c r="DT16" s="257">
        <f t="shared" si="45"/>
        <v>0</v>
      </c>
      <c r="DU16" s="257">
        <f t="shared" si="46"/>
        <v>0</v>
      </c>
      <c r="DV16" s="257">
        <f t="shared" si="47"/>
        <v>0</v>
      </c>
      <c r="DW16" s="257"/>
      <c r="DX16" s="257"/>
      <c r="DY16" s="257"/>
      <c r="DZ16" s="289">
        <f t="shared" si="48"/>
        <v>80</v>
      </c>
      <c r="EA16" s="257">
        <f t="shared" si="49"/>
        <v>80</v>
      </c>
      <c r="EB16" s="257">
        <f t="shared" si="50"/>
        <v>90</v>
      </c>
      <c r="EC16" s="257">
        <f t="shared" si="51"/>
        <v>80</v>
      </c>
      <c r="ED16" s="257">
        <f t="shared" si="52"/>
        <v>75</v>
      </c>
      <c r="EE16" s="257">
        <f t="shared" si="53"/>
        <v>0</v>
      </c>
      <c r="EF16" s="257">
        <f t="shared" si="54"/>
        <v>0</v>
      </c>
      <c r="EG16" s="257">
        <f t="shared" si="55"/>
        <v>0</v>
      </c>
      <c r="EH16" s="223"/>
      <c r="EI16" s="223"/>
      <c r="EJ16" s="223"/>
      <c r="EK16" s="289">
        <f t="shared" si="56"/>
        <v>90</v>
      </c>
      <c r="EL16" s="257">
        <f t="shared" si="57"/>
        <v>75</v>
      </c>
      <c r="EM16" s="257">
        <f t="shared" si="58"/>
        <v>85</v>
      </c>
      <c r="EN16" s="257">
        <f t="shared" si="59"/>
        <v>80</v>
      </c>
      <c r="EO16" s="257">
        <f t="shared" si="60"/>
        <v>75</v>
      </c>
      <c r="EP16" s="257">
        <f t="shared" si="61"/>
        <v>0</v>
      </c>
      <c r="EQ16" s="257">
        <f t="shared" si="62"/>
        <v>0</v>
      </c>
      <c r="ER16" s="257">
        <f t="shared" si="63"/>
        <v>0</v>
      </c>
      <c r="ES16" s="223"/>
      <c r="ET16" s="223"/>
      <c r="EU16" s="223"/>
      <c r="EV16" s="289">
        <f t="shared" si="64"/>
        <v>85</v>
      </c>
      <c r="EW16" s="257">
        <f t="shared" si="65"/>
        <v>75</v>
      </c>
      <c r="EX16" s="257">
        <f t="shared" si="66"/>
        <v>80</v>
      </c>
      <c r="EY16" s="257">
        <f t="shared" si="67"/>
        <v>75</v>
      </c>
      <c r="EZ16" s="575">
        <f t="shared" si="68"/>
        <v>0</v>
      </c>
      <c r="FA16" s="506">
        <f t="shared" si="69"/>
        <v>3</v>
      </c>
      <c r="FB16" s="39">
        <f t="shared" si="70"/>
        <v>76.666666666666671</v>
      </c>
      <c r="FC16" s="257">
        <f t="shared" si="71"/>
        <v>80</v>
      </c>
      <c r="FD16" s="257">
        <f t="shared" si="72"/>
        <v>90</v>
      </c>
      <c r="FE16" s="257">
        <f t="shared" si="73"/>
        <v>85</v>
      </c>
      <c r="FF16" s="575">
        <f t="shared" si="74"/>
        <v>0</v>
      </c>
      <c r="FG16" s="506">
        <f t="shared" si="75"/>
        <v>3</v>
      </c>
      <c r="FH16" s="39">
        <f t="shared" si="76"/>
        <v>85</v>
      </c>
      <c r="FI16" s="257">
        <f t="shared" si="77"/>
        <v>75</v>
      </c>
      <c r="FJ16" s="257">
        <f t="shared" si="78"/>
        <v>80</v>
      </c>
      <c r="FK16" s="257">
        <f t="shared" si="79"/>
        <v>80</v>
      </c>
      <c r="FL16" s="575">
        <f t="shared" si="80"/>
        <v>0</v>
      </c>
      <c r="FM16" s="506">
        <f t="shared" si="81"/>
        <v>3</v>
      </c>
      <c r="FN16" s="39">
        <f t="shared" si="82"/>
        <v>78.333333333333329</v>
      </c>
      <c r="FO16" s="257">
        <f t="shared" si="83"/>
        <v>75</v>
      </c>
      <c r="FP16" s="257">
        <f t="shared" si="84"/>
        <v>75</v>
      </c>
      <c r="FQ16" s="257">
        <f t="shared" si="85"/>
        <v>75</v>
      </c>
      <c r="FR16" s="575">
        <f t="shared" si="86"/>
        <v>0</v>
      </c>
      <c r="FS16" s="506">
        <f t="shared" si="87"/>
        <v>3</v>
      </c>
      <c r="FT16" s="39">
        <f t="shared" si="88"/>
        <v>75</v>
      </c>
      <c r="FU16" s="257">
        <f t="shared" si="89"/>
        <v>0</v>
      </c>
      <c r="FV16" s="257">
        <f t="shared" si="90"/>
        <v>0</v>
      </c>
      <c r="FW16" s="257">
        <f t="shared" si="91"/>
        <v>0</v>
      </c>
      <c r="FX16" s="575">
        <f t="shared" si="92"/>
        <v>3</v>
      </c>
      <c r="FY16" s="506">
        <f t="shared" si="93"/>
        <v>0</v>
      </c>
      <c r="FZ16" s="39" t="str">
        <f t="shared" si="94"/>
        <v/>
      </c>
      <c r="GA16" s="257">
        <f t="shared" si="95"/>
        <v>0</v>
      </c>
      <c r="GB16" s="257">
        <f t="shared" si="96"/>
        <v>0</v>
      </c>
      <c r="GC16" s="257">
        <f t="shared" si="97"/>
        <v>0</v>
      </c>
      <c r="GD16" s="575">
        <f t="shared" si="98"/>
        <v>3</v>
      </c>
      <c r="GE16" s="506">
        <f t="shared" si="99"/>
        <v>0</v>
      </c>
      <c r="GF16" s="39" t="str">
        <f t="shared" si="100"/>
        <v/>
      </c>
      <c r="GG16" s="257">
        <f t="shared" si="101"/>
        <v>0</v>
      </c>
      <c r="GH16" s="257">
        <f t="shared" si="102"/>
        <v>0</v>
      </c>
      <c r="GI16" s="257">
        <f t="shared" si="103"/>
        <v>0</v>
      </c>
      <c r="GJ16" s="575">
        <f t="shared" si="104"/>
        <v>3</v>
      </c>
      <c r="GK16" s="506">
        <f t="shared" si="105"/>
        <v>0</v>
      </c>
      <c r="GL16" s="39" t="str">
        <f t="shared" si="106"/>
        <v/>
      </c>
      <c r="GM16" s="39"/>
      <c r="GN16" s="39">
        <f t="shared" si="107"/>
        <v>76.666666666666671</v>
      </c>
      <c r="GO16" s="39">
        <f t="shared" si="108"/>
        <v>85</v>
      </c>
      <c r="GP16" s="39">
        <f t="shared" si="109"/>
        <v>78.333333333333329</v>
      </c>
      <c r="GQ16" s="39">
        <f t="shared" si="110"/>
        <v>75</v>
      </c>
      <c r="GR16" s="39" t="str">
        <f t="shared" si="111"/>
        <v/>
      </c>
      <c r="GS16" s="39" t="str">
        <f t="shared" si="112"/>
        <v/>
      </c>
      <c r="GT16" s="257" t="str">
        <f t="shared" si="113"/>
        <v/>
      </c>
      <c r="GU16" s="579">
        <f t="shared" si="114"/>
        <v>79</v>
      </c>
      <c r="GV16" s="289">
        <f t="shared" si="115"/>
        <v>85</v>
      </c>
      <c r="GW16" s="289">
        <f t="shared" si="116"/>
        <v>75</v>
      </c>
      <c r="GX16" s="289" t="str">
        <f>SISWA!E14</f>
        <v>Radit</v>
      </c>
      <c r="GY16" s="223" t="str">
        <f t="shared" si="117"/>
        <v xml:space="preserve">Ananda Radit </v>
      </c>
      <c r="GZ16" s="580" t="str">
        <f t="shared" si="118"/>
        <v/>
      </c>
      <c r="HA16" s="580">
        <f t="shared" si="119"/>
        <v>85</v>
      </c>
      <c r="HB16" s="580" t="str">
        <f t="shared" si="120"/>
        <v/>
      </c>
      <c r="HC16" s="580" t="str">
        <f t="shared" si="121"/>
        <v/>
      </c>
      <c r="HD16" s="580" t="str">
        <f t="shared" si="122"/>
        <v/>
      </c>
      <c r="HE16" s="580" t="str">
        <f t="shared" si="123"/>
        <v/>
      </c>
      <c r="HF16" s="580" t="str">
        <f t="shared" si="124"/>
        <v/>
      </c>
      <c r="HG16" s="580"/>
      <c r="HH16" s="580"/>
      <c r="HI16" s="580"/>
      <c r="HJ16" s="580"/>
      <c r="HK16" s="223">
        <f t="shared" si="125"/>
        <v>85</v>
      </c>
      <c r="HL16" s="289" t="str">
        <f t="shared" si="126"/>
        <v>menjelaskan hak, kewajiban, dan tanggung jawab sebagai warga masyarakat dalam kehidupan sehari-hari</v>
      </c>
      <c r="HM16" s="576" t="str">
        <f>IF(GV16&gt;100,"",IF(GV16&gt;DP$1,"sangat baik dalam "&amp;HL16,IF(GV16&gt;=DP$2,"baik dalam "&amp;HL16,IF(GV16&gt;=DP$3,"cukup dalam "&amp;HL16,IF(GV16&lt;DP$3,"dengan bimbingan dapat meningkatkan dalam "&amp;HL16,IF(GV16&lt;1," ",””))))))</f>
        <v>baik dalam menjelaskan hak, kewajiban, dan tanggung jawab sebagai warga masyarakat dalam kehidupan sehari-hari</v>
      </c>
      <c r="HN16" s="223"/>
      <c r="HO16" s="223" t="str">
        <f t="shared" si="127"/>
        <v/>
      </c>
      <c r="HP16" s="223" t="str">
        <f t="shared" si="128"/>
        <v/>
      </c>
      <c r="HQ16" s="223" t="str">
        <f t="shared" si="129"/>
        <v/>
      </c>
      <c r="HR16" s="223">
        <f t="shared" si="130"/>
        <v>75</v>
      </c>
      <c r="HS16" s="223" t="str">
        <f t="shared" si="131"/>
        <v/>
      </c>
      <c r="HT16" s="223" t="str">
        <f t="shared" si="132"/>
        <v/>
      </c>
      <c r="HU16" s="223" t="str">
        <f t="shared" si="133"/>
        <v/>
      </c>
      <c r="HV16" s="223"/>
      <c r="HW16" s="223"/>
      <c r="HX16" s="223"/>
      <c r="HY16" s="223"/>
      <c r="HZ16" s="223" t="str">
        <f t="shared" si="134"/>
        <v>menyajikan hasil penggalian tentang manfaat persatuan dan kesatuan untuk membangun kerukunan.</v>
      </c>
      <c r="IA16" s="577" t="str">
        <f>IF(GW16&gt;100,"",IF(GW16&gt;=DP$1,"sangat baik dalam "&amp;HZ16,IF(GW16&gt;=DP$2,"baik dalam "&amp;HZ16,IF(GW16&gt;=DP$3,"cukup dalam "&amp;HZ16,IF(GW16&lt;DP$3,"dengan bimbingan dapat meningkatkan dalam "&amp;HZ16,IF(GW16&lt;1," ",””))))))</f>
        <v>cukup dalam menyajikan hasil penggalian tentang manfaat persatuan dan kesatuan untuk membangun kerukunan.</v>
      </c>
      <c r="IB16" s="223" t="str">
        <f t="shared" si="135"/>
        <v>Ananda Radit baik dalam menjelaskan hak, kewajiban, dan tanggung jawab sebagai warga masyarakat dalam kehidupan sehari-hari, cukup dalam menyajikan hasil penggalian tentang manfaat persatuan dan kesatuan untuk membangun kerukunan..</v>
      </c>
    </row>
    <row r="17" spans="1:236" ht="45">
      <c r="A17" s="39">
        <v>10</v>
      </c>
      <c r="B17" s="290" t="str">
        <f>SISWA!B15</f>
        <v>Muhammad Shulhan Al-farisi</v>
      </c>
      <c r="C17" s="123">
        <v>75</v>
      </c>
      <c r="D17" s="123"/>
      <c r="E17" s="123"/>
      <c r="F17" s="123"/>
      <c r="G17" s="123"/>
      <c r="H17" s="123"/>
      <c r="I17" s="123"/>
      <c r="J17" s="255">
        <v>90</v>
      </c>
      <c r="K17" s="255"/>
      <c r="L17" s="255"/>
      <c r="M17" s="255"/>
      <c r="N17" s="255"/>
      <c r="O17" s="255"/>
      <c r="P17" s="255"/>
      <c r="Q17" s="256">
        <v>75</v>
      </c>
      <c r="R17" s="256"/>
      <c r="S17" s="256"/>
      <c r="T17" s="256"/>
      <c r="U17" s="256"/>
      <c r="V17" s="256"/>
      <c r="W17" s="256"/>
      <c r="X17" s="123"/>
      <c r="Y17" s="123">
        <v>85</v>
      </c>
      <c r="Z17" s="123"/>
      <c r="AA17" s="123"/>
      <c r="AB17" s="123"/>
      <c r="AC17" s="123"/>
      <c r="AD17" s="123"/>
      <c r="AE17" s="255"/>
      <c r="AF17" s="255">
        <v>75</v>
      </c>
      <c r="AG17" s="255"/>
      <c r="AH17" s="255"/>
      <c r="AI17" s="255"/>
      <c r="AJ17" s="255"/>
      <c r="AK17" s="255"/>
      <c r="AL17" s="256"/>
      <c r="AM17" s="256">
        <v>90</v>
      </c>
      <c r="AN17" s="256"/>
      <c r="AO17" s="256"/>
      <c r="AP17" s="256"/>
      <c r="AQ17" s="256"/>
      <c r="AR17" s="256"/>
      <c r="AS17" s="123"/>
      <c r="AT17" s="123"/>
      <c r="AU17" s="123">
        <v>75</v>
      </c>
      <c r="AV17" s="123"/>
      <c r="AW17" s="123"/>
      <c r="AX17" s="123"/>
      <c r="AY17" s="123"/>
      <c r="AZ17" s="255"/>
      <c r="BA17" s="255"/>
      <c r="BB17" s="255">
        <v>90</v>
      </c>
      <c r="BC17" s="255"/>
      <c r="BD17" s="255"/>
      <c r="BE17" s="255"/>
      <c r="BF17" s="255"/>
      <c r="BG17" s="256"/>
      <c r="BH17" s="256"/>
      <c r="BI17" s="256">
        <v>75</v>
      </c>
      <c r="BJ17" s="256"/>
      <c r="BK17" s="256"/>
      <c r="BL17" s="256"/>
      <c r="BM17" s="256"/>
      <c r="BN17" s="123"/>
      <c r="BO17" s="123">
        <v>85</v>
      </c>
      <c r="BP17" s="123"/>
      <c r="BQ17" s="123"/>
      <c r="BR17" s="123"/>
      <c r="BS17" s="123"/>
      <c r="BT17" s="123"/>
      <c r="BU17" s="255"/>
      <c r="BV17" s="255">
        <v>90</v>
      </c>
      <c r="BW17" s="255"/>
      <c r="BX17" s="255"/>
      <c r="BY17" s="255"/>
      <c r="BZ17" s="255"/>
      <c r="CA17" s="255"/>
      <c r="CB17" s="256"/>
      <c r="CC17" s="256">
        <v>85</v>
      </c>
      <c r="CD17" s="256"/>
      <c r="CE17" s="256"/>
      <c r="CF17" s="256"/>
      <c r="CG17" s="256"/>
      <c r="CH17" s="256"/>
      <c r="CI17" s="458"/>
      <c r="CJ17" s="458"/>
      <c r="CK17" s="458"/>
      <c r="CL17" s="458">
        <v>75</v>
      </c>
      <c r="CM17" s="458"/>
      <c r="CN17" s="458"/>
      <c r="CO17" s="458"/>
      <c r="CP17" s="457"/>
      <c r="CQ17" s="457"/>
      <c r="CR17" s="457"/>
      <c r="CS17" s="457">
        <v>75</v>
      </c>
      <c r="CT17" s="457"/>
      <c r="CU17" s="457"/>
      <c r="CV17" s="457"/>
      <c r="CW17" s="256"/>
      <c r="CX17" s="256"/>
      <c r="CY17" s="256"/>
      <c r="CZ17" s="256">
        <v>90</v>
      </c>
      <c r="DA17" s="256"/>
      <c r="DB17" s="256"/>
      <c r="DC17" s="256"/>
      <c r="DD17" s="257">
        <f t="shared" si="31"/>
        <v>80</v>
      </c>
      <c r="DE17" s="257">
        <f t="shared" si="32"/>
        <v>88.333333333333329</v>
      </c>
      <c r="DF17" s="257">
        <f t="shared" si="33"/>
        <v>80</v>
      </c>
      <c r="DG17" s="257">
        <f t="shared" si="34"/>
        <v>80</v>
      </c>
      <c r="DH17" s="257" t="str">
        <f t="shared" si="35"/>
        <v/>
      </c>
      <c r="DI17" s="257" t="str">
        <f t="shared" si="36"/>
        <v/>
      </c>
      <c r="DJ17" s="257" t="str">
        <f t="shared" si="37"/>
        <v/>
      </c>
      <c r="DK17" s="569">
        <f t="shared" si="38"/>
        <v>82</v>
      </c>
      <c r="DL17" s="291" t="str">
        <f t="shared" si="39"/>
        <v>C</v>
      </c>
      <c r="DM17" s="243" t="str">
        <f t="shared" si="40"/>
        <v>Ananda Shulhan baik dalam menjelaskan hak, kewajiban, dan tanggung jawab sebagai warga masyarakat dalam kehidupan sehari-hari, cukup dalam menyajikan hasil penggalian tentang manfaat persatuan dan kesatuan untuk membangun kerukunan..</v>
      </c>
      <c r="DN17" s="39"/>
      <c r="DO17" s="39"/>
      <c r="DP17" s="257">
        <f t="shared" si="41"/>
        <v>75</v>
      </c>
      <c r="DQ17" s="257">
        <f t="shared" si="42"/>
        <v>85</v>
      </c>
      <c r="DR17" s="257">
        <f t="shared" si="43"/>
        <v>75</v>
      </c>
      <c r="DS17" s="257">
        <f t="shared" si="44"/>
        <v>75</v>
      </c>
      <c r="DT17" s="257">
        <f t="shared" si="45"/>
        <v>0</v>
      </c>
      <c r="DU17" s="257">
        <f t="shared" si="46"/>
        <v>0</v>
      </c>
      <c r="DV17" s="257">
        <f t="shared" si="47"/>
        <v>0</v>
      </c>
      <c r="DW17" s="257"/>
      <c r="DX17" s="257"/>
      <c r="DY17" s="257"/>
      <c r="DZ17" s="289">
        <f t="shared" si="48"/>
        <v>85</v>
      </c>
      <c r="EA17" s="257">
        <f t="shared" si="49"/>
        <v>90</v>
      </c>
      <c r="EB17" s="257">
        <f t="shared" si="50"/>
        <v>90</v>
      </c>
      <c r="EC17" s="257">
        <f t="shared" si="51"/>
        <v>90</v>
      </c>
      <c r="ED17" s="257">
        <f t="shared" si="52"/>
        <v>75</v>
      </c>
      <c r="EE17" s="257">
        <f t="shared" si="53"/>
        <v>0</v>
      </c>
      <c r="EF17" s="257">
        <f t="shared" si="54"/>
        <v>0</v>
      </c>
      <c r="EG17" s="257">
        <f t="shared" si="55"/>
        <v>0</v>
      </c>
      <c r="EH17" s="223"/>
      <c r="EI17" s="223"/>
      <c r="EJ17" s="223"/>
      <c r="EK17" s="289">
        <f t="shared" si="56"/>
        <v>90</v>
      </c>
      <c r="EL17" s="257">
        <f t="shared" si="57"/>
        <v>75</v>
      </c>
      <c r="EM17" s="257">
        <f t="shared" si="58"/>
        <v>90</v>
      </c>
      <c r="EN17" s="257">
        <f t="shared" si="59"/>
        <v>75</v>
      </c>
      <c r="EO17" s="257">
        <f t="shared" si="60"/>
        <v>90</v>
      </c>
      <c r="EP17" s="257">
        <f t="shared" si="61"/>
        <v>0</v>
      </c>
      <c r="EQ17" s="257">
        <f t="shared" si="62"/>
        <v>0</v>
      </c>
      <c r="ER17" s="257">
        <f t="shared" si="63"/>
        <v>0</v>
      </c>
      <c r="ES17" s="223"/>
      <c r="ET17" s="223"/>
      <c r="EU17" s="223"/>
      <c r="EV17" s="289">
        <f t="shared" si="64"/>
        <v>90</v>
      </c>
      <c r="EW17" s="257">
        <f t="shared" si="65"/>
        <v>75</v>
      </c>
      <c r="EX17" s="257">
        <f t="shared" si="66"/>
        <v>90</v>
      </c>
      <c r="EY17" s="257">
        <f t="shared" si="67"/>
        <v>75</v>
      </c>
      <c r="EZ17" s="575">
        <f t="shared" si="68"/>
        <v>0</v>
      </c>
      <c r="FA17" s="506">
        <f t="shared" si="69"/>
        <v>3</v>
      </c>
      <c r="FB17" s="39">
        <f t="shared" si="70"/>
        <v>80</v>
      </c>
      <c r="FC17" s="257">
        <f t="shared" si="71"/>
        <v>85</v>
      </c>
      <c r="FD17" s="257">
        <f t="shared" si="72"/>
        <v>90</v>
      </c>
      <c r="FE17" s="257">
        <f t="shared" si="73"/>
        <v>90</v>
      </c>
      <c r="FF17" s="575">
        <f t="shared" si="74"/>
        <v>0</v>
      </c>
      <c r="FG17" s="506">
        <f t="shared" si="75"/>
        <v>3</v>
      </c>
      <c r="FH17" s="39">
        <f t="shared" si="76"/>
        <v>88.333333333333329</v>
      </c>
      <c r="FI17" s="257">
        <f t="shared" si="77"/>
        <v>75</v>
      </c>
      <c r="FJ17" s="257">
        <f t="shared" si="78"/>
        <v>90</v>
      </c>
      <c r="FK17" s="257">
        <f t="shared" si="79"/>
        <v>75</v>
      </c>
      <c r="FL17" s="575">
        <f t="shared" si="80"/>
        <v>0</v>
      </c>
      <c r="FM17" s="506">
        <f t="shared" si="81"/>
        <v>3</v>
      </c>
      <c r="FN17" s="39">
        <f t="shared" si="82"/>
        <v>80</v>
      </c>
      <c r="FO17" s="257">
        <f t="shared" si="83"/>
        <v>75</v>
      </c>
      <c r="FP17" s="257">
        <f t="shared" si="84"/>
        <v>75</v>
      </c>
      <c r="FQ17" s="257">
        <f t="shared" si="85"/>
        <v>90</v>
      </c>
      <c r="FR17" s="575">
        <f t="shared" si="86"/>
        <v>0</v>
      </c>
      <c r="FS17" s="506">
        <f t="shared" si="87"/>
        <v>3</v>
      </c>
      <c r="FT17" s="39">
        <f t="shared" si="88"/>
        <v>80</v>
      </c>
      <c r="FU17" s="257">
        <f t="shared" si="89"/>
        <v>0</v>
      </c>
      <c r="FV17" s="257">
        <f t="shared" si="90"/>
        <v>0</v>
      </c>
      <c r="FW17" s="257">
        <f t="shared" si="91"/>
        <v>0</v>
      </c>
      <c r="FX17" s="575">
        <f t="shared" si="92"/>
        <v>3</v>
      </c>
      <c r="FY17" s="506">
        <f t="shared" si="93"/>
        <v>0</v>
      </c>
      <c r="FZ17" s="39" t="str">
        <f t="shared" si="94"/>
        <v/>
      </c>
      <c r="GA17" s="257">
        <f t="shared" si="95"/>
        <v>0</v>
      </c>
      <c r="GB17" s="257">
        <f t="shared" si="96"/>
        <v>0</v>
      </c>
      <c r="GC17" s="257">
        <f t="shared" si="97"/>
        <v>0</v>
      </c>
      <c r="GD17" s="575">
        <f t="shared" si="98"/>
        <v>3</v>
      </c>
      <c r="GE17" s="506">
        <f t="shared" si="99"/>
        <v>0</v>
      </c>
      <c r="GF17" s="39" t="str">
        <f t="shared" si="100"/>
        <v/>
      </c>
      <c r="GG17" s="257">
        <f t="shared" si="101"/>
        <v>0</v>
      </c>
      <c r="GH17" s="257">
        <f t="shared" si="102"/>
        <v>0</v>
      </c>
      <c r="GI17" s="257">
        <f t="shared" si="103"/>
        <v>0</v>
      </c>
      <c r="GJ17" s="575">
        <f t="shared" si="104"/>
        <v>3</v>
      </c>
      <c r="GK17" s="506">
        <f t="shared" si="105"/>
        <v>0</v>
      </c>
      <c r="GL17" s="39" t="str">
        <f t="shared" si="106"/>
        <v/>
      </c>
      <c r="GM17" s="39"/>
      <c r="GN17" s="39">
        <f t="shared" si="107"/>
        <v>80</v>
      </c>
      <c r="GO17" s="39">
        <f t="shared" si="108"/>
        <v>88.333333333333329</v>
      </c>
      <c r="GP17" s="39">
        <f t="shared" si="109"/>
        <v>80</v>
      </c>
      <c r="GQ17" s="39">
        <f t="shared" si="110"/>
        <v>80</v>
      </c>
      <c r="GR17" s="39" t="str">
        <f t="shared" si="111"/>
        <v/>
      </c>
      <c r="GS17" s="39" t="str">
        <f t="shared" si="112"/>
        <v/>
      </c>
      <c r="GT17" s="257" t="str">
        <f t="shared" si="113"/>
        <v/>
      </c>
      <c r="GU17" s="579">
        <f t="shared" si="114"/>
        <v>82</v>
      </c>
      <c r="GV17" s="289">
        <f t="shared" si="115"/>
        <v>88.333333333333329</v>
      </c>
      <c r="GW17" s="289">
        <f t="shared" si="116"/>
        <v>80</v>
      </c>
      <c r="GX17" s="289" t="str">
        <f>SISWA!E15</f>
        <v>Shulhan</v>
      </c>
      <c r="GY17" s="223" t="str">
        <f t="shared" si="117"/>
        <v xml:space="preserve">Ananda Shulhan </v>
      </c>
      <c r="GZ17" s="580" t="str">
        <f t="shared" si="118"/>
        <v/>
      </c>
      <c r="HA17" s="580">
        <f t="shared" si="119"/>
        <v>88.333333333333329</v>
      </c>
      <c r="HB17" s="580" t="str">
        <f t="shared" si="120"/>
        <v/>
      </c>
      <c r="HC17" s="580" t="str">
        <f t="shared" si="121"/>
        <v/>
      </c>
      <c r="HD17" s="580" t="str">
        <f t="shared" si="122"/>
        <v/>
      </c>
      <c r="HE17" s="580" t="str">
        <f t="shared" si="123"/>
        <v/>
      </c>
      <c r="HF17" s="580" t="str">
        <f t="shared" si="124"/>
        <v/>
      </c>
      <c r="HG17" s="580"/>
      <c r="HH17" s="580"/>
      <c r="HI17" s="580"/>
      <c r="HJ17" s="580"/>
      <c r="HK17" s="223">
        <f t="shared" si="125"/>
        <v>88.333333333333329</v>
      </c>
      <c r="HL17" s="289" t="str">
        <f t="shared" si="126"/>
        <v>menjelaskan hak, kewajiban, dan tanggung jawab sebagai warga masyarakat dalam kehidupan sehari-hari</v>
      </c>
      <c r="HM17" s="576" t="str">
        <f>IF(GV17&gt;100,"",IF(GV17&gt;DP$1,"sangat baik dalam "&amp;HL17,IF(GV17&gt;=DP$2,"baik dalam "&amp;HL17,IF(GV17&gt;=DP$3,"cukup dalam "&amp;HL17,IF(GV17&lt;DP$3,"dengan bimbingan dapat meningkatkan dalam "&amp;HL17,IF(GV17&lt;1," ",””))))))</f>
        <v>baik dalam menjelaskan hak, kewajiban, dan tanggung jawab sebagai warga masyarakat dalam kehidupan sehari-hari</v>
      </c>
      <c r="HN17" s="223"/>
      <c r="HO17" s="223">
        <f t="shared" si="127"/>
        <v>80</v>
      </c>
      <c r="HP17" s="223" t="str">
        <f t="shared" si="128"/>
        <v/>
      </c>
      <c r="HQ17" s="223">
        <f t="shared" si="129"/>
        <v>80</v>
      </c>
      <c r="HR17" s="223">
        <f t="shared" si="130"/>
        <v>80</v>
      </c>
      <c r="HS17" s="223" t="str">
        <f t="shared" si="131"/>
        <v/>
      </c>
      <c r="HT17" s="223" t="str">
        <f t="shared" si="132"/>
        <v/>
      </c>
      <c r="HU17" s="223" t="str">
        <f t="shared" si="133"/>
        <v/>
      </c>
      <c r="HV17" s="223"/>
      <c r="HW17" s="223"/>
      <c r="HX17" s="223"/>
      <c r="HY17" s="223"/>
      <c r="HZ17" s="223" t="str">
        <f t="shared" si="134"/>
        <v>menyajikan hasil penggalian tentang manfaat persatuan dan kesatuan untuk membangun kerukunan.</v>
      </c>
      <c r="IA17" s="577" t="str">
        <f>IF(GW17&gt;100,"",IF(GW17&gt;=DP$1,"sangat baik dalam "&amp;HZ17,IF(GW17&gt;=DP$2,"baik dalam "&amp;HZ17,IF(GW17&gt;=DP$3,"cukup dalam "&amp;HZ17,IF(GW17&lt;DP$3,"dengan bimbingan dapat meningkatkan dalam "&amp;HZ17,IF(GW17&lt;1," ",””))))))</f>
        <v>cukup dalam menyajikan hasil penggalian tentang manfaat persatuan dan kesatuan untuk membangun kerukunan.</v>
      </c>
      <c r="IB17" s="223" t="str">
        <f t="shared" si="135"/>
        <v>Ananda Shulhan baik dalam menjelaskan hak, kewajiban, dan tanggung jawab sebagai warga masyarakat dalam kehidupan sehari-hari, cukup dalam menyajikan hasil penggalian tentang manfaat persatuan dan kesatuan untuk membangun kerukunan..</v>
      </c>
    </row>
    <row r="18" spans="1:236" ht="45">
      <c r="A18" s="39">
        <v>11</v>
      </c>
      <c r="B18" s="290" t="str">
        <f>SISWA!B16</f>
        <v>Novaris Dwi Firmansyah</v>
      </c>
      <c r="C18" s="123">
        <v>80</v>
      </c>
      <c r="D18" s="123"/>
      <c r="E18" s="123"/>
      <c r="F18" s="123"/>
      <c r="G18" s="123"/>
      <c r="H18" s="123"/>
      <c r="I18" s="123"/>
      <c r="J18" s="255">
        <v>80</v>
      </c>
      <c r="K18" s="255"/>
      <c r="L18" s="255"/>
      <c r="M18" s="255"/>
      <c r="N18" s="255"/>
      <c r="O18" s="255"/>
      <c r="P18" s="255"/>
      <c r="Q18" s="256">
        <v>90</v>
      </c>
      <c r="R18" s="256"/>
      <c r="S18" s="256"/>
      <c r="T18" s="256"/>
      <c r="U18" s="256"/>
      <c r="V18" s="256"/>
      <c r="W18" s="256"/>
      <c r="X18" s="123"/>
      <c r="Y18" s="123">
        <v>75</v>
      </c>
      <c r="Z18" s="123"/>
      <c r="AA18" s="123"/>
      <c r="AB18" s="123"/>
      <c r="AC18" s="123"/>
      <c r="AD18" s="123"/>
      <c r="AE18" s="255"/>
      <c r="AF18" s="255">
        <v>75</v>
      </c>
      <c r="AG18" s="255"/>
      <c r="AH18" s="255"/>
      <c r="AI18" s="255"/>
      <c r="AJ18" s="255"/>
      <c r="AK18" s="255"/>
      <c r="AL18" s="256"/>
      <c r="AM18" s="256">
        <v>90</v>
      </c>
      <c r="AN18" s="256"/>
      <c r="AO18" s="256"/>
      <c r="AP18" s="256"/>
      <c r="AQ18" s="256"/>
      <c r="AR18" s="256"/>
      <c r="AS18" s="123"/>
      <c r="AT18" s="123"/>
      <c r="AU18" s="123">
        <v>75</v>
      </c>
      <c r="AV18" s="123"/>
      <c r="AW18" s="123"/>
      <c r="AX18" s="123"/>
      <c r="AY18" s="123"/>
      <c r="AZ18" s="255"/>
      <c r="BA18" s="255"/>
      <c r="BB18" s="255">
        <v>90</v>
      </c>
      <c r="BC18" s="255"/>
      <c r="BD18" s="255"/>
      <c r="BE18" s="255"/>
      <c r="BF18" s="255"/>
      <c r="BG18" s="256"/>
      <c r="BH18" s="256"/>
      <c r="BI18" s="256">
        <v>75</v>
      </c>
      <c r="BJ18" s="256"/>
      <c r="BK18" s="256"/>
      <c r="BL18" s="256"/>
      <c r="BM18" s="256"/>
      <c r="BN18" s="123"/>
      <c r="BO18" s="123">
        <v>75</v>
      </c>
      <c r="BP18" s="123"/>
      <c r="BQ18" s="123"/>
      <c r="BR18" s="123"/>
      <c r="BS18" s="123"/>
      <c r="BT18" s="123"/>
      <c r="BU18" s="255"/>
      <c r="BV18" s="255">
        <v>90</v>
      </c>
      <c r="BW18" s="255"/>
      <c r="BX18" s="255"/>
      <c r="BY18" s="255"/>
      <c r="BZ18" s="255"/>
      <c r="CA18" s="255"/>
      <c r="CB18" s="256"/>
      <c r="CC18" s="256">
        <v>85</v>
      </c>
      <c r="CD18" s="256"/>
      <c r="CE18" s="256"/>
      <c r="CF18" s="256"/>
      <c r="CG18" s="256"/>
      <c r="CH18" s="256"/>
      <c r="CI18" s="458"/>
      <c r="CJ18" s="458"/>
      <c r="CK18" s="458"/>
      <c r="CL18" s="458">
        <v>75</v>
      </c>
      <c r="CM18" s="458"/>
      <c r="CN18" s="458"/>
      <c r="CO18" s="458"/>
      <c r="CP18" s="457"/>
      <c r="CQ18" s="457"/>
      <c r="CR18" s="457"/>
      <c r="CS18" s="457">
        <v>85</v>
      </c>
      <c r="CT18" s="457"/>
      <c r="CU18" s="457"/>
      <c r="CV18" s="457"/>
      <c r="CW18" s="256"/>
      <c r="CX18" s="256"/>
      <c r="CY18" s="256"/>
      <c r="CZ18" s="256">
        <v>90</v>
      </c>
      <c r="DA18" s="256"/>
      <c r="DB18" s="256"/>
      <c r="DC18" s="256"/>
      <c r="DD18" s="257">
        <f t="shared" si="31"/>
        <v>83.333333333333329</v>
      </c>
      <c r="DE18" s="257">
        <f t="shared" si="32"/>
        <v>85</v>
      </c>
      <c r="DF18" s="257">
        <f t="shared" si="33"/>
        <v>80</v>
      </c>
      <c r="DG18" s="257">
        <f t="shared" si="34"/>
        <v>83.333333333333329</v>
      </c>
      <c r="DH18" s="257" t="str">
        <f t="shared" si="35"/>
        <v/>
      </c>
      <c r="DI18" s="257" t="str">
        <f t="shared" si="36"/>
        <v/>
      </c>
      <c r="DJ18" s="257" t="str">
        <f t="shared" si="37"/>
        <v/>
      </c>
      <c r="DK18" s="569">
        <f t="shared" si="38"/>
        <v>83</v>
      </c>
      <c r="DL18" s="291" t="str">
        <f t="shared" si="39"/>
        <v>B</v>
      </c>
      <c r="DM18" s="243" t="str">
        <f t="shared" si="40"/>
        <v>Ananda Varis baik dalam menjelaskan hak, kewajiban, dan tanggung jawab sebagai warga masyarakat dalam kehidupan sehari-hari, cukup dalam menyelenggarakan kegiatan yang mendukung keberagaman sosial budaya masyarakat.</v>
      </c>
      <c r="DN18" s="39"/>
      <c r="DO18" s="39"/>
      <c r="DP18" s="257">
        <f t="shared" si="41"/>
        <v>80</v>
      </c>
      <c r="DQ18" s="257">
        <f t="shared" si="42"/>
        <v>75</v>
      </c>
      <c r="DR18" s="257">
        <f t="shared" si="43"/>
        <v>75</v>
      </c>
      <c r="DS18" s="257">
        <f t="shared" si="44"/>
        <v>75</v>
      </c>
      <c r="DT18" s="257">
        <f t="shared" si="45"/>
        <v>0</v>
      </c>
      <c r="DU18" s="257">
        <f t="shared" si="46"/>
        <v>0</v>
      </c>
      <c r="DV18" s="257">
        <f t="shared" si="47"/>
        <v>0</v>
      </c>
      <c r="DW18" s="257"/>
      <c r="DX18" s="257"/>
      <c r="DY18" s="257"/>
      <c r="DZ18" s="289">
        <f t="shared" si="48"/>
        <v>80</v>
      </c>
      <c r="EA18" s="257">
        <f t="shared" si="49"/>
        <v>80</v>
      </c>
      <c r="EB18" s="257">
        <f t="shared" si="50"/>
        <v>90</v>
      </c>
      <c r="EC18" s="257">
        <f t="shared" si="51"/>
        <v>90</v>
      </c>
      <c r="ED18" s="257">
        <f t="shared" si="52"/>
        <v>85</v>
      </c>
      <c r="EE18" s="257">
        <f t="shared" si="53"/>
        <v>0</v>
      </c>
      <c r="EF18" s="257">
        <f t="shared" si="54"/>
        <v>0</v>
      </c>
      <c r="EG18" s="257">
        <f t="shared" si="55"/>
        <v>0</v>
      </c>
      <c r="EH18" s="223"/>
      <c r="EI18" s="223"/>
      <c r="EJ18" s="223"/>
      <c r="EK18" s="289">
        <f t="shared" si="56"/>
        <v>90</v>
      </c>
      <c r="EL18" s="257">
        <f t="shared" si="57"/>
        <v>90</v>
      </c>
      <c r="EM18" s="257">
        <f t="shared" si="58"/>
        <v>90</v>
      </c>
      <c r="EN18" s="257">
        <f t="shared" si="59"/>
        <v>75</v>
      </c>
      <c r="EO18" s="257">
        <f t="shared" si="60"/>
        <v>90</v>
      </c>
      <c r="EP18" s="257">
        <f t="shared" si="61"/>
        <v>0</v>
      </c>
      <c r="EQ18" s="257">
        <f t="shared" si="62"/>
        <v>0</v>
      </c>
      <c r="ER18" s="257">
        <f t="shared" si="63"/>
        <v>0</v>
      </c>
      <c r="ES18" s="223"/>
      <c r="ET18" s="223"/>
      <c r="EU18" s="223"/>
      <c r="EV18" s="289">
        <f t="shared" si="64"/>
        <v>90</v>
      </c>
      <c r="EW18" s="257">
        <f t="shared" si="65"/>
        <v>80</v>
      </c>
      <c r="EX18" s="257">
        <f t="shared" si="66"/>
        <v>80</v>
      </c>
      <c r="EY18" s="257">
        <f t="shared" si="67"/>
        <v>90</v>
      </c>
      <c r="EZ18" s="575">
        <f t="shared" si="68"/>
        <v>0</v>
      </c>
      <c r="FA18" s="506">
        <f t="shared" si="69"/>
        <v>3</v>
      </c>
      <c r="FB18" s="39">
        <f t="shared" si="70"/>
        <v>83.333333333333329</v>
      </c>
      <c r="FC18" s="257">
        <f t="shared" si="71"/>
        <v>75</v>
      </c>
      <c r="FD18" s="257">
        <f t="shared" si="72"/>
        <v>90</v>
      </c>
      <c r="FE18" s="257">
        <f t="shared" si="73"/>
        <v>90</v>
      </c>
      <c r="FF18" s="575">
        <f t="shared" si="74"/>
        <v>0</v>
      </c>
      <c r="FG18" s="506">
        <f t="shared" si="75"/>
        <v>3</v>
      </c>
      <c r="FH18" s="39">
        <f t="shared" si="76"/>
        <v>85</v>
      </c>
      <c r="FI18" s="257">
        <f t="shared" si="77"/>
        <v>75</v>
      </c>
      <c r="FJ18" s="257">
        <f t="shared" si="78"/>
        <v>90</v>
      </c>
      <c r="FK18" s="257">
        <f t="shared" si="79"/>
        <v>75</v>
      </c>
      <c r="FL18" s="575">
        <f t="shared" si="80"/>
        <v>0</v>
      </c>
      <c r="FM18" s="506">
        <f t="shared" si="81"/>
        <v>3</v>
      </c>
      <c r="FN18" s="39">
        <f t="shared" si="82"/>
        <v>80</v>
      </c>
      <c r="FO18" s="257">
        <f t="shared" si="83"/>
        <v>75</v>
      </c>
      <c r="FP18" s="257">
        <f t="shared" si="84"/>
        <v>85</v>
      </c>
      <c r="FQ18" s="257">
        <f t="shared" si="85"/>
        <v>90</v>
      </c>
      <c r="FR18" s="575">
        <f t="shared" si="86"/>
        <v>0</v>
      </c>
      <c r="FS18" s="506">
        <f t="shared" si="87"/>
        <v>3</v>
      </c>
      <c r="FT18" s="39">
        <f t="shared" si="88"/>
        <v>83.333333333333329</v>
      </c>
      <c r="FU18" s="257">
        <f t="shared" si="89"/>
        <v>0</v>
      </c>
      <c r="FV18" s="257">
        <f t="shared" si="90"/>
        <v>0</v>
      </c>
      <c r="FW18" s="257">
        <f t="shared" si="91"/>
        <v>0</v>
      </c>
      <c r="FX18" s="575">
        <f t="shared" si="92"/>
        <v>3</v>
      </c>
      <c r="FY18" s="506">
        <f t="shared" si="93"/>
        <v>0</v>
      </c>
      <c r="FZ18" s="39" t="str">
        <f t="shared" si="94"/>
        <v/>
      </c>
      <c r="GA18" s="257">
        <f t="shared" si="95"/>
        <v>0</v>
      </c>
      <c r="GB18" s="257">
        <f t="shared" si="96"/>
        <v>0</v>
      </c>
      <c r="GC18" s="257">
        <f t="shared" si="97"/>
        <v>0</v>
      </c>
      <c r="GD18" s="575">
        <f t="shared" si="98"/>
        <v>3</v>
      </c>
      <c r="GE18" s="506">
        <f t="shared" si="99"/>
        <v>0</v>
      </c>
      <c r="GF18" s="39" t="str">
        <f t="shared" si="100"/>
        <v/>
      </c>
      <c r="GG18" s="257">
        <f t="shared" si="101"/>
        <v>0</v>
      </c>
      <c r="GH18" s="257">
        <f t="shared" si="102"/>
        <v>0</v>
      </c>
      <c r="GI18" s="257">
        <f t="shared" si="103"/>
        <v>0</v>
      </c>
      <c r="GJ18" s="575">
        <f t="shared" si="104"/>
        <v>3</v>
      </c>
      <c r="GK18" s="506">
        <f t="shared" si="105"/>
        <v>0</v>
      </c>
      <c r="GL18" s="39" t="str">
        <f t="shared" si="106"/>
        <v/>
      </c>
      <c r="GM18" s="39"/>
      <c r="GN18" s="39">
        <f t="shared" si="107"/>
        <v>83.333333333333329</v>
      </c>
      <c r="GO18" s="39">
        <f t="shared" si="108"/>
        <v>85</v>
      </c>
      <c r="GP18" s="39">
        <f t="shared" si="109"/>
        <v>80</v>
      </c>
      <c r="GQ18" s="39">
        <f t="shared" si="110"/>
        <v>83.333333333333329</v>
      </c>
      <c r="GR18" s="39" t="str">
        <f t="shared" si="111"/>
        <v/>
      </c>
      <c r="GS18" s="39" t="str">
        <f t="shared" si="112"/>
        <v/>
      </c>
      <c r="GT18" s="257" t="str">
        <f t="shared" si="113"/>
        <v/>
      </c>
      <c r="GU18" s="579">
        <f t="shared" si="114"/>
        <v>83</v>
      </c>
      <c r="GV18" s="289">
        <f t="shared" si="115"/>
        <v>85</v>
      </c>
      <c r="GW18" s="289">
        <f t="shared" si="116"/>
        <v>80</v>
      </c>
      <c r="GX18" s="289" t="str">
        <f>SISWA!E16</f>
        <v>Varis</v>
      </c>
      <c r="GY18" s="223" t="str">
        <f t="shared" si="117"/>
        <v xml:space="preserve">Ananda Varis </v>
      </c>
      <c r="GZ18" s="580" t="str">
        <f t="shared" si="118"/>
        <v/>
      </c>
      <c r="HA18" s="580">
        <f t="shared" si="119"/>
        <v>85</v>
      </c>
      <c r="HB18" s="580" t="str">
        <f t="shared" si="120"/>
        <v/>
      </c>
      <c r="HC18" s="580" t="str">
        <f t="shared" si="121"/>
        <v/>
      </c>
      <c r="HD18" s="580" t="str">
        <f t="shared" si="122"/>
        <v/>
      </c>
      <c r="HE18" s="580" t="str">
        <f t="shared" si="123"/>
        <v/>
      </c>
      <c r="HF18" s="580" t="str">
        <f t="shared" si="124"/>
        <v/>
      </c>
      <c r="HG18" s="580"/>
      <c r="HH18" s="580"/>
      <c r="HI18" s="580"/>
      <c r="HJ18" s="580"/>
      <c r="HK18" s="223">
        <f t="shared" si="125"/>
        <v>85</v>
      </c>
      <c r="HL18" s="289" t="str">
        <f t="shared" si="126"/>
        <v>menjelaskan hak, kewajiban, dan tanggung jawab sebagai warga masyarakat dalam kehidupan sehari-hari</v>
      </c>
      <c r="HM18" s="576" t="str">
        <f>IF(GV18&gt;100,"",IF(GV18&gt;DP$1,"sangat baik dalam "&amp;HL18,IF(GV18&gt;=DP$2,"baik dalam "&amp;HL18,IF(GV18&gt;=DP$3,"cukup dalam "&amp;HL18,IF(GV18&lt;DP$3,"dengan bimbingan dapat meningkatkan dalam "&amp;HL18,IF(GV18&lt;1," ",””))))))</f>
        <v>baik dalam menjelaskan hak, kewajiban, dan tanggung jawab sebagai warga masyarakat dalam kehidupan sehari-hari</v>
      </c>
      <c r="HN18" s="223"/>
      <c r="HO18" s="223" t="str">
        <f t="shared" si="127"/>
        <v/>
      </c>
      <c r="HP18" s="223" t="str">
        <f t="shared" si="128"/>
        <v/>
      </c>
      <c r="HQ18" s="223">
        <f t="shared" si="129"/>
        <v>80</v>
      </c>
      <c r="HR18" s="223" t="str">
        <f t="shared" si="130"/>
        <v/>
      </c>
      <c r="HS18" s="223" t="str">
        <f t="shared" si="131"/>
        <v/>
      </c>
      <c r="HT18" s="223" t="str">
        <f t="shared" si="132"/>
        <v/>
      </c>
      <c r="HU18" s="223" t="str">
        <f t="shared" si="133"/>
        <v/>
      </c>
      <c r="HV18" s="223"/>
      <c r="HW18" s="223"/>
      <c r="HX18" s="223"/>
      <c r="HY18" s="223"/>
      <c r="HZ18" s="223" t="str">
        <f t="shared" si="134"/>
        <v>menyelenggarakan kegiatan yang mendukung keberagaman sosial budaya masyarakat</v>
      </c>
      <c r="IA18" s="577" t="str">
        <f>IF(GW18&gt;100,"",IF(GW18&gt;=DP$1,"sangat baik dalam "&amp;HZ18,IF(GW18&gt;=DP$2,"baik dalam "&amp;HZ18,IF(GW18&gt;=DP$3,"cukup dalam "&amp;HZ18,IF(GW18&lt;DP$3,"dengan bimbingan dapat meningkatkan dalam "&amp;HZ18,IF(GW18&lt;1," ",””))))))</f>
        <v>cukup dalam menyelenggarakan kegiatan yang mendukung keberagaman sosial budaya masyarakat</v>
      </c>
      <c r="IB18" s="223" t="str">
        <f t="shared" si="135"/>
        <v>Ananda Varis baik dalam menjelaskan hak, kewajiban, dan tanggung jawab sebagai warga masyarakat dalam kehidupan sehari-hari, cukup dalam menyelenggarakan kegiatan yang mendukung keberagaman sosial budaya masyarakat.</v>
      </c>
    </row>
    <row r="19" spans="1:236" ht="45">
      <c r="A19" s="39">
        <v>12</v>
      </c>
      <c r="B19" s="290" t="str">
        <f>SISWA!B17</f>
        <v>Oktafiya Duwi Safitri</v>
      </c>
      <c r="C19" s="123">
        <v>75</v>
      </c>
      <c r="D19" s="123"/>
      <c r="E19" s="123"/>
      <c r="F19" s="123"/>
      <c r="G19" s="123"/>
      <c r="H19" s="123"/>
      <c r="I19" s="123"/>
      <c r="J19" s="255">
        <v>80</v>
      </c>
      <c r="K19" s="255"/>
      <c r="L19" s="255"/>
      <c r="M19" s="255"/>
      <c r="N19" s="255"/>
      <c r="O19" s="255"/>
      <c r="P19" s="255"/>
      <c r="Q19" s="256">
        <v>75</v>
      </c>
      <c r="R19" s="256"/>
      <c r="S19" s="256"/>
      <c r="T19" s="256"/>
      <c r="U19" s="256"/>
      <c r="V19" s="256"/>
      <c r="W19" s="256"/>
      <c r="X19" s="123"/>
      <c r="Y19" s="123">
        <v>75</v>
      </c>
      <c r="Z19" s="123"/>
      <c r="AA19" s="123"/>
      <c r="AB19" s="123"/>
      <c r="AC19" s="123"/>
      <c r="AD19" s="123"/>
      <c r="AE19" s="255"/>
      <c r="AF19" s="255">
        <v>75</v>
      </c>
      <c r="AG19" s="255"/>
      <c r="AH19" s="255"/>
      <c r="AI19" s="255"/>
      <c r="AJ19" s="255"/>
      <c r="AK19" s="255"/>
      <c r="AL19" s="256"/>
      <c r="AM19" s="256">
        <v>75</v>
      </c>
      <c r="AN19" s="256"/>
      <c r="AO19" s="256"/>
      <c r="AP19" s="256"/>
      <c r="AQ19" s="256"/>
      <c r="AR19" s="256"/>
      <c r="AS19" s="123"/>
      <c r="AT19" s="123"/>
      <c r="AU19" s="123">
        <v>75</v>
      </c>
      <c r="AV19" s="123"/>
      <c r="AW19" s="123"/>
      <c r="AX19" s="123"/>
      <c r="AY19" s="123"/>
      <c r="AZ19" s="255"/>
      <c r="BA19" s="255"/>
      <c r="BB19" s="255">
        <v>75</v>
      </c>
      <c r="BC19" s="255"/>
      <c r="BD19" s="255"/>
      <c r="BE19" s="255"/>
      <c r="BF19" s="255"/>
      <c r="BG19" s="256"/>
      <c r="BH19" s="256"/>
      <c r="BI19" s="256">
        <v>80</v>
      </c>
      <c r="BJ19" s="256"/>
      <c r="BK19" s="256"/>
      <c r="BL19" s="256"/>
      <c r="BM19" s="256"/>
      <c r="BN19" s="123"/>
      <c r="BO19" s="123">
        <v>75</v>
      </c>
      <c r="BP19" s="123"/>
      <c r="BQ19" s="123"/>
      <c r="BR19" s="123"/>
      <c r="BS19" s="123"/>
      <c r="BT19" s="123"/>
      <c r="BU19" s="255"/>
      <c r="BV19" s="255">
        <v>75</v>
      </c>
      <c r="BW19" s="255"/>
      <c r="BX19" s="255"/>
      <c r="BY19" s="255"/>
      <c r="BZ19" s="255"/>
      <c r="CA19" s="255"/>
      <c r="CB19" s="256"/>
      <c r="CC19" s="256">
        <v>75</v>
      </c>
      <c r="CD19" s="256"/>
      <c r="CE19" s="256"/>
      <c r="CF19" s="256"/>
      <c r="CG19" s="256"/>
      <c r="CH19" s="256"/>
      <c r="CI19" s="458"/>
      <c r="CJ19" s="458"/>
      <c r="CK19" s="458"/>
      <c r="CL19" s="458">
        <v>75</v>
      </c>
      <c r="CM19" s="458"/>
      <c r="CN19" s="458"/>
      <c r="CO19" s="458"/>
      <c r="CP19" s="457"/>
      <c r="CQ19" s="457"/>
      <c r="CR19" s="457"/>
      <c r="CS19" s="457">
        <v>75</v>
      </c>
      <c r="CT19" s="457"/>
      <c r="CU19" s="457"/>
      <c r="CV19" s="457"/>
      <c r="CW19" s="256"/>
      <c r="CX19" s="256"/>
      <c r="CY19" s="256"/>
      <c r="CZ19" s="256">
        <v>75</v>
      </c>
      <c r="DA19" s="256"/>
      <c r="DB19" s="256"/>
      <c r="DC19" s="256"/>
      <c r="DD19" s="257">
        <f t="shared" si="31"/>
        <v>76.666666666666671</v>
      </c>
      <c r="DE19" s="257">
        <f t="shared" si="32"/>
        <v>75</v>
      </c>
      <c r="DF19" s="257">
        <f t="shared" si="33"/>
        <v>76.666666666666671</v>
      </c>
      <c r="DG19" s="257">
        <f t="shared" si="34"/>
        <v>75</v>
      </c>
      <c r="DH19" s="257" t="str">
        <f t="shared" si="35"/>
        <v/>
      </c>
      <c r="DI19" s="257" t="str">
        <f t="shared" si="36"/>
        <v/>
      </c>
      <c r="DJ19" s="257" t="str">
        <f t="shared" si="37"/>
        <v/>
      </c>
      <c r="DK19" s="569">
        <f t="shared" si="38"/>
        <v>76</v>
      </c>
      <c r="DL19" s="291" t="str">
        <f t="shared" si="39"/>
        <v>C</v>
      </c>
      <c r="DM19" s="243" t="str">
        <f t="shared" si="40"/>
        <v>Ananda Fitri cukup dalam menyelenggarakan kegiatan yang mendukung keberagaman sosial budaya masyarakat, cukup dalam menjelaskan hak, kewajiban, dan tanggung jawab sebagai warga masyarakat dalam kehidupan sehari-hari.</v>
      </c>
      <c r="DN19" s="39"/>
      <c r="DO19" s="39"/>
      <c r="DP19" s="257">
        <f t="shared" si="41"/>
        <v>75</v>
      </c>
      <c r="DQ19" s="257">
        <f t="shared" si="42"/>
        <v>75</v>
      </c>
      <c r="DR19" s="257">
        <f t="shared" si="43"/>
        <v>75</v>
      </c>
      <c r="DS19" s="257">
        <f t="shared" si="44"/>
        <v>75</v>
      </c>
      <c r="DT19" s="257">
        <f t="shared" si="45"/>
        <v>0</v>
      </c>
      <c r="DU19" s="257">
        <f t="shared" si="46"/>
        <v>0</v>
      </c>
      <c r="DV19" s="257">
        <f t="shared" si="47"/>
        <v>0</v>
      </c>
      <c r="DW19" s="257"/>
      <c r="DX19" s="257"/>
      <c r="DY19" s="257"/>
      <c r="DZ19" s="289">
        <f t="shared" si="48"/>
        <v>75</v>
      </c>
      <c r="EA19" s="257">
        <f t="shared" si="49"/>
        <v>80</v>
      </c>
      <c r="EB19" s="257">
        <f t="shared" si="50"/>
        <v>75</v>
      </c>
      <c r="EC19" s="257">
        <f t="shared" si="51"/>
        <v>75</v>
      </c>
      <c r="ED19" s="257">
        <f t="shared" si="52"/>
        <v>75</v>
      </c>
      <c r="EE19" s="257">
        <f t="shared" si="53"/>
        <v>0</v>
      </c>
      <c r="EF19" s="257">
        <f t="shared" si="54"/>
        <v>0</v>
      </c>
      <c r="EG19" s="257">
        <f t="shared" si="55"/>
        <v>0</v>
      </c>
      <c r="EH19" s="223"/>
      <c r="EI19" s="223"/>
      <c r="EJ19" s="223"/>
      <c r="EK19" s="289">
        <f t="shared" si="56"/>
        <v>80</v>
      </c>
      <c r="EL19" s="257">
        <f t="shared" si="57"/>
        <v>75</v>
      </c>
      <c r="EM19" s="257">
        <f t="shared" si="58"/>
        <v>75</v>
      </c>
      <c r="EN19" s="257">
        <f t="shared" si="59"/>
        <v>80</v>
      </c>
      <c r="EO19" s="257">
        <f t="shared" si="60"/>
        <v>75</v>
      </c>
      <c r="EP19" s="257">
        <f t="shared" si="61"/>
        <v>0</v>
      </c>
      <c r="EQ19" s="257">
        <f t="shared" si="62"/>
        <v>0</v>
      </c>
      <c r="ER19" s="257">
        <f t="shared" si="63"/>
        <v>0</v>
      </c>
      <c r="ES19" s="223"/>
      <c r="ET19" s="223"/>
      <c r="EU19" s="223"/>
      <c r="EV19" s="289">
        <f t="shared" si="64"/>
        <v>80</v>
      </c>
      <c r="EW19" s="257">
        <f t="shared" si="65"/>
        <v>75</v>
      </c>
      <c r="EX19" s="257">
        <f t="shared" si="66"/>
        <v>80</v>
      </c>
      <c r="EY19" s="257">
        <f t="shared" si="67"/>
        <v>75</v>
      </c>
      <c r="EZ19" s="575">
        <f t="shared" si="68"/>
        <v>0</v>
      </c>
      <c r="FA19" s="506">
        <f t="shared" si="69"/>
        <v>3</v>
      </c>
      <c r="FB19" s="39">
        <f t="shared" si="70"/>
        <v>76.666666666666671</v>
      </c>
      <c r="FC19" s="257">
        <f t="shared" si="71"/>
        <v>75</v>
      </c>
      <c r="FD19" s="257">
        <f t="shared" si="72"/>
        <v>75</v>
      </c>
      <c r="FE19" s="257">
        <f t="shared" si="73"/>
        <v>75</v>
      </c>
      <c r="FF19" s="575">
        <f t="shared" si="74"/>
        <v>0</v>
      </c>
      <c r="FG19" s="506">
        <f t="shared" si="75"/>
        <v>3</v>
      </c>
      <c r="FH19" s="39">
        <f t="shared" si="76"/>
        <v>75</v>
      </c>
      <c r="FI19" s="257">
        <f t="shared" si="77"/>
        <v>75</v>
      </c>
      <c r="FJ19" s="257">
        <f t="shared" si="78"/>
        <v>75</v>
      </c>
      <c r="FK19" s="257">
        <f t="shared" si="79"/>
        <v>80</v>
      </c>
      <c r="FL19" s="575">
        <f t="shared" si="80"/>
        <v>0</v>
      </c>
      <c r="FM19" s="506">
        <f t="shared" si="81"/>
        <v>3</v>
      </c>
      <c r="FN19" s="39">
        <f t="shared" si="82"/>
        <v>76.666666666666671</v>
      </c>
      <c r="FO19" s="257">
        <f t="shared" si="83"/>
        <v>75</v>
      </c>
      <c r="FP19" s="257">
        <f t="shared" si="84"/>
        <v>75</v>
      </c>
      <c r="FQ19" s="257">
        <f t="shared" si="85"/>
        <v>75</v>
      </c>
      <c r="FR19" s="575">
        <f t="shared" si="86"/>
        <v>0</v>
      </c>
      <c r="FS19" s="506">
        <f t="shared" si="87"/>
        <v>3</v>
      </c>
      <c r="FT19" s="39">
        <f t="shared" si="88"/>
        <v>75</v>
      </c>
      <c r="FU19" s="257">
        <f t="shared" si="89"/>
        <v>0</v>
      </c>
      <c r="FV19" s="257">
        <f t="shared" si="90"/>
        <v>0</v>
      </c>
      <c r="FW19" s="257">
        <f t="shared" si="91"/>
        <v>0</v>
      </c>
      <c r="FX19" s="575">
        <f t="shared" si="92"/>
        <v>3</v>
      </c>
      <c r="FY19" s="506">
        <f t="shared" si="93"/>
        <v>0</v>
      </c>
      <c r="FZ19" s="39" t="str">
        <f t="shared" si="94"/>
        <v/>
      </c>
      <c r="GA19" s="257">
        <f t="shared" si="95"/>
        <v>0</v>
      </c>
      <c r="GB19" s="257">
        <f t="shared" si="96"/>
        <v>0</v>
      </c>
      <c r="GC19" s="257">
        <f t="shared" si="97"/>
        <v>0</v>
      </c>
      <c r="GD19" s="575">
        <f t="shared" si="98"/>
        <v>3</v>
      </c>
      <c r="GE19" s="506">
        <f t="shared" si="99"/>
        <v>0</v>
      </c>
      <c r="GF19" s="39" t="str">
        <f t="shared" si="100"/>
        <v/>
      </c>
      <c r="GG19" s="257">
        <f t="shared" si="101"/>
        <v>0</v>
      </c>
      <c r="GH19" s="257">
        <f t="shared" si="102"/>
        <v>0</v>
      </c>
      <c r="GI19" s="257">
        <f t="shared" si="103"/>
        <v>0</v>
      </c>
      <c r="GJ19" s="575">
        <f t="shared" si="104"/>
        <v>3</v>
      </c>
      <c r="GK19" s="506">
        <f t="shared" si="105"/>
        <v>0</v>
      </c>
      <c r="GL19" s="39" t="str">
        <f t="shared" si="106"/>
        <v/>
      </c>
      <c r="GM19" s="39"/>
      <c r="GN19" s="39">
        <f t="shared" si="107"/>
        <v>76.666666666666671</v>
      </c>
      <c r="GO19" s="39">
        <f t="shared" si="108"/>
        <v>75</v>
      </c>
      <c r="GP19" s="39">
        <f t="shared" si="109"/>
        <v>76.666666666666671</v>
      </c>
      <c r="GQ19" s="39">
        <f t="shared" si="110"/>
        <v>75</v>
      </c>
      <c r="GR19" s="39" t="str">
        <f t="shared" si="111"/>
        <v/>
      </c>
      <c r="GS19" s="39" t="str">
        <f t="shared" si="112"/>
        <v/>
      </c>
      <c r="GT19" s="257" t="str">
        <f t="shared" si="113"/>
        <v/>
      </c>
      <c r="GU19" s="579">
        <f t="shared" si="114"/>
        <v>76</v>
      </c>
      <c r="GV19" s="289">
        <f t="shared" si="115"/>
        <v>76.666666666666671</v>
      </c>
      <c r="GW19" s="289">
        <f t="shared" si="116"/>
        <v>75</v>
      </c>
      <c r="GX19" s="289" t="str">
        <f>SISWA!E17</f>
        <v>Fitri</v>
      </c>
      <c r="GY19" s="223" t="str">
        <f t="shared" si="117"/>
        <v xml:space="preserve">Ananda Fitri </v>
      </c>
      <c r="GZ19" s="580">
        <f t="shared" si="118"/>
        <v>76.666666666666671</v>
      </c>
      <c r="HA19" s="580" t="str">
        <f t="shared" si="119"/>
        <v/>
      </c>
      <c r="HB19" s="580">
        <f t="shared" si="120"/>
        <v>76.666666666666671</v>
      </c>
      <c r="HC19" s="580" t="str">
        <f t="shared" si="121"/>
        <v/>
      </c>
      <c r="HD19" s="580" t="str">
        <f t="shared" si="122"/>
        <v/>
      </c>
      <c r="HE19" s="580" t="str">
        <f t="shared" si="123"/>
        <v/>
      </c>
      <c r="HF19" s="580" t="str">
        <f t="shared" si="124"/>
        <v/>
      </c>
      <c r="HG19" s="580"/>
      <c r="HH19" s="580"/>
      <c r="HI19" s="580"/>
      <c r="HJ19" s="580"/>
      <c r="HK19" s="223">
        <f t="shared" si="125"/>
        <v>153.33333333333334</v>
      </c>
      <c r="HL19" s="289" t="str">
        <f t="shared" si="126"/>
        <v>menyelenggarakan kegiatan yang mendukung keberagaman sosial budaya masyarakat</v>
      </c>
      <c r="HM19" s="576" t="str">
        <f>IF(GV19&gt;100,"",IF(GV19&gt;DP$1,"sangat baik dalam "&amp;HL19,IF(GV19&gt;=DP$2,"baik dalam "&amp;HL19,IF(GV19&gt;=DP$3,"cukup dalam "&amp;HL19,IF(GV19&lt;DP$3,"dengan bimbingan dapat meningkatkan dalam "&amp;HL19,IF(GV19&lt;1," ",””))))))</f>
        <v>cukup dalam menyelenggarakan kegiatan yang mendukung keberagaman sosial budaya masyarakat</v>
      </c>
      <c r="HN19" s="223"/>
      <c r="HO19" s="223" t="str">
        <f t="shared" si="127"/>
        <v/>
      </c>
      <c r="HP19" s="223">
        <f t="shared" si="128"/>
        <v>75</v>
      </c>
      <c r="HQ19" s="223" t="str">
        <f t="shared" si="129"/>
        <v/>
      </c>
      <c r="HR19" s="223">
        <f t="shared" si="130"/>
        <v>75</v>
      </c>
      <c r="HS19" s="223" t="str">
        <f t="shared" si="131"/>
        <v/>
      </c>
      <c r="HT19" s="223" t="str">
        <f t="shared" si="132"/>
        <v/>
      </c>
      <c r="HU19" s="223" t="str">
        <f t="shared" si="133"/>
        <v/>
      </c>
      <c r="HV19" s="223"/>
      <c r="HW19" s="223"/>
      <c r="HX19" s="223"/>
      <c r="HY19" s="223"/>
      <c r="HZ19" s="223" t="str">
        <f t="shared" si="134"/>
        <v>menjelaskan hak, kewajiban, dan tanggung jawab sebagai warga masyarakat dalam kehidupan sehari-hari</v>
      </c>
      <c r="IA19" s="577" t="str">
        <f>IF(GW19&gt;100,"",IF(GW19&gt;=DP$1,"sangat baik dalam "&amp;HZ19,IF(GW19&gt;=DP$2,"baik dalam "&amp;HZ19,IF(GW19&gt;=DP$3,"cukup dalam "&amp;HZ19,IF(GW19&lt;DP$3,"dengan bimbingan dapat meningkatkan dalam "&amp;HZ19,IF(GW19&lt;1," ",””))))))</f>
        <v>cukup dalam menjelaskan hak, kewajiban, dan tanggung jawab sebagai warga masyarakat dalam kehidupan sehari-hari</v>
      </c>
      <c r="IB19" s="223" t="str">
        <f t="shared" si="135"/>
        <v>Ananda Fitri cukup dalam menyelenggarakan kegiatan yang mendukung keberagaman sosial budaya masyarakat, cukup dalam menjelaskan hak, kewajiban, dan tanggung jawab sebagai warga masyarakat dalam kehidupan sehari-hari.</v>
      </c>
    </row>
    <row r="20" spans="1:236" ht="45">
      <c r="A20" s="39">
        <v>13</v>
      </c>
      <c r="B20" s="290" t="str">
        <f>SISWA!B18</f>
        <v>Prastika Guntur Firmansyah</v>
      </c>
      <c r="C20" s="123">
        <v>75</v>
      </c>
      <c r="D20" s="123"/>
      <c r="E20" s="123"/>
      <c r="F20" s="123"/>
      <c r="G20" s="123"/>
      <c r="H20" s="123"/>
      <c r="I20" s="123"/>
      <c r="J20" s="255">
        <v>90</v>
      </c>
      <c r="K20" s="255"/>
      <c r="L20" s="255"/>
      <c r="M20" s="255"/>
      <c r="N20" s="255"/>
      <c r="O20" s="255"/>
      <c r="P20" s="255"/>
      <c r="Q20" s="256">
        <v>75</v>
      </c>
      <c r="R20" s="256"/>
      <c r="S20" s="256"/>
      <c r="T20" s="256"/>
      <c r="U20" s="256"/>
      <c r="V20" s="256"/>
      <c r="W20" s="256"/>
      <c r="X20" s="123"/>
      <c r="Y20" s="123">
        <v>90</v>
      </c>
      <c r="Z20" s="123"/>
      <c r="AA20" s="123"/>
      <c r="AB20" s="123"/>
      <c r="AC20" s="123"/>
      <c r="AD20" s="123"/>
      <c r="AE20" s="255"/>
      <c r="AF20" s="255">
        <v>80</v>
      </c>
      <c r="AG20" s="255"/>
      <c r="AH20" s="255"/>
      <c r="AI20" s="255"/>
      <c r="AJ20" s="255"/>
      <c r="AK20" s="255"/>
      <c r="AL20" s="256"/>
      <c r="AM20" s="256">
        <v>90</v>
      </c>
      <c r="AN20" s="256"/>
      <c r="AO20" s="256"/>
      <c r="AP20" s="256"/>
      <c r="AQ20" s="256"/>
      <c r="AR20" s="256"/>
      <c r="AS20" s="123"/>
      <c r="AT20" s="123"/>
      <c r="AU20" s="123">
        <v>80</v>
      </c>
      <c r="AV20" s="123"/>
      <c r="AW20" s="123"/>
      <c r="AX20" s="123"/>
      <c r="AY20" s="123"/>
      <c r="AZ20" s="255"/>
      <c r="BA20" s="255"/>
      <c r="BB20" s="255">
        <v>75</v>
      </c>
      <c r="BC20" s="255"/>
      <c r="BD20" s="255"/>
      <c r="BE20" s="255"/>
      <c r="BF20" s="255"/>
      <c r="BG20" s="256"/>
      <c r="BH20" s="256"/>
      <c r="BI20" s="256">
        <v>75</v>
      </c>
      <c r="BJ20" s="256"/>
      <c r="BK20" s="256"/>
      <c r="BL20" s="256"/>
      <c r="BM20" s="256"/>
      <c r="BN20" s="123"/>
      <c r="BO20" s="123">
        <v>75</v>
      </c>
      <c r="BP20" s="123"/>
      <c r="BQ20" s="123"/>
      <c r="BR20" s="123"/>
      <c r="BS20" s="123"/>
      <c r="BT20" s="123"/>
      <c r="BU20" s="255"/>
      <c r="BV20" s="255">
        <v>85</v>
      </c>
      <c r="BW20" s="255"/>
      <c r="BX20" s="255"/>
      <c r="BY20" s="255"/>
      <c r="BZ20" s="255"/>
      <c r="CA20" s="255"/>
      <c r="CB20" s="256"/>
      <c r="CC20" s="256">
        <v>85</v>
      </c>
      <c r="CD20" s="256"/>
      <c r="CE20" s="256"/>
      <c r="CF20" s="256"/>
      <c r="CG20" s="256"/>
      <c r="CH20" s="256"/>
      <c r="CI20" s="458"/>
      <c r="CJ20" s="458"/>
      <c r="CK20" s="458"/>
      <c r="CL20" s="458">
        <v>75</v>
      </c>
      <c r="CM20" s="458"/>
      <c r="CN20" s="458"/>
      <c r="CO20" s="458"/>
      <c r="CP20" s="457"/>
      <c r="CQ20" s="457"/>
      <c r="CR20" s="457"/>
      <c r="CS20" s="457">
        <v>75</v>
      </c>
      <c r="CT20" s="457"/>
      <c r="CU20" s="457"/>
      <c r="CV20" s="457"/>
      <c r="CW20" s="256"/>
      <c r="CX20" s="256"/>
      <c r="CY20" s="256"/>
      <c r="CZ20" s="256">
        <v>90</v>
      </c>
      <c r="DA20" s="256"/>
      <c r="DB20" s="256"/>
      <c r="DC20" s="256"/>
      <c r="DD20" s="257">
        <f t="shared" si="31"/>
        <v>80</v>
      </c>
      <c r="DE20" s="257">
        <f t="shared" si="32"/>
        <v>88.333333333333329</v>
      </c>
      <c r="DF20" s="257">
        <f t="shared" si="33"/>
        <v>76.666666666666671</v>
      </c>
      <c r="DG20" s="257">
        <f t="shared" si="34"/>
        <v>80</v>
      </c>
      <c r="DH20" s="257" t="str">
        <f t="shared" si="35"/>
        <v/>
      </c>
      <c r="DI20" s="257" t="str">
        <f t="shared" si="36"/>
        <v/>
      </c>
      <c r="DJ20" s="257" t="str">
        <f t="shared" si="37"/>
        <v/>
      </c>
      <c r="DK20" s="569">
        <f t="shared" si="38"/>
        <v>81</v>
      </c>
      <c r="DL20" s="291" t="str">
        <f t="shared" si="39"/>
        <v>C</v>
      </c>
      <c r="DM20" s="243" t="str">
        <f t="shared" si="40"/>
        <v>Ananda Pras baik dalam menjelaskan hak, kewajiban, dan tanggung jawab sebagai warga masyarakat dalam kehidupan sehari-hari, cukup dalam menyelenggarakan kegiatan yang mendukung keberagaman sosial budaya masyarakat.</v>
      </c>
      <c r="DN20" s="39"/>
      <c r="DO20" s="39"/>
      <c r="DP20" s="257">
        <f t="shared" si="41"/>
        <v>75</v>
      </c>
      <c r="DQ20" s="257">
        <f t="shared" si="42"/>
        <v>90</v>
      </c>
      <c r="DR20" s="257">
        <f t="shared" si="43"/>
        <v>80</v>
      </c>
      <c r="DS20" s="257">
        <f t="shared" si="44"/>
        <v>75</v>
      </c>
      <c r="DT20" s="257">
        <f t="shared" si="45"/>
        <v>0</v>
      </c>
      <c r="DU20" s="257">
        <f t="shared" si="46"/>
        <v>0</v>
      </c>
      <c r="DV20" s="257">
        <f t="shared" si="47"/>
        <v>0</v>
      </c>
      <c r="DW20" s="257"/>
      <c r="DX20" s="257"/>
      <c r="DY20" s="257"/>
      <c r="DZ20" s="289">
        <f t="shared" si="48"/>
        <v>90</v>
      </c>
      <c r="EA20" s="257">
        <f t="shared" si="49"/>
        <v>90</v>
      </c>
      <c r="EB20" s="257">
        <f t="shared" si="50"/>
        <v>85</v>
      </c>
      <c r="EC20" s="257">
        <f t="shared" si="51"/>
        <v>75</v>
      </c>
      <c r="ED20" s="257">
        <f t="shared" si="52"/>
        <v>75</v>
      </c>
      <c r="EE20" s="257">
        <f t="shared" si="53"/>
        <v>0</v>
      </c>
      <c r="EF20" s="257">
        <f t="shared" si="54"/>
        <v>0</v>
      </c>
      <c r="EG20" s="257">
        <f t="shared" si="55"/>
        <v>0</v>
      </c>
      <c r="EH20" s="223"/>
      <c r="EI20" s="223"/>
      <c r="EJ20" s="223"/>
      <c r="EK20" s="289">
        <f t="shared" si="56"/>
        <v>90</v>
      </c>
      <c r="EL20" s="257">
        <f t="shared" si="57"/>
        <v>75</v>
      </c>
      <c r="EM20" s="257">
        <f t="shared" si="58"/>
        <v>90</v>
      </c>
      <c r="EN20" s="257">
        <f t="shared" si="59"/>
        <v>75</v>
      </c>
      <c r="EO20" s="257">
        <f t="shared" si="60"/>
        <v>90</v>
      </c>
      <c r="EP20" s="257">
        <f t="shared" si="61"/>
        <v>0</v>
      </c>
      <c r="EQ20" s="257">
        <f t="shared" si="62"/>
        <v>0</v>
      </c>
      <c r="ER20" s="257">
        <f t="shared" si="63"/>
        <v>0</v>
      </c>
      <c r="ES20" s="223"/>
      <c r="ET20" s="223"/>
      <c r="EU20" s="223"/>
      <c r="EV20" s="289">
        <f t="shared" si="64"/>
        <v>90</v>
      </c>
      <c r="EW20" s="257">
        <f t="shared" si="65"/>
        <v>75</v>
      </c>
      <c r="EX20" s="257">
        <f t="shared" si="66"/>
        <v>90</v>
      </c>
      <c r="EY20" s="257">
        <f t="shared" si="67"/>
        <v>75</v>
      </c>
      <c r="EZ20" s="575">
        <f t="shared" si="68"/>
        <v>0</v>
      </c>
      <c r="FA20" s="506">
        <f t="shared" si="69"/>
        <v>3</v>
      </c>
      <c r="FB20" s="39">
        <f t="shared" si="70"/>
        <v>80</v>
      </c>
      <c r="FC20" s="257">
        <f t="shared" si="71"/>
        <v>90</v>
      </c>
      <c r="FD20" s="257">
        <f t="shared" si="72"/>
        <v>85</v>
      </c>
      <c r="FE20" s="257">
        <f t="shared" si="73"/>
        <v>90</v>
      </c>
      <c r="FF20" s="575">
        <f t="shared" si="74"/>
        <v>0</v>
      </c>
      <c r="FG20" s="506">
        <f t="shared" si="75"/>
        <v>3</v>
      </c>
      <c r="FH20" s="39">
        <f t="shared" si="76"/>
        <v>88.333333333333329</v>
      </c>
      <c r="FI20" s="257">
        <f t="shared" si="77"/>
        <v>80</v>
      </c>
      <c r="FJ20" s="257">
        <f t="shared" si="78"/>
        <v>75</v>
      </c>
      <c r="FK20" s="257">
        <f t="shared" si="79"/>
        <v>75</v>
      </c>
      <c r="FL20" s="575">
        <f t="shared" si="80"/>
        <v>0</v>
      </c>
      <c r="FM20" s="506">
        <f t="shared" si="81"/>
        <v>3</v>
      </c>
      <c r="FN20" s="39">
        <f t="shared" si="82"/>
        <v>76.666666666666671</v>
      </c>
      <c r="FO20" s="257">
        <f t="shared" si="83"/>
        <v>75</v>
      </c>
      <c r="FP20" s="257">
        <f t="shared" si="84"/>
        <v>75</v>
      </c>
      <c r="FQ20" s="257">
        <f t="shared" si="85"/>
        <v>90</v>
      </c>
      <c r="FR20" s="575">
        <f t="shared" si="86"/>
        <v>0</v>
      </c>
      <c r="FS20" s="506">
        <f t="shared" si="87"/>
        <v>3</v>
      </c>
      <c r="FT20" s="39">
        <f t="shared" si="88"/>
        <v>80</v>
      </c>
      <c r="FU20" s="257">
        <f t="shared" si="89"/>
        <v>0</v>
      </c>
      <c r="FV20" s="257">
        <f t="shared" si="90"/>
        <v>0</v>
      </c>
      <c r="FW20" s="257">
        <f t="shared" si="91"/>
        <v>0</v>
      </c>
      <c r="FX20" s="575">
        <f t="shared" si="92"/>
        <v>3</v>
      </c>
      <c r="FY20" s="506">
        <f t="shared" si="93"/>
        <v>0</v>
      </c>
      <c r="FZ20" s="39" t="str">
        <f t="shared" si="94"/>
        <v/>
      </c>
      <c r="GA20" s="257">
        <f t="shared" si="95"/>
        <v>0</v>
      </c>
      <c r="GB20" s="257">
        <f t="shared" si="96"/>
        <v>0</v>
      </c>
      <c r="GC20" s="257">
        <f t="shared" si="97"/>
        <v>0</v>
      </c>
      <c r="GD20" s="575">
        <f t="shared" si="98"/>
        <v>3</v>
      </c>
      <c r="GE20" s="506">
        <f t="shared" si="99"/>
        <v>0</v>
      </c>
      <c r="GF20" s="39" t="str">
        <f t="shared" si="100"/>
        <v/>
      </c>
      <c r="GG20" s="257">
        <f t="shared" si="101"/>
        <v>0</v>
      </c>
      <c r="GH20" s="257">
        <f t="shared" si="102"/>
        <v>0</v>
      </c>
      <c r="GI20" s="257">
        <f t="shared" si="103"/>
        <v>0</v>
      </c>
      <c r="GJ20" s="575">
        <f t="shared" si="104"/>
        <v>3</v>
      </c>
      <c r="GK20" s="506">
        <f t="shared" si="105"/>
        <v>0</v>
      </c>
      <c r="GL20" s="39" t="str">
        <f t="shared" si="106"/>
        <v/>
      </c>
      <c r="GM20" s="39"/>
      <c r="GN20" s="39">
        <f t="shared" si="107"/>
        <v>80</v>
      </c>
      <c r="GO20" s="39">
        <f t="shared" si="108"/>
        <v>88.333333333333329</v>
      </c>
      <c r="GP20" s="39">
        <f t="shared" si="109"/>
        <v>76.666666666666671</v>
      </c>
      <c r="GQ20" s="39">
        <f t="shared" si="110"/>
        <v>80</v>
      </c>
      <c r="GR20" s="39" t="str">
        <f t="shared" si="111"/>
        <v/>
      </c>
      <c r="GS20" s="39" t="str">
        <f t="shared" si="112"/>
        <v/>
      </c>
      <c r="GT20" s="257" t="str">
        <f t="shared" si="113"/>
        <v/>
      </c>
      <c r="GU20" s="579">
        <f t="shared" si="114"/>
        <v>81</v>
      </c>
      <c r="GV20" s="289">
        <f t="shared" si="115"/>
        <v>88.333333333333329</v>
      </c>
      <c r="GW20" s="289">
        <f t="shared" si="116"/>
        <v>76.666666666666671</v>
      </c>
      <c r="GX20" s="289" t="str">
        <f>SISWA!E18</f>
        <v>Pras</v>
      </c>
      <c r="GY20" s="223" t="str">
        <f t="shared" si="117"/>
        <v xml:space="preserve">Ananda Pras </v>
      </c>
      <c r="GZ20" s="580" t="str">
        <f t="shared" si="118"/>
        <v/>
      </c>
      <c r="HA20" s="580">
        <f t="shared" si="119"/>
        <v>88.333333333333329</v>
      </c>
      <c r="HB20" s="580" t="str">
        <f t="shared" si="120"/>
        <v/>
      </c>
      <c r="HC20" s="580" t="str">
        <f t="shared" si="121"/>
        <v/>
      </c>
      <c r="HD20" s="580" t="str">
        <f t="shared" si="122"/>
        <v/>
      </c>
      <c r="HE20" s="580" t="str">
        <f t="shared" si="123"/>
        <v/>
      </c>
      <c r="HF20" s="580" t="str">
        <f t="shared" si="124"/>
        <v/>
      </c>
      <c r="HG20" s="580"/>
      <c r="HH20" s="580"/>
      <c r="HI20" s="580"/>
      <c r="HJ20" s="580"/>
      <c r="HK20" s="223">
        <f t="shared" si="125"/>
        <v>88.333333333333329</v>
      </c>
      <c r="HL20" s="289" t="str">
        <f t="shared" si="126"/>
        <v>menjelaskan hak, kewajiban, dan tanggung jawab sebagai warga masyarakat dalam kehidupan sehari-hari</v>
      </c>
      <c r="HM20" s="576" t="str">
        <f>IF(GV20&gt;100,"",IF(GV20&gt;DP$1,"sangat baik dalam "&amp;HL20,IF(GV20&gt;=DP$2,"baik dalam "&amp;HL20,IF(GV20&gt;=DP$3,"cukup dalam "&amp;HL20,IF(GV20&lt;DP$3,"dengan bimbingan dapat meningkatkan dalam "&amp;HL20,IF(GV20&lt;1," ",””))))))</f>
        <v>baik dalam menjelaskan hak, kewajiban, dan tanggung jawab sebagai warga masyarakat dalam kehidupan sehari-hari</v>
      </c>
      <c r="HN20" s="223"/>
      <c r="HO20" s="223" t="str">
        <f t="shared" si="127"/>
        <v/>
      </c>
      <c r="HP20" s="223" t="str">
        <f t="shared" si="128"/>
        <v/>
      </c>
      <c r="HQ20" s="223">
        <f t="shared" si="129"/>
        <v>76.666666666666671</v>
      </c>
      <c r="HR20" s="223" t="str">
        <f t="shared" si="130"/>
        <v/>
      </c>
      <c r="HS20" s="223" t="str">
        <f t="shared" si="131"/>
        <v/>
      </c>
      <c r="HT20" s="223" t="str">
        <f t="shared" si="132"/>
        <v/>
      </c>
      <c r="HU20" s="223" t="str">
        <f t="shared" si="133"/>
        <v/>
      </c>
      <c r="HV20" s="223"/>
      <c r="HW20" s="223"/>
      <c r="HX20" s="223"/>
      <c r="HY20" s="223"/>
      <c r="HZ20" s="223" t="str">
        <f t="shared" si="134"/>
        <v>menyelenggarakan kegiatan yang mendukung keberagaman sosial budaya masyarakat</v>
      </c>
      <c r="IA20" s="577" t="str">
        <f>IF(GW20&gt;100,"",IF(GW20&gt;=DP$1,"sangat baik dalam "&amp;HZ20,IF(GW20&gt;=DP$2,"baik dalam "&amp;HZ20,IF(GW20&gt;=DP$3,"cukup dalam "&amp;HZ20,IF(GW20&lt;DP$3,"dengan bimbingan dapat meningkatkan dalam "&amp;HZ20,IF(GW20&lt;1," ",””))))))</f>
        <v>cukup dalam menyelenggarakan kegiatan yang mendukung keberagaman sosial budaya masyarakat</v>
      </c>
      <c r="IB20" s="223" t="str">
        <f t="shared" si="135"/>
        <v>Ananda Pras baik dalam menjelaskan hak, kewajiban, dan tanggung jawab sebagai warga masyarakat dalam kehidupan sehari-hari, cukup dalam menyelenggarakan kegiatan yang mendukung keberagaman sosial budaya masyarakat.</v>
      </c>
    </row>
    <row r="21" spans="1:236" ht="45">
      <c r="A21" s="39">
        <v>14</v>
      </c>
      <c r="B21" s="290" t="str">
        <f>SISWA!B19</f>
        <v>Siti Musyafiani</v>
      </c>
      <c r="C21" s="123">
        <v>75</v>
      </c>
      <c r="D21" s="123"/>
      <c r="E21" s="123"/>
      <c r="F21" s="123"/>
      <c r="G21" s="123"/>
      <c r="H21" s="123"/>
      <c r="I21" s="123"/>
      <c r="J21" s="255">
        <v>90</v>
      </c>
      <c r="K21" s="255"/>
      <c r="L21" s="255"/>
      <c r="M21" s="255"/>
      <c r="N21" s="255"/>
      <c r="O21" s="255"/>
      <c r="P21" s="255"/>
      <c r="Q21" s="256">
        <v>80</v>
      </c>
      <c r="R21" s="256"/>
      <c r="S21" s="256"/>
      <c r="T21" s="256"/>
      <c r="U21" s="256"/>
      <c r="V21" s="256"/>
      <c r="W21" s="256"/>
      <c r="X21" s="123"/>
      <c r="Y21" s="123">
        <v>85</v>
      </c>
      <c r="Z21" s="123"/>
      <c r="AA21" s="123"/>
      <c r="AB21" s="123"/>
      <c r="AC21" s="123"/>
      <c r="AD21" s="123"/>
      <c r="AE21" s="255"/>
      <c r="AF21" s="255">
        <v>75</v>
      </c>
      <c r="AG21" s="255"/>
      <c r="AH21" s="255"/>
      <c r="AI21" s="255"/>
      <c r="AJ21" s="255"/>
      <c r="AK21" s="255"/>
      <c r="AL21" s="256"/>
      <c r="AM21" s="256">
        <v>75</v>
      </c>
      <c r="AN21" s="256"/>
      <c r="AO21" s="256"/>
      <c r="AP21" s="256"/>
      <c r="AQ21" s="256"/>
      <c r="AR21" s="256"/>
      <c r="AS21" s="123"/>
      <c r="AT21" s="123"/>
      <c r="AU21" s="123">
        <v>90</v>
      </c>
      <c r="AV21" s="123"/>
      <c r="AW21" s="123"/>
      <c r="AX21" s="123"/>
      <c r="AY21" s="123"/>
      <c r="AZ21" s="255"/>
      <c r="BA21" s="255"/>
      <c r="BB21" s="255">
        <v>75</v>
      </c>
      <c r="BC21" s="255"/>
      <c r="BD21" s="255"/>
      <c r="BE21" s="255"/>
      <c r="BF21" s="255"/>
      <c r="BG21" s="256"/>
      <c r="BH21" s="256"/>
      <c r="BI21" s="256">
        <v>75</v>
      </c>
      <c r="BJ21" s="256"/>
      <c r="BK21" s="256"/>
      <c r="BL21" s="256"/>
      <c r="BM21" s="256"/>
      <c r="BN21" s="123"/>
      <c r="BO21" s="123">
        <v>90</v>
      </c>
      <c r="BP21" s="123"/>
      <c r="BQ21" s="123"/>
      <c r="BR21" s="123"/>
      <c r="BS21" s="123"/>
      <c r="BT21" s="123"/>
      <c r="BU21" s="255"/>
      <c r="BV21" s="255">
        <v>90</v>
      </c>
      <c r="BW21" s="255"/>
      <c r="BX21" s="255"/>
      <c r="BY21" s="255"/>
      <c r="BZ21" s="255"/>
      <c r="CA21" s="255"/>
      <c r="CB21" s="256"/>
      <c r="CC21" s="256">
        <v>90</v>
      </c>
      <c r="CD21" s="256"/>
      <c r="CE21" s="256"/>
      <c r="CF21" s="256"/>
      <c r="CG21" s="256"/>
      <c r="CH21" s="256"/>
      <c r="CI21" s="458"/>
      <c r="CJ21" s="458"/>
      <c r="CK21" s="458"/>
      <c r="CL21" s="458">
        <v>75</v>
      </c>
      <c r="CM21" s="458"/>
      <c r="CN21" s="458"/>
      <c r="CO21" s="458"/>
      <c r="CP21" s="457"/>
      <c r="CQ21" s="457"/>
      <c r="CR21" s="457"/>
      <c r="CS21" s="457">
        <v>85</v>
      </c>
      <c r="CT21" s="457"/>
      <c r="CU21" s="457"/>
      <c r="CV21" s="457"/>
      <c r="CW21" s="256"/>
      <c r="CX21" s="256"/>
      <c r="CY21" s="256"/>
      <c r="CZ21" s="256">
        <v>75</v>
      </c>
      <c r="DA21" s="256"/>
      <c r="DB21" s="256"/>
      <c r="DC21" s="256"/>
      <c r="DD21" s="257">
        <f t="shared" si="31"/>
        <v>81.666666666666671</v>
      </c>
      <c r="DE21" s="257">
        <f t="shared" si="32"/>
        <v>90</v>
      </c>
      <c r="DF21" s="257">
        <f t="shared" si="33"/>
        <v>80</v>
      </c>
      <c r="DG21" s="257">
        <f t="shared" si="34"/>
        <v>78.333333333333329</v>
      </c>
      <c r="DH21" s="257" t="str">
        <f t="shared" si="35"/>
        <v/>
      </c>
      <c r="DI21" s="257" t="str">
        <f t="shared" si="36"/>
        <v/>
      </c>
      <c r="DJ21" s="257" t="str">
        <f t="shared" si="37"/>
        <v/>
      </c>
      <c r="DK21" s="569">
        <f t="shared" si="38"/>
        <v>83</v>
      </c>
      <c r="DL21" s="291" t="str">
        <f t="shared" si="39"/>
        <v>B</v>
      </c>
      <c r="DM21" s="243" t="str">
        <f t="shared" si="40"/>
        <v>Ananda Fifi baik dalam menjelaskan hak, kewajiban, dan tanggung jawab sebagai warga masyarakat dalam kehidupan sehari-hari, cukup dalam menyajikan hasil penggalian tentang manfaat persatuan dan kesatuan untuk membangun kerukunan..</v>
      </c>
      <c r="DN21" s="39"/>
      <c r="DO21" s="39"/>
      <c r="DP21" s="257">
        <f t="shared" si="41"/>
        <v>75</v>
      </c>
      <c r="DQ21" s="257">
        <f t="shared" si="42"/>
        <v>90</v>
      </c>
      <c r="DR21" s="257">
        <f t="shared" si="43"/>
        <v>90</v>
      </c>
      <c r="DS21" s="257">
        <f t="shared" si="44"/>
        <v>75</v>
      </c>
      <c r="DT21" s="257">
        <f t="shared" si="45"/>
        <v>0</v>
      </c>
      <c r="DU21" s="257">
        <f t="shared" si="46"/>
        <v>0</v>
      </c>
      <c r="DV21" s="257">
        <f t="shared" si="47"/>
        <v>0</v>
      </c>
      <c r="DW21" s="257"/>
      <c r="DX21" s="257"/>
      <c r="DY21" s="257"/>
      <c r="DZ21" s="289">
        <f t="shared" si="48"/>
        <v>90</v>
      </c>
      <c r="EA21" s="257">
        <f t="shared" si="49"/>
        <v>90</v>
      </c>
      <c r="EB21" s="257">
        <f t="shared" si="50"/>
        <v>90</v>
      </c>
      <c r="EC21" s="257">
        <f t="shared" si="51"/>
        <v>75</v>
      </c>
      <c r="ED21" s="257">
        <f t="shared" si="52"/>
        <v>85</v>
      </c>
      <c r="EE21" s="257">
        <f t="shared" si="53"/>
        <v>0</v>
      </c>
      <c r="EF21" s="257">
        <f t="shared" si="54"/>
        <v>0</v>
      </c>
      <c r="EG21" s="257">
        <f t="shared" si="55"/>
        <v>0</v>
      </c>
      <c r="EH21" s="223"/>
      <c r="EI21" s="223"/>
      <c r="EJ21" s="223"/>
      <c r="EK21" s="289">
        <f t="shared" si="56"/>
        <v>90</v>
      </c>
      <c r="EL21" s="257">
        <f t="shared" si="57"/>
        <v>80</v>
      </c>
      <c r="EM21" s="257">
        <f t="shared" si="58"/>
        <v>90</v>
      </c>
      <c r="EN21" s="257">
        <f t="shared" si="59"/>
        <v>75</v>
      </c>
      <c r="EO21" s="257">
        <f t="shared" si="60"/>
        <v>75</v>
      </c>
      <c r="EP21" s="257">
        <f t="shared" si="61"/>
        <v>0</v>
      </c>
      <c r="EQ21" s="257">
        <f t="shared" si="62"/>
        <v>0</v>
      </c>
      <c r="ER21" s="257">
        <f t="shared" si="63"/>
        <v>0</v>
      </c>
      <c r="ES21" s="223"/>
      <c r="ET21" s="223"/>
      <c r="EU21" s="223"/>
      <c r="EV21" s="289">
        <f t="shared" si="64"/>
        <v>90</v>
      </c>
      <c r="EW21" s="257">
        <f t="shared" si="65"/>
        <v>75</v>
      </c>
      <c r="EX21" s="257">
        <f t="shared" si="66"/>
        <v>90</v>
      </c>
      <c r="EY21" s="257">
        <f t="shared" si="67"/>
        <v>80</v>
      </c>
      <c r="EZ21" s="575">
        <f t="shared" si="68"/>
        <v>0</v>
      </c>
      <c r="FA21" s="506">
        <f t="shared" si="69"/>
        <v>3</v>
      </c>
      <c r="FB21" s="39">
        <f t="shared" si="70"/>
        <v>81.666666666666671</v>
      </c>
      <c r="FC21" s="257">
        <f t="shared" si="71"/>
        <v>90</v>
      </c>
      <c r="FD21" s="257">
        <f t="shared" si="72"/>
        <v>90</v>
      </c>
      <c r="FE21" s="257">
        <f t="shared" si="73"/>
        <v>90</v>
      </c>
      <c r="FF21" s="575">
        <f t="shared" si="74"/>
        <v>0</v>
      </c>
      <c r="FG21" s="506">
        <f t="shared" si="75"/>
        <v>3</v>
      </c>
      <c r="FH21" s="39">
        <f t="shared" si="76"/>
        <v>90</v>
      </c>
      <c r="FI21" s="257">
        <f t="shared" si="77"/>
        <v>90</v>
      </c>
      <c r="FJ21" s="257">
        <f t="shared" si="78"/>
        <v>75</v>
      </c>
      <c r="FK21" s="257">
        <f t="shared" si="79"/>
        <v>75</v>
      </c>
      <c r="FL21" s="575">
        <f t="shared" si="80"/>
        <v>0</v>
      </c>
      <c r="FM21" s="506">
        <f t="shared" si="81"/>
        <v>3</v>
      </c>
      <c r="FN21" s="39">
        <f t="shared" si="82"/>
        <v>80</v>
      </c>
      <c r="FO21" s="257">
        <f t="shared" si="83"/>
        <v>75</v>
      </c>
      <c r="FP21" s="257">
        <f t="shared" si="84"/>
        <v>85</v>
      </c>
      <c r="FQ21" s="257">
        <f t="shared" si="85"/>
        <v>75</v>
      </c>
      <c r="FR21" s="575">
        <f t="shared" si="86"/>
        <v>0</v>
      </c>
      <c r="FS21" s="506">
        <f t="shared" si="87"/>
        <v>3</v>
      </c>
      <c r="FT21" s="39">
        <f t="shared" si="88"/>
        <v>78.333333333333329</v>
      </c>
      <c r="FU21" s="257">
        <f t="shared" si="89"/>
        <v>0</v>
      </c>
      <c r="FV21" s="257">
        <f t="shared" si="90"/>
        <v>0</v>
      </c>
      <c r="FW21" s="257">
        <f t="shared" si="91"/>
        <v>0</v>
      </c>
      <c r="FX21" s="575">
        <f t="shared" si="92"/>
        <v>3</v>
      </c>
      <c r="FY21" s="506">
        <f t="shared" si="93"/>
        <v>0</v>
      </c>
      <c r="FZ21" s="39" t="str">
        <f t="shared" si="94"/>
        <v/>
      </c>
      <c r="GA21" s="257">
        <f t="shared" si="95"/>
        <v>0</v>
      </c>
      <c r="GB21" s="257">
        <f t="shared" si="96"/>
        <v>0</v>
      </c>
      <c r="GC21" s="257">
        <f t="shared" si="97"/>
        <v>0</v>
      </c>
      <c r="GD21" s="575">
        <f t="shared" si="98"/>
        <v>3</v>
      </c>
      <c r="GE21" s="506">
        <f t="shared" si="99"/>
        <v>0</v>
      </c>
      <c r="GF21" s="39" t="str">
        <f t="shared" si="100"/>
        <v/>
      </c>
      <c r="GG21" s="257">
        <f t="shared" si="101"/>
        <v>0</v>
      </c>
      <c r="GH21" s="257">
        <f t="shared" si="102"/>
        <v>0</v>
      </c>
      <c r="GI21" s="257">
        <f t="shared" si="103"/>
        <v>0</v>
      </c>
      <c r="GJ21" s="575">
        <f t="shared" si="104"/>
        <v>3</v>
      </c>
      <c r="GK21" s="506">
        <f t="shared" si="105"/>
        <v>0</v>
      </c>
      <c r="GL21" s="39" t="str">
        <f t="shared" si="106"/>
        <v/>
      </c>
      <c r="GM21" s="39"/>
      <c r="GN21" s="39">
        <f t="shared" si="107"/>
        <v>81.666666666666671</v>
      </c>
      <c r="GO21" s="39">
        <f t="shared" si="108"/>
        <v>90</v>
      </c>
      <c r="GP21" s="39">
        <f t="shared" si="109"/>
        <v>80</v>
      </c>
      <c r="GQ21" s="39">
        <f t="shared" si="110"/>
        <v>78.333333333333329</v>
      </c>
      <c r="GR21" s="39" t="str">
        <f t="shared" si="111"/>
        <v/>
      </c>
      <c r="GS21" s="39" t="str">
        <f t="shared" si="112"/>
        <v/>
      </c>
      <c r="GT21" s="257" t="str">
        <f t="shared" si="113"/>
        <v/>
      </c>
      <c r="GU21" s="579">
        <f t="shared" si="114"/>
        <v>83</v>
      </c>
      <c r="GV21" s="289">
        <f t="shared" si="115"/>
        <v>90</v>
      </c>
      <c r="GW21" s="289">
        <f t="shared" si="116"/>
        <v>78.333333333333329</v>
      </c>
      <c r="GX21" s="289" t="str">
        <f>SISWA!E19</f>
        <v>Fifi</v>
      </c>
      <c r="GY21" s="223" t="str">
        <f t="shared" si="117"/>
        <v xml:space="preserve">Ananda Fifi </v>
      </c>
      <c r="GZ21" s="580" t="str">
        <f t="shared" si="118"/>
        <v/>
      </c>
      <c r="HA21" s="580">
        <f t="shared" si="119"/>
        <v>90</v>
      </c>
      <c r="HB21" s="580" t="str">
        <f t="shared" si="120"/>
        <v/>
      </c>
      <c r="HC21" s="580" t="str">
        <f t="shared" si="121"/>
        <v/>
      </c>
      <c r="HD21" s="580" t="str">
        <f t="shared" si="122"/>
        <v/>
      </c>
      <c r="HE21" s="580" t="str">
        <f t="shared" si="123"/>
        <v/>
      </c>
      <c r="HF21" s="580" t="str">
        <f t="shared" si="124"/>
        <v/>
      </c>
      <c r="HG21" s="580"/>
      <c r="HH21" s="580"/>
      <c r="HI21" s="580"/>
      <c r="HJ21" s="580"/>
      <c r="HK21" s="223">
        <f t="shared" si="125"/>
        <v>90</v>
      </c>
      <c r="HL21" s="289" t="str">
        <f t="shared" si="126"/>
        <v>menjelaskan hak, kewajiban, dan tanggung jawab sebagai warga masyarakat dalam kehidupan sehari-hari</v>
      </c>
      <c r="HM21" s="576" t="str">
        <f>IF(GV21&gt;100,"",IF(GV21&gt;DP$1,"sangat baik dalam "&amp;HL21,IF(GV21&gt;=DP$2,"baik dalam "&amp;HL21,IF(GV21&gt;=DP$3,"cukup dalam "&amp;HL21,IF(GV21&lt;DP$3,"dengan bimbingan dapat meningkatkan dalam "&amp;HL21,IF(GV21&lt;1," ",””))))))</f>
        <v>baik dalam menjelaskan hak, kewajiban, dan tanggung jawab sebagai warga masyarakat dalam kehidupan sehari-hari</v>
      </c>
      <c r="HN21" s="223"/>
      <c r="HO21" s="223" t="str">
        <f t="shared" si="127"/>
        <v/>
      </c>
      <c r="HP21" s="223" t="str">
        <f t="shared" si="128"/>
        <v/>
      </c>
      <c r="HQ21" s="223" t="str">
        <f t="shared" si="129"/>
        <v/>
      </c>
      <c r="HR21" s="223">
        <f t="shared" si="130"/>
        <v>78.333333333333329</v>
      </c>
      <c r="HS21" s="223" t="str">
        <f t="shared" si="131"/>
        <v/>
      </c>
      <c r="HT21" s="223" t="str">
        <f t="shared" si="132"/>
        <v/>
      </c>
      <c r="HU21" s="223" t="str">
        <f t="shared" si="133"/>
        <v/>
      </c>
      <c r="HV21" s="223"/>
      <c r="HW21" s="223"/>
      <c r="HX21" s="223"/>
      <c r="HY21" s="223"/>
      <c r="HZ21" s="223" t="str">
        <f t="shared" si="134"/>
        <v>menyajikan hasil penggalian tentang manfaat persatuan dan kesatuan untuk membangun kerukunan.</v>
      </c>
      <c r="IA21" s="577" t="str">
        <f>IF(GW21&gt;100,"",IF(GW21&gt;=DP$1,"sangat baik dalam "&amp;HZ21,IF(GW21&gt;=DP$2,"baik dalam "&amp;HZ21,IF(GW21&gt;=DP$3,"cukup dalam "&amp;HZ21,IF(GW21&lt;DP$3,"dengan bimbingan dapat meningkatkan dalam "&amp;HZ21,IF(GW21&lt;1," ",””))))))</f>
        <v>cukup dalam menyajikan hasil penggalian tentang manfaat persatuan dan kesatuan untuk membangun kerukunan.</v>
      </c>
      <c r="IB21" s="223" t="str">
        <f t="shared" si="135"/>
        <v>Ananda Fifi baik dalam menjelaskan hak, kewajiban, dan tanggung jawab sebagai warga masyarakat dalam kehidupan sehari-hari, cukup dalam menyajikan hasil penggalian tentang manfaat persatuan dan kesatuan untuk membangun kerukunan..</v>
      </c>
    </row>
    <row r="22" spans="1:236" ht="45">
      <c r="A22" s="39">
        <v>15</v>
      </c>
      <c r="B22" s="290" t="str">
        <f>SISWA!B20</f>
        <v>Tegar Arya Pangestu</v>
      </c>
      <c r="C22" s="123">
        <v>75</v>
      </c>
      <c r="D22" s="123"/>
      <c r="E22" s="123"/>
      <c r="F22" s="123"/>
      <c r="G22" s="123"/>
      <c r="H22" s="123"/>
      <c r="I22" s="123"/>
      <c r="J22" s="255">
        <v>75</v>
      </c>
      <c r="K22" s="255"/>
      <c r="L22" s="255"/>
      <c r="M22" s="255"/>
      <c r="N22" s="255"/>
      <c r="O22" s="255"/>
      <c r="P22" s="255"/>
      <c r="Q22" s="256">
        <v>80</v>
      </c>
      <c r="R22" s="256"/>
      <c r="S22" s="256"/>
      <c r="T22" s="256"/>
      <c r="U22" s="256"/>
      <c r="V22" s="256"/>
      <c r="W22" s="256"/>
      <c r="X22" s="123"/>
      <c r="Y22" s="123">
        <v>90</v>
      </c>
      <c r="Z22" s="123"/>
      <c r="AA22" s="123"/>
      <c r="AB22" s="123"/>
      <c r="AC22" s="123"/>
      <c r="AD22" s="123"/>
      <c r="AE22" s="255"/>
      <c r="AF22" s="255">
        <v>85</v>
      </c>
      <c r="AG22" s="255"/>
      <c r="AH22" s="255"/>
      <c r="AI22" s="255"/>
      <c r="AJ22" s="255"/>
      <c r="AK22" s="255"/>
      <c r="AL22" s="256"/>
      <c r="AM22" s="256">
        <v>85</v>
      </c>
      <c r="AN22" s="256"/>
      <c r="AO22" s="256"/>
      <c r="AP22" s="256"/>
      <c r="AQ22" s="256"/>
      <c r="AR22" s="256"/>
      <c r="AS22" s="123"/>
      <c r="AT22" s="123"/>
      <c r="AU22" s="123">
        <v>80</v>
      </c>
      <c r="AV22" s="123"/>
      <c r="AW22" s="123"/>
      <c r="AX22" s="123"/>
      <c r="AY22" s="123"/>
      <c r="AZ22" s="255"/>
      <c r="BA22" s="255"/>
      <c r="BB22" s="255">
        <v>85</v>
      </c>
      <c r="BC22" s="255"/>
      <c r="BD22" s="255"/>
      <c r="BE22" s="255"/>
      <c r="BF22" s="255"/>
      <c r="BG22" s="256"/>
      <c r="BH22" s="256"/>
      <c r="BI22" s="256">
        <v>90</v>
      </c>
      <c r="BJ22" s="256"/>
      <c r="BK22" s="256"/>
      <c r="BL22" s="256"/>
      <c r="BM22" s="256"/>
      <c r="BN22" s="123"/>
      <c r="BO22" s="123">
        <v>80</v>
      </c>
      <c r="BP22" s="123"/>
      <c r="BQ22" s="123"/>
      <c r="BR22" s="123"/>
      <c r="BS22" s="123"/>
      <c r="BT22" s="123"/>
      <c r="BU22" s="255"/>
      <c r="BV22" s="255">
        <v>90</v>
      </c>
      <c r="BW22" s="255"/>
      <c r="BX22" s="255"/>
      <c r="BY22" s="255"/>
      <c r="BZ22" s="255"/>
      <c r="CA22" s="255"/>
      <c r="CB22" s="256"/>
      <c r="CC22" s="256">
        <v>90</v>
      </c>
      <c r="CD22" s="256"/>
      <c r="CE22" s="256"/>
      <c r="CF22" s="256"/>
      <c r="CG22" s="256"/>
      <c r="CH22" s="256"/>
      <c r="CI22" s="458"/>
      <c r="CJ22" s="458"/>
      <c r="CK22" s="458"/>
      <c r="CL22" s="458">
        <v>85</v>
      </c>
      <c r="CM22" s="458"/>
      <c r="CN22" s="458"/>
      <c r="CO22" s="458"/>
      <c r="CP22" s="457"/>
      <c r="CQ22" s="457"/>
      <c r="CR22" s="457"/>
      <c r="CS22" s="457">
        <v>90</v>
      </c>
      <c r="CT22" s="457"/>
      <c r="CU22" s="457"/>
      <c r="CV22" s="457"/>
      <c r="CW22" s="256"/>
      <c r="CX22" s="256"/>
      <c r="CY22" s="256"/>
      <c r="CZ22" s="256">
        <v>85</v>
      </c>
      <c r="DA22" s="256"/>
      <c r="DB22" s="256"/>
      <c r="DC22" s="256"/>
      <c r="DD22" s="257">
        <f t="shared" si="31"/>
        <v>76.666666666666671</v>
      </c>
      <c r="DE22" s="257">
        <f t="shared" si="32"/>
        <v>90</v>
      </c>
      <c r="DF22" s="257">
        <f t="shared" si="33"/>
        <v>85</v>
      </c>
      <c r="DG22" s="257">
        <f t="shared" si="34"/>
        <v>86.666666666666671</v>
      </c>
      <c r="DH22" s="257" t="str">
        <f t="shared" si="35"/>
        <v/>
      </c>
      <c r="DI22" s="257" t="str">
        <f t="shared" si="36"/>
        <v/>
      </c>
      <c r="DJ22" s="257" t="str">
        <f t="shared" si="37"/>
        <v/>
      </c>
      <c r="DK22" s="569">
        <f t="shared" si="38"/>
        <v>85</v>
      </c>
      <c r="DL22" s="291" t="str">
        <f t="shared" si="39"/>
        <v>B</v>
      </c>
      <c r="DM22" s="243" t="str">
        <f t="shared" si="40"/>
        <v>Ananda Tegar baik dalam menjelaskan hak, kewajiban, dan tanggung jawab sebagai warga masyarakat dalam kehidupan sehari-hari, cukup dalam menyajikan hasil identifikasi nilai-nilai Pancasila dalam kehidupan sehari-hari.</v>
      </c>
      <c r="DN22" s="39"/>
      <c r="DO22" s="39"/>
      <c r="DP22" s="257">
        <f t="shared" si="41"/>
        <v>75</v>
      </c>
      <c r="DQ22" s="257">
        <f t="shared" si="42"/>
        <v>90</v>
      </c>
      <c r="DR22" s="257">
        <f t="shared" si="43"/>
        <v>80</v>
      </c>
      <c r="DS22" s="257">
        <f t="shared" si="44"/>
        <v>85</v>
      </c>
      <c r="DT22" s="257">
        <f t="shared" si="45"/>
        <v>0</v>
      </c>
      <c r="DU22" s="257">
        <f t="shared" si="46"/>
        <v>0</v>
      </c>
      <c r="DV22" s="257">
        <f t="shared" si="47"/>
        <v>0</v>
      </c>
      <c r="DW22" s="257"/>
      <c r="DX22" s="257"/>
      <c r="DY22" s="257"/>
      <c r="DZ22" s="289">
        <f t="shared" si="48"/>
        <v>90</v>
      </c>
      <c r="EA22" s="257">
        <f t="shared" si="49"/>
        <v>75</v>
      </c>
      <c r="EB22" s="257">
        <f t="shared" si="50"/>
        <v>90</v>
      </c>
      <c r="EC22" s="257">
        <f t="shared" si="51"/>
        <v>85</v>
      </c>
      <c r="ED22" s="257">
        <f t="shared" si="52"/>
        <v>90</v>
      </c>
      <c r="EE22" s="257">
        <f t="shared" si="53"/>
        <v>0</v>
      </c>
      <c r="EF22" s="257">
        <f t="shared" si="54"/>
        <v>0</v>
      </c>
      <c r="EG22" s="257">
        <f t="shared" si="55"/>
        <v>0</v>
      </c>
      <c r="EH22" s="223"/>
      <c r="EI22" s="223"/>
      <c r="EJ22" s="223"/>
      <c r="EK22" s="289">
        <f t="shared" si="56"/>
        <v>90</v>
      </c>
      <c r="EL22" s="257">
        <f t="shared" si="57"/>
        <v>80</v>
      </c>
      <c r="EM22" s="257">
        <f t="shared" si="58"/>
        <v>90</v>
      </c>
      <c r="EN22" s="257">
        <f t="shared" si="59"/>
        <v>90</v>
      </c>
      <c r="EO22" s="257">
        <f t="shared" si="60"/>
        <v>85</v>
      </c>
      <c r="EP22" s="257">
        <f t="shared" si="61"/>
        <v>0</v>
      </c>
      <c r="EQ22" s="257">
        <f t="shared" si="62"/>
        <v>0</v>
      </c>
      <c r="ER22" s="257">
        <f t="shared" si="63"/>
        <v>0</v>
      </c>
      <c r="ES22" s="223"/>
      <c r="ET22" s="223"/>
      <c r="EU22" s="223"/>
      <c r="EV22" s="289">
        <f t="shared" si="64"/>
        <v>90</v>
      </c>
      <c r="EW22" s="257">
        <f t="shared" si="65"/>
        <v>75</v>
      </c>
      <c r="EX22" s="257">
        <f t="shared" si="66"/>
        <v>75</v>
      </c>
      <c r="EY22" s="257">
        <f t="shared" si="67"/>
        <v>80</v>
      </c>
      <c r="EZ22" s="575">
        <f t="shared" si="68"/>
        <v>0</v>
      </c>
      <c r="FA22" s="506">
        <f t="shared" si="69"/>
        <v>3</v>
      </c>
      <c r="FB22" s="39">
        <f t="shared" si="70"/>
        <v>76.666666666666671</v>
      </c>
      <c r="FC22" s="257">
        <f t="shared" si="71"/>
        <v>90</v>
      </c>
      <c r="FD22" s="257">
        <f t="shared" si="72"/>
        <v>90</v>
      </c>
      <c r="FE22" s="257">
        <f t="shared" si="73"/>
        <v>90</v>
      </c>
      <c r="FF22" s="575">
        <f t="shared" si="74"/>
        <v>0</v>
      </c>
      <c r="FG22" s="506">
        <f t="shared" si="75"/>
        <v>3</v>
      </c>
      <c r="FH22" s="39">
        <f t="shared" si="76"/>
        <v>90</v>
      </c>
      <c r="FI22" s="257">
        <f t="shared" si="77"/>
        <v>80</v>
      </c>
      <c r="FJ22" s="257">
        <f t="shared" si="78"/>
        <v>85</v>
      </c>
      <c r="FK22" s="257">
        <f t="shared" si="79"/>
        <v>90</v>
      </c>
      <c r="FL22" s="575">
        <f t="shared" si="80"/>
        <v>0</v>
      </c>
      <c r="FM22" s="506">
        <f t="shared" si="81"/>
        <v>3</v>
      </c>
      <c r="FN22" s="39">
        <f t="shared" si="82"/>
        <v>85</v>
      </c>
      <c r="FO22" s="257">
        <f t="shared" si="83"/>
        <v>85</v>
      </c>
      <c r="FP22" s="257">
        <f t="shared" si="84"/>
        <v>90</v>
      </c>
      <c r="FQ22" s="257">
        <f t="shared" si="85"/>
        <v>85</v>
      </c>
      <c r="FR22" s="575">
        <f t="shared" si="86"/>
        <v>0</v>
      </c>
      <c r="FS22" s="506">
        <f t="shared" si="87"/>
        <v>3</v>
      </c>
      <c r="FT22" s="39">
        <f t="shared" si="88"/>
        <v>86.666666666666671</v>
      </c>
      <c r="FU22" s="257">
        <f t="shared" si="89"/>
        <v>0</v>
      </c>
      <c r="FV22" s="257">
        <f t="shared" si="90"/>
        <v>0</v>
      </c>
      <c r="FW22" s="257">
        <f t="shared" si="91"/>
        <v>0</v>
      </c>
      <c r="FX22" s="575">
        <f t="shared" si="92"/>
        <v>3</v>
      </c>
      <c r="FY22" s="506">
        <f t="shared" si="93"/>
        <v>0</v>
      </c>
      <c r="FZ22" s="39" t="str">
        <f t="shared" si="94"/>
        <v/>
      </c>
      <c r="GA22" s="257">
        <f t="shared" si="95"/>
        <v>0</v>
      </c>
      <c r="GB22" s="257">
        <f t="shared" si="96"/>
        <v>0</v>
      </c>
      <c r="GC22" s="257">
        <f t="shared" si="97"/>
        <v>0</v>
      </c>
      <c r="GD22" s="575">
        <f t="shared" si="98"/>
        <v>3</v>
      </c>
      <c r="GE22" s="506">
        <f t="shared" si="99"/>
        <v>0</v>
      </c>
      <c r="GF22" s="39" t="str">
        <f t="shared" si="100"/>
        <v/>
      </c>
      <c r="GG22" s="257">
        <f t="shared" si="101"/>
        <v>0</v>
      </c>
      <c r="GH22" s="257">
        <f t="shared" si="102"/>
        <v>0</v>
      </c>
      <c r="GI22" s="257">
        <f t="shared" si="103"/>
        <v>0</v>
      </c>
      <c r="GJ22" s="575">
        <f t="shared" si="104"/>
        <v>3</v>
      </c>
      <c r="GK22" s="506">
        <f t="shared" si="105"/>
        <v>0</v>
      </c>
      <c r="GL22" s="39" t="str">
        <f t="shared" si="106"/>
        <v/>
      </c>
      <c r="GM22" s="39"/>
      <c r="GN22" s="39">
        <f t="shared" si="107"/>
        <v>76.666666666666671</v>
      </c>
      <c r="GO22" s="39">
        <f t="shared" si="108"/>
        <v>90</v>
      </c>
      <c r="GP22" s="39">
        <f t="shared" si="109"/>
        <v>85</v>
      </c>
      <c r="GQ22" s="39">
        <f t="shared" si="110"/>
        <v>86.666666666666671</v>
      </c>
      <c r="GR22" s="39" t="str">
        <f t="shared" si="111"/>
        <v/>
      </c>
      <c r="GS22" s="39" t="str">
        <f t="shared" si="112"/>
        <v/>
      </c>
      <c r="GT22" s="257" t="str">
        <f t="shared" si="113"/>
        <v/>
      </c>
      <c r="GU22" s="579">
        <f t="shared" si="114"/>
        <v>85</v>
      </c>
      <c r="GV22" s="289">
        <f t="shared" si="115"/>
        <v>90</v>
      </c>
      <c r="GW22" s="289">
        <f t="shared" si="116"/>
        <v>76.666666666666671</v>
      </c>
      <c r="GX22" s="289" t="str">
        <f>SISWA!E20</f>
        <v>Tegar</v>
      </c>
      <c r="GY22" s="223" t="str">
        <f t="shared" si="117"/>
        <v xml:space="preserve">Ananda Tegar </v>
      </c>
      <c r="GZ22" s="580" t="str">
        <f t="shared" si="118"/>
        <v/>
      </c>
      <c r="HA22" s="580">
        <f t="shared" si="119"/>
        <v>90</v>
      </c>
      <c r="HB22" s="580" t="str">
        <f t="shared" si="120"/>
        <v/>
      </c>
      <c r="HC22" s="580" t="str">
        <f t="shared" si="121"/>
        <v/>
      </c>
      <c r="HD22" s="580" t="str">
        <f t="shared" si="122"/>
        <v/>
      </c>
      <c r="HE22" s="580" t="str">
        <f t="shared" si="123"/>
        <v/>
      </c>
      <c r="HF22" s="580" t="str">
        <f t="shared" si="124"/>
        <v/>
      </c>
      <c r="HG22" s="580"/>
      <c r="HH22" s="580"/>
      <c r="HI22" s="580"/>
      <c r="HJ22" s="580"/>
      <c r="HK22" s="223">
        <f t="shared" si="125"/>
        <v>90</v>
      </c>
      <c r="HL22" s="289" t="str">
        <f t="shared" si="126"/>
        <v>menjelaskan hak, kewajiban, dan tanggung jawab sebagai warga masyarakat dalam kehidupan sehari-hari</v>
      </c>
      <c r="HM22" s="576" t="str">
        <f>IF(GV22&gt;100,"",IF(GV22&gt;DP$1,"sangat baik dalam "&amp;HL22,IF(GV22&gt;=DP$2,"baik dalam "&amp;HL22,IF(GV22&gt;=DP$3,"cukup dalam "&amp;HL22,IF(GV22&lt;DP$3,"dengan bimbingan dapat meningkatkan dalam "&amp;HL22,IF(GV22&lt;1," ",””))))))</f>
        <v>baik dalam menjelaskan hak, kewajiban, dan tanggung jawab sebagai warga masyarakat dalam kehidupan sehari-hari</v>
      </c>
      <c r="HN22" s="223"/>
      <c r="HO22" s="223">
        <f t="shared" si="127"/>
        <v>76.666666666666671</v>
      </c>
      <c r="HP22" s="223" t="str">
        <f t="shared" si="128"/>
        <v/>
      </c>
      <c r="HQ22" s="223" t="str">
        <f t="shared" si="129"/>
        <v/>
      </c>
      <c r="HR22" s="223" t="str">
        <f t="shared" si="130"/>
        <v/>
      </c>
      <c r="HS22" s="223" t="str">
        <f t="shared" si="131"/>
        <v/>
      </c>
      <c r="HT22" s="223" t="str">
        <f t="shared" si="132"/>
        <v/>
      </c>
      <c r="HU22" s="223" t="str">
        <f t="shared" si="133"/>
        <v/>
      </c>
      <c r="HV22" s="223"/>
      <c r="HW22" s="223"/>
      <c r="HX22" s="223"/>
      <c r="HY22" s="223"/>
      <c r="HZ22" s="223" t="str">
        <f t="shared" si="134"/>
        <v>menyajikan hasil identifikasi nilai-nilai Pancasila dalam kehidupan sehari-hari</v>
      </c>
      <c r="IA22" s="577" t="str">
        <f>IF(GW22&gt;100,"",IF(GW22&gt;=DP$1,"sangat baik dalam "&amp;HZ22,IF(GW22&gt;=DP$2,"baik dalam "&amp;HZ22,IF(GW22&gt;=DP$3,"cukup dalam "&amp;HZ22,IF(GW22&lt;DP$3,"dengan bimbingan dapat meningkatkan dalam "&amp;HZ22,IF(GW22&lt;1," ",””))))))</f>
        <v>cukup dalam menyajikan hasil identifikasi nilai-nilai Pancasila dalam kehidupan sehari-hari</v>
      </c>
      <c r="IB22" s="223" t="str">
        <f t="shared" si="135"/>
        <v>Ananda Tegar baik dalam menjelaskan hak, kewajiban, dan tanggung jawab sebagai warga masyarakat dalam kehidupan sehari-hari, cukup dalam menyajikan hasil identifikasi nilai-nilai Pancasila dalam kehidupan sehari-hari.</v>
      </c>
    </row>
    <row r="23" spans="1:236">
      <c r="A23" s="39">
        <v>16</v>
      </c>
      <c r="B23" s="290">
        <f>SISWA!B21</f>
        <v>0</v>
      </c>
      <c r="C23" s="123"/>
      <c r="D23" s="123"/>
      <c r="E23" s="123"/>
      <c r="F23" s="123"/>
      <c r="G23" s="123"/>
      <c r="H23" s="123"/>
      <c r="I23" s="123"/>
      <c r="J23" s="255"/>
      <c r="K23" s="255"/>
      <c r="L23" s="255"/>
      <c r="M23" s="255"/>
      <c r="N23" s="255"/>
      <c r="O23" s="255"/>
      <c r="P23" s="255"/>
      <c r="Q23" s="256"/>
      <c r="R23" s="256"/>
      <c r="S23" s="256"/>
      <c r="T23" s="256"/>
      <c r="U23" s="256"/>
      <c r="V23" s="256"/>
      <c r="W23" s="256"/>
      <c r="X23" s="123"/>
      <c r="Y23" s="123"/>
      <c r="Z23" s="123"/>
      <c r="AA23" s="123"/>
      <c r="AB23" s="123"/>
      <c r="AC23" s="123"/>
      <c r="AD23" s="123"/>
      <c r="AE23" s="255"/>
      <c r="AF23" s="255"/>
      <c r="AG23" s="255"/>
      <c r="AH23" s="255"/>
      <c r="AI23" s="255"/>
      <c r="AJ23" s="255"/>
      <c r="AK23" s="255"/>
      <c r="AL23" s="256"/>
      <c r="AM23" s="256"/>
      <c r="AN23" s="256"/>
      <c r="AO23" s="256"/>
      <c r="AP23" s="256"/>
      <c r="AQ23" s="256"/>
      <c r="AR23" s="256"/>
      <c r="AS23" s="123"/>
      <c r="AT23" s="123"/>
      <c r="AU23" s="123"/>
      <c r="AV23" s="123"/>
      <c r="AW23" s="123"/>
      <c r="AX23" s="123"/>
      <c r="AY23" s="123"/>
      <c r="AZ23" s="255"/>
      <c r="BA23" s="255"/>
      <c r="BB23" s="255"/>
      <c r="BC23" s="255"/>
      <c r="BD23" s="255"/>
      <c r="BE23" s="255"/>
      <c r="BF23" s="255"/>
      <c r="BG23" s="256"/>
      <c r="BH23" s="256"/>
      <c r="BI23" s="256"/>
      <c r="BJ23" s="256"/>
      <c r="BK23" s="256"/>
      <c r="BL23" s="256"/>
      <c r="BM23" s="256"/>
      <c r="BN23" s="123"/>
      <c r="BO23" s="123"/>
      <c r="BP23" s="123"/>
      <c r="BQ23" s="123"/>
      <c r="BR23" s="123"/>
      <c r="BS23" s="123"/>
      <c r="BT23" s="123"/>
      <c r="BU23" s="255"/>
      <c r="BV23" s="255"/>
      <c r="BW23" s="255"/>
      <c r="BX23" s="255"/>
      <c r="BY23" s="255"/>
      <c r="BZ23" s="255"/>
      <c r="CA23" s="255"/>
      <c r="CB23" s="256"/>
      <c r="CC23" s="256"/>
      <c r="CD23" s="256"/>
      <c r="CE23" s="256"/>
      <c r="CF23" s="256"/>
      <c r="CG23" s="256"/>
      <c r="CH23" s="256"/>
      <c r="CI23" s="458"/>
      <c r="CJ23" s="458"/>
      <c r="CK23" s="458"/>
      <c r="CL23" s="458"/>
      <c r="CM23" s="458"/>
      <c r="CN23" s="458"/>
      <c r="CO23" s="458"/>
      <c r="CP23" s="457"/>
      <c r="CQ23" s="457"/>
      <c r="CR23" s="457"/>
      <c r="CS23" s="457"/>
      <c r="CT23" s="457"/>
      <c r="CU23" s="457"/>
      <c r="CV23" s="457"/>
      <c r="CW23" s="256"/>
      <c r="CX23" s="256"/>
      <c r="CY23" s="256"/>
      <c r="CZ23" s="256"/>
      <c r="DA23" s="256"/>
      <c r="DB23" s="256"/>
      <c r="DC23" s="256"/>
      <c r="DD23" s="257" t="str">
        <f t="shared" si="31"/>
        <v/>
      </c>
      <c r="DE23" s="257" t="str">
        <f t="shared" si="32"/>
        <v/>
      </c>
      <c r="DF23" s="257" t="str">
        <f t="shared" si="33"/>
        <v/>
      </c>
      <c r="DG23" s="257" t="str">
        <f t="shared" si="34"/>
        <v/>
      </c>
      <c r="DH23" s="257" t="str">
        <f t="shared" si="35"/>
        <v/>
      </c>
      <c r="DI23" s="257" t="str">
        <f t="shared" si="36"/>
        <v/>
      </c>
      <c r="DJ23" s="257" t="str">
        <f t="shared" si="37"/>
        <v/>
      </c>
      <c r="DK23" s="569" t="str">
        <f t="shared" si="38"/>
        <v/>
      </c>
      <c r="DL23" s="291" t="str">
        <f t="shared" si="39"/>
        <v xml:space="preserve">  </v>
      </c>
      <c r="DM23" s="243" t="str">
        <f t="shared" si="40"/>
        <v xml:space="preserve"> </v>
      </c>
      <c r="DN23" s="39"/>
      <c r="DO23" s="39"/>
      <c r="DP23" s="257">
        <f t="shared" si="41"/>
        <v>0</v>
      </c>
      <c r="DQ23" s="257">
        <f t="shared" si="42"/>
        <v>0</v>
      </c>
      <c r="DR23" s="257">
        <f t="shared" si="43"/>
        <v>0</v>
      </c>
      <c r="DS23" s="257">
        <f t="shared" si="44"/>
        <v>0</v>
      </c>
      <c r="DT23" s="257">
        <f t="shared" si="45"/>
        <v>0</v>
      </c>
      <c r="DU23" s="257">
        <f t="shared" si="46"/>
        <v>0</v>
      </c>
      <c r="DV23" s="257">
        <f t="shared" si="47"/>
        <v>0</v>
      </c>
      <c r="DW23" s="257"/>
      <c r="DX23" s="257"/>
      <c r="DY23" s="257"/>
      <c r="DZ23" s="289">
        <f t="shared" si="48"/>
        <v>0</v>
      </c>
      <c r="EA23" s="257">
        <f t="shared" si="49"/>
        <v>0</v>
      </c>
      <c r="EB23" s="257">
        <f t="shared" si="50"/>
        <v>0</v>
      </c>
      <c r="EC23" s="257">
        <f t="shared" si="51"/>
        <v>0</v>
      </c>
      <c r="ED23" s="257">
        <f t="shared" si="52"/>
        <v>0</v>
      </c>
      <c r="EE23" s="257">
        <f t="shared" si="53"/>
        <v>0</v>
      </c>
      <c r="EF23" s="257">
        <f t="shared" si="54"/>
        <v>0</v>
      </c>
      <c r="EG23" s="257">
        <f t="shared" si="55"/>
        <v>0</v>
      </c>
      <c r="EH23" s="223"/>
      <c r="EI23" s="223"/>
      <c r="EJ23" s="223"/>
      <c r="EK23" s="289">
        <f t="shared" si="56"/>
        <v>0</v>
      </c>
      <c r="EL23" s="257">
        <f t="shared" si="57"/>
        <v>0</v>
      </c>
      <c r="EM23" s="257">
        <f t="shared" si="58"/>
        <v>0</v>
      </c>
      <c r="EN23" s="257">
        <f t="shared" si="59"/>
        <v>0</v>
      </c>
      <c r="EO23" s="257">
        <f t="shared" si="60"/>
        <v>0</v>
      </c>
      <c r="EP23" s="257">
        <f t="shared" si="61"/>
        <v>0</v>
      </c>
      <c r="EQ23" s="257">
        <f t="shared" si="62"/>
        <v>0</v>
      </c>
      <c r="ER23" s="257">
        <f t="shared" si="63"/>
        <v>0</v>
      </c>
      <c r="ES23" s="223"/>
      <c r="ET23" s="223"/>
      <c r="EU23" s="223"/>
      <c r="EV23" s="289">
        <f t="shared" si="64"/>
        <v>0</v>
      </c>
      <c r="EW23" s="257">
        <f t="shared" si="65"/>
        <v>0</v>
      </c>
      <c r="EX23" s="257">
        <f t="shared" si="66"/>
        <v>0</v>
      </c>
      <c r="EY23" s="257">
        <f t="shared" si="67"/>
        <v>0</v>
      </c>
      <c r="EZ23" s="575">
        <f t="shared" si="68"/>
        <v>3</v>
      </c>
      <c r="FA23" s="506">
        <f t="shared" si="69"/>
        <v>0</v>
      </c>
      <c r="FB23" s="39" t="str">
        <f t="shared" si="70"/>
        <v/>
      </c>
      <c r="FC23" s="257">
        <f t="shared" si="71"/>
        <v>0</v>
      </c>
      <c r="FD23" s="257">
        <f t="shared" si="72"/>
        <v>0</v>
      </c>
      <c r="FE23" s="257">
        <f t="shared" si="73"/>
        <v>0</v>
      </c>
      <c r="FF23" s="575">
        <f t="shared" si="74"/>
        <v>3</v>
      </c>
      <c r="FG23" s="506">
        <f t="shared" si="75"/>
        <v>0</v>
      </c>
      <c r="FH23" s="39" t="str">
        <f t="shared" si="76"/>
        <v/>
      </c>
      <c r="FI23" s="257">
        <f t="shared" si="77"/>
        <v>0</v>
      </c>
      <c r="FJ23" s="257">
        <f t="shared" si="78"/>
        <v>0</v>
      </c>
      <c r="FK23" s="257">
        <f t="shared" si="79"/>
        <v>0</v>
      </c>
      <c r="FL23" s="575">
        <f t="shared" si="80"/>
        <v>3</v>
      </c>
      <c r="FM23" s="506">
        <f t="shared" si="81"/>
        <v>0</v>
      </c>
      <c r="FN23" s="39" t="str">
        <f t="shared" si="82"/>
        <v/>
      </c>
      <c r="FO23" s="257">
        <f t="shared" si="83"/>
        <v>0</v>
      </c>
      <c r="FP23" s="257">
        <f t="shared" si="84"/>
        <v>0</v>
      </c>
      <c r="FQ23" s="257">
        <f t="shared" si="85"/>
        <v>0</v>
      </c>
      <c r="FR23" s="575">
        <f t="shared" si="86"/>
        <v>3</v>
      </c>
      <c r="FS23" s="506">
        <f t="shared" si="87"/>
        <v>0</v>
      </c>
      <c r="FT23" s="39" t="str">
        <f t="shared" si="88"/>
        <v/>
      </c>
      <c r="FU23" s="257">
        <f t="shared" si="89"/>
        <v>0</v>
      </c>
      <c r="FV23" s="257">
        <f t="shared" si="90"/>
        <v>0</v>
      </c>
      <c r="FW23" s="257">
        <f t="shared" si="91"/>
        <v>0</v>
      </c>
      <c r="FX23" s="575">
        <f t="shared" si="92"/>
        <v>3</v>
      </c>
      <c r="FY23" s="506">
        <f t="shared" si="93"/>
        <v>0</v>
      </c>
      <c r="FZ23" s="39" t="str">
        <f t="shared" si="94"/>
        <v/>
      </c>
      <c r="GA23" s="257">
        <f t="shared" si="95"/>
        <v>0</v>
      </c>
      <c r="GB23" s="257">
        <f t="shared" si="96"/>
        <v>0</v>
      </c>
      <c r="GC23" s="257">
        <f t="shared" si="97"/>
        <v>0</v>
      </c>
      <c r="GD23" s="575">
        <f t="shared" si="98"/>
        <v>3</v>
      </c>
      <c r="GE23" s="506">
        <f t="shared" si="99"/>
        <v>0</v>
      </c>
      <c r="GF23" s="39" t="str">
        <f t="shared" si="100"/>
        <v/>
      </c>
      <c r="GG23" s="257">
        <f t="shared" si="101"/>
        <v>0</v>
      </c>
      <c r="GH23" s="257">
        <f t="shared" si="102"/>
        <v>0</v>
      </c>
      <c r="GI23" s="257">
        <f t="shared" si="103"/>
        <v>0</v>
      </c>
      <c r="GJ23" s="575">
        <f t="shared" si="104"/>
        <v>3</v>
      </c>
      <c r="GK23" s="506">
        <f t="shared" si="105"/>
        <v>0</v>
      </c>
      <c r="GL23" s="39" t="str">
        <f t="shared" si="106"/>
        <v/>
      </c>
      <c r="GM23" s="39"/>
      <c r="GN23" s="39" t="str">
        <f t="shared" si="107"/>
        <v/>
      </c>
      <c r="GO23" s="39" t="str">
        <f t="shared" si="108"/>
        <v/>
      </c>
      <c r="GP23" s="39" t="str">
        <f t="shared" si="109"/>
        <v/>
      </c>
      <c r="GQ23" s="39" t="str">
        <f t="shared" si="110"/>
        <v/>
      </c>
      <c r="GR23" s="39" t="str">
        <f t="shared" si="111"/>
        <v/>
      </c>
      <c r="GS23" s="39" t="str">
        <f t="shared" si="112"/>
        <v/>
      </c>
      <c r="GT23" s="257" t="str">
        <f t="shared" si="113"/>
        <v/>
      </c>
      <c r="GU23" s="579" t="str">
        <f t="shared" si="114"/>
        <v/>
      </c>
      <c r="GV23" s="289">
        <f t="shared" si="115"/>
        <v>0</v>
      </c>
      <c r="GW23" s="289">
        <f t="shared" si="116"/>
        <v>0</v>
      </c>
      <c r="GX23" s="289">
        <f>SISWA!E21</f>
        <v>0</v>
      </c>
      <c r="GY23" s="223" t="str">
        <f t="shared" si="117"/>
        <v/>
      </c>
      <c r="GZ23" s="580" t="str">
        <f t="shared" si="118"/>
        <v/>
      </c>
      <c r="HA23" s="580" t="str">
        <f t="shared" si="119"/>
        <v/>
      </c>
      <c r="HB23" s="580" t="str">
        <f t="shared" si="120"/>
        <v/>
      </c>
      <c r="HC23" s="580" t="str">
        <f t="shared" si="121"/>
        <v/>
      </c>
      <c r="HD23" s="580" t="str">
        <f t="shared" si="122"/>
        <v/>
      </c>
      <c r="HE23" s="580" t="str">
        <f t="shared" si="123"/>
        <v/>
      </c>
      <c r="HF23" s="580" t="str">
        <f t="shared" si="124"/>
        <v/>
      </c>
      <c r="HG23" s="580"/>
      <c r="HH23" s="580"/>
      <c r="HI23" s="580"/>
      <c r="HJ23" s="580"/>
      <c r="HK23" s="223">
        <f t="shared" si="125"/>
        <v>0</v>
      </c>
      <c r="HL23" s="289" t="e">
        <f t="shared" si="126"/>
        <v>#N/A</v>
      </c>
      <c r="HM23" s="576" t="e">
        <f>IF(GV23&gt;100,"",IF(GV23&gt;DP$1,"sangat baik dalam "&amp;HL23,IF(GV23&gt;=DP$2,"baik dalam "&amp;HL23,IF(GV23&gt;=DP$3,"cukup dalam "&amp;HL23,IF(GV23&lt;DP$3,"dengan bimbingan dapat meningkatkan dalam "&amp;HL23,IF(GV23&lt;1," ",””))))))</f>
        <v>#N/A</v>
      </c>
      <c r="HN23" s="223"/>
      <c r="HO23" s="223" t="str">
        <f t="shared" si="127"/>
        <v/>
      </c>
      <c r="HP23" s="223" t="str">
        <f t="shared" si="128"/>
        <v/>
      </c>
      <c r="HQ23" s="223" t="str">
        <f t="shared" si="129"/>
        <v/>
      </c>
      <c r="HR23" s="223" t="str">
        <f t="shared" si="130"/>
        <v/>
      </c>
      <c r="HS23" s="223" t="str">
        <f t="shared" si="131"/>
        <v/>
      </c>
      <c r="HT23" s="223" t="str">
        <f t="shared" si="132"/>
        <v/>
      </c>
      <c r="HU23" s="223" t="str">
        <f t="shared" si="133"/>
        <v/>
      </c>
      <c r="HV23" s="223"/>
      <c r="HW23" s="223"/>
      <c r="HX23" s="223"/>
      <c r="HY23" s="223"/>
      <c r="HZ23" s="223" t="e">
        <f t="shared" si="134"/>
        <v>#N/A</v>
      </c>
      <c r="IA23" s="577" t="e">
        <f>IF(GW23&gt;100,"",IF(GW23&gt;=DP$1,"sangat baik dalam "&amp;HZ23,IF(GW23&gt;=DP$2,"baik dalam "&amp;HZ23,IF(GW23&gt;=DP$3,"cukup dalam "&amp;HZ23,IF(GW23&lt;DP$3,"dengan bimbingan dapat meningkatkan dalam "&amp;HZ23,IF(GW23&lt;1," ",””))))))</f>
        <v>#N/A</v>
      </c>
      <c r="IB23" s="223" t="e">
        <f t="shared" si="135"/>
        <v>#N/A</v>
      </c>
    </row>
    <row r="24" spans="1:236">
      <c r="A24" s="39">
        <v>17</v>
      </c>
      <c r="B24" s="290">
        <f>SISWA!B22</f>
        <v>0</v>
      </c>
      <c r="C24" s="123"/>
      <c r="D24" s="123"/>
      <c r="E24" s="123"/>
      <c r="F24" s="123"/>
      <c r="G24" s="123"/>
      <c r="H24" s="123"/>
      <c r="I24" s="123"/>
      <c r="J24" s="255"/>
      <c r="K24" s="255"/>
      <c r="L24" s="255"/>
      <c r="M24" s="255"/>
      <c r="N24" s="255"/>
      <c r="O24" s="255"/>
      <c r="P24" s="255"/>
      <c r="Q24" s="256"/>
      <c r="R24" s="256"/>
      <c r="S24" s="256"/>
      <c r="T24" s="256"/>
      <c r="U24" s="256"/>
      <c r="V24" s="256"/>
      <c r="W24" s="256"/>
      <c r="X24" s="123"/>
      <c r="Y24" s="123"/>
      <c r="Z24" s="123"/>
      <c r="AA24" s="123"/>
      <c r="AB24" s="123"/>
      <c r="AC24" s="123"/>
      <c r="AD24" s="123"/>
      <c r="AE24" s="255"/>
      <c r="AF24" s="255"/>
      <c r="AG24" s="255"/>
      <c r="AH24" s="255"/>
      <c r="AI24" s="255"/>
      <c r="AJ24" s="255"/>
      <c r="AK24" s="255"/>
      <c r="AL24" s="256"/>
      <c r="AM24" s="256"/>
      <c r="AN24" s="256"/>
      <c r="AO24" s="256"/>
      <c r="AP24" s="256"/>
      <c r="AQ24" s="256"/>
      <c r="AR24" s="256"/>
      <c r="AS24" s="123"/>
      <c r="AT24" s="123"/>
      <c r="AU24" s="123"/>
      <c r="AV24" s="123"/>
      <c r="AW24" s="123"/>
      <c r="AX24" s="123"/>
      <c r="AY24" s="123"/>
      <c r="AZ24" s="255"/>
      <c r="BA24" s="255"/>
      <c r="BB24" s="255"/>
      <c r="BC24" s="255"/>
      <c r="BD24" s="255"/>
      <c r="BE24" s="255"/>
      <c r="BF24" s="255"/>
      <c r="BG24" s="256"/>
      <c r="BH24" s="256"/>
      <c r="BI24" s="256"/>
      <c r="BJ24" s="256"/>
      <c r="BK24" s="256"/>
      <c r="BL24" s="256"/>
      <c r="BM24" s="256"/>
      <c r="BN24" s="123"/>
      <c r="BO24" s="123"/>
      <c r="BP24" s="123"/>
      <c r="BQ24" s="123"/>
      <c r="BR24" s="123"/>
      <c r="BS24" s="123"/>
      <c r="BT24" s="123"/>
      <c r="BU24" s="255"/>
      <c r="BV24" s="255"/>
      <c r="BW24" s="255"/>
      <c r="BX24" s="255"/>
      <c r="BY24" s="255"/>
      <c r="BZ24" s="255"/>
      <c r="CA24" s="255"/>
      <c r="CB24" s="256"/>
      <c r="CC24" s="256"/>
      <c r="CD24" s="256"/>
      <c r="CE24" s="256"/>
      <c r="CF24" s="256"/>
      <c r="CG24" s="256"/>
      <c r="CH24" s="256"/>
      <c r="CI24" s="458"/>
      <c r="CJ24" s="458"/>
      <c r="CK24" s="458"/>
      <c r="CL24" s="458"/>
      <c r="CM24" s="458"/>
      <c r="CN24" s="458"/>
      <c r="CO24" s="458"/>
      <c r="CP24" s="457"/>
      <c r="CQ24" s="457"/>
      <c r="CR24" s="457"/>
      <c r="CS24" s="457"/>
      <c r="CT24" s="457"/>
      <c r="CU24" s="457"/>
      <c r="CV24" s="457"/>
      <c r="CW24" s="256"/>
      <c r="CX24" s="256"/>
      <c r="CY24" s="256"/>
      <c r="CZ24" s="256"/>
      <c r="DA24" s="256"/>
      <c r="DB24" s="256"/>
      <c r="DC24" s="256"/>
      <c r="DD24" s="257" t="str">
        <f t="shared" si="31"/>
        <v/>
      </c>
      <c r="DE24" s="257" t="str">
        <f t="shared" si="32"/>
        <v/>
      </c>
      <c r="DF24" s="257" t="str">
        <f t="shared" si="33"/>
        <v/>
      </c>
      <c r="DG24" s="257" t="str">
        <f t="shared" si="34"/>
        <v/>
      </c>
      <c r="DH24" s="257" t="str">
        <f t="shared" si="35"/>
        <v/>
      </c>
      <c r="DI24" s="257" t="str">
        <f t="shared" si="36"/>
        <v/>
      </c>
      <c r="DJ24" s="257" t="str">
        <f t="shared" si="37"/>
        <v/>
      </c>
      <c r="DK24" s="569" t="str">
        <f t="shared" si="38"/>
        <v/>
      </c>
      <c r="DL24" s="291" t="str">
        <f t="shared" si="39"/>
        <v xml:space="preserve">  </v>
      </c>
      <c r="DM24" s="243" t="str">
        <f t="shared" si="40"/>
        <v xml:space="preserve"> </v>
      </c>
      <c r="DN24" s="39"/>
      <c r="DO24" s="39"/>
      <c r="DP24" s="257">
        <f t="shared" si="41"/>
        <v>0</v>
      </c>
      <c r="DQ24" s="257">
        <f t="shared" si="42"/>
        <v>0</v>
      </c>
      <c r="DR24" s="257">
        <f t="shared" si="43"/>
        <v>0</v>
      </c>
      <c r="DS24" s="257">
        <f t="shared" si="44"/>
        <v>0</v>
      </c>
      <c r="DT24" s="257">
        <f t="shared" si="45"/>
        <v>0</v>
      </c>
      <c r="DU24" s="257">
        <f t="shared" si="46"/>
        <v>0</v>
      </c>
      <c r="DV24" s="257">
        <f t="shared" si="47"/>
        <v>0</v>
      </c>
      <c r="DW24" s="257"/>
      <c r="DX24" s="257"/>
      <c r="DY24" s="257"/>
      <c r="DZ24" s="289">
        <f t="shared" si="48"/>
        <v>0</v>
      </c>
      <c r="EA24" s="257">
        <f t="shared" si="49"/>
        <v>0</v>
      </c>
      <c r="EB24" s="257">
        <f t="shared" si="50"/>
        <v>0</v>
      </c>
      <c r="EC24" s="257">
        <f t="shared" si="51"/>
        <v>0</v>
      </c>
      <c r="ED24" s="257">
        <f t="shared" si="52"/>
        <v>0</v>
      </c>
      <c r="EE24" s="257">
        <f t="shared" si="53"/>
        <v>0</v>
      </c>
      <c r="EF24" s="257">
        <f t="shared" si="54"/>
        <v>0</v>
      </c>
      <c r="EG24" s="257">
        <f t="shared" si="55"/>
        <v>0</v>
      </c>
      <c r="EH24" s="223"/>
      <c r="EI24" s="223"/>
      <c r="EJ24" s="223"/>
      <c r="EK24" s="289">
        <f t="shared" si="56"/>
        <v>0</v>
      </c>
      <c r="EL24" s="257">
        <f t="shared" si="57"/>
        <v>0</v>
      </c>
      <c r="EM24" s="257">
        <f t="shared" si="58"/>
        <v>0</v>
      </c>
      <c r="EN24" s="257">
        <f t="shared" si="59"/>
        <v>0</v>
      </c>
      <c r="EO24" s="257">
        <f t="shared" si="60"/>
        <v>0</v>
      </c>
      <c r="EP24" s="257">
        <f t="shared" si="61"/>
        <v>0</v>
      </c>
      <c r="EQ24" s="257">
        <f t="shared" si="62"/>
        <v>0</v>
      </c>
      <c r="ER24" s="257">
        <f t="shared" si="63"/>
        <v>0</v>
      </c>
      <c r="ES24" s="223"/>
      <c r="ET24" s="223"/>
      <c r="EU24" s="223"/>
      <c r="EV24" s="289">
        <f t="shared" si="64"/>
        <v>0</v>
      </c>
      <c r="EW24" s="257">
        <f t="shared" si="65"/>
        <v>0</v>
      </c>
      <c r="EX24" s="257">
        <f t="shared" si="66"/>
        <v>0</v>
      </c>
      <c r="EY24" s="257">
        <f t="shared" si="67"/>
        <v>0</v>
      </c>
      <c r="EZ24" s="575">
        <f t="shared" si="68"/>
        <v>3</v>
      </c>
      <c r="FA24" s="506">
        <f t="shared" si="69"/>
        <v>0</v>
      </c>
      <c r="FB24" s="39" t="str">
        <f t="shared" si="70"/>
        <v/>
      </c>
      <c r="FC24" s="257">
        <f t="shared" si="71"/>
        <v>0</v>
      </c>
      <c r="FD24" s="257">
        <f t="shared" si="72"/>
        <v>0</v>
      </c>
      <c r="FE24" s="257">
        <f t="shared" si="73"/>
        <v>0</v>
      </c>
      <c r="FF24" s="575">
        <f t="shared" si="74"/>
        <v>3</v>
      </c>
      <c r="FG24" s="506">
        <f t="shared" si="75"/>
        <v>0</v>
      </c>
      <c r="FH24" s="39" t="str">
        <f t="shared" si="76"/>
        <v/>
      </c>
      <c r="FI24" s="257">
        <f t="shared" si="77"/>
        <v>0</v>
      </c>
      <c r="FJ24" s="257">
        <f t="shared" si="78"/>
        <v>0</v>
      </c>
      <c r="FK24" s="257">
        <f t="shared" si="79"/>
        <v>0</v>
      </c>
      <c r="FL24" s="575">
        <f t="shared" si="80"/>
        <v>3</v>
      </c>
      <c r="FM24" s="506">
        <f t="shared" si="81"/>
        <v>0</v>
      </c>
      <c r="FN24" s="39" t="str">
        <f t="shared" si="82"/>
        <v/>
      </c>
      <c r="FO24" s="257">
        <f t="shared" si="83"/>
        <v>0</v>
      </c>
      <c r="FP24" s="257">
        <f t="shared" si="84"/>
        <v>0</v>
      </c>
      <c r="FQ24" s="257">
        <f t="shared" si="85"/>
        <v>0</v>
      </c>
      <c r="FR24" s="575">
        <f t="shared" si="86"/>
        <v>3</v>
      </c>
      <c r="FS24" s="506">
        <f t="shared" si="87"/>
        <v>0</v>
      </c>
      <c r="FT24" s="39" t="str">
        <f t="shared" si="88"/>
        <v/>
      </c>
      <c r="FU24" s="257">
        <f t="shared" si="89"/>
        <v>0</v>
      </c>
      <c r="FV24" s="257">
        <f t="shared" si="90"/>
        <v>0</v>
      </c>
      <c r="FW24" s="257">
        <f t="shared" si="91"/>
        <v>0</v>
      </c>
      <c r="FX24" s="575">
        <f t="shared" si="92"/>
        <v>3</v>
      </c>
      <c r="FY24" s="506">
        <f t="shared" si="93"/>
        <v>0</v>
      </c>
      <c r="FZ24" s="39" t="str">
        <f t="shared" si="94"/>
        <v/>
      </c>
      <c r="GA24" s="257">
        <f t="shared" si="95"/>
        <v>0</v>
      </c>
      <c r="GB24" s="257">
        <f t="shared" si="96"/>
        <v>0</v>
      </c>
      <c r="GC24" s="257">
        <f t="shared" si="97"/>
        <v>0</v>
      </c>
      <c r="GD24" s="575">
        <f t="shared" si="98"/>
        <v>3</v>
      </c>
      <c r="GE24" s="506">
        <f t="shared" si="99"/>
        <v>0</v>
      </c>
      <c r="GF24" s="39" t="str">
        <f t="shared" si="100"/>
        <v/>
      </c>
      <c r="GG24" s="257">
        <f t="shared" si="101"/>
        <v>0</v>
      </c>
      <c r="GH24" s="257">
        <f t="shared" si="102"/>
        <v>0</v>
      </c>
      <c r="GI24" s="257">
        <f t="shared" si="103"/>
        <v>0</v>
      </c>
      <c r="GJ24" s="575">
        <f t="shared" si="104"/>
        <v>3</v>
      </c>
      <c r="GK24" s="506">
        <f t="shared" si="105"/>
        <v>0</v>
      </c>
      <c r="GL24" s="39" t="str">
        <f t="shared" si="106"/>
        <v/>
      </c>
      <c r="GM24" s="39"/>
      <c r="GN24" s="39" t="str">
        <f t="shared" si="107"/>
        <v/>
      </c>
      <c r="GO24" s="39" t="str">
        <f t="shared" si="108"/>
        <v/>
      </c>
      <c r="GP24" s="39" t="str">
        <f t="shared" si="109"/>
        <v/>
      </c>
      <c r="GQ24" s="39" t="str">
        <f t="shared" si="110"/>
        <v/>
      </c>
      <c r="GR24" s="39" t="str">
        <f t="shared" si="111"/>
        <v/>
      </c>
      <c r="GS24" s="39" t="str">
        <f t="shared" si="112"/>
        <v/>
      </c>
      <c r="GT24" s="257" t="str">
        <f t="shared" si="113"/>
        <v/>
      </c>
      <c r="GU24" s="579" t="str">
        <f t="shared" si="114"/>
        <v/>
      </c>
      <c r="GV24" s="289">
        <f t="shared" si="115"/>
        <v>0</v>
      </c>
      <c r="GW24" s="289">
        <f t="shared" si="116"/>
        <v>0</v>
      </c>
      <c r="GX24" s="289">
        <f>SISWA!E22</f>
        <v>0</v>
      </c>
      <c r="GY24" s="223" t="str">
        <f t="shared" si="117"/>
        <v/>
      </c>
      <c r="GZ24" s="580" t="str">
        <f t="shared" si="118"/>
        <v/>
      </c>
      <c r="HA24" s="580" t="str">
        <f t="shared" si="119"/>
        <v/>
      </c>
      <c r="HB24" s="580" t="str">
        <f t="shared" si="120"/>
        <v/>
      </c>
      <c r="HC24" s="580" t="str">
        <f t="shared" si="121"/>
        <v/>
      </c>
      <c r="HD24" s="580" t="str">
        <f t="shared" si="122"/>
        <v/>
      </c>
      <c r="HE24" s="580" t="str">
        <f t="shared" si="123"/>
        <v/>
      </c>
      <c r="HF24" s="580" t="str">
        <f t="shared" si="124"/>
        <v/>
      </c>
      <c r="HG24" s="580"/>
      <c r="HH24" s="580"/>
      <c r="HI24" s="580"/>
      <c r="HJ24" s="580"/>
      <c r="HK24" s="223">
        <f t="shared" si="125"/>
        <v>0</v>
      </c>
      <c r="HL24" s="289" t="e">
        <f t="shared" si="126"/>
        <v>#N/A</v>
      </c>
      <c r="HM24" s="576" t="e">
        <f>IF(GV24&gt;100,"",IF(GV24&gt;DP$1,"sangat baik dalam "&amp;HL24,IF(GV24&gt;=DP$2,"baik dalam "&amp;HL24,IF(GV24&gt;=DP$3,"cukup dalam "&amp;HL24,IF(GV24&lt;DP$3,"dengan bimbingan dapat meningkatkan dalam "&amp;HL24,IF(GV24&lt;1," ",””))))))</f>
        <v>#N/A</v>
      </c>
      <c r="HN24" s="223"/>
      <c r="HO24" s="223" t="str">
        <f t="shared" si="127"/>
        <v/>
      </c>
      <c r="HP24" s="223" t="str">
        <f t="shared" si="128"/>
        <v/>
      </c>
      <c r="HQ24" s="223" t="str">
        <f t="shared" si="129"/>
        <v/>
      </c>
      <c r="HR24" s="223" t="str">
        <f t="shared" si="130"/>
        <v/>
      </c>
      <c r="HS24" s="223" t="str">
        <f t="shared" si="131"/>
        <v/>
      </c>
      <c r="HT24" s="223" t="str">
        <f t="shared" si="132"/>
        <v/>
      </c>
      <c r="HU24" s="223" t="str">
        <f t="shared" si="133"/>
        <v/>
      </c>
      <c r="HV24" s="223"/>
      <c r="HW24" s="223"/>
      <c r="HX24" s="223"/>
      <c r="HY24" s="223"/>
      <c r="HZ24" s="223" t="e">
        <f t="shared" si="134"/>
        <v>#N/A</v>
      </c>
      <c r="IA24" s="577" t="e">
        <f>IF(GW24&gt;100,"",IF(GW24&gt;=DP$1,"sangat baik dalam "&amp;HZ24,IF(GW24&gt;=DP$2,"baik dalam "&amp;HZ24,IF(GW24&gt;=DP$3,"cukup dalam "&amp;HZ24,IF(GW24&lt;DP$3,"dengan bimbingan dapat meningkatkan dalam "&amp;HZ24,IF(GW24&lt;1," ",””))))))</f>
        <v>#N/A</v>
      </c>
      <c r="IB24" s="223" t="e">
        <f t="shared" si="135"/>
        <v>#N/A</v>
      </c>
    </row>
    <row r="25" spans="1:236">
      <c r="A25" s="39">
        <v>18</v>
      </c>
      <c r="B25" s="290">
        <f>SISWA!B23</f>
        <v>0</v>
      </c>
      <c r="C25" s="123"/>
      <c r="D25" s="123"/>
      <c r="E25" s="123"/>
      <c r="F25" s="123"/>
      <c r="G25" s="123"/>
      <c r="H25" s="123"/>
      <c r="I25" s="123"/>
      <c r="J25" s="255"/>
      <c r="K25" s="255"/>
      <c r="L25" s="255"/>
      <c r="M25" s="255"/>
      <c r="N25" s="255"/>
      <c r="O25" s="255"/>
      <c r="P25" s="255"/>
      <c r="Q25" s="256"/>
      <c r="R25" s="256"/>
      <c r="S25" s="256"/>
      <c r="T25" s="256"/>
      <c r="U25" s="256"/>
      <c r="V25" s="256"/>
      <c r="W25" s="256"/>
      <c r="X25" s="123"/>
      <c r="Y25" s="123"/>
      <c r="Z25" s="123"/>
      <c r="AA25" s="123"/>
      <c r="AB25" s="123"/>
      <c r="AC25" s="123"/>
      <c r="AD25" s="123"/>
      <c r="AE25" s="255"/>
      <c r="AF25" s="255"/>
      <c r="AG25" s="255"/>
      <c r="AH25" s="255"/>
      <c r="AI25" s="255"/>
      <c r="AJ25" s="255"/>
      <c r="AK25" s="255"/>
      <c r="AL25" s="256"/>
      <c r="AM25" s="256"/>
      <c r="AN25" s="256"/>
      <c r="AO25" s="256"/>
      <c r="AP25" s="256"/>
      <c r="AQ25" s="256"/>
      <c r="AR25" s="256"/>
      <c r="AS25" s="123"/>
      <c r="AT25" s="123"/>
      <c r="AU25" s="123"/>
      <c r="AV25" s="123"/>
      <c r="AW25" s="123"/>
      <c r="AX25" s="123"/>
      <c r="AY25" s="123"/>
      <c r="AZ25" s="255"/>
      <c r="BA25" s="255"/>
      <c r="BB25" s="255"/>
      <c r="BC25" s="255"/>
      <c r="BD25" s="255"/>
      <c r="BE25" s="255"/>
      <c r="BF25" s="255"/>
      <c r="BG25" s="256"/>
      <c r="BH25" s="256"/>
      <c r="BI25" s="256"/>
      <c r="BJ25" s="256"/>
      <c r="BK25" s="256"/>
      <c r="BL25" s="256"/>
      <c r="BM25" s="256"/>
      <c r="BN25" s="123"/>
      <c r="BO25" s="123"/>
      <c r="BP25" s="123"/>
      <c r="BQ25" s="123"/>
      <c r="BR25" s="123"/>
      <c r="BS25" s="123"/>
      <c r="BT25" s="123"/>
      <c r="BU25" s="255"/>
      <c r="BV25" s="255"/>
      <c r="BW25" s="255"/>
      <c r="BX25" s="255"/>
      <c r="BY25" s="255"/>
      <c r="BZ25" s="255"/>
      <c r="CA25" s="255"/>
      <c r="CB25" s="256"/>
      <c r="CC25" s="256"/>
      <c r="CD25" s="256"/>
      <c r="CE25" s="256"/>
      <c r="CF25" s="256"/>
      <c r="CG25" s="256"/>
      <c r="CH25" s="256"/>
      <c r="CI25" s="458"/>
      <c r="CJ25" s="458"/>
      <c r="CK25" s="458"/>
      <c r="CL25" s="458"/>
      <c r="CM25" s="458"/>
      <c r="CN25" s="458"/>
      <c r="CO25" s="458"/>
      <c r="CP25" s="457"/>
      <c r="CQ25" s="457"/>
      <c r="CR25" s="457"/>
      <c r="CS25" s="457"/>
      <c r="CT25" s="457"/>
      <c r="CU25" s="457"/>
      <c r="CV25" s="457"/>
      <c r="CW25" s="256"/>
      <c r="CX25" s="256"/>
      <c r="CY25" s="256"/>
      <c r="CZ25" s="256"/>
      <c r="DA25" s="256"/>
      <c r="DB25" s="256"/>
      <c r="DC25" s="256"/>
      <c r="DD25" s="257" t="str">
        <f t="shared" si="31"/>
        <v/>
      </c>
      <c r="DE25" s="257" t="str">
        <f t="shared" si="32"/>
        <v/>
      </c>
      <c r="DF25" s="257" t="str">
        <f t="shared" si="33"/>
        <v/>
      </c>
      <c r="DG25" s="257" t="str">
        <f t="shared" si="34"/>
        <v/>
      </c>
      <c r="DH25" s="257" t="str">
        <f t="shared" si="35"/>
        <v/>
      </c>
      <c r="DI25" s="257" t="str">
        <f t="shared" si="36"/>
        <v/>
      </c>
      <c r="DJ25" s="257" t="str">
        <f t="shared" si="37"/>
        <v/>
      </c>
      <c r="DK25" s="569" t="str">
        <f t="shared" si="38"/>
        <v/>
      </c>
      <c r="DL25" s="291" t="str">
        <f t="shared" si="39"/>
        <v xml:space="preserve">  </v>
      </c>
      <c r="DM25" s="243" t="str">
        <f t="shared" si="40"/>
        <v xml:space="preserve"> </v>
      </c>
      <c r="DN25" s="39"/>
      <c r="DO25" s="39"/>
      <c r="DP25" s="257">
        <f t="shared" si="41"/>
        <v>0</v>
      </c>
      <c r="DQ25" s="257">
        <f t="shared" si="42"/>
        <v>0</v>
      </c>
      <c r="DR25" s="257">
        <f t="shared" si="43"/>
        <v>0</v>
      </c>
      <c r="DS25" s="257">
        <f t="shared" si="44"/>
        <v>0</v>
      </c>
      <c r="DT25" s="257">
        <f t="shared" si="45"/>
        <v>0</v>
      </c>
      <c r="DU25" s="257">
        <f t="shared" si="46"/>
        <v>0</v>
      </c>
      <c r="DV25" s="257">
        <f t="shared" si="47"/>
        <v>0</v>
      </c>
      <c r="DW25" s="257"/>
      <c r="DX25" s="257"/>
      <c r="DY25" s="257"/>
      <c r="DZ25" s="289">
        <f t="shared" si="48"/>
        <v>0</v>
      </c>
      <c r="EA25" s="257">
        <f t="shared" si="49"/>
        <v>0</v>
      </c>
      <c r="EB25" s="257">
        <f t="shared" si="50"/>
        <v>0</v>
      </c>
      <c r="EC25" s="257">
        <f t="shared" si="51"/>
        <v>0</v>
      </c>
      <c r="ED25" s="257">
        <f t="shared" si="52"/>
        <v>0</v>
      </c>
      <c r="EE25" s="257">
        <f t="shared" si="53"/>
        <v>0</v>
      </c>
      <c r="EF25" s="257">
        <f t="shared" si="54"/>
        <v>0</v>
      </c>
      <c r="EG25" s="257">
        <f t="shared" si="55"/>
        <v>0</v>
      </c>
      <c r="EH25" s="223"/>
      <c r="EI25" s="223"/>
      <c r="EJ25" s="223"/>
      <c r="EK25" s="289">
        <f t="shared" si="56"/>
        <v>0</v>
      </c>
      <c r="EL25" s="257">
        <f t="shared" si="57"/>
        <v>0</v>
      </c>
      <c r="EM25" s="257">
        <f t="shared" si="58"/>
        <v>0</v>
      </c>
      <c r="EN25" s="257">
        <f t="shared" si="59"/>
        <v>0</v>
      </c>
      <c r="EO25" s="257">
        <f t="shared" si="60"/>
        <v>0</v>
      </c>
      <c r="EP25" s="257">
        <f t="shared" si="61"/>
        <v>0</v>
      </c>
      <c r="EQ25" s="257">
        <f t="shared" si="62"/>
        <v>0</v>
      </c>
      <c r="ER25" s="257">
        <f t="shared" si="63"/>
        <v>0</v>
      </c>
      <c r="ES25" s="223"/>
      <c r="ET25" s="223"/>
      <c r="EU25" s="223"/>
      <c r="EV25" s="289">
        <f t="shared" si="64"/>
        <v>0</v>
      </c>
      <c r="EW25" s="257">
        <f t="shared" si="65"/>
        <v>0</v>
      </c>
      <c r="EX25" s="257">
        <f t="shared" si="66"/>
        <v>0</v>
      </c>
      <c r="EY25" s="257">
        <f t="shared" si="67"/>
        <v>0</v>
      </c>
      <c r="EZ25" s="575">
        <f t="shared" si="68"/>
        <v>3</v>
      </c>
      <c r="FA25" s="506">
        <f t="shared" si="69"/>
        <v>0</v>
      </c>
      <c r="FB25" s="39" t="str">
        <f t="shared" si="70"/>
        <v/>
      </c>
      <c r="FC25" s="257">
        <f t="shared" si="71"/>
        <v>0</v>
      </c>
      <c r="FD25" s="257">
        <f t="shared" si="72"/>
        <v>0</v>
      </c>
      <c r="FE25" s="257">
        <f t="shared" si="73"/>
        <v>0</v>
      </c>
      <c r="FF25" s="575">
        <f t="shared" si="74"/>
        <v>3</v>
      </c>
      <c r="FG25" s="506">
        <f t="shared" si="75"/>
        <v>0</v>
      </c>
      <c r="FH25" s="39" t="str">
        <f t="shared" si="76"/>
        <v/>
      </c>
      <c r="FI25" s="257">
        <f t="shared" si="77"/>
        <v>0</v>
      </c>
      <c r="FJ25" s="257">
        <f t="shared" si="78"/>
        <v>0</v>
      </c>
      <c r="FK25" s="257">
        <f t="shared" si="79"/>
        <v>0</v>
      </c>
      <c r="FL25" s="575">
        <f t="shared" si="80"/>
        <v>3</v>
      </c>
      <c r="FM25" s="506">
        <f t="shared" si="81"/>
        <v>0</v>
      </c>
      <c r="FN25" s="39" t="str">
        <f t="shared" si="82"/>
        <v/>
      </c>
      <c r="FO25" s="257">
        <f t="shared" si="83"/>
        <v>0</v>
      </c>
      <c r="FP25" s="257">
        <f t="shared" si="84"/>
        <v>0</v>
      </c>
      <c r="FQ25" s="257">
        <f t="shared" si="85"/>
        <v>0</v>
      </c>
      <c r="FR25" s="575">
        <f t="shared" si="86"/>
        <v>3</v>
      </c>
      <c r="FS25" s="506">
        <f t="shared" si="87"/>
        <v>0</v>
      </c>
      <c r="FT25" s="39" t="str">
        <f t="shared" si="88"/>
        <v/>
      </c>
      <c r="FU25" s="257">
        <f t="shared" si="89"/>
        <v>0</v>
      </c>
      <c r="FV25" s="257">
        <f t="shared" si="90"/>
        <v>0</v>
      </c>
      <c r="FW25" s="257">
        <f t="shared" si="91"/>
        <v>0</v>
      </c>
      <c r="FX25" s="575">
        <f t="shared" si="92"/>
        <v>3</v>
      </c>
      <c r="FY25" s="506">
        <f t="shared" si="93"/>
        <v>0</v>
      </c>
      <c r="FZ25" s="39" t="str">
        <f t="shared" si="94"/>
        <v/>
      </c>
      <c r="GA25" s="257">
        <f t="shared" si="95"/>
        <v>0</v>
      </c>
      <c r="GB25" s="257">
        <f t="shared" si="96"/>
        <v>0</v>
      </c>
      <c r="GC25" s="257">
        <f t="shared" si="97"/>
        <v>0</v>
      </c>
      <c r="GD25" s="575">
        <f t="shared" si="98"/>
        <v>3</v>
      </c>
      <c r="GE25" s="506">
        <f t="shared" si="99"/>
        <v>0</v>
      </c>
      <c r="GF25" s="39" t="str">
        <f t="shared" si="100"/>
        <v/>
      </c>
      <c r="GG25" s="257">
        <f t="shared" si="101"/>
        <v>0</v>
      </c>
      <c r="GH25" s="257">
        <f t="shared" si="102"/>
        <v>0</v>
      </c>
      <c r="GI25" s="257">
        <f t="shared" si="103"/>
        <v>0</v>
      </c>
      <c r="GJ25" s="575">
        <f t="shared" si="104"/>
        <v>3</v>
      </c>
      <c r="GK25" s="506">
        <f t="shared" si="105"/>
        <v>0</v>
      </c>
      <c r="GL25" s="39" t="str">
        <f t="shared" si="106"/>
        <v/>
      </c>
      <c r="GM25" s="39"/>
      <c r="GN25" s="39" t="str">
        <f t="shared" si="107"/>
        <v/>
      </c>
      <c r="GO25" s="39" t="str">
        <f t="shared" si="108"/>
        <v/>
      </c>
      <c r="GP25" s="39" t="str">
        <f t="shared" si="109"/>
        <v/>
      </c>
      <c r="GQ25" s="39" t="str">
        <f t="shared" si="110"/>
        <v/>
      </c>
      <c r="GR25" s="39" t="str">
        <f t="shared" si="111"/>
        <v/>
      </c>
      <c r="GS25" s="39" t="str">
        <f t="shared" si="112"/>
        <v/>
      </c>
      <c r="GT25" s="257" t="str">
        <f t="shared" si="113"/>
        <v/>
      </c>
      <c r="GU25" s="579" t="str">
        <f t="shared" si="114"/>
        <v/>
      </c>
      <c r="GV25" s="289">
        <f t="shared" si="115"/>
        <v>0</v>
      </c>
      <c r="GW25" s="289">
        <f t="shared" si="116"/>
        <v>0</v>
      </c>
      <c r="GX25" s="289">
        <f>SISWA!E23</f>
        <v>0</v>
      </c>
      <c r="GY25" s="223" t="str">
        <f t="shared" si="117"/>
        <v/>
      </c>
      <c r="GZ25" s="580" t="str">
        <f t="shared" si="118"/>
        <v/>
      </c>
      <c r="HA25" s="580" t="str">
        <f t="shared" si="119"/>
        <v/>
      </c>
      <c r="HB25" s="580" t="str">
        <f t="shared" si="120"/>
        <v/>
      </c>
      <c r="HC25" s="580" t="str">
        <f t="shared" si="121"/>
        <v/>
      </c>
      <c r="HD25" s="580" t="str">
        <f t="shared" si="122"/>
        <v/>
      </c>
      <c r="HE25" s="580" t="str">
        <f t="shared" si="123"/>
        <v/>
      </c>
      <c r="HF25" s="580" t="str">
        <f t="shared" si="124"/>
        <v/>
      </c>
      <c r="HG25" s="580"/>
      <c r="HH25" s="580"/>
      <c r="HI25" s="580"/>
      <c r="HJ25" s="580"/>
      <c r="HK25" s="223">
        <f t="shared" si="125"/>
        <v>0</v>
      </c>
      <c r="HL25" s="289" t="e">
        <f t="shared" si="126"/>
        <v>#N/A</v>
      </c>
      <c r="HM25" s="576" t="e">
        <f>IF(GV25&gt;100,"",IF(GV25&gt;DP$1,"sangat baik dalam "&amp;HL25,IF(GV25&gt;=DP$2,"baik dalam "&amp;HL25,IF(GV25&gt;=DP$3,"cukup dalam "&amp;HL25,IF(GV25&lt;DP$3,"dengan bimbingan dapat meningkatkan dalam "&amp;HL25,IF(GV25&lt;1," ",””))))))</f>
        <v>#N/A</v>
      </c>
      <c r="HN25" s="223"/>
      <c r="HO25" s="223" t="str">
        <f t="shared" si="127"/>
        <v/>
      </c>
      <c r="HP25" s="223" t="str">
        <f t="shared" si="128"/>
        <v/>
      </c>
      <c r="HQ25" s="223" t="str">
        <f t="shared" si="129"/>
        <v/>
      </c>
      <c r="HR25" s="223" t="str">
        <f t="shared" si="130"/>
        <v/>
      </c>
      <c r="HS25" s="223" t="str">
        <f t="shared" si="131"/>
        <v/>
      </c>
      <c r="HT25" s="223" t="str">
        <f t="shared" si="132"/>
        <v/>
      </c>
      <c r="HU25" s="223" t="str">
        <f t="shared" si="133"/>
        <v/>
      </c>
      <c r="HV25" s="223"/>
      <c r="HW25" s="223"/>
      <c r="HX25" s="223"/>
      <c r="HY25" s="223"/>
      <c r="HZ25" s="223" t="e">
        <f t="shared" si="134"/>
        <v>#N/A</v>
      </c>
      <c r="IA25" s="577" t="e">
        <f>IF(GW25&gt;100,"",IF(GW25&gt;=DP$1,"sangat baik dalam "&amp;HZ25,IF(GW25&gt;=DP$2,"baik dalam "&amp;HZ25,IF(GW25&gt;=DP$3,"cukup dalam "&amp;HZ25,IF(GW25&lt;DP$3,"dengan bimbingan dapat meningkatkan dalam "&amp;HZ25,IF(GW25&lt;1," ",””))))))</f>
        <v>#N/A</v>
      </c>
      <c r="IB25" s="223" t="e">
        <f t="shared" si="135"/>
        <v>#N/A</v>
      </c>
    </row>
    <row r="26" spans="1:236">
      <c r="A26" s="39">
        <v>19</v>
      </c>
      <c r="B26" s="290">
        <f>SISWA!B24</f>
        <v>0</v>
      </c>
      <c r="C26" s="123"/>
      <c r="D26" s="123"/>
      <c r="E26" s="123"/>
      <c r="F26" s="123"/>
      <c r="G26" s="123"/>
      <c r="H26" s="123"/>
      <c r="I26" s="123"/>
      <c r="J26" s="255"/>
      <c r="K26" s="255"/>
      <c r="L26" s="255"/>
      <c r="M26" s="255"/>
      <c r="N26" s="255"/>
      <c r="O26" s="255"/>
      <c r="P26" s="255"/>
      <c r="Q26" s="256"/>
      <c r="R26" s="256"/>
      <c r="S26" s="256"/>
      <c r="T26" s="256"/>
      <c r="U26" s="256"/>
      <c r="V26" s="256"/>
      <c r="W26" s="256"/>
      <c r="X26" s="123"/>
      <c r="Y26" s="123"/>
      <c r="Z26" s="123"/>
      <c r="AA26" s="123"/>
      <c r="AB26" s="123"/>
      <c r="AC26" s="123"/>
      <c r="AD26" s="123"/>
      <c r="AE26" s="255"/>
      <c r="AF26" s="255"/>
      <c r="AG26" s="255"/>
      <c r="AH26" s="255"/>
      <c r="AI26" s="255"/>
      <c r="AJ26" s="255"/>
      <c r="AK26" s="255"/>
      <c r="AL26" s="256"/>
      <c r="AM26" s="256"/>
      <c r="AN26" s="256"/>
      <c r="AO26" s="256"/>
      <c r="AP26" s="256"/>
      <c r="AQ26" s="256"/>
      <c r="AR26" s="256"/>
      <c r="AS26" s="123"/>
      <c r="AT26" s="123"/>
      <c r="AU26" s="123"/>
      <c r="AV26" s="123"/>
      <c r="AW26" s="123"/>
      <c r="AX26" s="123"/>
      <c r="AY26" s="123"/>
      <c r="AZ26" s="255"/>
      <c r="BA26" s="255"/>
      <c r="BB26" s="255"/>
      <c r="BC26" s="255"/>
      <c r="BD26" s="255"/>
      <c r="BE26" s="255"/>
      <c r="BF26" s="255"/>
      <c r="BG26" s="256"/>
      <c r="BH26" s="256"/>
      <c r="BI26" s="256"/>
      <c r="BJ26" s="256"/>
      <c r="BK26" s="256"/>
      <c r="BL26" s="256"/>
      <c r="BM26" s="256"/>
      <c r="BN26" s="123"/>
      <c r="BO26" s="123"/>
      <c r="BP26" s="123"/>
      <c r="BQ26" s="123"/>
      <c r="BR26" s="123"/>
      <c r="BS26" s="123"/>
      <c r="BT26" s="123"/>
      <c r="BU26" s="255"/>
      <c r="BV26" s="255"/>
      <c r="BW26" s="255"/>
      <c r="BX26" s="255"/>
      <c r="BY26" s="255"/>
      <c r="BZ26" s="255"/>
      <c r="CA26" s="255"/>
      <c r="CB26" s="256"/>
      <c r="CC26" s="256"/>
      <c r="CD26" s="256"/>
      <c r="CE26" s="256"/>
      <c r="CF26" s="256"/>
      <c r="CG26" s="256"/>
      <c r="CH26" s="256"/>
      <c r="CI26" s="458"/>
      <c r="CJ26" s="458"/>
      <c r="CK26" s="458"/>
      <c r="CL26" s="458"/>
      <c r="CM26" s="458"/>
      <c r="CN26" s="458"/>
      <c r="CO26" s="458"/>
      <c r="CP26" s="457"/>
      <c r="CQ26" s="457"/>
      <c r="CR26" s="457"/>
      <c r="CS26" s="457"/>
      <c r="CT26" s="457"/>
      <c r="CU26" s="457"/>
      <c r="CV26" s="457"/>
      <c r="CW26" s="256"/>
      <c r="CX26" s="256"/>
      <c r="CY26" s="256"/>
      <c r="CZ26" s="256"/>
      <c r="DA26" s="256"/>
      <c r="DB26" s="256"/>
      <c r="DC26" s="256"/>
      <c r="DD26" s="257" t="str">
        <f t="shared" si="31"/>
        <v/>
      </c>
      <c r="DE26" s="257" t="str">
        <f t="shared" si="32"/>
        <v/>
      </c>
      <c r="DF26" s="257" t="str">
        <f t="shared" si="33"/>
        <v/>
      </c>
      <c r="DG26" s="257" t="str">
        <f t="shared" si="34"/>
        <v/>
      </c>
      <c r="DH26" s="257" t="str">
        <f t="shared" si="35"/>
        <v/>
      </c>
      <c r="DI26" s="257" t="str">
        <f t="shared" si="36"/>
        <v/>
      </c>
      <c r="DJ26" s="257" t="str">
        <f t="shared" si="37"/>
        <v/>
      </c>
      <c r="DK26" s="569" t="str">
        <f t="shared" si="38"/>
        <v/>
      </c>
      <c r="DL26" s="291" t="str">
        <f t="shared" si="39"/>
        <v xml:space="preserve">  </v>
      </c>
      <c r="DM26" s="243" t="str">
        <f t="shared" si="40"/>
        <v xml:space="preserve"> </v>
      </c>
      <c r="DN26" s="39"/>
      <c r="DO26" s="39"/>
      <c r="DP26" s="257">
        <f t="shared" si="41"/>
        <v>0</v>
      </c>
      <c r="DQ26" s="257">
        <f t="shared" si="42"/>
        <v>0</v>
      </c>
      <c r="DR26" s="257">
        <f t="shared" si="43"/>
        <v>0</v>
      </c>
      <c r="DS26" s="257">
        <f t="shared" si="44"/>
        <v>0</v>
      </c>
      <c r="DT26" s="257">
        <f t="shared" si="45"/>
        <v>0</v>
      </c>
      <c r="DU26" s="257">
        <f t="shared" si="46"/>
        <v>0</v>
      </c>
      <c r="DV26" s="257">
        <f t="shared" si="47"/>
        <v>0</v>
      </c>
      <c r="DW26" s="257"/>
      <c r="DX26" s="257"/>
      <c r="DY26" s="257"/>
      <c r="DZ26" s="289">
        <f t="shared" si="48"/>
        <v>0</v>
      </c>
      <c r="EA26" s="257">
        <f t="shared" si="49"/>
        <v>0</v>
      </c>
      <c r="EB26" s="257">
        <f t="shared" si="50"/>
        <v>0</v>
      </c>
      <c r="EC26" s="257">
        <f t="shared" si="51"/>
        <v>0</v>
      </c>
      <c r="ED26" s="257">
        <f t="shared" si="52"/>
        <v>0</v>
      </c>
      <c r="EE26" s="257">
        <f t="shared" si="53"/>
        <v>0</v>
      </c>
      <c r="EF26" s="257">
        <f t="shared" si="54"/>
        <v>0</v>
      </c>
      <c r="EG26" s="257">
        <f t="shared" si="55"/>
        <v>0</v>
      </c>
      <c r="EH26" s="223"/>
      <c r="EI26" s="223"/>
      <c r="EJ26" s="223"/>
      <c r="EK26" s="289">
        <f t="shared" si="56"/>
        <v>0</v>
      </c>
      <c r="EL26" s="257">
        <f t="shared" si="57"/>
        <v>0</v>
      </c>
      <c r="EM26" s="257">
        <f t="shared" si="58"/>
        <v>0</v>
      </c>
      <c r="EN26" s="257">
        <f t="shared" si="59"/>
        <v>0</v>
      </c>
      <c r="EO26" s="257">
        <f t="shared" si="60"/>
        <v>0</v>
      </c>
      <c r="EP26" s="257">
        <f t="shared" si="61"/>
        <v>0</v>
      </c>
      <c r="EQ26" s="257">
        <f t="shared" si="62"/>
        <v>0</v>
      </c>
      <c r="ER26" s="257">
        <f t="shared" si="63"/>
        <v>0</v>
      </c>
      <c r="ES26" s="223"/>
      <c r="ET26" s="223"/>
      <c r="EU26" s="223"/>
      <c r="EV26" s="289">
        <f t="shared" si="64"/>
        <v>0</v>
      </c>
      <c r="EW26" s="257">
        <f t="shared" si="65"/>
        <v>0</v>
      </c>
      <c r="EX26" s="257">
        <f t="shared" si="66"/>
        <v>0</v>
      </c>
      <c r="EY26" s="257">
        <f t="shared" si="67"/>
        <v>0</v>
      </c>
      <c r="EZ26" s="575">
        <f t="shared" si="68"/>
        <v>3</v>
      </c>
      <c r="FA26" s="506">
        <f t="shared" si="69"/>
        <v>0</v>
      </c>
      <c r="FB26" s="39" t="str">
        <f t="shared" si="70"/>
        <v/>
      </c>
      <c r="FC26" s="257">
        <f t="shared" si="71"/>
        <v>0</v>
      </c>
      <c r="FD26" s="257">
        <f t="shared" si="72"/>
        <v>0</v>
      </c>
      <c r="FE26" s="257">
        <f t="shared" si="73"/>
        <v>0</v>
      </c>
      <c r="FF26" s="575">
        <f t="shared" si="74"/>
        <v>3</v>
      </c>
      <c r="FG26" s="506">
        <f t="shared" si="75"/>
        <v>0</v>
      </c>
      <c r="FH26" s="39" t="str">
        <f t="shared" si="76"/>
        <v/>
      </c>
      <c r="FI26" s="257">
        <f t="shared" si="77"/>
        <v>0</v>
      </c>
      <c r="FJ26" s="257">
        <f t="shared" si="78"/>
        <v>0</v>
      </c>
      <c r="FK26" s="257">
        <f t="shared" si="79"/>
        <v>0</v>
      </c>
      <c r="FL26" s="575">
        <f t="shared" si="80"/>
        <v>3</v>
      </c>
      <c r="FM26" s="506">
        <f t="shared" si="81"/>
        <v>0</v>
      </c>
      <c r="FN26" s="39" t="str">
        <f t="shared" si="82"/>
        <v/>
      </c>
      <c r="FO26" s="257">
        <f t="shared" si="83"/>
        <v>0</v>
      </c>
      <c r="FP26" s="257">
        <f t="shared" si="84"/>
        <v>0</v>
      </c>
      <c r="FQ26" s="257">
        <f t="shared" si="85"/>
        <v>0</v>
      </c>
      <c r="FR26" s="575">
        <f t="shared" si="86"/>
        <v>3</v>
      </c>
      <c r="FS26" s="506">
        <f t="shared" si="87"/>
        <v>0</v>
      </c>
      <c r="FT26" s="39" t="str">
        <f t="shared" si="88"/>
        <v/>
      </c>
      <c r="FU26" s="257">
        <f t="shared" si="89"/>
        <v>0</v>
      </c>
      <c r="FV26" s="257">
        <f t="shared" si="90"/>
        <v>0</v>
      </c>
      <c r="FW26" s="257">
        <f t="shared" si="91"/>
        <v>0</v>
      </c>
      <c r="FX26" s="575">
        <f t="shared" si="92"/>
        <v>3</v>
      </c>
      <c r="FY26" s="506">
        <f t="shared" si="93"/>
        <v>0</v>
      </c>
      <c r="FZ26" s="39" t="str">
        <f t="shared" si="94"/>
        <v/>
      </c>
      <c r="GA26" s="257">
        <f t="shared" si="95"/>
        <v>0</v>
      </c>
      <c r="GB26" s="257">
        <f t="shared" si="96"/>
        <v>0</v>
      </c>
      <c r="GC26" s="257">
        <f t="shared" si="97"/>
        <v>0</v>
      </c>
      <c r="GD26" s="575">
        <f t="shared" si="98"/>
        <v>3</v>
      </c>
      <c r="GE26" s="506">
        <f t="shared" si="99"/>
        <v>0</v>
      </c>
      <c r="GF26" s="39" t="str">
        <f t="shared" si="100"/>
        <v/>
      </c>
      <c r="GG26" s="257">
        <f t="shared" si="101"/>
        <v>0</v>
      </c>
      <c r="GH26" s="257">
        <f t="shared" si="102"/>
        <v>0</v>
      </c>
      <c r="GI26" s="257">
        <f t="shared" si="103"/>
        <v>0</v>
      </c>
      <c r="GJ26" s="575">
        <f t="shared" si="104"/>
        <v>3</v>
      </c>
      <c r="GK26" s="506">
        <f t="shared" si="105"/>
        <v>0</v>
      </c>
      <c r="GL26" s="39" t="str">
        <f t="shared" si="106"/>
        <v/>
      </c>
      <c r="GM26" s="39"/>
      <c r="GN26" s="39" t="str">
        <f t="shared" si="107"/>
        <v/>
      </c>
      <c r="GO26" s="39" t="str">
        <f t="shared" si="108"/>
        <v/>
      </c>
      <c r="GP26" s="39" t="str">
        <f t="shared" si="109"/>
        <v/>
      </c>
      <c r="GQ26" s="39" t="str">
        <f t="shared" si="110"/>
        <v/>
      </c>
      <c r="GR26" s="39" t="str">
        <f t="shared" si="111"/>
        <v/>
      </c>
      <c r="GS26" s="39" t="str">
        <f t="shared" si="112"/>
        <v/>
      </c>
      <c r="GT26" s="257" t="str">
        <f t="shared" si="113"/>
        <v/>
      </c>
      <c r="GU26" s="579" t="str">
        <f t="shared" si="114"/>
        <v/>
      </c>
      <c r="GV26" s="289">
        <f t="shared" si="115"/>
        <v>0</v>
      </c>
      <c r="GW26" s="289">
        <f t="shared" si="116"/>
        <v>0</v>
      </c>
      <c r="GX26" s="289">
        <f>SISWA!E24</f>
        <v>0</v>
      </c>
      <c r="GY26" s="223" t="str">
        <f t="shared" si="117"/>
        <v/>
      </c>
      <c r="GZ26" s="580" t="str">
        <f t="shared" si="118"/>
        <v/>
      </c>
      <c r="HA26" s="580" t="str">
        <f t="shared" si="119"/>
        <v/>
      </c>
      <c r="HB26" s="580" t="str">
        <f t="shared" si="120"/>
        <v/>
      </c>
      <c r="HC26" s="580" t="str">
        <f t="shared" si="121"/>
        <v/>
      </c>
      <c r="HD26" s="580" t="str">
        <f t="shared" si="122"/>
        <v/>
      </c>
      <c r="HE26" s="580" t="str">
        <f t="shared" si="123"/>
        <v/>
      </c>
      <c r="HF26" s="580" t="str">
        <f t="shared" si="124"/>
        <v/>
      </c>
      <c r="HG26" s="580"/>
      <c r="HH26" s="580"/>
      <c r="HI26" s="580"/>
      <c r="HJ26" s="580"/>
      <c r="HK26" s="223">
        <f t="shared" si="125"/>
        <v>0</v>
      </c>
      <c r="HL26" s="289" t="e">
        <f t="shared" si="126"/>
        <v>#N/A</v>
      </c>
      <c r="HM26" s="576" t="e">
        <f>IF(GV26&gt;100,"",IF(GV26&gt;DP$1,"sangat baik dalam "&amp;HL26,IF(GV26&gt;=DP$2,"baik dalam "&amp;HL26,IF(GV26&gt;=DP$3,"cukup dalam "&amp;HL26,IF(GV26&lt;DP$3,"dengan bimbingan dapat meningkatkan dalam "&amp;HL26,IF(GV26&lt;1," ",””))))))</f>
        <v>#N/A</v>
      </c>
      <c r="HN26" s="223"/>
      <c r="HO26" s="223" t="str">
        <f t="shared" si="127"/>
        <v/>
      </c>
      <c r="HP26" s="223" t="str">
        <f t="shared" si="128"/>
        <v/>
      </c>
      <c r="HQ26" s="223" t="str">
        <f t="shared" si="129"/>
        <v/>
      </c>
      <c r="HR26" s="223" t="str">
        <f t="shared" si="130"/>
        <v/>
      </c>
      <c r="HS26" s="223" t="str">
        <f t="shared" si="131"/>
        <v/>
      </c>
      <c r="HT26" s="223" t="str">
        <f t="shared" si="132"/>
        <v/>
      </c>
      <c r="HU26" s="223" t="str">
        <f t="shared" si="133"/>
        <v/>
      </c>
      <c r="HV26" s="223"/>
      <c r="HW26" s="223"/>
      <c r="HX26" s="223"/>
      <c r="HY26" s="223"/>
      <c r="HZ26" s="223" t="e">
        <f t="shared" si="134"/>
        <v>#N/A</v>
      </c>
      <c r="IA26" s="577" t="e">
        <f>IF(GW26&gt;100,"",IF(GW26&gt;=DP$1,"sangat baik dalam "&amp;HZ26,IF(GW26&gt;=DP$2,"baik dalam "&amp;HZ26,IF(GW26&gt;=DP$3,"cukup dalam "&amp;HZ26,IF(GW26&lt;DP$3,"dengan bimbingan dapat meningkatkan dalam "&amp;HZ26,IF(GW26&lt;1," ",””))))))</f>
        <v>#N/A</v>
      </c>
      <c r="IB26" s="223" t="e">
        <f t="shared" si="135"/>
        <v>#N/A</v>
      </c>
    </row>
    <row r="27" spans="1:236">
      <c r="A27" s="39">
        <v>20</v>
      </c>
      <c r="B27" s="290">
        <f>SISWA!B25</f>
        <v>0</v>
      </c>
      <c r="C27" s="123"/>
      <c r="D27" s="123"/>
      <c r="E27" s="123"/>
      <c r="F27" s="123"/>
      <c r="G27" s="123"/>
      <c r="H27" s="123"/>
      <c r="I27" s="123"/>
      <c r="J27" s="255"/>
      <c r="K27" s="255"/>
      <c r="L27" s="255"/>
      <c r="M27" s="255"/>
      <c r="N27" s="255"/>
      <c r="O27" s="255"/>
      <c r="P27" s="255"/>
      <c r="Q27" s="256"/>
      <c r="R27" s="256"/>
      <c r="S27" s="256"/>
      <c r="T27" s="256"/>
      <c r="U27" s="256"/>
      <c r="V27" s="256"/>
      <c r="W27" s="256"/>
      <c r="X27" s="123"/>
      <c r="Y27" s="123"/>
      <c r="Z27" s="123"/>
      <c r="AA27" s="123"/>
      <c r="AB27" s="123"/>
      <c r="AC27" s="123"/>
      <c r="AD27" s="123"/>
      <c r="AE27" s="255"/>
      <c r="AF27" s="255"/>
      <c r="AG27" s="255"/>
      <c r="AH27" s="255"/>
      <c r="AI27" s="255"/>
      <c r="AJ27" s="255"/>
      <c r="AK27" s="255"/>
      <c r="AL27" s="256"/>
      <c r="AM27" s="256"/>
      <c r="AN27" s="256"/>
      <c r="AO27" s="256"/>
      <c r="AP27" s="256"/>
      <c r="AQ27" s="256"/>
      <c r="AR27" s="256"/>
      <c r="AS27" s="123"/>
      <c r="AT27" s="123"/>
      <c r="AU27" s="123"/>
      <c r="AV27" s="123"/>
      <c r="AW27" s="123"/>
      <c r="AX27" s="123"/>
      <c r="AY27" s="123"/>
      <c r="AZ27" s="255"/>
      <c r="BA27" s="255"/>
      <c r="BB27" s="255"/>
      <c r="BC27" s="255"/>
      <c r="BD27" s="255"/>
      <c r="BE27" s="255"/>
      <c r="BF27" s="255"/>
      <c r="BG27" s="256"/>
      <c r="BH27" s="256"/>
      <c r="BI27" s="256"/>
      <c r="BJ27" s="256"/>
      <c r="BK27" s="256"/>
      <c r="BL27" s="256"/>
      <c r="BM27" s="256"/>
      <c r="BN27" s="123"/>
      <c r="BO27" s="123"/>
      <c r="BP27" s="123"/>
      <c r="BQ27" s="123"/>
      <c r="BR27" s="123"/>
      <c r="BS27" s="123"/>
      <c r="BT27" s="123"/>
      <c r="BU27" s="255"/>
      <c r="BV27" s="255"/>
      <c r="BW27" s="255"/>
      <c r="BX27" s="255"/>
      <c r="BY27" s="255"/>
      <c r="BZ27" s="255"/>
      <c r="CA27" s="255"/>
      <c r="CB27" s="256"/>
      <c r="CC27" s="256"/>
      <c r="CD27" s="256"/>
      <c r="CE27" s="256"/>
      <c r="CF27" s="256"/>
      <c r="CG27" s="256"/>
      <c r="CH27" s="256"/>
      <c r="CI27" s="458"/>
      <c r="CJ27" s="458"/>
      <c r="CK27" s="458"/>
      <c r="CL27" s="458"/>
      <c r="CM27" s="458"/>
      <c r="CN27" s="458"/>
      <c r="CO27" s="458"/>
      <c r="CP27" s="457"/>
      <c r="CQ27" s="457"/>
      <c r="CR27" s="457"/>
      <c r="CS27" s="457"/>
      <c r="CT27" s="457"/>
      <c r="CU27" s="457"/>
      <c r="CV27" s="457"/>
      <c r="CW27" s="256"/>
      <c r="CX27" s="256"/>
      <c r="CY27" s="256"/>
      <c r="CZ27" s="256"/>
      <c r="DA27" s="256"/>
      <c r="DB27" s="256"/>
      <c r="DC27" s="256"/>
      <c r="DD27" s="257" t="str">
        <f t="shared" si="31"/>
        <v/>
      </c>
      <c r="DE27" s="257" t="str">
        <f t="shared" si="32"/>
        <v/>
      </c>
      <c r="DF27" s="257" t="str">
        <f t="shared" si="33"/>
        <v/>
      </c>
      <c r="DG27" s="257" t="str">
        <f t="shared" si="34"/>
        <v/>
      </c>
      <c r="DH27" s="257" t="str">
        <f t="shared" si="35"/>
        <v/>
      </c>
      <c r="DI27" s="257" t="str">
        <f t="shared" si="36"/>
        <v/>
      </c>
      <c r="DJ27" s="257" t="str">
        <f t="shared" si="37"/>
        <v/>
      </c>
      <c r="DK27" s="569" t="str">
        <f t="shared" si="38"/>
        <v/>
      </c>
      <c r="DL27" s="291" t="str">
        <f t="shared" si="39"/>
        <v xml:space="preserve">  </v>
      </c>
      <c r="DM27" s="243" t="str">
        <f t="shared" si="40"/>
        <v xml:space="preserve"> </v>
      </c>
      <c r="DN27" s="39"/>
      <c r="DO27" s="39"/>
      <c r="DP27" s="257">
        <f t="shared" si="41"/>
        <v>0</v>
      </c>
      <c r="DQ27" s="257">
        <f t="shared" si="42"/>
        <v>0</v>
      </c>
      <c r="DR27" s="257">
        <f t="shared" si="43"/>
        <v>0</v>
      </c>
      <c r="DS27" s="257">
        <f t="shared" si="44"/>
        <v>0</v>
      </c>
      <c r="DT27" s="257">
        <f t="shared" si="45"/>
        <v>0</v>
      </c>
      <c r="DU27" s="257">
        <f t="shared" si="46"/>
        <v>0</v>
      </c>
      <c r="DV27" s="257">
        <f t="shared" si="47"/>
        <v>0</v>
      </c>
      <c r="DW27" s="257"/>
      <c r="DX27" s="257"/>
      <c r="DY27" s="257"/>
      <c r="DZ27" s="289">
        <f t="shared" si="48"/>
        <v>0</v>
      </c>
      <c r="EA27" s="257">
        <f t="shared" si="49"/>
        <v>0</v>
      </c>
      <c r="EB27" s="257">
        <f t="shared" si="50"/>
        <v>0</v>
      </c>
      <c r="EC27" s="257">
        <f t="shared" si="51"/>
        <v>0</v>
      </c>
      <c r="ED27" s="257">
        <f t="shared" si="52"/>
        <v>0</v>
      </c>
      <c r="EE27" s="257">
        <f t="shared" si="53"/>
        <v>0</v>
      </c>
      <c r="EF27" s="257">
        <f t="shared" si="54"/>
        <v>0</v>
      </c>
      <c r="EG27" s="257">
        <f t="shared" si="55"/>
        <v>0</v>
      </c>
      <c r="EH27" s="223"/>
      <c r="EI27" s="223"/>
      <c r="EJ27" s="223"/>
      <c r="EK27" s="289">
        <f t="shared" si="56"/>
        <v>0</v>
      </c>
      <c r="EL27" s="257">
        <f t="shared" si="57"/>
        <v>0</v>
      </c>
      <c r="EM27" s="257">
        <f t="shared" si="58"/>
        <v>0</v>
      </c>
      <c r="EN27" s="257">
        <f t="shared" si="59"/>
        <v>0</v>
      </c>
      <c r="EO27" s="257">
        <f t="shared" si="60"/>
        <v>0</v>
      </c>
      <c r="EP27" s="257">
        <f t="shared" si="61"/>
        <v>0</v>
      </c>
      <c r="EQ27" s="257">
        <f t="shared" si="62"/>
        <v>0</v>
      </c>
      <c r="ER27" s="257">
        <f t="shared" si="63"/>
        <v>0</v>
      </c>
      <c r="ES27" s="223"/>
      <c r="ET27" s="223"/>
      <c r="EU27" s="223"/>
      <c r="EV27" s="289">
        <f t="shared" si="64"/>
        <v>0</v>
      </c>
      <c r="EW27" s="257">
        <f t="shared" si="65"/>
        <v>0</v>
      </c>
      <c r="EX27" s="257">
        <f t="shared" si="66"/>
        <v>0</v>
      </c>
      <c r="EY27" s="257">
        <f t="shared" si="67"/>
        <v>0</v>
      </c>
      <c r="EZ27" s="575">
        <f t="shared" si="68"/>
        <v>3</v>
      </c>
      <c r="FA27" s="506">
        <f t="shared" si="69"/>
        <v>0</v>
      </c>
      <c r="FB27" s="39" t="str">
        <f t="shared" si="70"/>
        <v/>
      </c>
      <c r="FC27" s="257">
        <f t="shared" si="71"/>
        <v>0</v>
      </c>
      <c r="FD27" s="257">
        <f t="shared" si="72"/>
        <v>0</v>
      </c>
      <c r="FE27" s="257">
        <f t="shared" si="73"/>
        <v>0</v>
      </c>
      <c r="FF27" s="575">
        <f t="shared" si="74"/>
        <v>3</v>
      </c>
      <c r="FG27" s="506">
        <f t="shared" si="75"/>
        <v>0</v>
      </c>
      <c r="FH27" s="39" t="str">
        <f t="shared" si="76"/>
        <v/>
      </c>
      <c r="FI27" s="257">
        <f t="shared" si="77"/>
        <v>0</v>
      </c>
      <c r="FJ27" s="257">
        <f t="shared" si="78"/>
        <v>0</v>
      </c>
      <c r="FK27" s="257">
        <f t="shared" si="79"/>
        <v>0</v>
      </c>
      <c r="FL27" s="575">
        <f t="shared" si="80"/>
        <v>3</v>
      </c>
      <c r="FM27" s="506">
        <f t="shared" si="81"/>
        <v>0</v>
      </c>
      <c r="FN27" s="39" t="str">
        <f t="shared" si="82"/>
        <v/>
      </c>
      <c r="FO27" s="257">
        <f t="shared" si="83"/>
        <v>0</v>
      </c>
      <c r="FP27" s="257">
        <f t="shared" si="84"/>
        <v>0</v>
      </c>
      <c r="FQ27" s="257">
        <f t="shared" si="85"/>
        <v>0</v>
      </c>
      <c r="FR27" s="575">
        <f t="shared" si="86"/>
        <v>3</v>
      </c>
      <c r="FS27" s="506">
        <f t="shared" si="87"/>
        <v>0</v>
      </c>
      <c r="FT27" s="39" t="str">
        <f t="shared" si="88"/>
        <v/>
      </c>
      <c r="FU27" s="257">
        <f t="shared" si="89"/>
        <v>0</v>
      </c>
      <c r="FV27" s="257">
        <f t="shared" si="90"/>
        <v>0</v>
      </c>
      <c r="FW27" s="257">
        <f t="shared" si="91"/>
        <v>0</v>
      </c>
      <c r="FX27" s="575">
        <f t="shared" si="92"/>
        <v>3</v>
      </c>
      <c r="FY27" s="506">
        <f t="shared" si="93"/>
        <v>0</v>
      </c>
      <c r="FZ27" s="39" t="str">
        <f t="shared" si="94"/>
        <v/>
      </c>
      <c r="GA27" s="257">
        <f t="shared" si="95"/>
        <v>0</v>
      </c>
      <c r="GB27" s="257">
        <f t="shared" si="96"/>
        <v>0</v>
      </c>
      <c r="GC27" s="257">
        <f t="shared" si="97"/>
        <v>0</v>
      </c>
      <c r="GD27" s="575">
        <f t="shared" si="98"/>
        <v>3</v>
      </c>
      <c r="GE27" s="506">
        <f t="shared" si="99"/>
        <v>0</v>
      </c>
      <c r="GF27" s="39" t="str">
        <f t="shared" si="100"/>
        <v/>
      </c>
      <c r="GG27" s="257">
        <f t="shared" si="101"/>
        <v>0</v>
      </c>
      <c r="GH27" s="257">
        <f t="shared" si="102"/>
        <v>0</v>
      </c>
      <c r="GI27" s="257">
        <f t="shared" si="103"/>
        <v>0</v>
      </c>
      <c r="GJ27" s="575">
        <f t="shared" si="104"/>
        <v>3</v>
      </c>
      <c r="GK27" s="506">
        <f t="shared" si="105"/>
        <v>0</v>
      </c>
      <c r="GL27" s="39" t="str">
        <f t="shared" si="106"/>
        <v/>
      </c>
      <c r="GM27" s="39"/>
      <c r="GN27" s="39" t="str">
        <f t="shared" si="107"/>
        <v/>
      </c>
      <c r="GO27" s="39" t="str">
        <f t="shared" si="108"/>
        <v/>
      </c>
      <c r="GP27" s="39" t="str">
        <f t="shared" si="109"/>
        <v/>
      </c>
      <c r="GQ27" s="39" t="str">
        <f t="shared" si="110"/>
        <v/>
      </c>
      <c r="GR27" s="39" t="str">
        <f t="shared" si="111"/>
        <v/>
      </c>
      <c r="GS27" s="39" t="str">
        <f t="shared" si="112"/>
        <v/>
      </c>
      <c r="GT27" s="257" t="str">
        <f t="shared" si="113"/>
        <v/>
      </c>
      <c r="GU27" s="579" t="str">
        <f t="shared" si="114"/>
        <v/>
      </c>
      <c r="GV27" s="289">
        <f t="shared" si="115"/>
        <v>0</v>
      </c>
      <c r="GW27" s="289">
        <f t="shared" si="116"/>
        <v>0</v>
      </c>
      <c r="GX27" s="289">
        <f>SISWA!E25</f>
        <v>0</v>
      </c>
      <c r="GY27" s="223" t="str">
        <f t="shared" si="117"/>
        <v/>
      </c>
      <c r="GZ27" s="580" t="str">
        <f t="shared" si="118"/>
        <v/>
      </c>
      <c r="HA27" s="580" t="str">
        <f t="shared" si="119"/>
        <v/>
      </c>
      <c r="HB27" s="580" t="str">
        <f t="shared" si="120"/>
        <v/>
      </c>
      <c r="HC27" s="580" t="str">
        <f t="shared" si="121"/>
        <v/>
      </c>
      <c r="HD27" s="580" t="str">
        <f t="shared" si="122"/>
        <v/>
      </c>
      <c r="HE27" s="580" t="str">
        <f t="shared" si="123"/>
        <v/>
      </c>
      <c r="HF27" s="580" t="str">
        <f t="shared" si="124"/>
        <v/>
      </c>
      <c r="HG27" s="580"/>
      <c r="HH27" s="580"/>
      <c r="HI27" s="580"/>
      <c r="HJ27" s="580"/>
      <c r="HK27" s="223">
        <f t="shared" si="125"/>
        <v>0</v>
      </c>
      <c r="HL27" s="289" t="e">
        <f t="shared" si="126"/>
        <v>#N/A</v>
      </c>
      <c r="HM27" s="576" t="e">
        <f>IF(GV27&gt;100,"",IF(GV27&gt;DP$1,"sangat baik dalam "&amp;HL27,IF(GV27&gt;=DP$2,"baik dalam "&amp;HL27,IF(GV27&gt;=DP$3,"cukup dalam "&amp;HL27,IF(GV27&lt;DP$3,"dengan bimbingan dapat meningkatkan dalam "&amp;HL27,IF(GV27&lt;1," ",””))))))</f>
        <v>#N/A</v>
      </c>
      <c r="HN27" s="223"/>
      <c r="HO27" s="223" t="str">
        <f t="shared" si="127"/>
        <v/>
      </c>
      <c r="HP27" s="223" t="str">
        <f t="shared" si="128"/>
        <v/>
      </c>
      <c r="HQ27" s="223" t="str">
        <f t="shared" si="129"/>
        <v/>
      </c>
      <c r="HR27" s="223" t="str">
        <f t="shared" si="130"/>
        <v/>
      </c>
      <c r="HS27" s="223" t="str">
        <f t="shared" si="131"/>
        <v/>
      </c>
      <c r="HT27" s="223" t="str">
        <f t="shared" si="132"/>
        <v/>
      </c>
      <c r="HU27" s="223" t="str">
        <f t="shared" si="133"/>
        <v/>
      </c>
      <c r="HV27" s="223"/>
      <c r="HW27" s="223"/>
      <c r="HX27" s="223"/>
      <c r="HY27" s="223"/>
      <c r="HZ27" s="223" t="e">
        <f t="shared" si="134"/>
        <v>#N/A</v>
      </c>
      <c r="IA27" s="577" t="e">
        <f>IF(GW27&gt;100,"",IF(GW27&gt;=DP$1,"sangat baik dalam "&amp;HZ27,IF(GW27&gt;=DP$2,"baik dalam "&amp;HZ27,IF(GW27&gt;=DP$3,"cukup dalam "&amp;HZ27,IF(GW27&lt;DP$3,"dengan bimbingan dapat meningkatkan dalam "&amp;HZ27,IF(GW27&lt;1," ",””))))))</f>
        <v>#N/A</v>
      </c>
      <c r="IB27" s="223" t="e">
        <f t="shared" si="135"/>
        <v>#N/A</v>
      </c>
    </row>
    <row r="28" spans="1:236">
      <c r="A28" s="39">
        <v>21</v>
      </c>
      <c r="B28" s="290">
        <f>SISWA!B26</f>
        <v>0</v>
      </c>
      <c r="C28" s="123"/>
      <c r="D28" s="123"/>
      <c r="E28" s="123"/>
      <c r="F28" s="123"/>
      <c r="G28" s="123"/>
      <c r="H28" s="123"/>
      <c r="I28" s="123"/>
      <c r="J28" s="255"/>
      <c r="K28" s="255"/>
      <c r="L28" s="255"/>
      <c r="M28" s="255"/>
      <c r="N28" s="255"/>
      <c r="O28" s="255"/>
      <c r="P28" s="255"/>
      <c r="Q28" s="256"/>
      <c r="R28" s="256"/>
      <c r="S28" s="256"/>
      <c r="T28" s="256"/>
      <c r="U28" s="256"/>
      <c r="V28" s="256"/>
      <c r="W28" s="256"/>
      <c r="X28" s="123"/>
      <c r="Y28" s="123"/>
      <c r="Z28" s="123"/>
      <c r="AA28" s="123"/>
      <c r="AB28" s="123"/>
      <c r="AC28" s="123"/>
      <c r="AD28" s="123"/>
      <c r="AE28" s="255"/>
      <c r="AF28" s="255"/>
      <c r="AG28" s="255"/>
      <c r="AH28" s="255"/>
      <c r="AI28" s="255"/>
      <c r="AJ28" s="255"/>
      <c r="AK28" s="255"/>
      <c r="AL28" s="256"/>
      <c r="AM28" s="256"/>
      <c r="AN28" s="256"/>
      <c r="AO28" s="256"/>
      <c r="AP28" s="256"/>
      <c r="AQ28" s="256"/>
      <c r="AR28" s="256"/>
      <c r="AS28" s="123"/>
      <c r="AT28" s="123"/>
      <c r="AU28" s="123"/>
      <c r="AV28" s="123"/>
      <c r="AW28" s="123"/>
      <c r="AX28" s="123"/>
      <c r="AY28" s="123"/>
      <c r="AZ28" s="255"/>
      <c r="BA28" s="255"/>
      <c r="BB28" s="255"/>
      <c r="BC28" s="255"/>
      <c r="BD28" s="255"/>
      <c r="BE28" s="255"/>
      <c r="BF28" s="255"/>
      <c r="BG28" s="256"/>
      <c r="BH28" s="256"/>
      <c r="BI28" s="256"/>
      <c r="BJ28" s="256"/>
      <c r="BK28" s="256"/>
      <c r="BL28" s="256"/>
      <c r="BM28" s="256"/>
      <c r="BN28" s="123"/>
      <c r="BO28" s="123"/>
      <c r="BP28" s="123"/>
      <c r="BQ28" s="123"/>
      <c r="BR28" s="123"/>
      <c r="BS28" s="123"/>
      <c r="BT28" s="123"/>
      <c r="BU28" s="255"/>
      <c r="BV28" s="255"/>
      <c r="BW28" s="255"/>
      <c r="BX28" s="255"/>
      <c r="BY28" s="255"/>
      <c r="BZ28" s="255"/>
      <c r="CA28" s="255"/>
      <c r="CB28" s="256"/>
      <c r="CC28" s="256"/>
      <c r="CD28" s="256"/>
      <c r="CE28" s="256"/>
      <c r="CF28" s="256"/>
      <c r="CG28" s="256"/>
      <c r="CH28" s="256"/>
      <c r="CI28" s="458"/>
      <c r="CJ28" s="458"/>
      <c r="CK28" s="458"/>
      <c r="CL28" s="458"/>
      <c r="CM28" s="458"/>
      <c r="CN28" s="458"/>
      <c r="CO28" s="458"/>
      <c r="CP28" s="457"/>
      <c r="CQ28" s="457"/>
      <c r="CR28" s="457"/>
      <c r="CS28" s="457"/>
      <c r="CT28" s="457"/>
      <c r="CU28" s="457"/>
      <c r="CV28" s="457"/>
      <c r="CW28" s="256"/>
      <c r="CX28" s="256"/>
      <c r="CY28" s="256"/>
      <c r="CZ28" s="256"/>
      <c r="DA28" s="256"/>
      <c r="DB28" s="256"/>
      <c r="DC28" s="256"/>
      <c r="DD28" s="257" t="str">
        <f t="shared" si="31"/>
        <v/>
      </c>
      <c r="DE28" s="257" t="str">
        <f t="shared" si="32"/>
        <v/>
      </c>
      <c r="DF28" s="257" t="str">
        <f t="shared" si="33"/>
        <v/>
      </c>
      <c r="DG28" s="257" t="str">
        <f t="shared" si="34"/>
        <v/>
      </c>
      <c r="DH28" s="257" t="str">
        <f t="shared" si="35"/>
        <v/>
      </c>
      <c r="DI28" s="257" t="str">
        <f t="shared" si="36"/>
        <v/>
      </c>
      <c r="DJ28" s="257" t="str">
        <f t="shared" si="37"/>
        <v/>
      </c>
      <c r="DK28" s="569" t="str">
        <f t="shared" si="38"/>
        <v/>
      </c>
      <c r="DL28" s="291" t="str">
        <f t="shared" si="39"/>
        <v xml:space="preserve">  </v>
      </c>
      <c r="DM28" s="243" t="str">
        <f t="shared" si="40"/>
        <v xml:space="preserve"> </v>
      </c>
      <c r="DN28" s="39"/>
      <c r="DO28" s="39"/>
      <c r="DP28" s="257">
        <f t="shared" si="41"/>
        <v>0</v>
      </c>
      <c r="DQ28" s="257">
        <f t="shared" si="42"/>
        <v>0</v>
      </c>
      <c r="DR28" s="257">
        <f t="shared" si="43"/>
        <v>0</v>
      </c>
      <c r="DS28" s="257">
        <f t="shared" si="44"/>
        <v>0</v>
      </c>
      <c r="DT28" s="257">
        <f t="shared" si="45"/>
        <v>0</v>
      </c>
      <c r="DU28" s="257">
        <f t="shared" si="46"/>
        <v>0</v>
      </c>
      <c r="DV28" s="257">
        <f t="shared" si="47"/>
        <v>0</v>
      </c>
      <c r="DW28" s="257"/>
      <c r="DX28" s="257"/>
      <c r="DY28" s="257"/>
      <c r="DZ28" s="289">
        <f t="shared" si="48"/>
        <v>0</v>
      </c>
      <c r="EA28" s="257">
        <f t="shared" si="49"/>
        <v>0</v>
      </c>
      <c r="EB28" s="257">
        <f t="shared" si="50"/>
        <v>0</v>
      </c>
      <c r="EC28" s="257">
        <f t="shared" si="51"/>
        <v>0</v>
      </c>
      <c r="ED28" s="257">
        <f t="shared" si="52"/>
        <v>0</v>
      </c>
      <c r="EE28" s="257">
        <f t="shared" si="53"/>
        <v>0</v>
      </c>
      <c r="EF28" s="257">
        <f t="shared" si="54"/>
        <v>0</v>
      </c>
      <c r="EG28" s="257">
        <f t="shared" si="55"/>
        <v>0</v>
      </c>
      <c r="EH28" s="223"/>
      <c r="EI28" s="223"/>
      <c r="EJ28" s="223"/>
      <c r="EK28" s="289">
        <f t="shared" si="56"/>
        <v>0</v>
      </c>
      <c r="EL28" s="257">
        <f t="shared" si="57"/>
        <v>0</v>
      </c>
      <c r="EM28" s="257">
        <f t="shared" si="58"/>
        <v>0</v>
      </c>
      <c r="EN28" s="257">
        <f t="shared" si="59"/>
        <v>0</v>
      </c>
      <c r="EO28" s="257">
        <f t="shared" si="60"/>
        <v>0</v>
      </c>
      <c r="EP28" s="257">
        <f t="shared" si="61"/>
        <v>0</v>
      </c>
      <c r="EQ28" s="257">
        <f t="shared" si="62"/>
        <v>0</v>
      </c>
      <c r="ER28" s="257">
        <f t="shared" si="63"/>
        <v>0</v>
      </c>
      <c r="ES28" s="223"/>
      <c r="ET28" s="223"/>
      <c r="EU28" s="223"/>
      <c r="EV28" s="289">
        <f t="shared" si="64"/>
        <v>0</v>
      </c>
      <c r="EW28" s="257">
        <f t="shared" si="65"/>
        <v>0</v>
      </c>
      <c r="EX28" s="257">
        <f t="shared" si="66"/>
        <v>0</v>
      </c>
      <c r="EY28" s="257">
        <f t="shared" si="67"/>
        <v>0</v>
      </c>
      <c r="EZ28" s="575">
        <f t="shared" si="68"/>
        <v>3</v>
      </c>
      <c r="FA28" s="506">
        <f t="shared" si="69"/>
        <v>0</v>
      </c>
      <c r="FB28" s="39" t="str">
        <f t="shared" si="70"/>
        <v/>
      </c>
      <c r="FC28" s="257">
        <f t="shared" si="71"/>
        <v>0</v>
      </c>
      <c r="FD28" s="257">
        <f t="shared" si="72"/>
        <v>0</v>
      </c>
      <c r="FE28" s="257">
        <f t="shared" si="73"/>
        <v>0</v>
      </c>
      <c r="FF28" s="575">
        <f t="shared" si="74"/>
        <v>3</v>
      </c>
      <c r="FG28" s="506">
        <f t="shared" si="75"/>
        <v>0</v>
      </c>
      <c r="FH28" s="39" t="str">
        <f t="shared" si="76"/>
        <v/>
      </c>
      <c r="FI28" s="257">
        <f t="shared" si="77"/>
        <v>0</v>
      </c>
      <c r="FJ28" s="257">
        <f t="shared" si="78"/>
        <v>0</v>
      </c>
      <c r="FK28" s="257">
        <f t="shared" si="79"/>
        <v>0</v>
      </c>
      <c r="FL28" s="575">
        <f t="shared" si="80"/>
        <v>3</v>
      </c>
      <c r="FM28" s="506">
        <f t="shared" si="81"/>
        <v>0</v>
      </c>
      <c r="FN28" s="39" t="str">
        <f t="shared" si="82"/>
        <v/>
      </c>
      <c r="FO28" s="257">
        <f t="shared" si="83"/>
        <v>0</v>
      </c>
      <c r="FP28" s="257">
        <f t="shared" si="84"/>
        <v>0</v>
      </c>
      <c r="FQ28" s="257">
        <f t="shared" si="85"/>
        <v>0</v>
      </c>
      <c r="FR28" s="575">
        <f t="shared" si="86"/>
        <v>3</v>
      </c>
      <c r="FS28" s="506">
        <f t="shared" si="87"/>
        <v>0</v>
      </c>
      <c r="FT28" s="39" t="str">
        <f t="shared" si="88"/>
        <v/>
      </c>
      <c r="FU28" s="257">
        <f t="shared" si="89"/>
        <v>0</v>
      </c>
      <c r="FV28" s="257">
        <f t="shared" si="90"/>
        <v>0</v>
      </c>
      <c r="FW28" s="257">
        <f t="shared" si="91"/>
        <v>0</v>
      </c>
      <c r="FX28" s="575">
        <f t="shared" si="92"/>
        <v>3</v>
      </c>
      <c r="FY28" s="506">
        <f t="shared" si="93"/>
        <v>0</v>
      </c>
      <c r="FZ28" s="39" t="str">
        <f t="shared" si="94"/>
        <v/>
      </c>
      <c r="GA28" s="257">
        <f t="shared" si="95"/>
        <v>0</v>
      </c>
      <c r="GB28" s="257">
        <f t="shared" si="96"/>
        <v>0</v>
      </c>
      <c r="GC28" s="257">
        <f t="shared" si="97"/>
        <v>0</v>
      </c>
      <c r="GD28" s="575">
        <f t="shared" si="98"/>
        <v>3</v>
      </c>
      <c r="GE28" s="506">
        <f t="shared" si="99"/>
        <v>0</v>
      </c>
      <c r="GF28" s="39" t="str">
        <f t="shared" si="100"/>
        <v/>
      </c>
      <c r="GG28" s="257">
        <f t="shared" si="101"/>
        <v>0</v>
      </c>
      <c r="GH28" s="257">
        <f t="shared" si="102"/>
        <v>0</v>
      </c>
      <c r="GI28" s="257">
        <f t="shared" si="103"/>
        <v>0</v>
      </c>
      <c r="GJ28" s="575">
        <f t="shared" si="104"/>
        <v>3</v>
      </c>
      <c r="GK28" s="506">
        <f t="shared" si="105"/>
        <v>0</v>
      </c>
      <c r="GL28" s="39" t="str">
        <f t="shared" si="106"/>
        <v/>
      </c>
      <c r="GM28" s="39"/>
      <c r="GN28" s="39" t="str">
        <f t="shared" si="107"/>
        <v/>
      </c>
      <c r="GO28" s="39" t="str">
        <f t="shared" si="108"/>
        <v/>
      </c>
      <c r="GP28" s="39" t="str">
        <f t="shared" si="109"/>
        <v/>
      </c>
      <c r="GQ28" s="39" t="str">
        <f t="shared" si="110"/>
        <v/>
      </c>
      <c r="GR28" s="39" t="str">
        <f t="shared" si="111"/>
        <v/>
      </c>
      <c r="GS28" s="39" t="str">
        <f t="shared" si="112"/>
        <v/>
      </c>
      <c r="GT28" s="257" t="str">
        <f t="shared" si="113"/>
        <v/>
      </c>
      <c r="GU28" s="579" t="str">
        <f t="shared" si="114"/>
        <v/>
      </c>
      <c r="GV28" s="289">
        <f t="shared" si="115"/>
        <v>0</v>
      </c>
      <c r="GW28" s="289">
        <f t="shared" si="116"/>
        <v>0</v>
      </c>
      <c r="GX28" s="289">
        <f>SISWA!E26</f>
        <v>0</v>
      </c>
      <c r="GY28" s="223" t="str">
        <f t="shared" si="117"/>
        <v/>
      </c>
      <c r="GZ28" s="580" t="str">
        <f t="shared" si="118"/>
        <v/>
      </c>
      <c r="HA28" s="580" t="str">
        <f t="shared" si="119"/>
        <v/>
      </c>
      <c r="HB28" s="580" t="str">
        <f t="shared" si="120"/>
        <v/>
      </c>
      <c r="HC28" s="580" t="str">
        <f t="shared" si="121"/>
        <v/>
      </c>
      <c r="HD28" s="580" t="str">
        <f t="shared" si="122"/>
        <v/>
      </c>
      <c r="HE28" s="580" t="str">
        <f t="shared" si="123"/>
        <v/>
      </c>
      <c r="HF28" s="580" t="str">
        <f t="shared" si="124"/>
        <v/>
      </c>
      <c r="HG28" s="580"/>
      <c r="HH28" s="580"/>
      <c r="HI28" s="580"/>
      <c r="HJ28" s="580"/>
      <c r="HK28" s="223">
        <f t="shared" si="125"/>
        <v>0</v>
      </c>
      <c r="HL28" s="289" t="e">
        <f t="shared" si="126"/>
        <v>#N/A</v>
      </c>
      <c r="HM28" s="576" t="e">
        <f>IF(GV28&gt;100,"",IF(GV28&gt;DP$1,"sangat baik dalam "&amp;HL28,IF(GV28&gt;=DP$2,"baik dalam "&amp;HL28,IF(GV28&gt;=DP$3,"cukup dalam "&amp;HL28,IF(GV28&lt;DP$3,"dengan bimbingan dapat meningkatkan dalam "&amp;HL28,IF(GV28&lt;1," ",””))))))</f>
        <v>#N/A</v>
      </c>
      <c r="HN28" s="223"/>
      <c r="HO28" s="223" t="str">
        <f t="shared" si="127"/>
        <v/>
      </c>
      <c r="HP28" s="223" t="str">
        <f t="shared" si="128"/>
        <v/>
      </c>
      <c r="HQ28" s="223" t="str">
        <f t="shared" si="129"/>
        <v/>
      </c>
      <c r="HR28" s="223" t="str">
        <f t="shared" si="130"/>
        <v/>
      </c>
      <c r="HS28" s="223" t="str">
        <f t="shared" si="131"/>
        <v/>
      </c>
      <c r="HT28" s="223" t="str">
        <f t="shared" si="132"/>
        <v/>
      </c>
      <c r="HU28" s="223" t="str">
        <f t="shared" si="133"/>
        <v/>
      </c>
      <c r="HV28" s="223"/>
      <c r="HW28" s="223"/>
      <c r="HX28" s="223"/>
      <c r="HY28" s="223"/>
      <c r="HZ28" s="223" t="e">
        <f t="shared" si="134"/>
        <v>#N/A</v>
      </c>
      <c r="IA28" s="577" t="e">
        <f>IF(GW28&gt;100,"",IF(GW28&gt;=DP$1,"sangat baik dalam "&amp;HZ28,IF(GW28&gt;=DP$2,"baik dalam "&amp;HZ28,IF(GW28&gt;=DP$3,"cukup dalam "&amp;HZ28,IF(GW28&lt;DP$3,"dengan bimbingan dapat meningkatkan dalam "&amp;HZ28,IF(GW28&lt;1," ",””))))))</f>
        <v>#N/A</v>
      </c>
      <c r="IB28" s="223" t="e">
        <f t="shared" si="135"/>
        <v>#N/A</v>
      </c>
    </row>
    <row r="29" spans="1:236">
      <c r="A29" s="39">
        <v>22</v>
      </c>
      <c r="B29" s="290">
        <f>SISWA!B27</f>
        <v>0</v>
      </c>
      <c r="C29" s="123"/>
      <c r="D29" s="123"/>
      <c r="E29" s="123"/>
      <c r="F29" s="123"/>
      <c r="G29" s="123"/>
      <c r="H29" s="123"/>
      <c r="I29" s="123"/>
      <c r="J29" s="255"/>
      <c r="K29" s="255"/>
      <c r="L29" s="255"/>
      <c r="M29" s="255"/>
      <c r="N29" s="255"/>
      <c r="O29" s="255"/>
      <c r="P29" s="255"/>
      <c r="Q29" s="256"/>
      <c r="R29" s="256"/>
      <c r="S29" s="256"/>
      <c r="T29" s="256"/>
      <c r="U29" s="256"/>
      <c r="V29" s="256"/>
      <c r="W29" s="256"/>
      <c r="X29" s="123"/>
      <c r="Y29" s="123"/>
      <c r="Z29" s="123"/>
      <c r="AA29" s="123"/>
      <c r="AB29" s="123"/>
      <c r="AC29" s="123"/>
      <c r="AD29" s="123"/>
      <c r="AE29" s="255"/>
      <c r="AF29" s="255"/>
      <c r="AG29" s="255"/>
      <c r="AH29" s="255"/>
      <c r="AI29" s="255"/>
      <c r="AJ29" s="255"/>
      <c r="AK29" s="255"/>
      <c r="AL29" s="256"/>
      <c r="AM29" s="256"/>
      <c r="AN29" s="256"/>
      <c r="AO29" s="256"/>
      <c r="AP29" s="256"/>
      <c r="AQ29" s="256"/>
      <c r="AR29" s="256"/>
      <c r="AS29" s="123"/>
      <c r="AT29" s="123"/>
      <c r="AU29" s="123"/>
      <c r="AV29" s="123"/>
      <c r="AW29" s="123"/>
      <c r="AX29" s="123"/>
      <c r="AY29" s="123"/>
      <c r="AZ29" s="255"/>
      <c r="BA29" s="255"/>
      <c r="BB29" s="255"/>
      <c r="BC29" s="255"/>
      <c r="BD29" s="255"/>
      <c r="BE29" s="255"/>
      <c r="BF29" s="255"/>
      <c r="BG29" s="256"/>
      <c r="BH29" s="256"/>
      <c r="BI29" s="256"/>
      <c r="BJ29" s="256"/>
      <c r="BK29" s="256"/>
      <c r="BL29" s="256"/>
      <c r="BM29" s="256"/>
      <c r="BN29" s="123"/>
      <c r="BO29" s="123"/>
      <c r="BP29" s="123"/>
      <c r="BQ29" s="123"/>
      <c r="BR29" s="123"/>
      <c r="BS29" s="123"/>
      <c r="BT29" s="123"/>
      <c r="BU29" s="255"/>
      <c r="BV29" s="255"/>
      <c r="BW29" s="255"/>
      <c r="BX29" s="255"/>
      <c r="BY29" s="255"/>
      <c r="BZ29" s="255"/>
      <c r="CA29" s="255"/>
      <c r="CB29" s="256"/>
      <c r="CC29" s="256"/>
      <c r="CD29" s="256"/>
      <c r="CE29" s="256"/>
      <c r="CF29" s="256"/>
      <c r="CG29" s="256"/>
      <c r="CH29" s="256"/>
      <c r="CI29" s="458"/>
      <c r="CJ29" s="458"/>
      <c r="CK29" s="458"/>
      <c r="CL29" s="458"/>
      <c r="CM29" s="458"/>
      <c r="CN29" s="458"/>
      <c r="CO29" s="458"/>
      <c r="CP29" s="457"/>
      <c r="CQ29" s="457"/>
      <c r="CR29" s="457"/>
      <c r="CS29" s="457"/>
      <c r="CT29" s="457"/>
      <c r="CU29" s="457"/>
      <c r="CV29" s="457"/>
      <c r="CW29" s="256"/>
      <c r="CX29" s="256"/>
      <c r="CY29" s="256"/>
      <c r="CZ29" s="256"/>
      <c r="DA29" s="256"/>
      <c r="DB29" s="256"/>
      <c r="DC29" s="256"/>
      <c r="DD29" s="257" t="str">
        <f t="shared" si="31"/>
        <v/>
      </c>
      <c r="DE29" s="257" t="str">
        <f t="shared" si="32"/>
        <v/>
      </c>
      <c r="DF29" s="257" t="str">
        <f t="shared" si="33"/>
        <v/>
      </c>
      <c r="DG29" s="257" t="str">
        <f t="shared" si="34"/>
        <v/>
      </c>
      <c r="DH29" s="257" t="str">
        <f t="shared" si="35"/>
        <v/>
      </c>
      <c r="DI29" s="257" t="str">
        <f t="shared" si="36"/>
        <v/>
      </c>
      <c r="DJ29" s="257" t="str">
        <f t="shared" si="37"/>
        <v/>
      </c>
      <c r="DK29" s="569" t="str">
        <f t="shared" si="38"/>
        <v/>
      </c>
      <c r="DL29" s="291" t="str">
        <f t="shared" si="39"/>
        <v xml:space="preserve">  </v>
      </c>
      <c r="DM29" s="243" t="str">
        <f t="shared" si="40"/>
        <v xml:space="preserve"> </v>
      </c>
      <c r="DN29" s="39"/>
      <c r="DO29" s="39"/>
      <c r="DP29" s="257">
        <f t="shared" si="41"/>
        <v>0</v>
      </c>
      <c r="DQ29" s="257">
        <f t="shared" si="42"/>
        <v>0</v>
      </c>
      <c r="DR29" s="257">
        <f t="shared" si="43"/>
        <v>0</v>
      </c>
      <c r="DS29" s="257">
        <f t="shared" si="44"/>
        <v>0</v>
      </c>
      <c r="DT29" s="257">
        <f t="shared" si="45"/>
        <v>0</v>
      </c>
      <c r="DU29" s="257">
        <f t="shared" si="46"/>
        <v>0</v>
      </c>
      <c r="DV29" s="257">
        <f t="shared" si="47"/>
        <v>0</v>
      </c>
      <c r="DW29" s="257"/>
      <c r="DX29" s="257"/>
      <c r="DY29" s="257"/>
      <c r="DZ29" s="289">
        <f t="shared" si="48"/>
        <v>0</v>
      </c>
      <c r="EA29" s="257">
        <f t="shared" si="49"/>
        <v>0</v>
      </c>
      <c r="EB29" s="257">
        <f t="shared" si="50"/>
        <v>0</v>
      </c>
      <c r="EC29" s="257">
        <f t="shared" si="51"/>
        <v>0</v>
      </c>
      <c r="ED29" s="257">
        <f t="shared" si="52"/>
        <v>0</v>
      </c>
      <c r="EE29" s="257">
        <f t="shared" si="53"/>
        <v>0</v>
      </c>
      <c r="EF29" s="257">
        <f t="shared" si="54"/>
        <v>0</v>
      </c>
      <c r="EG29" s="257">
        <f t="shared" si="55"/>
        <v>0</v>
      </c>
      <c r="EH29" s="223"/>
      <c r="EI29" s="223"/>
      <c r="EJ29" s="223"/>
      <c r="EK29" s="289">
        <f t="shared" si="56"/>
        <v>0</v>
      </c>
      <c r="EL29" s="257">
        <f t="shared" si="57"/>
        <v>0</v>
      </c>
      <c r="EM29" s="257">
        <f t="shared" si="58"/>
        <v>0</v>
      </c>
      <c r="EN29" s="257">
        <f t="shared" si="59"/>
        <v>0</v>
      </c>
      <c r="EO29" s="257">
        <f t="shared" si="60"/>
        <v>0</v>
      </c>
      <c r="EP29" s="257">
        <f t="shared" si="61"/>
        <v>0</v>
      </c>
      <c r="EQ29" s="257">
        <f t="shared" si="62"/>
        <v>0</v>
      </c>
      <c r="ER29" s="257">
        <f t="shared" si="63"/>
        <v>0</v>
      </c>
      <c r="ES29" s="223"/>
      <c r="ET29" s="223"/>
      <c r="EU29" s="223"/>
      <c r="EV29" s="289">
        <f t="shared" si="64"/>
        <v>0</v>
      </c>
      <c r="EW29" s="257">
        <f t="shared" si="65"/>
        <v>0</v>
      </c>
      <c r="EX29" s="257">
        <f t="shared" si="66"/>
        <v>0</v>
      </c>
      <c r="EY29" s="257">
        <f t="shared" si="67"/>
        <v>0</v>
      </c>
      <c r="EZ29" s="575">
        <f t="shared" si="68"/>
        <v>3</v>
      </c>
      <c r="FA29" s="506">
        <f t="shared" si="69"/>
        <v>0</v>
      </c>
      <c r="FB29" s="39" t="str">
        <f t="shared" si="70"/>
        <v/>
      </c>
      <c r="FC29" s="257">
        <f t="shared" si="71"/>
        <v>0</v>
      </c>
      <c r="FD29" s="257">
        <f t="shared" si="72"/>
        <v>0</v>
      </c>
      <c r="FE29" s="257">
        <f t="shared" si="73"/>
        <v>0</v>
      </c>
      <c r="FF29" s="575">
        <f t="shared" si="74"/>
        <v>3</v>
      </c>
      <c r="FG29" s="506">
        <f t="shared" si="75"/>
        <v>0</v>
      </c>
      <c r="FH29" s="39" t="str">
        <f t="shared" si="76"/>
        <v/>
      </c>
      <c r="FI29" s="257">
        <f t="shared" si="77"/>
        <v>0</v>
      </c>
      <c r="FJ29" s="257">
        <f t="shared" si="78"/>
        <v>0</v>
      </c>
      <c r="FK29" s="257">
        <f t="shared" si="79"/>
        <v>0</v>
      </c>
      <c r="FL29" s="575">
        <f t="shared" si="80"/>
        <v>3</v>
      </c>
      <c r="FM29" s="506">
        <f t="shared" si="81"/>
        <v>0</v>
      </c>
      <c r="FN29" s="39" t="str">
        <f t="shared" si="82"/>
        <v/>
      </c>
      <c r="FO29" s="257">
        <f t="shared" si="83"/>
        <v>0</v>
      </c>
      <c r="FP29" s="257">
        <f t="shared" si="84"/>
        <v>0</v>
      </c>
      <c r="FQ29" s="257">
        <f t="shared" si="85"/>
        <v>0</v>
      </c>
      <c r="FR29" s="575">
        <f t="shared" si="86"/>
        <v>3</v>
      </c>
      <c r="FS29" s="506">
        <f t="shared" si="87"/>
        <v>0</v>
      </c>
      <c r="FT29" s="39" t="str">
        <f t="shared" si="88"/>
        <v/>
      </c>
      <c r="FU29" s="257">
        <f t="shared" si="89"/>
        <v>0</v>
      </c>
      <c r="FV29" s="257">
        <f t="shared" si="90"/>
        <v>0</v>
      </c>
      <c r="FW29" s="257">
        <f t="shared" si="91"/>
        <v>0</v>
      </c>
      <c r="FX29" s="575">
        <f t="shared" si="92"/>
        <v>3</v>
      </c>
      <c r="FY29" s="506">
        <f t="shared" si="93"/>
        <v>0</v>
      </c>
      <c r="FZ29" s="39" t="str">
        <f t="shared" si="94"/>
        <v/>
      </c>
      <c r="GA29" s="257">
        <f t="shared" si="95"/>
        <v>0</v>
      </c>
      <c r="GB29" s="257">
        <f t="shared" si="96"/>
        <v>0</v>
      </c>
      <c r="GC29" s="257">
        <f t="shared" si="97"/>
        <v>0</v>
      </c>
      <c r="GD29" s="575">
        <f t="shared" si="98"/>
        <v>3</v>
      </c>
      <c r="GE29" s="506">
        <f t="shared" si="99"/>
        <v>0</v>
      </c>
      <c r="GF29" s="39" t="str">
        <f t="shared" si="100"/>
        <v/>
      </c>
      <c r="GG29" s="257">
        <f t="shared" si="101"/>
        <v>0</v>
      </c>
      <c r="GH29" s="257">
        <f t="shared" si="102"/>
        <v>0</v>
      </c>
      <c r="GI29" s="257">
        <f t="shared" si="103"/>
        <v>0</v>
      </c>
      <c r="GJ29" s="575">
        <f t="shared" si="104"/>
        <v>3</v>
      </c>
      <c r="GK29" s="506">
        <f t="shared" si="105"/>
        <v>0</v>
      </c>
      <c r="GL29" s="39" t="str">
        <f t="shared" si="106"/>
        <v/>
      </c>
      <c r="GM29" s="39"/>
      <c r="GN29" s="39" t="str">
        <f t="shared" si="107"/>
        <v/>
      </c>
      <c r="GO29" s="39" t="str">
        <f t="shared" si="108"/>
        <v/>
      </c>
      <c r="GP29" s="39" t="str">
        <f t="shared" si="109"/>
        <v/>
      </c>
      <c r="GQ29" s="39" t="str">
        <f t="shared" si="110"/>
        <v/>
      </c>
      <c r="GR29" s="39" t="str">
        <f t="shared" si="111"/>
        <v/>
      </c>
      <c r="GS29" s="39" t="str">
        <f t="shared" si="112"/>
        <v/>
      </c>
      <c r="GT29" s="257" t="str">
        <f t="shared" si="113"/>
        <v/>
      </c>
      <c r="GU29" s="579" t="str">
        <f t="shared" si="114"/>
        <v/>
      </c>
      <c r="GV29" s="289">
        <f t="shared" si="115"/>
        <v>0</v>
      </c>
      <c r="GW29" s="289">
        <f t="shared" si="116"/>
        <v>0</v>
      </c>
      <c r="GX29" s="289">
        <f>SISWA!E27</f>
        <v>0</v>
      </c>
      <c r="GY29" s="223" t="str">
        <f t="shared" si="117"/>
        <v/>
      </c>
      <c r="GZ29" s="580" t="str">
        <f t="shared" si="118"/>
        <v/>
      </c>
      <c r="HA29" s="580" t="str">
        <f t="shared" si="119"/>
        <v/>
      </c>
      <c r="HB29" s="580" t="str">
        <f t="shared" si="120"/>
        <v/>
      </c>
      <c r="HC29" s="580" t="str">
        <f t="shared" si="121"/>
        <v/>
      </c>
      <c r="HD29" s="580" t="str">
        <f t="shared" si="122"/>
        <v/>
      </c>
      <c r="HE29" s="580" t="str">
        <f t="shared" si="123"/>
        <v/>
      </c>
      <c r="HF29" s="580" t="str">
        <f t="shared" si="124"/>
        <v/>
      </c>
      <c r="HG29" s="580"/>
      <c r="HH29" s="580"/>
      <c r="HI29" s="580"/>
      <c r="HJ29" s="580"/>
      <c r="HK29" s="223">
        <f t="shared" si="125"/>
        <v>0</v>
      </c>
      <c r="HL29" s="289" t="e">
        <f t="shared" si="126"/>
        <v>#N/A</v>
      </c>
      <c r="HM29" s="576" t="e">
        <f>IF(GV29&gt;100,"",IF(GV29&gt;DP$1,"sangat baik dalam "&amp;HL29,IF(GV29&gt;=DP$2,"baik dalam "&amp;HL29,IF(GV29&gt;=DP$3,"cukup dalam "&amp;HL29,IF(GV29&lt;DP$3,"dengan bimbingan dapat meningkatkan dalam "&amp;HL29,IF(GV29&lt;1," ",””))))))</f>
        <v>#N/A</v>
      </c>
      <c r="HN29" s="223"/>
      <c r="HO29" s="223" t="str">
        <f t="shared" si="127"/>
        <v/>
      </c>
      <c r="HP29" s="223" t="str">
        <f t="shared" si="128"/>
        <v/>
      </c>
      <c r="HQ29" s="223" t="str">
        <f t="shared" si="129"/>
        <v/>
      </c>
      <c r="HR29" s="223" t="str">
        <f t="shared" si="130"/>
        <v/>
      </c>
      <c r="HS29" s="223" t="str">
        <f t="shared" si="131"/>
        <v/>
      </c>
      <c r="HT29" s="223" t="str">
        <f t="shared" si="132"/>
        <v/>
      </c>
      <c r="HU29" s="223" t="str">
        <f t="shared" si="133"/>
        <v/>
      </c>
      <c r="HV29" s="223"/>
      <c r="HW29" s="223"/>
      <c r="HX29" s="223"/>
      <c r="HY29" s="223"/>
      <c r="HZ29" s="223" t="e">
        <f t="shared" si="134"/>
        <v>#N/A</v>
      </c>
      <c r="IA29" s="577" t="e">
        <f>IF(GW29&gt;100,"",IF(GW29&gt;=DP$1,"sangat baik dalam "&amp;HZ29,IF(GW29&gt;=DP$2,"baik dalam "&amp;HZ29,IF(GW29&gt;=DP$3,"cukup dalam "&amp;HZ29,IF(GW29&lt;DP$3,"dengan bimbingan dapat meningkatkan dalam "&amp;HZ29,IF(GW29&lt;1," ",””))))))</f>
        <v>#N/A</v>
      </c>
      <c r="IB29" s="223" t="e">
        <f t="shared" si="135"/>
        <v>#N/A</v>
      </c>
    </row>
    <row r="30" spans="1:236">
      <c r="A30" s="39">
        <v>23</v>
      </c>
      <c r="B30" s="290">
        <f>SISWA!B28</f>
        <v>0</v>
      </c>
      <c r="C30" s="123"/>
      <c r="D30" s="123"/>
      <c r="E30" s="123"/>
      <c r="F30" s="123"/>
      <c r="G30" s="123"/>
      <c r="H30" s="123"/>
      <c r="I30" s="123"/>
      <c r="J30" s="255"/>
      <c r="K30" s="255"/>
      <c r="L30" s="255"/>
      <c r="M30" s="255"/>
      <c r="N30" s="255"/>
      <c r="O30" s="255"/>
      <c r="P30" s="255"/>
      <c r="Q30" s="256"/>
      <c r="R30" s="256"/>
      <c r="S30" s="256"/>
      <c r="T30" s="256"/>
      <c r="U30" s="256"/>
      <c r="V30" s="256"/>
      <c r="W30" s="256"/>
      <c r="X30" s="123"/>
      <c r="Y30" s="123"/>
      <c r="Z30" s="123"/>
      <c r="AA30" s="123"/>
      <c r="AB30" s="123"/>
      <c r="AC30" s="123"/>
      <c r="AD30" s="123"/>
      <c r="AE30" s="255"/>
      <c r="AF30" s="255"/>
      <c r="AG30" s="255"/>
      <c r="AH30" s="255"/>
      <c r="AI30" s="255"/>
      <c r="AJ30" s="255"/>
      <c r="AK30" s="255"/>
      <c r="AL30" s="256"/>
      <c r="AM30" s="256"/>
      <c r="AN30" s="256"/>
      <c r="AO30" s="256"/>
      <c r="AP30" s="256"/>
      <c r="AQ30" s="256"/>
      <c r="AR30" s="256"/>
      <c r="AS30" s="123"/>
      <c r="AT30" s="123"/>
      <c r="AU30" s="123"/>
      <c r="AV30" s="123"/>
      <c r="AW30" s="123"/>
      <c r="AX30" s="123"/>
      <c r="AY30" s="123"/>
      <c r="AZ30" s="255"/>
      <c r="BA30" s="255"/>
      <c r="BB30" s="255"/>
      <c r="BC30" s="255"/>
      <c r="BD30" s="255"/>
      <c r="BE30" s="255"/>
      <c r="BF30" s="255"/>
      <c r="BG30" s="256"/>
      <c r="BH30" s="256"/>
      <c r="BI30" s="256"/>
      <c r="BJ30" s="256"/>
      <c r="BK30" s="256"/>
      <c r="BL30" s="256"/>
      <c r="BM30" s="256"/>
      <c r="BN30" s="123"/>
      <c r="BO30" s="123"/>
      <c r="BP30" s="123"/>
      <c r="BQ30" s="123"/>
      <c r="BR30" s="123"/>
      <c r="BS30" s="123"/>
      <c r="BT30" s="123"/>
      <c r="BU30" s="255"/>
      <c r="BV30" s="255"/>
      <c r="BW30" s="255"/>
      <c r="BX30" s="255"/>
      <c r="BY30" s="255"/>
      <c r="BZ30" s="255"/>
      <c r="CA30" s="255"/>
      <c r="CB30" s="256"/>
      <c r="CC30" s="256"/>
      <c r="CD30" s="256"/>
      <c r="CE30" s="256"/>
      <c r="CF30" s="256"/>
      <c r="CG30" s="256"/>
      <c r="CH30" s="256"/>
      <c r="CI30" s="458"/>
      <c r="CJ30" s="458"/>
      <c r="CK30" s="458"/>
      <c r="CL30" s="458"/>
      <c r="CM30" s="458"/>
      <c r="CN30" s="458"/>
      <c r="CO30" s="458"/>
      <c r="CP30" s="457"/>
      <c r="CQ30" s="457"/>
      <c r="CR30" s="457"/>
      <c r="CS30" s="457"/>
      <c r="CT30" s="457"/>
      <c r="CU30" s="457"/>
      <c r="CV30" s="457"/>
      <c r="CW30" s="256"/>
      <c r="CX30" s="256"/>
      <c r="CY30" s="256"/>
      <c r="CZ30" s="256"/>
      <c r="DA30" s="256"/>
      <c r="DB30" s="256"/>
      <c r="DC30" s="256"/>
      <c r="DD30" s="257" t="str">
        <f t="shared" si="31"/>
        <v/>
      </c>
      <c r="DE30" s="257" t="str">
        <f t="shared" si="32"/>
        <v/>
      </c>
      <c r="DF30" s="257" t="str">
        <f t="shared" si="33"/>
        <v/>
      </c>
      <c r="DG30" s="257" t="str">
        <f t="shared" si="34"/>
        <v/>
      </c>
      <c r="DH30" s="257" t="str">
        <f t="shared" si="35"/>
        <v/>
      </c>
      <c r="DI30" s="257" t="str">
        <f t="shared" si="36"/>
        <v/>
      </c>
      <c r="DJ30" s="257" t="str">
        <f t="shared" si="37"/>
        <v/>
      </c>
      <c r="DK30" s="569" t="str">
        <f t="shared" si="38"/>
        <v/>
      </c>
      <c r="DL30" s="291" t="str">
        <f t="shared" si="39"/>
        <v xml:space="preserve">  </v>
      </c>
      <c r="DM30" s="243" t="str">
        <f t="shared" si="40"/>
        <v xml:space="preserve"> </v>
      </c>
      <c r="DN30" s="39"/>
      <c r="DO30" s="39"/>
      <c r="DP30" s="257">
        <f t="shared" si="41"/>
        <v>0</v>
      </c>
      <c r="DQ30" s="257">
        <f t="shared" si="42"/>
        <v>0</v>
      </c>
      <c r="DR30" s="257">
        <f t="shared" si="43"/>
        <v>0</v>
      </c>
      <c r="DS30" s="257">
        <f t="shared" si="44"/>
        <v>0</v>
      </c>
      <c r="DT30" s="257">
        <f t="shared" si="45"/>
        <v>0</v>
      </c>
      <c r="DU30" s="257">
        <f t="shared" si="46"/>
        <v>0</v>
      </c>
      <c r="DV30" s="257">
        <f t="shared" si="47"/>
        <v>0</v>
      </c>
      <c r="DW30" s="257"/>
      <c r="DX30" s="257"/>
      <c r="DY30" s="257"/>
      <c r="DZ30" s="289">
        <f t="shared" si="48"/>
        <v>0</v>
      </c>
      <c r="EA30" s="257">
        <f t="shared" si="49"/>
        <v>0</v>
      </c>
      <c r="EB30" s="257">
        <f t="shared" si="50"/>
        <v>0</v>
      </c>
      <c r="EC30" s="257">
        <f t="shared" si="51"/>
        <v>0</v>
      </c>
      <c r="ED30" s="257">
        <f t="shared" si="52"/>
        <v>0</v>
      </c>
      <c r="EE30" s="257">
        <f t="shared" si="53"/>
        <v>0</v>
      </c>
      <c r="EF30" s="257">
        <f t="shared" si="54"/>
        <v>0</v>
      </c>
      <c r="EG30" s="257">
        <f t="shared" si="55"/>
        <v>0</v>
      </c>
      <c r="EH30" s="223"/>
      <c r="EI30" s="223"/>
      <c r="EJ30" s="223"/>
      <c r="EK30" s="289">
        <f t="shared" si="56"/>
        <v>0</v>
      </c>
      <c r="EL30" s="257">
        <f t="shared" si="57"/>
        <v>0</v>
      </c>
      <c r="EM30" s="257">
        <f t="shared" si="58"/>
        <v>0</v>
      </c>
      <c r="EN30" s="257">
        <f t="shared" si="59"/>
        <v>0</v>
      </c>
      <c r="EO30" s="257">
        <f t="shared" si="60"/>
        <v>0</v>
      </c>
      <c r="EP30" s="257">
        <f t="shared" si="61"/>
        <v>0</v>
      </c>
      <c r="EQ30" s="257">
        <f t="shared" si="62"/>
        <v>0</v>
      </c>
      <c r="ER30" s="257">
        <f t="shared" si="63"/>
        <v>0</v>
      </c>
      <c r="ES30" s="223"/>
      <c r="ET30" s="223"/>
      <c r="EU30" s="223"/>
      <c r="EV30" s="289">
        <f t="shared" si="64"/>
        <v>0</v>
      </c>
      <c r="EW30" s="257">
        <f t="shared" si="65"/>
        <v>0</v>
      </c>
      <c r="EX30" s="257">
        <f t="shared" si="66"/>
        <v>0</v>
      </c>
      <c r="EY30" s="257">
        <f t="shared" si="67"/>
        <v>0</v>
      </c>
      <c r="EZ30" s="575">
        <f t="shared" si="68"/>
        <v>3</v>
      </c>
      <c r="FA30" s="506">
        <f t="shared" si="69"/>
        <v>0</v>
      </c>
      <c r="FB30" s="39" t="str">
        <f t="shared" si="70"/>
        <v/>
      </c>
      <c r="FC30" s="257">
        <f t="shared" si="71"/>
        <v>0</v>
      </c>
      <c r="FD30" s="257">
        <f t="shared" si="72"/>
        <v>0</v>
      </c>
      <c r="FE30" s="257">
        <f t="shared" si="73"/>
        <v>0</v>
      </c>
      <c r="FF30" s="575">
        <f t="shared" si="74"/>
        <v>3</v>
      </c>
      <c r="FG30" s="506">
        <f t="shared" si="75"/>
        <v>0</v>
      </c>
      <c r="FH30" s="39" t="str">
        <f t="shared" si="76"/>
        <v/>
      </c>
      <c r="FI30" s="257">
        <f t="shared" si="77"/>
        <v>0</v>
      </c>
      <c r="FJ30" s="257">
        <f t="shared" si="78"/>
        <v>0</v>
      </c>
      <c r="FK30" s="257">
        <f t="shared" si="79"/>
        <v>0</v>
      </c>
      <c r="FL30" s="575">
        <f t="shared" si="80"/>
        <v>3</v>
      </c>
      <c r="FM30" s="506">
        <f t="shared" si="81"/>
        <v>0</v>
      </c>
      <c r="FN30" s="39" t="str">
        <f t="shared" si="82"/>
        <v/>
      </c>
      <c r="FO30" s="257">
        <f t="shared" si="83"/>
        <v>0</v>
      </c>
      <c r="FP30" s="257">
        <f t="shared" si="84"/>
        <v>0</v>
      </c>
      <c r="FQ30" s="257">
        <f t="shared" si="85"/>
        <v>0</v>
      </c>
      <c r="FR30" s="575">
        <f t="shared" si="86"/>
        <v>3</v>
      </c>
      <c r="FS30" s="506">
        <f t="shared" si="87"/>
        <v>0</v>
      </c>
      <c r="FT30" s="39" t="str">
        <f t="shared" si="88"/>
        <v/>
      </c>
      <c r="FU30" s="257">
        <f t="shared" si="89"/>
        <v>0</v>
      </c>
      <c r="FV30" s="257">
        <f t="shared" si="90"/>
        <v>0</v>
      </c>
      <c r="FW30" s="257">
        <f t="shared" si="91"/>
        <v>0</v>
      </c>
      <c r="FX30" s="575">
        <f t="shared" si="92"/>
        <v>3</v>
      </c>
      <c r="FY30" s="506">
        <f t="shared" si="93"/>
        <v>0</v>
      </c>
      <c r="FZ30" s="39" t="str">
        <f t="shared" si="94"/>
        <v/>
      </c>
      <c r="GA30" s="257">
        <f t="shared" si="95"/>
        <v>0</v>
      </c>
      <c r="GB30" s="257">
        <f t="shared" si="96"/>
        <v>0</v>
      </c>
      <c r="GC30" s="257">
        <f t="shared" si="97"/>
        <v>0</v>
      </c>
      <c r="GD30" s="575">
        <f t="shared" si="98"/>
        <v>3</v>
      </c>
      <c r="GE30" s="506">
        <f t="shared" si="99"/>
        <v>0</v>
      </c>
      <c r="GF30" s="39" t="str">
        <f t="shared" si="100"/>
        <v/>
      </c>
      <c r="GG30" s="257">
        <f t="shared" si="101"/>
        <v>0</v>
      </c>
      <c r="GH30" s="257">
        <f t="shared" si="102"/>
        <v>0</v>
      </c>
      <c r="GI30" s="257">
        <f t="shared" si="103"/>
        <v>0</v>
      </c>
      <c r="GJ30" s="575">
        <f t="shared" si="104"/>
        <v>3</v>
      </c>
      <c r="GK30" s="506">
        <f t="shared" si="105"/>
        <v>0</v>
      </c>
      <c r="GL30" s="39" t="str">
        <f t="shared" si="106"/>
        <v/>
      </c>
      <c r="GM30" s="39"/>
      <c r="GN30" s="39" t="str">
        <f t="shared" si="107"/>
        <v/>
      </c>
      <c r="GO30" s="39" t="str">
        <f t="shared" si="108"/>
        <v/>
      </c>
      <c r="GP30" s="39" t="str">
        <f t="shared" si="109"/>
        <v/>
      </c>
      <c r="GQ30" s="39" t="str">
        <f t="shared" si="110"/>
        <v/>
      </c>
      <c r="GR30" s="39" t="str">
        <f t="shared" si="111"/>
        <v/>
      </c>
      <c r="GS30" s="39" t="str">
        <f t="shared" si="112"/>
        <v/>
      </c>
      <c r="GT30" s="257" t="str">
        <f t="shared" si="113"/>
        <v/>
      </c>
      <c r="GU30" s="579" t="str">
        <f t="shared" si="114"/>
        <v/>
      </c>
      <c r="GV30" s="289">
        <f t="shared" si="115"/>
        <v>0</v>
      </c>
      <c r="GW30" s="289">
        <f t="shared" si="116"/>
        <v>0</v>
      </c>
      <c r="GX30" s="289">
        <f>SISWA!E28</f>
        <v>0</v>
      </c>
      <c r="GY30" s="223" t="str">
        <f t="shared" si="117"/>
        <v/>
      </c>
      <c r="GZ30" s="580" t="str">
        <f t="shared" si="118"/>
        <v/>
      </c>
      <c r="HA30" s="580" t="str">
        <f t="shared" si="119"/>
        <v/>
      </c>
      <c r="HB30" s="580" t="str">
        <f t="shared" si="120"/>
        <v/>
      </c>
      <c r="HC30" s="580" t="str">
        <f t="shared" si="121"/>
        <v/>
      </c>
      <c r="HD30" s="580" t="str">
        <f t="shared" si="122"/>
        <v/>
      </c>
      <c r="HE30" s="580" t="str">
        <f t="shared" si="123"/>
        <v/>
      </c>
      <c r="HF30" s="580" t="str">
        <f t="shared" si="124"/>
        <v/>
      </c>
      <c r="HG30" s="580"/>
      <c r="HH30" s="580"/>
      <c r="HI30" s="580"/>
      <c r="HJ30" s="580"/>
      <c r="HK30" s="223">
        <f t="shared" si="125"/>
        <v>0</v>
      </c>
      <c r="HL30" s="289" t="e">
        <f t="shared" si="126"/>
        <v>#N/A</v>
      </c>
      <c r="HM30" s="576" t="e">
        <f>IF(GV30&gt;100,"",IF(GV30&gt;DP$1,"sangat baik dalam "&amp;HL30,IF(GV30&gt;=DP$2,"baik dalam "&amp;HL30,IF(GV30&gt;=DP$3,"cukup dalam "&amp;HL30,IF(GV30&lt;DP$3,"dengan bimbingan dapat meningkatkan dalam "&amp;HL30,IF(GV30&lt;1," ",””))))))</f>
        <v>#N/A</v>
      </c>
      <c r="HN30" s="223"/>
      <c r="HO30" s="223" t="str">
        <f t="shared" si="127"/>
        <v/>
      </c>
      <c r="HP30" s="223" t="str">
        <f t="shared" si="128"/>
        <v/>
      </c>
      <c r="HQ30" s="223" t="str">
        <f t="shared" si="129"/>
        <v/>
      </c>
      <c r="HR30" s="223" t="str">
        <f t="shared" si="130"/>
        <v/>
      </c>
      <c r="HS30" s="223" t="str">
        <f t="shared" si="131"/>
        <v/>
      </c>
      <c r="HT30" s="223" t="str">
        <f t="shared" si="132"/>
        <v/>
      </c>
      <c r="HU30" s="223" t="str">
        <f t="shared" si="133"/>
        <v/>
      </c>
      <c r="HV30" s="223"/>
      <c r="HW30" s="223"/>
      <c r="HX30" s="223"/>
      <c r="HY30" s="223"/>
      <c r="HZ30" s="223" t="e">
        <f t="shared" si="134"/>
        <v>#N/A</v>
      </c>
      <c r="IA30" s="577" t="e">
        <f>IF(GW30&gt;100,"",IF(GW30&gt;=DP$1,"sangat baik dalam "&amp;HZ30,IF(GW30&gt;=DP$2,"baik dalam "&amp;HZ30,IF(GW30&gt;=DP$3,"cukup dalam "&amp;HZ30,IF(GW30&lt;DP$3,"dengan bimbingan dapat meningkatkan dalam "&amp;HZ30,IF(GW30&lt;1," ",””))))))</f>
        <v>#N/A</v>
      </c>
      <c r="IB30" s="223" t="e">
        <f t="shared" si="135"/>
        <v>#N/A</v>
      </c>
    </row>
    <row r="31" spans="1:236">
      <c r="A31" s="39">
        <v>24</v>
      </c>
      <c r="B31" s="290">
        <f>SISWA!B29</f>
        <v>0</v>
      </c>
      <c r="C31" s="123"/>
      <c r="D31" s="123"/>
      <c r="E31" s="123"/>
      <c r="F31" s="123"/>
      <c r="G31" s="123"/>
      <c r="H31" s="123"/>
      <c r="I31" s="123"/>
      <c r="J31" s="255"/>
      <c r="K31" s="255"/>
      <c r="L31" s="255"/>
      <c r="M31" s="255"/>
      <c r="N31" s="255"/>
      <c r="O31" s="255"/>
      <c r="P31" s="255"/>
      <c r="Q31" s="256"/>
      <c r="R31" s="256"/>
      <c r="S31" s="256"/>
      <c r="T31" s="256"/>
      <c r="U31" s="256"/>
      <c r="V31" s="256"/>
      <c r="W31" s="256"/>
      <c r="X31" s="123"/>
      <c r="Y31" s="123"/>
      <c r="Z31" s="123"/>
      <c r="AA31" s="123"/>
      <c r="AB31" s="123"/>
      <c r="AC31" s="123"/>
      <c r="AD31" s="123"/>
      <c r="AE31" s="255"/>
      <c r="AF31" s="255"/>
      <c r="AG31" s="255"/>
      <c r="AH31" s="255"/>
      <c r="AI31" s="255"/>
      <c r="AJ31" s="255"/>
      <c r="AK31" s="255"/>
      <c r="AL31" s="256"/>
      <c r="AM31" s="256"/>
      <c r="AN31" s="256"/>
      <c r="AO31" s="256"/>
      <c r="AP31" s="256"/>
      <c r="AQ31" s="256"/>
      <c r="AR31" s="256"/>
      <c r="AS31" s="123"/>
      <c r="AT31" s="123"/>
      <c r="AU31" s="123"/>
      <c r="AV31" s="123"/>
      <c r="AW31" s="123"/>
      <c r="AX31" s="123"/>
      <c r="AY31" s="123"/>
      <c r="AZ31" s="255"/>
      <c r="BA31" s="255"/>
      <c r="BB31" s="255"/>
      <c r="BC31" s="255"/>
      <c r="BD31" s="255"/>
      <c r="BE31" s="255"/>
      <c r="BF31" s="255"/>
      <c r="BG31" s="256"/>
      <c r="BH31" s="256"/>
      <c r="BI31" s="256"/>
      <c r="BJ31" s="256"/>
      <c r="BK31" s="256"/>
      <c r="BL31" s="256"/>
      <c r="BM31" s="256"/>
      <c r="BN31" s="123"/>
      <c r="BO31" s="123"/>
      <c r="BP31" s="123"/>
      <c r="BQ31" s="123"/>
      <c r="BR31" s="123"/>
      <c r="BS31" s="123"/>
      <c r="BT31" s="123"/>
      <c r="BU31" s="255"/>
      <c r="BV31" s="255"/>
      <c r="BW31" s="255"/>
      <c r="BX31" s="255"/>
      <c r="BY31" s="255"/>
      <c r="BZ31" s="255"/>
      <c r="CA31" s="255"/>
      <c r="CB31" s="256"/>
      <c r="CC31" s="256"/>
      <c r="CD31" s="256"/>
      <c r="CE31" s="256"/>
      <c r="CF31" s="256"/>
      <c r="CG31" s="256"/>
      <c r="CH31" s="256"/>
      <c r="CI31" s="458"/>
      <c r="CJ31" s="458"/>
      <c r="CK31" s="458"/>
      <c r="CL31" s="458"/>
      <c r="CM31" s="458"/>
      <c r="CN31" s="458"/>
      <c r="CO31" s="458"/>
      <c r="CP31" s="457"/>
      <c r="CQ31" s="457"/>
      <c r="CR31" s="457"/>
      <c r="CS31" s="457"/>
      <c r="CT31" s="457"/>
      <c r="CU31" s="457"/>
      <c r="CV31" s="457"/>
      <c r="CW31" s="256"/>
      <c r="CX31" s="256"/>
      <c r="CY31" s="256"/>
      <c r="CZ31" s="256"/>
      <c r="DA31" s="256"/>
      <c r="DB31" s="256"/>
      <c r="DC31" s="256"/>
      <c r="DD31" s="257" t="str">
        <f t="shared" si="31"/>
        <v/>
      </c>
      <c r="DE31" s="257" t="str">
        <f t="shared" si="32"/>
        <v/>
      </c>
      <c r="DF31" s="257" t="str">
        <f t="shared" si="33"/>
        <v/>
      </c>
      <c r="DG31" s="257" t="str">
        <f t="shared" si="34"/>
        <v/>
      </c>
      <c r="DH31" s="257" t="str">
        <f t="shared" si="35"/>
        <v/>
      </c>
      <c r="DI31" s="257" t="str">
        <f t="shared" si="36"/>
        <v/>
      </c>
      <c r="DJ31" s="257" t="str">
        <f t="shared" si="37"/>
        <v/>
      </c>
      <c r="DK31" s="569" t="str">
        <f t="shared" si="38"/>
        <v/>
      </c>
      <c r="DL31" s="291" t="str">
        <f t="shared" si="39"/>
        <v xml:space="preserve">  </v>
      </c>
      <c r="DM31" s="243" t="str">
        <f t="shared" si="40"/>
        <v xml:space="preserve"> </v>
      </c>
      <c r="DN31" s="39"/>
      <c r="DO31" s="39"/>
      <c r="DP31" s="257">
        <f t="shared" si="41"/>
        <v>0</v>
      </c>
      <c r="DQ31" s="257">
        <f t="shared" si="42"/>
        <v>0</v>
      </c>
      <c r="DR31" s="257">
        <f t="shared" si="43"/>
        <v>0</v>
      </c>
      <c r="DS31" s="257">
        <f t="shared" si="44"/>
        <v>0</v>
      </c>
      <c r="DT31" s="257">
        <f t="shared" si="45"/>
        <v>0</v>
      </c>
      <c r="DU31" s="257">
        <f t="shared" si="46"/>
        <v>0</v>
      </c>
      <c r="DV31" s="257">
        <f t="shared" si="47"/>
        <v>0</v>
      </c>
      <c r="DW31" s="257"/>
      <c r="DX31" s="257"/>
      <c r="DY31" s="257"/>
      <c r="DZ31" s="289">
        <f t="shared" si="48"/>
        <v>0</v>
      </c>
      <c r="EA31" s="257">
        <f t="shared" si="49"/>
        <v>0</v>
      </c>
      <c r="EB31" s="257">
        <f t="shared" si="50"/>
        <v>0</v>
      </c>
      <c r="EC31" s="257">
        <f t="shared" si="51"/>
        <v>0</v>
      </c>
      <c r="ED31" s="257">
        <f t="shared" si="52"/>
        <v>0</v>
      </c>
      <c r="EE31" s="257">
        <f t="shared" si="53"/>
        <v>0</v>
      </c>
      <c r="EF31" s="257">
        <f t="shared" si="54"/>
        <v>0</v>
      </c>
      <c r="EG31" s="257">
        <f t="shared" si="55"/>
        <v>0</v>
      </c>
      <c r="EH31" s="223"/>
      <c r="EI31" s="223"/>
      <c r="EJ31" s="223"/>
      <c r="EK31" s="289">
        <f t="shared" si="56"/>
        <v>0</v>
      </c>
      <c r="EL31" s="257">
        <f t="shared" si="57"/>
        <v>0</v>
      </c>
      <c r="EM31" s="257">
        <f t="shared" si="58"/>
        <v>0</v>
      </c>
      <c r="EN31" s="257">
        <f t="shared" si="59"/>
        <v>0</v>
      </c>
      <c r="EO31" s="257">
        <f t="shared" si="60"/>
        <v>0</v>
      </c>
      <c r="EP31" s="257">
        <f t="shared" si="61"/>
        <v>0</v>
      </c>
      <c r="EQ31" s="257">
        <f t="shared" si="62"/>
        <v>0</v>
      </c>
      <c r="ER31" s="257">
        <f t="shared" si="63"/>
        <v>0</v>
      </c>
      <c r="ES31" s="223"/>
      <c r="ET31" s="223"/>
      <c r="EU31" s="223"/>
      <c r="EV31" s="289">
        <f t="shared" si="64"/>
        <v>0</v>
      </c>
      <c r="EW31" s="257">
        <f t="shared" si="65"/>
        <v>0</v>
      </c>
      <c r="EX31" s="257">
        <f t="shared" si="66"/>
        <v>0</v>
      </c>
      <c r="EY31" s="257">
        <f t="shared" si="67"/>
        <v>0</v>
      </c>
      <c r="EZ31" s="575">
        <f t="shared" si="68"/>
        <v>3</v>
      </c>
      <c r="FA31" s="506">
        <f t="shared" si="69"/>
        <v>0</v>
      </c>
      <c r="FB31" s="39" t="str">
        <f t="shared" si="70"/>
        <v/>
      </c>
      <c r="FC31" s="257">
        <f t="shared" si="71"/>
        <v>0</v>
      </c>
      <c r="FD31" s="257">
        <f t="shared" si="72"/>
        <v>0</v>
      </c>
      <c r="FE31" s="257">
        <f t="shared" si="73"/>
        <v>0</v>
      </c>
      <c r="FF31" s="575">
        <f t="shared" si="74"/>
        <v>3</v>
      </c>
      <c r="FG31" s="506">
        <f t="shared" si="75"/>
        <v>0</v>
      </c>
      <c r="FH31" s="39" t="str">
        <f t="shared" si="76"/>
        <v/>
      </c>
      <c r="FI31" s="257">
        <f t="shared" si="77"/>
        <v>0</v>
      </c>
      <c r="FJ31" s="257">
        <f t="shared" si="78"/>
        <v>0</v>
      </c>
      <c r="FK31" s="257">
        <f t="shared" si="79"/>
        <v>0</v>
      </c>
      <c r="FL31" s="575">
        <f t="shared" si="80"/>
        <v>3</v>
      </c>
      <c r="FM31" s="506">
        <f t="shared" si="81"/>
        <v>0</v>
      </c>
      <c r="FN31" s="39" t="str">
        <f t="shared" si="82"/>
        <v/>
      </c>
      <c r="FO31" s="257">
        <f t="shared" si="83"/>
        <v>0</v>
      </c>
      <c r="FP31" s="257">
        <f t="shared" si="84"/>
        <v>0</v>
      </c>
      <c r="FQ31" s="257">
        <f t="shared" si="85"/>
        <v>0</v>
      </c>
      <c r="FR31" s="575">
        <f t="shared" si="86"/>
        <v>3</v>
      </c>
      <c r="FS31" s="506">
        <f t="shared" si="87"/>
        <v>0</v>
      </c>
      <c r="FT31" s="39" t="str">
        <f t="shared" si="88"/>
        <v/>
      </c>
      <c r="FU31" s="257">
        <f t="shared" si="89"/>
        <v>0</v>
      </c>
      <c r="FV31" s="257">
        <f t="shared" si="90"/>
        <v>0</v>
      </c>
      <c r="FW31" s="257">
        <f t="shared" si="91"/>
        <v>0</v>
      </c>
      <c r="FX31" s="575">
        <f t="shared" si="92"/>
        <v>3</v>
      </c>
      <c r="FY31" s="506">
        <f t="shared" si="93"/>
        <v>0</v>
      </c>
      <c r="FZ31" s="39" t="str">
        <f t="shared" si="94"/>
        <v/>
      </c>
      <c r="GA31" s="257">
        <f t="shared" si="95"/>
        <v>0</v>
      </c>
      <c r="GB31" s="257">
        <f t="shared" si="96"/>
        <v>0</v>
      </c>
      <c r="GC31" s="257">
        <f t="shared" si="97"/>
        <v>0</v>
      </c>
      <c r="GD31" s="575">
        <f t="shared" si="98"/>
        <v>3</v>
      </c>
      <c r="GE31" s="506">
        <f t="shared" si="99"/>
        <v>0</v>
      </c>
      <c r="GF31" s="39" t="str">
        <f t="shared" si="100"/>
        <v/>
      </c>
      <c r="GG31" s="257">
        <f t="shared" si="101"/>
        <v>0</v>
      </c>
      <c r="GH31" s="257">
        <f t="shared" si="102"/>
        <v>0</v>
      </c>
      <c r="GI31" s="257">
        <f t="shared" si="103"/>
        <v>0</v>
      </c>
      <c r="GJ31" s="575">
        <f t="shared" si="104"/>
        <v>3</v>
      </c>
      <c r="GK31" s="506">
        <f t="shared" si="105"/>
        <v>0</v>
      </c>
      <c r="GL31" s="39" t="str">
        <f t="shared" si="106"/>
        <v/>
      </c>
      <c r="GM31" s="39"/>
      <c r="GN31" s="39" t="str">
        <f t="shared" si="107"/>
        <v/>
      </c>
      <c r="GO31" s="39" t="str">
        <f t="shared" si="108"/>
        <v/>
      </c>
      <c r="GP31" s="39" t="str">
        <f t="shared" si="109"/>
        <v/>
      </c>
      <c r="GQ31" s="39" t="str">
        <f t="shared" si="110"/>
        <v/>
      </c>
      <c r="GR31" s="39" t="str">
        <f t="shared" si="111"/>
        <v/>
      </c>
      <c r="GS31" s="39" t="str">
        <f t="shared" si="112"/>
        <v/>
      </c>
      <c r="GT31" s="257" t="str">
        <f t="shared" si="113"/>
        <v/>
      </c>
      <c r="GU31" s="579" t="str">
        <f t="shared" si="114"/>
        <v/>
      </c>
      <c r="GV31" s="289">
        <f t="shared" si="115"/>
        <v>0</v>
      </c>
      <c r="GW31" s="289">
        <f t="shared" si="116"/>
        <v>0</v>
      </c>
      <c r="GX31" s="289">
        <f>SISWA!E29</f>
        <v>0</v>
      </c>
      <c r="GY31" s="223" t="str">
        <f t="shared" si="117"/>
        <v/>
      </c>
      <c r="GZ31" s="580" t="str">
        <f t="shared" si="118"/>
        <v/>
      </c>
      <c r="HA31" s="580" t="str">
        <f t="shared" si="119"/>
        <v/>
      </c>
      <c r="HB31" s="580" t="str">
        <f t="shared" si="120"/>
        <v/>
      </c>
      <c r="HC31" s="580" t="str">
        <f t="shared" si="121"/>
        <v/>
      </c>
      <c r="HD31" s="580" t="str">
        <f t="shared" si="122"/>
        <v/>
      </c>
      <c r="HE31" s="580" t="str">
        <f t="shared" si="123"/>
        <v/>
      </c>
      <c r="HF31" s="580" t="str">
        <f t="shared" si="124"/>
        <v/>
      </c>
      <c r="HG31" s="580"/>
      <c r="HH31" s="580"/>
      <c r="HI31" s="580"/>
      <c r="HJ31" s="580"/>
      <c r="HK31" s="223">
        <f t="shared" si="125"/>
        <v>0</v>
      </c>
      <c r="HL31" s="289" t="e">
        <f t="shared" si="126"/>
        <v>#N/A</v>
      </c>
      <c r="HM31" s="576" t="e">
        <f>IF(GV31&gt;100,"",IF(GV31&gt;DP$1,"sangat baik dalam "&amp;HL31,IF(GV31&gt;=DP$2,"baik dalam "&amp;HL31,IF(GV31&gt;=DP$3,"cukup dalam "&amp;HL31,IF(GV31&lt;DP$3,"dengan bimbingan dapat meningkatkan dalam "&amp;HL31,IF(GV31&lt;1," ",””))))))</f>
        <v>#N/A</v>
      </c>
      <c r="HN31" s="223"/>
      <c r="HO31" s="223" t="str">
        <f t="shared" si="127"/>
        <v/>
      </c>
      <c r="HP31" s="223" t="str">
        <f t="shared" si="128"/>
        <v/>
      </c>
      <c r="HQ31" s="223" t="str">
        <f t="shared" si="129"/>
        <v/>
      </c>
      <c r="HR31" s="223" t="str">
        <f t="shared" si="130"/>
        <v/>
      </c>
      <c r="HS31" s="223" t="str">
        <f t="shared" si="131"/>
        <v/>
      </c>
      <c r="HT31" s="223" t="str">
        <f t="shared" si="132"/>
        <v/>
      </c>
      <c r="HU31" s="223" t="str">
        <f t="shared" si="133"/>
        <v/>
      </c>
      <c r="HV31" s="223"/>
      <c r="HW31" s="223"/>
      <c r="HX31" s="223"/>
      <c r="HY31" s="223"/>
      <c r="HZ31" s="223" t="e">
        <f t="shared" si="134"/>
        <v>#N/A</v>
      </c>
      <c r="IA31" s="577" t="e">
        <f>IF(GW31&gt;100,"",IF(GW31&gt;=DP$1,"sangat baik dalam "&amp;HZ31,IF(GW31&gt;=DP$2,"baik dalam "&amp;HZ31,IF(GW31&gt;=DP$3,"cukup dalam "&amp;HZ31,IF(GW31&lt;DP$3,"dengan bimbingan dapat meningkatkan dalam "&amp;HZ31,IF(GW31&lt;1," ",””))))))</f>
        <v>#N/A</v>
      </c>
      <c r="IB31" s="223" t="e">
        <f t="shared" si="135"/>
        <v>#N/A</v>
      </c>
    </row>
    <row r="32" spans="1:236">
      <c r="A32" s="39">
        <v>25</v>
      </c>
      <c r="B32" s="290">
        <f>SISWA!B30</f>
        <v>0</v>
      </c>
      <c r="C32" s="123"/>
      <c r="D32" s="123"/>
      <c r="E32" s="123"/>
      <c r="F32" s="123"/>
      <c r="G32" s="123"/>
      <c r="H32" s="123"/>
      <c r="I32" s="123"/>
      <c r="J32" s="255"/>
      <c r="K32" s="255"/>
      <c r="L32" s="255"/>
      <c r="M32" s="255"/>
      <c r="N32" s="255"/>
      <c r="O32" s="255"/>
      <c r="P32" s="255"/>
      <c r="Q32" s="256"/>
      <c r="R32" s="256"/>
      <c r="S32" s="256"/>
      <c r="T32" s="256"/>
      <c r="U32" s="256"/>
      <c r="V32" s="256"/>
      <c r="W32" s="256"/>
      <c r="X32" s="123"/>
      <c r="Y32" s="123"/>
      <c r="Z32" s="123"/>
      <c r="AA32" s="123"/>
      <c r="AB32" s="123"/>
      <c r="AC32" s="123"/>
      <c r="AD32" s="123"/>
      <c r="AE32" s="255"/>
      <c r="AF32" s="255"/>
      <c r="AG32" s="255"/>
      <c r="AH32" s="255"/>
      <c r="AI32" s="255"/>
      <c r="AJ32" s="255"/>
      <c r="AK32" s="255"/>
      <c r="AL32" s="256"/>
      <c r="AM32" s="256"/>
      <c r="AN32" s="256"/>
      <c r="AO32" s="256"/>
      <c r="AP32" s="256"/>
      <c r="AQ32" s="256"/>
      <c r="AR32" s="256"/>
      <c r="AS32" s="123"/>
      <c r="AT32" s="123"/>
      <c r="AU32" s="123"/>
      <c r="AV32" s="123"/>
      <c r="AW32" s="123"/>
      <c r="AX32" s="123"/>
      <c r="AY32" s="123"/>
      <c r="AZ32" s="255"/>
      <c r="BA32" s="255"/>
      <c r="BB32" s="255"/>
      <c r="BC32" s="255"/>
      <c r="BD32" s="255"/>
      <c r="BE32" s="255"/>
      <c r="BF32" s="255"/>
      <c r="BG32" s="256"/>
      <c r="BH32" s="256"/>
      <c r="BI32" s="256"/>
      <c r="BJ32" s="256"/>
      <c r="BK32" s="256"/>
      <c r="BL32" s="256"/>
      <c r="BM32" s="256"/>
      <c r="BN32" s="123"/>
      <c r="BO32" s="123"/>
      <c r="BP32" s="123"/>
      <c r="BQ32" s="123"/>
      <c r="BR32" s="123"/>
      <c r="BS32" s="123"/>
      <c r="BT32" s="123"/>
      <c r="BU32" s="255"/>
      <c r="BV32" s="255"/>
      <c r="BW32" s="255"/>
      <c r="BX32" s="255"/>
      <c r="BY32" s="255"/>
      <c r="BZ32" s="255"/>
      <c r="CA32" s="255"/>
      <c r="CB32" s="256"/>
      <c r="CC32" s="256"/>
      <c r="CD32" s="256"/>
      <c r="CE32" s="256"/>
      <c r="CF32" s="256"/>
      <c r="CG32" s="256"/>
      <c r="CH32" s="256"/>
      <c r="CI32" s="458"/>
      <c r="CJ32" s="458"/>
      <c r="CK32" s="458"/>
      <c r="CL32" s="458"/>
      <c r="CM32" s="458"/>
      <c r="CN32" s="458"/>
      <c r="CO32" s="458"/>
      <c r="CP32" s="457"/>
      <c r="CQ32" s="457"/>
      <c r="CR32" s="457"/>
      <c r="CS32" s="457"/>
      <c r="CT32" s="457"/>
      <c r="CU32" s="457"/>
      <c r="CV32" s="457"/>
      <c r="CW32" s="256"/>
      <c r="CX32" s="256"/>
      <c r="CY32" s="256"/>
      <c r="CZ32" s="256"/>
      <c r="DA32" s="256"/>
      <c r="DB32" s="256"/>
      <c r="DC32" s="256"/>
      <c r="DD32" s="257" t="str">
        <f t="shared" si="31"/>
        <v/>
      </c>
      <c r="DE32" s="257" t="str">
        <f t="shared" si="32"/>
        <v/>
      </c>
      <c r="DF32" s="257" t="str">
        <f t="shared" si="33"/>
        <v/>
      </c>
      <c r="DG32" s="257" t="str">
        <f t="shared" si="34"/>
        <v/>
      </c>
      <c r="DH32" s="257" t="str">
        <f t="shared" si="35"/>
        <v/>
      </c>
      <c r="DI32" s="257" t="str">
        <f t="shared" si="36"/>
        <v/>
      </c>
      <c r="DJ32" s="257" t="str">
        <f t="shared" si="37"/>
        <v/>
      </c>
      <c r="DK32" s="569" t="str">
        <f t="shared" si="38"/>
        <v/>
      </c>
      <c r="DL32" s="291" t="str">
        <f t="shared" si="39"/>
        <v xml:space="preserve">  </v>
      </c>
      <c r="DM32" s="243" t="str">
        <f t="shared" si="40"/>
        <v xml:space="preserve"> </v>
      </c>
      <c r="DN32" s="39"/>
      <c r="DO32" s="39"/>
      <c r="DP32" s="257">
        <f t="shared" si="41"/>
        <v>0</v>
      </c>
      <c r="DQ32" s="257">
        <f t="shared" si="42"/>
        <v>0</v>
      </c>
      <c r="DR32" s="257">
        <f t="shared" si="43"/>
        <v>0</v>
      </c>
      <c r="DS32" s="257">
        <f t="shared" si="44"/>
        <v>0</v>
      </c>
      <c r="DT32" s="257">
        <f t="shared" si="45"/>
        <v>0</v>
      </c>
      <c r="DU32" s="257">
        <f t="shared" si="46"/>
        <v>0</v>
      </c>
      <c r="DV32" s="257">
        <f t="shared" si="47"/>
        <v>0</v>
      </c>
      <c r="DW32" s="257"/>
      <c r="DX32" s="257"/>
      <c r="DY32" s="257"/>
      <c r="DZ32" s="289">
        <f t="shared" si="48"/>
        <v>0</v>
      </c>
      <c r="EA32" s="257">
        <f t="shared" si="49"/>
        <v>0</v>
      </c>
      <c r="EB32" s="257">
        <f t="shared" si="50"/>
        <v>0</v>
      </c>
      <c r="EC32" s="257">
        <f t="shared" si="51"/>
        <v>0</v>
      </c>
      <c r="ED32" s="257">
        <f t="shared" si="52"/>
        <v>0</v>
      </c>
      <c r="EE32" s="257">
        <f t="shared" si="53"/>
        <v>0</v>
      </c>
      <c r="EF32" s="257">
        <f t="shared" si="54"/>
        <v>0</v>
      </c>
      <c r="EG32" s="257">
        <f t="shared" si="55"/>
        <v>0</v>
      </c>
      <c r="EH32" s="223"/>
      <c r="EI32" s="223"/>
      <c r="EJ32" s="223"/>
      <c r="EK32" s="289">
        <f t="shared" si="56"/>
        <v>0</v>
      </c>
      <c r="EL32" s="257">
        <f t="shared" si="57"/>
        <v>0</v>
      </c>
      <c r="EM32" s="257">
        <f t="shared" si="58"/>
        <v>0</v>
      </c>
      <c r="EN32" s="257">
        <f t="shared" si="59"/>
        <v>0</v>
      </c>
      <c r="EO32" s="257">
        <f t="shared" si="60"/>
        <v>0</v>
      </c>
      <c r="EP32" s="257">
        <f t="shared" si="61"/>
        <v>0</v>
      </c>
      <c r="EQ32" s="257">
        <f t="shared" si="62"/>
        <v>0</v>
      </c>
      <c r="ER32" s="257">
        <f t="shared" si="63"/>
        <v>0</v>
      </c>
      <c r="ES32" s="223"/>
      <c r="ET32" s="223"/>
      <c r="EU32" s="223"/>
      <c r="EV32" s="289">
        <f t="shared" si="64"/>
        <v>0</v>
      </c>
      <c r="EW32" s="257">
        <f t="shared" si="65"/>
        <v>0</v>
      </c>
      <c r="EX32" s="257">
        <f t="shared" si="66"/>
        <v>0</v>
      </c>
      <c r="EY32" s="257">
        <f t="shared" si="67"/>
        <v>0</v>
      </c>
      <c r="EZ32" s="575">
        <f t="shared" si="68"/>
        <v>3</v>
      </c>
      <c r="FA32" s="506">
        <f t="shared" si="69"/>
        <v>0</v>
      </c>
      <c r="FB32" s="39" t="str">
        <f t="shared" si="70"/>
        <v/>
      </c>
      <c r="FC32" s="257">
        <f t="shared" si="71"/>
        <v>0</v>
      </c>
      <c r="FD32" s="257">
        <f t="shared" si="72"/>
        <v>0</v>
      </c>
      <c r="FE32" s="257">
        <f t="shared" si="73"/>
        <v>0</v>
      </c>
      <c r="FF32" s="575">
        <f t="shared" si="74"/>
        <v>3</v>
      </c>
      <c r="FG32" s="506">
        <f t="shared" si="75"/>
        <v>0</v>
      </c>
      <c r="FH32" s="39" t="str">
        <f t="shared" si="76"/>
        <v/>
      </c>
      <c r="FI32" s="257">
        <f t="shared" si="77"/>
        <v>0</v>
      </c>
      <c r="FJ32" s="257">
        <f t="shared" si="78"/>
        <v>0</v>
      </c>
      <c r="FK32" s="257">
        <f t="shared" si="79"/>
        <v>0</v>
      </c>
      <c r="FL32" s="575">
        <f t="shared" si="80"/>
        <v>3</v>
      </c>
      <c r="FM32" s="506">
        <f t="shared" si="81"/>
        <v>0</v>
      </c>
      <c r="FN32" s="39" t="str">
        <f t="shared" si="82"/>
        <v/>
      </c>
      <c r="FO32" s="257">
        <f t="shared" si="83"/>
        <v>0</v>
      </c>
      <c r="FP32" s="257">
        <f t="shared" si="84"/>
        <v>0</v>
      </c>
      <c r="FQ32" s="257">
        <f t="shared" si="85"/>
        <v>0</v>
      </c>
      <c r="FR32" s="575">
        <f t="shared" si="86"/>
        <v>3</v>
      </c>
      <c r="FS32" s="506">
        <f t="shared" si="87"/>
        <v>0</v>
      </c>
      <c r="FT32" s="39" t="str">
        <f t="shared" si="88"/>
        <v/>
      </c>
      <c r="FU32" s="257">
        <f t="shared" si="89"/>
        <v>0</v>
      </c>
      <c r="FV32" s="257">
        <f t="shared" si="90"/>
        <v>0</v>
      </c>
      <c r="FW32" s="257">
        <f t="shared" si="91"/>
        <v>0</v>
      </c>
      <c r="FX32" s="575">
        <f t="shared" si="92"/>
        <v>3</v>
      </c>
      <c r="FY32" s="506">
        <f t="shared" si="93"/>
        <v>0</v>
      </c>
      <c r="FZ32" s="39" t="str">
        <f t="shared" si="94"/>
        <v/>
      </c>
      <c r="GA32" s="257">
        <f t="shared" si="95"/>
        <v>0</v>
      </c>
      <c r="GB32" s="257">
        <f t="shared" si="96"/>
        <v>0</v>
      </c>
      <c r="GC32" s="257">
        <f t="shared" si="97"/>
        <v>0</v>
      </c>
      <c r="GD32" s="575">
        <f t="shared" si="98"/>
        <v>3</v>
      </c>
      <c r="GE32" s="506">
        <f t="shared" si="99"/>
        <v>0</v>
      </c>
      <c r="GF32" s="39" t="str">
        <f t="shared" si="100"/>
        <v/>
      </c>
      <c r="GG32" s="257">
        <f t="shared" si="101"/>
        <v>0</v>
      </c>
      <c r="GH32" s="257">
        <f t="shared" si="102"/>
        <v>0</v>
      </c>
      <c r="GI32" s="257">
        <f t="shared" si="103"/>
        <v>0</v>
      </c>
      <c r="GJ32" s="575">
        <f t="shared" si="104"/>
        <v>3</v>
      </c>
      <c r="GK32" s="506">
        <f t="shared" si="105"/>
        <v>0</v>
      </c>
      <c r="GL32" s="39" t="str">
        <f t="shared" si="106"/>
        <v/>
      </c>
      <c r="GM32" s="39"/>
      <c r="GN32" s="39" t="str">
        <f t="shared" si="107"/>
        <v/>
      </c>
      <c r="GO32" s="39" t="str">
        <f t="shared" si="108"/>
        <v/>
      </c>
      <c r="GP32" s="39" t="str">
        <f t="shared" si="109"/>
        <v/>
      </c>
      <c r="GQ32" s="39" t="str">
        <f t="shared" si="110"/>
        <v/>
      </c>
      <c r="GR32" s="39" t="str">
        <f t="shared" si="111"/>
        <v/>
      </c>
      <c r="GS32" s="39" t="str">
        <f t="shared" si="112"/>
        <v/>
      </c>
      <c r="GT32" s="257" t="str">
        <f t="shared" si="113"/>
        <v/>
      </c>
      <c r="GU32" s="579" t="str">
        <f t="shared" si="114"/>
        <v/>
      </c>
      <c r="GV32" s="289">
        <f t="shared" si="115"/>
        <v>0</v>
      </c>
      <c r="GW32" s="289">
        <f t="shared" si="116"/>
        <v>0</v>
      </c>
      <c r="GX32" s="289">
        <f>SISWA!E30</f>
        <v>0</v>
      </c>
      <c r="GY32" s="223" t="str">
        <f t="shared" si="117"/>
        <v/>
      </c>
      <c r="GZ32" s="580" t="str">
        <f t="shared" si="118"/>
        <v/>
      </c>
      <c r="HA32" s="580" t="str">
        <f t="shared" si="119"/>
        <v/>
      </c>
      <c r="HB32" s="580" t="str">
        <f t="shared" si="120"/>
        <v/>
      </c>
      <c r="HC32" s="580" t="str">
        <f t="shared" si="121"/>
        <v/>
      </c>
      <c r="HD32" s="580" t="str">
        <f t="shared" si="122"/>
        <v/>
      </c>
      <c r="HE32" s="580" t="str">
        <f t="shared" si="123"/>
        <v/>
      </c>
      <c r="HF32" s="580" t="str">
        <f t="shared" si="124"/>
        <v/>
      </c>
      <c r="HG32" s="580"/>
      <c r="HH32" s="580"/>
      <c r="HI32" s="580"/>
      <c r="HJ32" s="580"/>
      <c r="HK32" s="223">
        <f t="shared" si="125"/>
        <v>0</v>
      </c>
      <c r="HL32" s="289" t="e">
        <f t="shared" si="126"/>
        <v>#N/A</v>
      </c>
      <c r="HM32" s="576" t="e">
        <f>IF(GV32&gt;100,"",IF(GV32&gt;DP$1,"sangat baik dalam "&amp;HL32,IF(GV32&gt;=DP$2,"baik dalam "&amp;HL32,IF(GV32&gt;=DP$3,"cukup dalam "&amp;HL32,IF(GV32&lt;DP$3,"dengan bimbingan dapat meningkatkan dalam "&amp;HL32,IF(GV32&lt;1," ",””))))))</f>
        <v>#N/A</v>
      </c>
      <c r="HN32" s="223"/>
      <c r="HO32" s="223" t="str">
        <f t="shared" si="127"/>
        <v/>
      </c>
      <c r="HP32" s="223" t="str">
        <f t="shared" si="128"/>
        <v/>
      </c>
      <c r="HQ32" s="223" t="str">
        <f t="shared" si="129"/>
        <v/>
      </c>
      <c r="HR32" s="223" t="str">
        <f t="shared" si="130"/>
        <v/>
      </c>
      <c r="HS32" s="223" t="str">
        <f t="shared" si="131"/>
        <v/>
      </c>
      <c r="HT32" s="223" t="str">
        <f t="shared" si="132"/>
        <v/>
      </c>
      <c r="HU32" s="223" t="str">
        <f t="shared" si="133"/>
        <v/>
      </c>
      <c r="HV32" s="223"/>
      <c r="HW32" s="223"/>
      <c r="HX32" s="223"/>
      <c r="HY32" s="223"/>
      <c r="HZ32" s="223" t="e">
        <f t="shared" si="134"/>
        <v>#N/A</v>
      </c>
      <c r="IA32" s="577" t="e">
        <f>IF(GW32&gt;100,"",IF(GW32&gt;=DP$1,"sangat baik dalam "&amp;HZ32,IF(GW32&gt;=DP$2,"baik dalam "&amp;HZ32,IF(GW32&gt;=DP$3,"cukup dalam "&amp;HZ32,IF(GW32&lt;DP$3,"dengan bimbingan dapat meningkatkan dalam "&amp;HZ32,IF(GW32&lt;1," ",””))))))</f>
        <v>#N/A</v>
      </c>
      <c r="IB32" s="223" t="e">
        <f t="shared" si="135"/>
        <v>#N/A</v>
      </c>
    </row>
    <row r="33" spans="1:236">
      <c r="A33" s="39">
        <v>26</v>
      </c>
      <c r="B33" s="290">
        <f>SISWA!B31</f>
        <v>0</v>
      </c>
      <c r="C33" s="123"/>
      <c r="D33" s="123"/>
      <c r="E33" s="123"/>
      <c r="F33" s="123"/>
      <c r="G33" s="123"/>
      <c r="H33" s="123"/>
      <c r="I33" s="123"/>
      <c r="J33" s="255"/>
      <c r="K33" s="255"/>
      <c r="L33" s="255"/>
      <c r="M33" s="255"/>
      <c r="N33" s="255"/>
      <c r="O33" s="255"/>
      <c r="P33" s="255"/>
      <c r="Q33" s="256"/>
      <c r="R33" s="256"/>
      <c r="S33" s="256"/>
      <c r="T33" s="256"/>
      <c r="U33" s="256"/>
      <c r="V33" s="256"/>
      <c r="W33" s="256"/>
      <c r="X33" s="123"/>
      <c r="Y33" s="123"/>
      <c r="Z33" s="123"/>
      <c r="AA33" s="123"/>
      <c r="AB33" s="123"/>
      <c r="AC33" s="123"/>
      <c r="AD33" s="123"/>
      <c r="AE33" s="255"/>
      <c r="AF33" s="255"/>
      <c r="AG33" s="255"/>
      <c r="AH33" s="255"/>
      <c r="AI33" s="255"/>
      <c r="AJ33" s="255"/>
      <c r="AK33" s="255"/>
      <c r="AL33" s="256"/>
      <c r="AM33" s="256"/>
      <c r="AN33" s="256"/>
      <c r="AO33" s="256"/>
      <c r="AP33" s="256"/>
      <c r="AQ33" s="256"/>
      <c r="AR33" s="256"/>
      <c r="AS33" s="123"/>
      <c r="AT33" s="123"/>
      <c r="AU33" s="123"/>
      <c r="AV33" s="123"/>
      <c r="AW33" s="123"/>
      <c r="AX33" s="123"/>
      <c r="AY33" s="123"/>
      <c r="AZ33" s="255"/>
      <c r="BA33" s="255"/>
      <c r="BB33" s="255"/>
      <c r="BC33" s="255"/>
      <c r="BD33" s="255"/>
      <c r="BE33" s="255"/>
      <c r="BF33" s="255"/>
      <c r="BG33" s="256"/>
      <c r="BH33" s="256"/>
      <c r="BI33" s="256"/>
      <c r="BJ33" s="256"/>
      <c r="BK33" s="256"/>
      <c r="BL33" s="256"/>
      <c r="BM33" s="256"/>
      <c r="BN33" s="123"/>
      <c r="BO33" s="123"/>
      <c r="BP33" s="123"/>
      <c r="BQ33" s="123"/>
      <c r="BR33" s="123"/>
      <c r="BS33" s="123"/>
      <c r="BT33" s="123"/>
      <c r="BU33" s="255"/>
      <c r="BV33" s="255"/>
      <c r="BW33" s="255"/>
      <c r="BX33" s="255"/>
      <c r="BY33" s="255"/>
      <c r="BZ33" s="255"/>
      <c r="CA33" s="255"/>
      <c r="CB33" s="256"/>
      <c r="CC33" s="256"/>
      <c r="CD33" s="256"/>
      <c r="CE33" s="256"/>
      <c r="CF33" s="256"/>
      <c r="CG33" s="256"/>
      <c r="CH33" s="256"/>
      <c r="CI33" s="458"/>
      <c r="CJ33" s="458"/>
      <c r="CK33" s="458"/>
      <c r="CL33" s="458"/>
      <c r="CM33" s="458"/>
      <c r="CN33" s="458"/>
      <c r="CO33" s="458"/>
      <c r="CP33" s="457"/>
      <c r="CQ33" s="457"/>
      <c r="CR33" s="457"/>
      <c r="CS33" s="457"/>
      <c r="CT33" s="457"/>
      <c r="CU33" s="457"/>
      <c r="CV33" s="457"/>
      <c r="CW33" s="256"/>
      <c r="CX33" s="256"/>
      <c r="CY33" s="256"/>
      <c r="CZ33" s="256"/>
      <c r="DA33" s="256"/>
      <c r="DB33" s="256"/>
      <c r="DC33" s="256"/>
      <c r="DD33" s="257" t="str">
        <f t="shared" si="31"/>
        <v/>
      </c>
      <c r="DE33" s="257" t="str">
        <f t="shared" si="32"/>
        <v/>
      </c>
      <c r="DF33" s="257" t="str">
        <f t="shared" si="33"/>
        <v/>
      </c>
      <c r="DG33" s="257" t="str">
        <f t="shared" si="34"/>
        <v/>
      </c>
      <c r="DH33" s="257" t="str">
        <f t="shared" si="35"/>
        <v/>
      </c>
      <c r="DI33" s="257" t="str">
        <f t="shared" si="36"/>
        <v/>
      </c>
      <c r="DJ33" s="257" t="str">
        <f t="shared" si="37"/>
        <v/>
      </c>
      <c r="DK33" s="569" t="str">
        <f t="shared" si="38"/>
        <v/>
      </c>
      <c r="DL33" s="291" t="str">
        <f t="shared" si="39"/>
        <v xml:space="preserve">  </v>
      </c>
      <c r="DM33" s="243" t="str">
        <f t="shared" si="40"/>
        <v xml:space="preserve"> </v>
      </c>
      <c r="DN33" s="39"/>
      <c r="DO33" s="39"/>
      <c r="DP33" s="257">
        <f t="shared" si="41"/>
        <v>0</v>
      </c>
      <c r="DQ33" s="257">
        <f t="shared" si="42"/>
        <v>0</v>
      </c>
      <c r="DR33" s="257">
        <f t="shared" si="43"/>
        <v>0</v>
      </c>
      <c r="DS33" s="257">
        <f t="shared" si="44"/>
        <v>0</v>
      </c>
      <c r="DT33" s="257">
        <f t="shared" si="45"/>
        <v>0</v>
      </c>
      <c r="DU33" s="257">
        <f t="shared" si="46"/>
        <v>0</v>
      </c>
      <c r="DV33" s="257">
        <f t="shared" si="47"/>
        <v>0</v>
      </c>
      <c r="DW33" s="257"/>
      <c r="DX33" s="257"/>
      <c r="DY33" s="257"/>
      <c r="DZ33" s="289">
        <f t="shared" si="48"/>
        <v>0</v>
      </c>
      <c r="EA33" s="257">
        <f t="shared" si="49"/>
        <v>0</v>
      </c>
      <c r="EB33" s="257">
        <f t="shared" si="50"/>
        <v>0</v>
      </c>
      <c r="EC33" s="257">
        <f t="shared" si="51"/>
        <v>0</v>
      </c>
      <c r="ED33" s="257">
        <f t="shared" si="52"/>
        <v>0</v>
      </c>
      <c r="EE33" s="257">
        <f t="shared" si="53"/>
        <v>0</v>
      </c>
      <c r="EF33" s="257">
        <f t="shared" si="54"/>
        <v>0</v>
      </c>
      <c r="EG33" s="257">
        <f t="shared" si="55"/>
        <v>0</v>
      </c>
      <c r="EH33" s="223"/>
      <c r="EI33" s="223"/>
      <c r="EJ33" s="223"/>
      <c r="EK33" s="289">
        <f t="shared" si="56"/>
        <v>0</v>
      </c>
      <c r="EL33" s="257">
        <f t="shared" si="57"/>
        <v>0</v>
      </c>
      <c r="EM33" s="257">
        <f t="shared" si="58"/>
        <v>0</v>
      </c>
      <c r="EN33" s="257">
        <f t="shared" si="59"/>
        <v>0</v>
      </c>
      <c r="EO33" s="257">
        <f t="shared" si="60"/>
        <v>0</v>
      </c>
      <c r="EP33" s="257">
        <f t="shared" si="61"/>
        <v>0</v>
      </c>
      <c r="EQ33" s="257">
        <f t="shared" si="62"/>
        <v>0</v>
      </c>
      <c r="ER33" s="257">
        <f t="shared" si="63"/>
        <v>0</v>
      </c>
      <c r="ES33" s="223"/>
      <c r="ET33" s="223"/>
      <c r="EU33" s="223"/>
      <c r="EV33" s="289">
        <f t="shared" si="64"/>
        <v>0</v>
      </c>
      <c r="EW33" s="257">
        <f t="shared" si="65"/>
        <v>0</v>
      </c>
      <c r="EX33" s="257">
        <f t="shared" si="66"/>
        <v>0</v>
      </c>
      <c r="EY33" s="257">
        <f t="shared" si="67"/>
        <v>0</v>
      </c>
      <c r="EZ33" s="575">
        <f t="shared" si="68"/>
        <v>3</v>
      </c>
      <c r="FA33" s="506">
        <f t="shared" si="69"/>
        <v>0</v>
      </c>
      <c r="FB33" s="39" t="str">
        <f t="shared" si="70"/>
        <v/>
      </c>
      <c r="FC33" s="257">
        <f t="shared" si="71"/>
        <v>0</v>
      </c>
      <c r="FD33" s="257">
        <f t="shared" si="72"/>
        <v>0</v>
      </c>
      <c r="FE33" s="257">
        <f t="shared" si="73"/>
        <v>0</v>
      </c>
      <c r="FF33" s="575">
        <f t="shared" si="74"/>
        <v>3</v>
      </c>
      <c r="FG33" s="506">
        <f t="shared" si="75"/>
        <v>0</v>
      </c>
      <c r="FH33" s="39" t="str">
        <f t="shared" si="76"/>
        <v/>
      </c>
      <c r="FI33" s="257">
        <f t="shared" si="77"/>
        <v>0</v>
      </c>
      <c r="FJ33" s="257">
        <f t="shared" si="78"/>
        <v>0</v>
      </c>
      <c r="FK33" s="257">
        <f t="shared" si="79"/>
        <v>0</v>
      </c>
      <c r="FL33" s="575">
        <f t="shared" si="80"/>
        <v>3</v>
      </c>
      <c r="FM33" s="506">
        <f t="shared" si="81"/>
        <v>0</v>
      </c>
      <c r="FN33" s="39" t="str">
        <f t="shared" si="82"/>
        <v/>
      </c>
      <c r="FO33" s="257">
        <f t="shared" si="83"/>
        <v>0</v>
      </c>
      <c r="FP33" s="257">
        <f t="shared" si="84"/>
        <v>0</v>
      </c>
      <c r="FQ33" s="257">
        <f t="shared" si="85"/>
        <v>0</v>
      </c>
      <c r="FR33" s="575">
        <f t="shared" si="86"/>
        <v>3</v>
      </c>
      <c r="FS33" s="506">
        <f t="shared" si="87"/>
        <v>0</v>
      </c>
      <c r="FT33" s="39" t="str">
        <f t="shared" si="88"/>
        <v/>
      </c>
      <c r="FU33" s="257">
        <f t="shared" si="89"/>
        <v>0</v>
      </c>
      <c r="FV33" s="257">
        <f t="shared" si="90"/>
        <v>0</v>
      </c>
      <c r="FW33" s="257">
        <f t="shared" si="91"/>
        <v>0</v>
      </c>
      <c r="FX33" s="575">
        <f t="shared" si="92"/>
        <v>3</v>
      </c>
      <c r="FY33" s="506">
        <f t="shared" si="93"/>
        <v>0</v>
      </c>
      <c r="FZ33" s="39" t="str">
        <f t="shared" si="94"/>
        <v/>
      </c>
      <c r="GA33" s="257">
        <f t="shared" si="95"/>
        <v>0</v>
      </c>
      <c r="GB33" s="257">
        <f t="shared" si="96"/>
        <v>0</v>
      </c>
      <c r="GC33" s="257">
        <f t="shared" si="97"/>
        <v>0</v>
      </c>
      <c r="GD33" s="575">
        <f t="shared" si="98"/>
        <v>3</v>
      </c>
      <c r="GE33" s="506">
        <f t="shared" si="99"/>
        <v>0</v>
      </c>
      <c r="GF33" s="39" t="str">
        <f t="shared" si="100"/>
        <v/>
      </c>
      <c r="GG33" s="257">
        <f t="shared" si="101"/>
        <v>0</v>
      </c>
      <c r="GH33" s="257">
        <f t="shared" si="102"/>
        <v>0</v>
      </c>
      <c r="GI33" s="257">
        <f t="shared" si="103"/>
        <v>0</v>
      </c>
      <c r="GJ33" s="575">
        <f t="shared" si="104"/>
        <v>3</v>
      </c>
      <c r="GK33" s="506">
        <f t="shared" si="105"/>
        <v>0</v>
      </c>
      <c r="GL33" s="39" t="str">
        <f t="shared" si="106"/>
        <v/>
      </c>
      <c r="GM33" s="39"/>
      <c r="GN33" s="39" t="str">
        <f t="shared" si="107"/>
        <v/>
      </c>
      <c r="GO33" s="39" t="str">
        <f t="shared" si="108"/>
        <v/>
      </c>
      <c r="GP33" s="39" t="str">
        <f t="shared" si="109"/>
        <v/>
      </c>
      <c r="GQ33" s="39" t="str">
        <f t="shared" si="110"/>
        <v/>
      </c>
      <c r="GR33" s="39" t="str">
        <f t="shared" si="111"/>
        <v/>
      </c>
      <c r="GS33" s="39" t="str">
        <f t="shared" si="112"/>
        <v/>
      </c>
      <c r="GT33" s="257" t="str">
        <f t="shared" si="113"/>
        <v/>
      </c>
      <c r="GU33" s="579" t="str">
        <f t="shared" si="114"/>
        <v/>
      </c>
      <c r="GV33" s="289">
        <f t="shared" si="115"/>
        <v>0</v>
      </c>
      <c r="GW33" s="289">
        <f t="shared" si="116"/>
        <v>0</v>
      </c>
      <c r="GX33" s="289">
        <f>SISWA!E31</f>
        <v>0</v>
      </c>
      <c r="GY33" s="223" t="str">
        <f t="shared" si="117"/>
        <v/>
      </c>
      <c r="GZ33" s="580" t="str">
        <f t="shared" si="118"/>
        <v/>
      </c>
      <c r="HA33" s="580" t="str">
        <f t="shared" si="119"/>
        <v/>
      </c>
      <c r="HB33" s="580" t="str">
        <f t="shared" si="120"/>
        <v/>
      </c>
      <c r="HC33" s="580" t="str">
        <f t="shared" si="121"/>
        <v/>
      </c>
      <c r="HD33" s="580" t="str">
        <f t="shared" si="122"/>
        <v/>
      </c>
      <c r="HE33" s="580" t="str">
        <f t="shared" si="123"/>
        <v/>
      </c>
      <c r="HF33" s="580" t="str">
        <f t="shared" si="124"/>
        <v/>
      </c>
      <c r="HG33" s="580"/>
      <c r="HH33" s="580"/>
      <c r="HI33" s="580"/>
      <c r="HJ33" s="580"/>
      <c r="HK33" s="223">
        <f t="shared" si="125"/>
        <v>0</v>
      </c>
      <c r="HL33" s="289" t="e">
        <f t="shared" si="126"/>
        <v>#N/A</v>
      </c>
      <c r="HM33" s="576" t="e">
        <f>IF(GV33&gt;100,"",IF(GV33&gt;DP$1,"sangat baik dalam "&amp;HL33,IF(GV33&gt;=DP$2,"baik dalam "&amp;HL33,IF(GV33&gt;=DP$3,"cukup dalam "&amp;HL33,IF(GV33&lt;DP$3,"dengan bimbingan dapat meningkatkan dalam "&amp;HL33,IF(GV33&lt;1," ",””))))))</f>
        <v>#N/A</v>
      </c>
      <c r="HN33" s="223"/>
      <c r="HO33" s="223" t="str">
        <f t="shared" si="127"/>
        <v/>
      </c>
      <c r="HP33" s="223" t="str">
        <f t="shared" si="128"/>
        <v/>
      </c>
      <c r="HQ33" s="223" t="str">
        <f t="shared" si="129"/>
        <v/>
      </c>
      <c r="HR33" s="223" t="str">
        <f t="shared" si="130"/>
        <v/>
      </c>
      <c r="HS33" s="223" t="str">
        <f t="shared" si="131"/>
        <v/>
      </c>
      <c r="HT33" s="223" t="str">
        <f t="shared" si="132"/>
        <v/>
      </c>
      <c r="HU33" s="223" t="str">
        <f t="shared" si="133"/>
        <v/>
      </c>
      <c r="HV33" s="223"/>
      <c r="HW33" s="223"/>
      <c r="HX33" s="223"/>
      <c r="HY33" s="223"/>
      <c r="HZ33" s="223" t="e">
        <f t="shared" si="134"/>
        <v>#N/A</v>
      </c>
      <c r="IA33" s="577" t="e">
        <f>IF(GW33&gt;100,"",IF(GW33&gt;=DP$1,"sangat baik dalam "&amp;HZ33,IF(GW33&gt;=DP$2,"baik dalam "&amp;HZ33,IF(GW33&gt;=DP$3,"cukup dalam "&amp;HZ33,IF(GW33&lt;DP$3,"dengan bimbingan dapat meningkatkan dalam "&amp;HZ33,IF(GW33&lt;1," ",””))))))</f>
        <v>#N/A</v>
      </c>
      <c r="IB33" s="223" t="e">
        <f t="shared" si="135"/>
        <v>#N/A</v>
      </c>
    </row>
    <row r="34" spans="1:236">
      <c r="A34" s="39">
        <v>27</v>
      </c>
      <c r="B34" s="290">
        <f>SISWA!B32</f>
        <v>0</v>
      </c>
      <c r="C34" s="123"/>
      <c r="D34" s="123"/>
      <c r="E34" s="123"/>
      <c r="F34" s="123"/>
      <c r="G34" s="123"/>
      <c r="H34" s="123"/>
      <c r="I34" s="123"/>
      <c r="J34" s="255"/>
      <c r="K34" s="255"/>
      <c r="L34" s="255"/>
      <c r="M34" s="255"/>
      <c r="N34" s="255"/>
      <c r="O34" s="255"/>
      <c r="P34" s="255"/>
      <c r="Q34" s="256"/>
      <c r="R34" s="256"/>
      <c r="S34" s="256"/>
      <c r="T34" s="256"/>
      <c r="U34" s="256"/>
      <c r="V34" s="256"/>
      <c r="W34" s="256"/>
      <c r="X34" s="123"/>
      <c r="Y34" s="123"/>
      <c r="Z34" s="123"/>
      <c r="AA34" s="123"/>
      <c r="AB34" s="123"/>
      <c r="AC34" s="123"/>
      <c r="AD34" s="123"/>
      <c r="AE34" s="255"/>
      <c r="AF34" s="255"/>
      <c r="AG34" s="255"/>
      <c r="AH34" s="255"/>
      <c r="AI34" s="255"/>
      <c r="AJ34" s="255"/>
      <c r="AK34" s="255"/>
      <c r="AL34" s="256"/>
      <c r="AM34" s="256"/>
      <c r="AN34" s="256"/>
      <c r="AO34" s="256"/>
      <c r="AP34" s="256"/>
      <c r="AQ34" s="256"/>
      <c r="AR34" s="256"/>
      <c r="AS34" s="123"/>
      <c r="AT34" s="123"/>
      <c r="AU34" s="123"/>
      <c r="AV34" s="123"/>
      <c r="AW34" s="123"/>
      <c r="AX34" s="123"/>
      <c r="AY34" s="123"/>
      <c r="AZ34" s="255"/>
      <c r="BA34" s="255"/>
      <c r="BB34" s="255"/>
      <c r="BC34" s="255"/>
      <c r="BD34" s="255"/>
      <c r="BE34" s="255"/>
      <c r="BF34" s="255"/>
      <c r="BG34" s="256"/>
      <c r="BH34" s="256"/>
      <c r="BI34" s="256"/>
      <c r="BJ34" s="256"/>
      <c r="BK34" s="256"/>
      <c r="BL34" s="256"/>
      <c r="BM34" s="256"/>
      <c r="BN34" s="123"/>
      <c r="BO34" s="123"/>
      <c r="BP34" s="123"/>
      <c r="BQ34" s="123"/>
      <c r="BR34" s="123"/>
      <c r="BS34" s="123"/>
      <c r="BT34" s="123"/>
      <c r="BU34" s="255"/>
      <c r="BV34" s="255"/>
      <c r="BW34" s="255"/>
      <c r="BX34" s="255"/>
      <c r="BY34" s="255"/>
      <c r="BZ34" s="255"/>
      <c r="CA34" s="255"/>
      <c r="CB34" s="256"/>
      <c r="CC34" s="256"/>
      <c r="CD34" s="256"/>
      <c r="CE34" s="256"/>
      <c r="CF34" s="256"/>
      <c r="CG34" s="256"/>
      <c r="CH34" s="256"/>
      <c r="CI34" s="458"/>
      <c r="CJ34" s="458"/>
      <c r="CK34" s="458"/>
      <c r="CL34" s="458"/>
      <c r="CM34" s="458"/>
      <c r="CN34" s="458"/>
      <c r="CO34" s="458"/>
      <c r="CP34" s="457"/>
      <c r="CQ34" s="457"/>
      <c r="CR34" s="457"/>
      <c r="CS34" s="457"/>
      <c r="CT34" s="457"/>
      <c r="CU34" s="457"/>
      <c r="CV34" s="457"/>
      <c r="CW34" s="256"/>
      <c r="CX34" s="256"/>
      <c r="CY34" s="256"/>
      <c r="CZ34" s="256"/>
      <c r="DA34" s="256"/>
      <c r="DB34" s="256"/>
      <c r="DC34" s="256"/>
      <c r="DD34" s="257" t="str">
        <f t="shared" si="31"/>
        <v/>
      </c>
      <c r="DE34" s="257" t="str">
        <f t="shared" si="32"/>
        <v/>
      </c>
      <c r="DF34" s="257" t="str">
        <f t="shared" si="33"/>
        <v/>
      </c>
      <c r="DG34" s="257" t="str">
        <f t="shared" si="34"/>
        <v/>
      </c>
      <c r="DH34" s="257" t="str">
        <f t="shared" si="35"/>
        <v/>
      </c>
      <c r="DI34" s="257" t="str">
        <f t="shared" si="36"/>
        <v/>
      </c>
      <c r="DJ34" s="257" t="str">
        <f t="shared" si="37"/>
        <v/>
      </c>
      <c r="DK34" s="569" t="str">
        <f t="shared" si="38"/>
        <v/>
      </c>
      <c r="DL34" s="291" t="str">
        <f t="shared" si="39"/>
        <v xml:space="preserve">  </v>
      </c>
      <c r="DM34" s="243" t="str">
        <f t="shared" si="40"/>
        <v xml:space="preserve"> </v>
      </c>
      <c r="DN34" s="39"/>
      <c r="DO34" s="39"/>
      <c r="DP34" s="257">
        <f t="shared" si="41"/>
        <v>0</v>
      </c>
      <c r="DQ34" s="257">
        <f t="shared" si="42"/>
        <v>0</v>
      </c>
      <c r="DR34" s="257">
        <f t="shared" si="43"/>
        <v>0</v>
      </c>
      <c r="DS34" s="257">
        <f t="shared" si="44"/>
        <v>0</v>
      </c>
      <c r="DT34" s="257">
        <f t="shared" si="45"/>
        <v>0</v>
      </c>
      <c r="DU34" s="257">
        <f t="shared" si="46"/>
        <v>0</v>
      </c>
      <c r="DV34" s="257">
        <f t="shared" si="47"/>
        <v>0</v>
      </c>
      <c r="DW34" s="257"/>
      <c r="DX34" s="257"/>
      <c r="DY34" s="257"/>
      <c r="DZ34" s="289">
        <f t="shared" si="48"/>
        <v>0</v>
      </c>
      <c r="EA34" s="257">
        <f t="shared" si="49"/>
        <v>0</v>
      </c>
      <c r="EB34" s="257">
        <f t="shared" si="50"/>
        <v>0</v>
      </c>
      <c r="EC34" s="257">
        <f t="shared" si="51"/>
        <v>0</v>
      </c>
      <c r="ED34" s="257">
        <f t="shared" si="52"/>
        <v>0</v>
      </c>
      <c r="EE34" s="257">
        <f t="shared" si="53"/>
        <v>0</v>
      </c>
      <c r="EF34" s="257">
        <f t="shared" si="54"/>
        <v>0</v>
      </c>
      <c r="EG34" s="257">
        <f t="shared" si="55"/>
        <v>0</v>
      </c>
      <c r="EH34" s="223"/>
      <c r="EI34" s="223"/>
      <c r="EJ34" s="223"/>
      <c r="EK34" s="289">
        <f t="shared" si="56"/>
        <v>0</v>
      </c>
      <c r="EL34" s="257">
        <f t="shared" si="57"/>
        <v>0</v>
      </c>
      <c r="EM34" s="257">
        <f t="shared" si="58"/>
        <v>0</v>
      </c>
      <c r="EN34" s="257">
        <f t="shared" si="59"/>
        <v>0</v>
      </c>
      <c r="EO34" s="257">
        <f t="shared" si="60"/>
        <v>0</v>
      </c>
      <c r="EP34" s="257">
        <f t="shared" si="61"/>
        <v>0</v>
      </c>
      <c r="EQ34" s="257">
        <f t="shared" si="62"/>
        <v>0</v>
      </c>
      <c r="ER34" s="257">
        <f t="shared" si="63"/>
        <v>0</v>
      </c>
      <c r="ES34" s="223"/>
      <c r="ET34" s="223"/>
      <c r="EU34" s="223"/>
      <c r="EV34" s="289">
        <f t="shared" si="64"/>
        <v>0</v>
      </c>
      <c r="EW34" s="257">
        <f t="shared" si="65"/>
        <v>0</v>
      </c>
      <c r="EX34" s="257">
        <f t="shared" si="66"/>
        <v>0</v>
      </c>
      <c r="EY34" s="257">
        <f t="shared" si="67"/>
        <v>0</v>
      </c>
      <c r="EZ34" s="575">
        <f t="shared" si="68"/>
        <v>3</v>
      </c>
      <c r="FA34" s="506">
        <f t="shared" si="69"/>
        <v>0</v>
      </c>
      <c r="FB34" s="39" t="str">
        <f t="shared" si="70"/>
        <v/>
      </c>
      <c r="FC34" s="257">
        <f t="shared" si="71"/>
        <v>0</v>
      </c>
      <c r="FD34" s="257">
        <f t="shared" si="72"/>
        <v>0</v>
      </c>
      <c r="FE34" s="257">
        <f t="shared" si="73"/>
        <v>0</v>
      </c>
      <c r="FF34" s="575">
        <f t="shared" si="74"/>
        <v>3</v>
      </c>
      <c r="FG34" s="506">
        <f t="shared" si="75"/>
        <v>0</v>
      </c>
      <c r="FH34" s="39" t="str">
        <f t="shared" si="76"/>
        <v/>
      </c>
      <c r="FI34" s="257">
        <f t="shared" si="77"/>
        <v>0</v>
      </c>
      <c r="FJ34" s="257">
        <f t="shared" si="78"/>
        <v>0</v>
      </c>
      <c r="FK34" s="257">
        <f t="shared" si="79"/>
        <v>0</v>
      </c>
      <c r="FL34" s="575">
        <f t="shared" si="80"/>
        <v>3</v>
      </c>
      <c r="FM34" s="506">
        <f t="shared" si="81"/>
        <v>0</v>
      </c>
      <c r="FN34" s="39" t="str">
        <f t="shared" si="82"/>
        <v/>
      </c>
      <c r="FO34" s="257">
        <f t="shared" si="83"/>
        <v>0</v>
      </c>
      <c r="FP34" s="257">
        <f t="shared" si="84"/>
        <v>0</v>
      </c>
      <c r="FQ34" s="257">
        <f t="shared" si="85"/>
        <v>0</v>
      </c>
      <c r="FR34" s="575">
        <f t="shared" si="86"/>
        <v>3</v>
      </c>
      <c r="FS34" s="506">
        <f t="shared" si="87"/>
        <v>0</v>
      </c>
      <c r="FT34" s="39" t="str">
        <f t="shared" si="88"/>
        <v/>
      </c>
      <c r="FU34" s="257">
        <f t="shared" si="89"/>
        <v>0</v>
      </c>
      <c r="FV34" s="257">
        <f t="shared" si="90"/>
        <v>0</v>
      </c>
      <c r="FW34" s="257">
        <f t="shared" si="91"/>
        <v>0</v>
      </c>
      <c r="FX34" s="575">
        <f t="shared" si="92"/>
        <v>3</v>
      </c>
      <c r="FY34" s="506">
        <f t="shared" si="93"/>
        <v>0</v>
      </c>
      <c r="FZ34" s="39" t="str">
        <f t="shared" si="94"/>
        <v/>
      </c>
      <c r="GA34" s="257">
        <f t="shared" si="95"/>
        <v>0</v>
      </c>
      <c r="GB34" s="257">
        <f t="shared" si="96"/>
        <v>0</v>
      </c>
      <c r="GC34" s="257">
        <f t="shared" si="97"/>
        <v>0</v>
      </c>
      <c r="GD34" s="575">
        <f t="shared" si="98"/>
        <v>3</v>
      </c>
      <c r="GE34" s="506">
        <f t="shared" si="99"/>
        <v>0</v>
      </c>
      <c r="GF34" s="39" t="str">
        <f t="shared" si="100"/>
        <v/>
      </c>
      <c r="GG34" s="257">
        <f t="shared" si="101"/>
        <v>0</v>
      </c>
      <c r="GH34" s="257">
        <f t="shared" si="102"/>
        <v>0</v>
      </c>
      <c r="GI34" s="257">
        <f t="shared" si="103"/>
        <v>0</v>
      </c>
      <c r="GJ34" s="575">
        <f t="shared" si="104"/>
        <v>3</v>
      </c>
      <c r="GK34" s="506">
        <f t="shared" si="105"/>
        <v>0</v>
      </c>
      <c r="GL34" s="39" t="str">
        <f t="shared" si="106"/>
        <v/>
      </c>
      <c r="GM34" s="39"/>
      <c r="GN34" s="39" t="str">
        <f t="shared" si="107"/>
        <v/>
      </c>
      <c r="GO34" s="39" t="str">
        <f t="shared" si="108"/>
        <v/>
      </c>
      <c r="GP34" s="39" t="str">
        <f t="shared" si="109"/>
        <v/>
      </c>
      <c r="GQ34" s="39" t="str">
        <f t="shared" si="110"/>
        <v/>
      </c>
      <c r="GR34" s="39" t="str">
        <f t="shared" si="111"/>
        <v/>
      </c>
      <c r="GS34" s="39" t="str">
        <f t="shared" si="112"/>
        <v/>
      </c>
      <c r="GT34" s="257" t="str">
        <f t="shared" si="113"/>
        <v/>
      </c>
      <c r="GU34" s="579" t="str">
        <f t="shared" si="114"/>
        <v/>
      </c>
      <c r="GV34" s="289">
        <f t="shared" si="115"/>
        <v>0</v>
      </c>
      <c r="GW34" s="289">
        <f t="shared" si="116"/>
        <v>0</v>
      </c>
      <c r="GX34" s="289">
        <f>SISWA!E32</f>
        <v>0</v>
      </c>
      <c r="GY34" s="223" t="str">
        <f t="shared" si="117"/>
        <v/>
      </c>
      <c r="GZ34" s="580" t="str">
        <f t="shared" si="118"/>
        <v/>
      </c>
      <c r="HA34" s="580" t="str">
        <f t="shared" si="119"/>
        <v/>
      </c>
      <c r="HB34" s="580" t="str">
        <f t="shared" si="120"/>
        <v/>
      </c>
      <c r="HC34" s="580" t="str">
        <f t="shared" si="121"/>
        <v/>
      </c>
      <c r="HD34" s="580" t="str">
        <f t="shared" si="122"/>
        <v/>
      </c>
      <c r="HE34" s="580" t="str">
        <f t="shared" si="123"/>
        <v/>
      </c>
      <c r="HF34" s="580" t="str">
        <f t="shared" si="124"/>
        <v/>
      </c>
      <c r="HG34" s="580"/>
      <c r="HH34" s="580"/>
      <c r="HI34" s="580"/>
      <c r="HJ34" s="580"/>
      <c r="HK34" s="223">
        <f t="shared" si="125"/>
        <v>0</v>
      </c>
      <c r="HL34" s="289" t="e">
        <f t="shared" si="126"/>
        <v>#N/A</v>
      </c>
      <c r="HM34" s="576" t="e">
        <f>IF(GV34&gt;100,"",IF(GV34&gt;DP$1,"sangat baik dalam "&amp;HL34,IF(GV34&gt;=DP$2,"baik dalam "&amp;HL34,IF(GV34&gt;=DP$3,"cukup dalam "&amp;HL34,IF(GV34&lt;DP$3,"dengan bimbingan dapat meningkatkan dalam "&amp;HL34,IF(GV34&lt;1," ",””))))))</f>
        <v>#N/A</v>
      </c>
      <c r="HN34" s="223"/>
      <c r="HO34" s="223" t="str">
        <f t="shared" si="127"/>
        <v/>
      </c>
      <c r="HP34" s="223" t="str">
        <f t="shared" si="128"/>
        <v/>
      </c>
      <c r="HQ34" s="223" t="str">
        <f t="shared" si="129"/>
        <v/>
      </c>
      <c r="HR34" s="223" t="str">
        <f t="shared" si="130"/>
        <v/>
      </c>
      <c r="HS34" s="223" t="str">
        <f t="shared" si="131"/>
        <v/>
      </c>
      <c r="HT34" s="223" t="str">
        <f t="shared" si="132"/>
        <v/>
      </c>
      <c r="HU34" s="223" t="str">
        <f t="shared" si="133"/>
        <v/>
      </c>
      <c r="HV34" s="223"/>
      <c r="HW34" s="223"/>
      <c r="HX34" s="223"/>
      <c r="HY34" s="223"/>
      <c r="HZ34" s="223" t="e">
        <f t="shared" si="134"/>
        <v>#N/A</v>
      </c>
      <c r="IA34" s="577" t="e">
        <f>IF(GW34&gt;100,"",IF(GW34&gt;=DP$1,"sangat baik dalam "&amp;HZ34,IF(GW34&gt;=DP$2,"baik dalam "&amp;HZ34,IF(GW34&gt;=DP$3,"cukup dalam "&amp;HZ34,IF(GW34&lt;DP$3,"dengan bimbingan dapat meningkatkan dalam "&amp;HZ34,IF(GW34&lt;1," ",””))))))</f>
        <v>#N/A</v>
      </c>
      <c r="IB34" s="223" t="e">
        <f t="shared" si="135"/>
        <v>#N/A</v>
      </c>
    </row>
    <row r="35" spans="1:236">
      <c r="A35" s="39">
        <v>28</v>
      </c>
      <c r="B35" s="290">
        <f>SISWA!B33</f>
        <v>0</v>
      </c>
      <c r="C35" s="123"/>
      <c r="D35" s="123"/>
      <c r="E35" s="123"/>
      <c r="F35" s="123"/>
      <c r="G35" s="123"/>
      <c r="H35" s="123"/>
      <c r="I35" s="123"/>
      <c r="J35" s="255"/>
      <c r="K35" s="255"/>
      <c r="L35" s="255"/>
      <c r="M35" s="255"/>
      <c r="N35" s="255"/>
      <c r="O35" s="255"/>
      <c r="P35" s="255"/>
      <c r="Q35" s="256"/>
      <c r="R35" s="256"/>
      <c r="S35" s="256"/>
      <c r="T35" s="256"/>
      <c r="U35" s="256"/>
      <c r="V35" s="256"/>
      <c r="W35" s="256"/>
      <c r="X35" s="123"/>
      <c r="Y35" s="123"/>
      <c r="Z35" s="123"/>
      <c r="AA35" s="123"/>
      <c r="AB35" s="123"/>
      <c r="AC35" s="123"/>
      <c r="AD35" s="123"/>
      <c r="AE35" s="255"/>
      <c r="AF35" s="255"/>
      <c r="AG35" s="255"/>
      <c r="AH35" s="255"/>
      <c r="AI35" s="255"/>
      <c r="AJ35" s="255"/>
      <c r="AK35" s="255"/>
      <c r="AL35" s="256"/>
      <c r="AM35" s="256"/>
      <c r="AN35" s="256"/>
      <c r="AO35" s="256"/>
      <c r="AP35" s="256"/>
      <c r="AQ35" s="256"/>
      <c r="AR35" s="256"/>
      <c r="AS35" s="123"/>
      <c r="AT35" s="123"/>
      <c r="AU35" s="123"/>
      <c r="AV35" s="123"/>
      <c r="AW35" s="123"/>
      <c r="AX35" s="123"/>
      <c r="AY35" s="123"/>
      <c r="AZ35" s="255"/>
      <c r="BA35" s="255"/>
      <c r="BB35" s="255"/>
      <c r="BC35" s="255"/>
      <c r="BD35" s="255"/>
      <c r="BE35" s="255"/>
      <c r="BF35" s="255"/>
      <c r="BG35" s="256"/>
      <c r="BH35" s="256"/>
      <c r="BI35" s="256"/>
      <c r="BJ35" s="256"/>
      <c r="BK35" s="256"/>
      <c r="BL35" s="256"/>
      <c r="BM35" s="256"/>
      <c r="BN35" s="123"/>
      <c r="BO35" s="123"/>
      <c r="BP35" s="123"/>
      <c r="BQ35" s="123"/>
      <c r="BR35" s="123"/>
      <c r="BS35" s="123"/>
      <c r="BT35" s="123"/>
      <c r="BU35" s="255"/>
      <c r="BV35" s="255"/>
      <c r="BW35" s="255"/>
      <c r="BX35" s="255"/>
      <c r="BY35" s="255"/>
      <c r="BZ35" s="255"/>
      <c r="CA35" s="255"/>
      <c r="CB35" s="256"/>
      <c r="CC35" s="256"/>
      <c r="CD35" s="256"/>
      <c r="CE35" s="256"/>
      <c r="CF35" s="256"/>
      <c r="CG35" s="256"/>
      <c r="CH35" s="256"/>
      <c r="CI35" s="458"/>
      <c r="CJ35" s="458"/>
      <c r="CK35" s="458"/>
      <c r="CL35" s="458"/>
      <c r="CM35" s="458"/>
      <c r="CN35" s="458"/>
      <c r="CO35" s="458"/>
      <c r="CP35" s="457"/>
      <c r="CQ35" s="457"/>
      <c r="CR35" s="457"/>
      <c r="CS35" s="457"/>
      <c r="CT35" s="457"/>
      <c r="CU35" s="457"/>
      <c r="CV35" s="457"/>
      <c r="CW35" s="256"/>
      <c r="CX35" s="256"/>
      <c r="CY35" s="256"/>
      <c r="CZ35" s="256"/>
      <c r="DA35" s="256"/>
      <c r="DB35" s="256"/>
      <c r="DC35" s="256"/>
      <c r="DD35" s="257" t="str">
        <f t="shared" si="31"/>
        <v/>
      </c>
      <c r="DE35" s="257" t="str">
        <f t="shared" si="32"/>
        <v/>
      </c>
      <c r="DF35" s="257" t="str">
        <f t="shared" si="33"/>
        <v/>
      </c>
      <c r="DG35" s="257" t="str">
        <f t="shared" si="34"/>
        <v/>
      </c>
      <c r="DH35" s="257" t="str">
        <f t="shared" si="35"/>
        <v/>
      </c>
      <c r="DI35" s="257" t="str">
        <f t="shared" si="36"/>
        <v/>
      </c>
      <c r="DJ35" s="257" t="str">
        <f t="shared" si="37"/>
        <v/>
      </c>
      <c r="DK35" s="569" t="str">
        <f t="shared" si="38"/>
        <v/>
      </c>
      <c r="DL35" s="291" t="str">
        <f t="shared" si="39"/>
        <v xml:space="preserve">  </v>
      </c>
      <c r="DM35" s="243" t="str">
        <f t="shared" si="40"/>
        <v xml:space="preserve"> </v>
      </c>
      <c r="DN35" s="39"/>
      <c r="DO35" s="39"/>
      <c r="DP35" s="257">
        <f t="shared" si="41"/>
        <v>0</v>
      </c>
      <c r="DQ35" s="257">
        <f t="shared" si="42"/>
        <v>0</v>
      </c>
      <c r="DR35" s="257">
        <f t="shared" si="43"/>
        <v>0</v>
      </c>
      <c r="DS35" s="257">
        <f t="shared" si="44"/>
        <v>0</v>
      </c>
      <c r="DT35" s="257">
        <f t="shared" si="45"/>
        <v>0</v>
      </c>
      <c r="DU35" s="257">
        <f t="shared" si="46"/>
        <v>0</v>
      </c>
      <c r="DV35" s="257">
        <f t="shared" si="47"/>
        <v>0</v>
      </c>
      <c r="DW35" s="257"/>
      <c r="DX35" s="257"/>
      <c r="DY35" s="257"/>
      <c r="DZ35" s="289">
        <f t="shared" si="48"/>
        <v>0</v>
      </c>
      <c r="EA35" s="257">
        <f t="shared" si="49"/>
        <v>0</v>
      </c>
      <c r="EB35" s="257">
        <f t="shared" si="50"/>
        <v>0</v>
      </c>
      <c r="EC35" s="257">
        <f t="shared" si="51"/>
        <v>0</v>
      </c>
      <c r="ED35" s="257">
        <f t="shared" si="52"/>
        <v>0</v>
      </c>
      <c r="EE35" s="257">
        <f t="shared" si="53"/>
        <v>0</v>
      </c>
      <c r="EF35" s="257">
        <f t="shared" si="54"/>
        <v>0</v>
      </c>
      <c r="EG35" s="257">
        <f t="shared" si="55"/>
        <v>0</v>
      </c>
      <c r="EH35" s="223"/>
      <c r="EI35" s="223"/>
      <c r="EJ35" s="223"/>
      <c r="EK35" s="289">
        <f t="shared" si="56"/>
        <v>0</v>
      </c>
      <c r="EL35" s="257">
        <f t="shared" si="57"/>
        <v>0</v>
      </c>
      <c r="EM35" s="257">
        <f t="shared" si="58"/>
        <v>0</v>
      </c>
      <c r="EN35" s="257">
        <f t="shared" si="59"/>
        <v>0</v>
      </c>
      <c r="EO35" s="257">
        <f t="shared" si="60"/>
        <v>0</v>
      </c>
      <c r="EP35" s="257">
        <f t="shared" si="61"/>
        <v>0</v>
      </c>
      <c r="EQ35" s="257">
        <f t="shared" si="62"/>
        <v>0</v>
      </c>
      <c r="ER35" s="257">
        <f t="shared" si="63"/>
        <v>0</v>
      </c>
      <c r="ES35" s="223"/>
      <c r="ET35" s="223"/>
      <c r="EU35" s="223"/>
      <c r="EV35" s="289">
        <f t="shared" si="64"/>
        <v>0</v>
      </c>
      <c r="EW35" s="257">
        <f t="shared" si="65"/>
        <v>0</v>
      </c>
      <c r="EX35" s="257">
        <f t="shared" si="66"/>
        <v>0</v>
      </c>
      <c r="EY35" s="257">
        <f t="shared" si="67"/>
        <v>0</v>
      </c>
      <c r="EZ35" s="575">
        <f t="shared" si="68"/>
        <v>3</v>
      </c>
      <c r="FA35" s="506">
        <f t="shared" si="69"/>
        <v>0</v>
      </c>
      <c r="FB35" s="39" t="str">
        <f t="shared" si="70"/>
        <v/>
      </c>
      <c r="FC35" s="257">
        <f t="shared" si="71"/>
        <v>0</v>
      </c>
      <c r="FD35" s="257">
        <f t="shared" si="72"/>
        <v>0</v>
      </c>
      <c r="FE35" s="257">
        <f t="shared" si="73"/>
        <v>0</v>
      </c>
      <c r="FF35" s="575">
        <f t="shared" si="74"/>
        <v>3</v>
      </c>
      <c r="FG35" s="506">
        <f t="shared" si="75"/>
        <v>0</v>
      </c>
      <c r="FH35" s="39" t="str">
        <f t="shared" si="76"/>
        <v/>
      </c>
      <c r="FI35" s="257">
        <f t="shared" si="77"/>
        <v>0</v>
      </c>
      <c r="FJ35" s="257">
        <f t="shared" si="78"/>
        <v>0</v>
      </c>
      <c r="FK35" s="257">
        <f t="shared" si="79"/>
        <v>0</v>
      </c>
      <c r="FL35" s="575">
        <f t="shared" si="80"/>
        <v>3</v>
      </c>
      <c r="FM35" s="506">
        <f t="shared" si="81"/>
        <v>0</v>
      </c>
      <c r="FN35" s="39" t="str">
        <f t="shared" si="82"/>
        <v/>
      </c>
      <c r="FO35" s="257">
        <f t="shared" si="83"/>
        <v>0</v>
      </c>
      <c r="FP35" s="257">
        <f t="shared" si="84"/>
        <v>0</v>
      </c>
      <c r="FQ35" s="257">
        <f t="shared" si="85"/>
        <v>0</v>
      </c>
      <c r="FR35" s="575">
        <f t="shared" si="86"/>
        <v>3</v>
      </c>
      <c r="FS35" s="506">
        <f t="shared" si="87"/>
        <v>0</v>
      </c>
      <c r="FT35" s="39" t="str">
        <f t="shared" si="88"/>
        <v/>
      </c>
      <c r="FU35" s="257">
        <f t="shared" si="89"/>
        <v>0</v>
      </c>
      <c r="FV35" s="257">
        <f t="shared" si="90"/>
        <v>0</v>
      </c>
      <c r="FW35" s="257">
        <f t="shared" si="91"/>
        <v>0</v>
      </c>
      <c r="FX35" s="575">
        <f t="shared" si="92"/>
        <v>3</v>
      </c>
      <c r="FY35" s="506">
        <f t="shared" si="93"/>
        <v>0</v>
      </c>
      <c r="FZ35" s="39" t="str">
        <f t="shared" si="94"/>
        <v/>
      </c>
      <c r="GA35" s="257">
        <f t="shared" si="95"/>
        <v>0</v>
      </c>
      <c r="GB35" s="257">
        <f t="shared" si="96"/>
        <v>0</v>
      </c>
      <c r="GC35" s="257">
        <f t="shared" si="97"/>
        <v>0</v>
      </c>
      <c r="GD35" s="575">
        <f t="shared" si="98"/>
        <v>3</v>
      </c>
      <c r="GE35" s="506">
        <f t="shared" si="99"/>
        <v>0</v>
      </c>
      <c r="GF35" s="39" t="str">
        <f t="shared" si="100"/>
        <v/>
      </c>
      <c r="GG35" s="257">
        <f t="shared" si="101"/>
        <v>0</v>
      </c>
      <c r="GH35" s="257">
        <f t="shared" si="102"/>
        <v>0</v>
      </c>
      <c r="GI35" s="257">
        <f t="shared" si="103"/>
        <v>0</v>
      </c>
      <c r="GJ35" s="575">
        <f t="shared" si="104"/>
        <v>3</v>
      </c>
      <c r="GK35" s="506">
        <f t="shared" si="105"/>
        <v>0</v>
      </c>
      <c r="GL35" s="39" t="str">
        <f t="shared" si="106"/>
        <v/>
      </c>
      <c r="GM35" s="39"/>
      <c r="GN35" s="39" t="str">
        <f t="shared" si="107"/>
        <v/>
      </c>
      <c r="GO35" s="39" t="str">
        <f t="shared" si="108"/>
        <v/>
      </c>
      <c r="GP35" s="39" t="str">
        <f t="shared" si="109"/>
        <v/>
      </c>
      <c r="GQ35" s="39" t="str">
        <f t="shared" si="110"/>
        <v/>
      </c>
      <c r="GR35" s="39" t="str">
        <f t="shared" si="111"/>
        <v/>
      </c>
      <c r="GS35" s="39" t="str">
        <f t="shared" si="112"/>
        <v/>
      </c>
      <c r="GT35" s="257" t="str">
        <f t="shared" si="113"/>
        <v/>
      </c>
      <c r="GU35" s="579" t="str">
        <f t="shared" si="114"/>
        <v/>
      </c>
      <c r="GV35" s="289">
        <f t="shared" si="115"/>
        <v>0</v>
      </c>
      <c r="GW35" s="289">
        <f t="shared" si="116"/>
        <v>0</v>
      </c>
      <c r="GX35" s="289">
        <f>SISWA!E33</f>
        <v>0</v>
      </c>
      <c r="GY35" s="223" t="str">
        <f t="shared" si="117"/>
        <v/>
      </c>
      <c r="GZ35" s="580" t="str">
        <f t="shared" si="118"/>
        <v/>
      </c>
      <c r="HA35" s="580" t="str">
        <f t="shared" si="119"/>
        <v/>
      </c>
      <c r="HB35" s="580" t="str">
        <f t="shared" si="120"/>
        <v/>
      </c>
      <c r="HC35" s="580" t="str">
        <f t="shared" si="121"/>
        <v/>
      </c>
      <c r="HD35" s="580" t="str">
        <f t="shared" si="122"/>
        <v/>
      </c>
      <c r="HE35" s="580" t="str">
        <f t="shared" si="123"/>
        <v/>
      </c>
      <c r="HF35" s="580" t="str">
        <f t="shared" si="124"/>
        <v/>
      </c>
      <c r="HG35" s="580"/>
      <c r="HH35" s="580"/>
      <c r="HI35" s="580"/>
      <c r="HJ35" s="580"/>
      <c r="HK35" s="223">
        <f t="shared" si="125"/>
        <v>0</v>
      </c>
      <c r="HL35" s="289" t="e">
        <f t="shared" si="126"/>
        <v>#N/A</v>
      </c>
      <c r="HM35" s="576" t="e">
        <f>IF(GV35&gt;100,"",IF(GV35&gt;DP$1,"sangat baik dalam "&amp;HL35,IF(GV35&gt;=DP$2,"baik dalam "&amp;HL35,IF(GV35&gt;=DP$3,"cukup dalam "&amp;HL35,IF(GV35&lt;DP$3,"dengan bimbingan dapat meningkatkan dalam "&amp;HL35,IF(GV35&lt;1," ",””))))))</f>
        <v>#N/A</v>
      </c>
      <c r="HN35" s="223"/>
      <c r="HO35" s="223" t="str">
        <f t="shared" si="127"/>
        <v/>
      </c>
      <c r="HP35" s="223" t="str">
        <f t="shared" si="128"/>
        <v/>
      </c>
      <c r="HQ35" s="223" t="str">
        <f t="shared" si="129"/>
        <v/>
      </c>
      <c r="HR35" s="223" t="str">
        <f t="shared" si="130"/>
        <v/>
      </c>
      <c r="HS35" s="223" t="str">
        <f t="shared" si="131"/>
        <v/>
      </c>
      <c r="HT35" s="223" t="str">
        <f t="shared" si="132"/>
        <v/>
      </c>
      <c r="HU35" s="223" t="str">
        <f t="shared" si="133"/>
        <v/>
      </c>
      <c r="HV35" s="223"/>
      <c r="HW35" s="223"/>
      <c r="HX35" s="223"/>
      <c r="HY35" s="223"/>
      <c r="HZ35" s="223" t="e">
        <f t="shared" si="134"/>
        <v>#N/A</v>
      </c>
      <c r="IA35" s="577" t="e">
        <f>IF(GW35&gt;100,"",IF(GW35&gt;=DP$1,"sangat baik dalam "&amp;HZ35,IF(GW35&gt;=DP$2,"baik dalam "&amp;HZ35,IF(GW35&gt;=DP$3,"cukup dalam "&amp;HZ35,IF(GW35&lt;DP$3,"dengan bimbingan dapat meningkatkan dalam "&amp;HZ35,IF(GW35&lt;1," ",””))))))</f>
        <v>#N/A</v>
      </c>
      <c r="IB35" s="223" t="e">
        <f t="shared" si="135"/>
        <v>#N/A</v>
      </c>
    </row>
    <row r="36" spans="1:236">
      <c r="A36" s="39">
        <v>29</v>
      </c>
      <c r="B36" s="290">
        <f>SISWA!B34</f>
        <v>0</v>
      </c>
      <c r="C36" s="123"/>
      <c r="D36" s="123"/>
      <c r="E36" s="123"/>
      <c r="F36" s="123"/>
      <c r="G36" s="123"/>
      <c r="H36" s="123"/>
      <c r="I36" s="123"/>
      <c r="J36" s="255"/>
      <c r="K36" s="255"/>
      <c r="L36" s="255"/>
      <c r="M36" s="255"/>
      <c r="N36" s="255"/>
      <c r="O36" s="255"/>
      <c r="P36" s="255"/>
      <c r="Q36" s="256"/>
      <c r="R36" s="256"/>
      <c r="S36" s="256"/>
      <c r="T36" s="256"/>
      <c r="U36" s="256"/>
      <c r="V36" s="256"/>
      <c r="W36" s="256"/>
      <c r="X36" s="123"/>
      <c r="Y36" s="123"/>
      <c r="Z36" s="123"/>
      <c r="AA36" s="123"/>
      <c r="AB36" s="123"/>
      <c r="AC36" s="123"/>
      <c r="AD36" s="123"/>
      <c r="AE36" s="255"/>
      <c r="AF36" s="255"/>
      <c r="AG36" s="255"/>
      <c r="AH36" s="255"/>
      <c r="AI36" s="255"/>
      <c r="AJ36" s="255"/>
      <c r="AK36" s="255"/>
      <c r="AL36" s="256"/>
      <c r="AM36" s="256"/>
      <c r="AN36" s="256"/>
      <c r="AO36" s="256"/>
      <c r="AP36" s="256"/>
      <c r="AQ36" s="256"/>
      <c r="AR36" s="256"/>
      <c r="AS36" s="123"/>
      <c r="AT36" s="123"/>
      <c r="AU36" s="123"/>
      <c r="AV36" s="123"/>
      <c r="AW36" s="123"/>
      <c r="AX36" s="123"/>
      <c r="AY36" s="123"/>
      <c r="AZ36" s="255"/>
      <c r="BA36" s="255"/>
      <c r="BB36" s="255"/>
      <c r="BC36" s="255"/>
      <c r="BD36" s="255"/>
      <c r="BE36" s="255"/>
      <c r="BF36" s="255"/>
      <c r="BG36" s="256"/>
      <c r="BH36" s="256"/>
      <c r="BI36" s="256"/>
      <c r="BJ36" s="256"/>
      <c r="BK36" s="256"/>
      <c r="BL36" s="256"/>
      <c r="BM36" s="256"/>
      <c r="BN36" s="123"/>
      <c r="BO36" s="123"/>
      <c r="BP36" s="123"/>
      <c r="BQ36" s="123"/>
      <c r="BR36" s="123"/>
      <c r="BS36" s="123"/>
      <c r="BT36" s="123"/>
      <c r="BU36" s="255"/>
      <c r="BV36" s="255"/>
      <c r="BW36" s="255"/>
      <c r="BX36" s="255"/>
      <c r="BY36" s="255"/>
      <c r="BZ36" s="255"/>
      <c r="CA36" s="255"/>
      <c r="CB36" s="256"/>
      <c r="CC36" s="256"/>
      <c r="CD36" s="256"/>
      <c r="CE36" s="256"/>
      <c r="CF36" s="256"/>
      <c r="CG36" s="256"/>
      <c r="CH36" s="256"/>
      <c r="CI36" s="458"/>
      <c r="CJ36" s="458"/>
      <c r="CK36" s="458"/>
      <c r="CL36" s="458"/>
      <c r="CM36" s="458"/>
      <c r="CN36" s="458"/>
      <c r="CO36" s="458"/>
      <c r="CP36" s="457"/>
      <c r="CQ36" s="457"/>
      <c r="CR36" s="457"/>
      <c r="CS36" s="457"/>
      <c r="CT36" s="457"/>
      <c r="CU36" s="457"/>
      <c r="CV36" s="457"/>
      <c r="CW36" s="256"/>
      <c r="CX36" s="256"/>
      <c r="CY36" s="256"/>
      <c r="CZ36" s="256"/>
      <c r="DA36" s="256"/>
      <c r="DB36" s="256"/>
      <c r="DC36" s="256"/>
      <c r="DD36" s="257" t="str">
        <f t="shared" si="31"/>
        <v/>
      </c>
      <c r="DE36" s="257" t="str">
        <f t="shared" si="32"/>
        <v/>
      </c>
      <c r="DF36" s="257" t="str">
        <f t="shared" si="33"/>
        <v/>
      </c>
      <c r="DG36" s="257" t="str">
        <f t="shared" si="34"/>
        <v/>
      </c>
      <c r="DH36" s="257" t="str">
        <f t="shared" si="35"/>
        <v/>
      </c>
      <c r="DI36" s="257" t="str">
        <f t="shared" si="36"/>
        <v/>
      </c>
      <c r="DJ36" s="257" t="str">
        <f t="shared" si="37"/>
        <v/>
      </c>
      <c r="DK36" s="569" t="str">
        <f t="shared" si="38"/>
        <v/>
      </c>
      <c r="DL36" s="291" t="str">
        <f t="shared" si="39"/>
        <v xml:space="preserve">  </v>
      </c>
      <c r="DM36" s="243" t="str">
        <f t="shared" si="40"/>
        <v xml:space="preserve"> </v>
      </c>
      <c r="DN36" s="39"/>
      <c r="DO36" s="39"/>
      <c r="DP36" s="257">
        <f t="shared" si="41"/>
        <v>0</v>
      </c>
      <c r="DQ36" s="257">
        <f t="shared" si="42"/>
        <v>0</v>
      </c>
      <c r="DR36" s="257">
        <f t="shared" si="43"/>
        <v>0</v>
      </c>
      <c r="DS36" s="257">
        <f t="shared" si="44"/>
        <v>0</v>
      </c>
      <c r="DT36" s="257">
        <f t="shared" si="45"/>
        <v>0</v>
      </c>
      <c r="DU36" s="257">
        <f t="shared" si="46"/>
        <v>0</v>
      </c>
      <c r="DV36" s="257">
        <f t="shared" si="47"/>
        <v>0</v>
      </c>
      <c r="DW36" s="257"/>
      <c r="DX36" s="257"/>
      <c r="DY36" s="257"/>
      <c r="DZ36" s="289">
        <f t="shared" si="48"/>
        <v>0</v>
      </c>
      <c r="EA36" s="257">
        <f t="shared" si="49"/>
        <v>0</v>
      </c>
      <c r="EB36" s="257">
        <f t="shared" si="50"/>
        <v>0</v>
      </c>
      <c r="EC36" s="257">
        <f t="shared" si="51"/>
        <v>0</v>
      </c>
      <c r="ED36" s="257">
        <f t="shared" si="52"/>
        <v>0</v>
      </c>
      <c r="EE36" s="257">
        <f t="shared" si="53"/>
        <v>0</v>
      </c>
      <c r="EF36" s="257">
        <f t="shared" si="54"/>
        <v>0</v>
      </c>
      <c r="EG36" s="257">
        <f t="shared" si="55"/>
        <v>0</v>
      </c>
      <c r="EH36" s="223"/>
      <c r="EI36" s="223"/>
      <c r="EJ36" s="223"/>
      <c r="EK36" s="289">
        <f t="shared" si="56"/>
        <v>0</v>
      </c>
      <c r="EL36" s="257">
        <f t="shared" si="57"/>
        <v>0</v>
      </c>
      <c r="EM36" s="257">
        <f t="shared" si="58"/>
        <v>0</v>
      </c>
      <c r="EN36" s="257">
        <f t="shared" si="59"/>
        <v>0</v>
      </c>
      <c r="EO36" s="257">
        <f t="shared" si="60"/>
        <v>0</v>
      </c>
      <c r="EP36" s="257">
        <f t="shared" si="61"/>
        <v>0</v>
      </c>
      <c r="EQ36" s="257">
        <f t="shared" si="62"/>
        <v>0</v>
      </c>
      <c r="ER36" s="257">
        <f t="shared" si="63"/>
        <v>0</v>
      </c>
      <c r="ES36" s="223"/>
      <c r="ET36" s="223"/>
      <c r="EU36" s="223"/>
      <c r="EV36" s="289">
        <f t="shared" si="64"/>
        <v>0</v>
      </c>
      <c r="EW36" s="257">
        <f t="shared" si="65"/>
        <v>0</v>
      </c>
      <c r="EX36" s="257">
        <f t="shared" si="66"/>
        <v>0</v>
      </c>
      <c r="EY36" s="257">
        <f t="shared" si="67"/>
        <v>0</v>
      </c>
      <c r="EZ36" s="575">
        <f t="shared" si="68"/>
        <v>3</v>
      </c>
      <c r="FA36" s="506">
        <f t="shared" si="69"/>
        <v>0</v>
      </c>
      <c r="FB36" s="39" t="str">
        <f t="shared" si="70"/>
        <v/>
      </c>
      <c r="FC36" s="257">
        <f t="shared" si="71"/>
        <v>0</v>
      </c>
      <c r="FD36" s="257">
        <f t="shared" si="72"/>
        <v>0</v>
      </c>
      <c r="FE36" s="257">
        <f t="shared" si="73"/>
        <v>0</v>
      </c>
      <c r="FF36" s="575">
        <f t="shared" si="74"/>
        <v>3</v>
      </c>
      <c r="FG36" s="506">
        <f t="shared" si="75"/>
        <v>0</v>
      </c>
      <c r="FH36" s="39" t="str">
        <f t="shared" si="76"/>
        <v/>
      </c>
      <c r="FI36" s="257">
        <f t="shared" si="77"/>
        <v>0</v>
      </c>
      <c r="FJ36" s="257">
        <f t="shared" si="78"/>
        <v>0</v>
      </c>
      <c r="FK36" s="257">
        <f t="shared" si="79"/>
        <v>0</v>
      </c>
      <c r="FL36" s="575">
        <f t="shared" si="80"/>
        <v>3</v>
      </c>
      <c r="FM36" s="506">
        <f t="shared" si="81"/>
        <v>0</v>
      </c>
      <c r="FN36" s="39" t="str">
        <f t="shared" si="82"/>
        <v/>
      </c>
      <c r="FO36" s="257">
        <f t="shared" si="83"/>
        <v>0</v>
      </c>
      <c r="FP36" s="257">
        <f t="shared" si="84"/>
        <v>0</v>
      </c>
      <c r="FQ36" s="257">
        <f t="shared" si="85"/>
        <v>0</v>
      </c>
      <c r="FR36" s="575">
        <f t="shared" si="86"/>
        <v>3</v>
      </c>
      <c r="FS36" s="506">
        <f t="shared" si="87"/>
        <v>0</v>
      </c>
      <c r="FT36" s="39" t="str">
        <f t="shared" si="88"/>
        <v/>
      </c>
      <c r="FU36" s="257">
        <f t="shared" si="89"/>
        <v>0</v>
      </c>
      <c r="FV36" s="257">
        <f t="shared" si="90"/>
        <v>0</v>
      </c>
      <c r="FW36" s="257">
        <f t="shared" si="91"/>
        <v>0</v>
      </c>
      <c r="FX36" s="575">
        <f t="shared" si="92"/>
        <v>3</v>
      </c>
      <c r="FY36" s="506">
        <f t="shared" si="93"/>
        <v>0</v>
      </c>
      <c r="FZ36" s="39" t="str">
        <f t="shared" si="94"/>
        <v/>
      </c>
      <c r="GA36" s="257">
        <f t="shared" si="95"/>
        <v>0</v>
      </c>
      <c r="GB36" s="257">
        <f t="shared" si="96"/>
        <v>0</v>
      </c>
      <c r="GC36" s="257">
        <f t="shared" si="97"/>
        <v>0</v>
      </c>
      <c r="GD36" s="575">
        <f t="shared" si="98"/>
        <v>3</v>
      </c>
      <c r="GE36" s="506">
        <f t="shared" si="99"/>
        <v>0</v>
      </c>
      <c r="GF36" s="39" t="str">
        <f t="shared" si="100"/>
        <v/>
      </c>
      <c r="GG36" s="257">
        <f t="shared" si="101"/>
        <v>0</v>
      </c>
      <c r="GH36" s="257">
        <f t="shared" si="102"/>
        <v>0</v>
      </c>
      <c r="GI36" s="257">
        <f t="shared" si="103"/>
        <v>0</v>
      </c>
      <c r="GJ36" s="575">
        <f t="shared" si="104"/>
        <v>3</v>
      </c>
      <c r="GK36" s="506">
        <f t="shared" si="105"/>
        <v>0</v>
      </c>
      <c r="GL36" s="39" t="str">
        <f t="shared" si="106"/>
        <v/>
      </c>
      <c r="GM36" s="39"/>
      <c r="GN36" s="39" t="str">
        <f t="shared" si="107"/>
        <v/>
      </c>
      <c r="GO36" s="39" t="str">
        <f t="shared" si="108"/>
        <v/>
      </c>
      <c r="GP36" s="39" t="str">
        <f t="shared" si="109"/>
        <v/>
      </c>
      <c r="GQ36" s="39" t="str">
        <f t="shared" si="110"/>
        <v/>
      </c>
      <c r="GR36" s="39" t="str">
        <f t="shared" si="111"/>
        <v/>
      </c>
      <c r="GS36" s="39" t="str">
        <f t="shared" si="112"/>
        <v/>
      </c>
      <c r="GT36" s="257" t="str">
        <f t="shared" si="113"/>
        <v/>
      </c>
      <c r="GU36" s="579" t="str">
        <f t="shared" si="114"/>
        <v/>
      </c>
      <c r="GV36" s="289">
        <f t="shared" si="115"/>
        <v>0</v>
      </c>
      <c r="GW36" s="289">
        <f t="shared" si="116"/>
        <v>0</v>
      </c>
      <c r="GX36" s="289">
        <f>SISWA!E34</f>
        <v>0</v>
      </c>
      <c r="GY36" s="223" t="str">
        <f t="shared" si="117"/>
        <v/>
      </c>
      <c r="GZ36" s="580" t="str">
        <f t="shared" si="118"/>
        <v/>
      </c>
      <c r="HA36" s="580" t="str">
        <f t="shared" si="119"/>
        <v/>
      </c>
      <c r="HB36" s="580" t="str">
        <f t="shared" si="120"/>
        <v/>
      </c>
      <c r="HC36" s="580" t="str">
        <f t="shared" si="121"/>
        <v/>
      </c>
      <c r="HD36" s="580" t="str">
        <f t="shared" si="122"/>
        <v/>
      </c>
      <c r="HE36" s="580" t="str">
        <f t="shared" si="123"/>
        <v/>
      </c>
      <c r="HF36" s="580" t="str">
        <f t="shared" si="124"/>
        <v/>
      </c>
      <c r="HG36" s="580"/>
      <c r="HH36" s="580"/>
      <c r="HI36" s="580"/>
      <c r="HJ36" s="580"/>
      <c r="HK36" s="223">
        <f t="shared" si="125"/>
        <v>0</v>
      </c>
      <c r="HL36" s="289" t="e">
        <f t="shared" si="126"/>
        <v>#N/A</v>
      </c>
      <c r="HM36" s="576" t="e">
        <f>IF(GV36&gt;100,"",IF(GV36&gt;DP$1,"sangat baik dalam "&amp;HL36,IF(GV36&gt;=DP$2,"baik dalam "&amp;HL36,IF(GV36&gt;=DP$3,"cukup dalam "&amp;HL36,IF(GV36&lt;DP$3,"dengan bimbingan dapat meningkatkan dalam "&amp;HL36,IF(GV36&lt;1," ",””))))))</f>
        <v>#N/A</v>
      </c>
      <c r="HN36" s="223"/>
      <c r="HO36" s="223" t="str">
        <f t="shared" si="127"/>
        <v/>
      </c>
      <c r="HP36" s="223" t="str">
        <f t="shared" si="128"/>
        <v/>
      </c>
      <c r="HQ36" s="223" t="str">
        <f t="shared" si="129"/>
        <v/>
      </c>
      <c r="HR36" s="223" t="str">
        <f t="shared" si="130"/>
        <v/>
      </c>
      <c r="HS36" s="223" t="str">
        <f t="shared" si="131"/>
        <v/>
      </c>
      <c r="HT36" s="223" t="str">
        <f t="shared" si="132"/>
        <v/>
      </c>
      <c r="HU36" s="223" t="str">
        <f t="shared" si="133"/>
        <v/>
      </c>
      <c r="HV36" s="223"/>
      <c r="HW36" s="223"/>
      <c r="HX36" s="223"/>
      <c r="HY36" s="223"/>
      <c r="HZ36" s="223" t="e">
        <f t="shared" si="134"/>
        <v>#N/A</v>
      </c>
      <c r="IA36" s="577" t="e">
        <f>IF(GW36&gt;100,"",IF(GW36&gt;=DP$1,"sangat baik dalam "&amp;HZ36,IF(GW36&gt;=DP$2,"baik dalam "&amp;HZ36,IF(GW36&gt;=DP$3,"cukup dalam "&amp;HZ36,IF(GW36&lt;DP$3,"dengan bimbingan dapat meningkatkan dalam "&amp;HZ36,IF(GW36&lt;1," ",””))))))</f>
        <v>#N/A</v>
      </c>
      <c r="IB36" s="223" t="e">
        <f t="shared" si="135"/>
        <v>#N/A</v>
      </c>
    </row>
    <row r="37" spans="1:236">
      <c r="A37" s="39">
        <v>30</v>
      </c>
      <c r="B37" s="290">
        <f>SISWA!B35</f>
        <v>0</v>
      </c>
      <c r="C37" s="123"/>
      <c r="D37" s="123"/>
      <c r="E37" s="123"/>
      <c r="F37" s="123"/>
      <c r="G37" s="123"/>
      <c r="H37" s="123"/>
      <c r="I37" s="123"/>
      <c r="J37" s="255"/>
      <c r="K37" s="255"/>
      <c r="L37" s="255"/>
      <c r="M37" s="255"/>
      <c r="N37" s="255"/>
      <c r="O37" s="255"/>
      <c r="P37" s="255"/>
      <c r="Q37" s="256"/>
      <c r="R37" s="256"/>
      <c r="S37" s="256"/>
      <c r="T37" s="256"/>
      <c r="U37" s="256"/>
      <c r="V37" s="256"/>
      <c r="W37" s="256"/>
      <c r="X37" s="123"/>
      <c r="Y37" s="123"/>
      <c r="Z37" s="123"/>
      <c r="AA37" s="123"/>
      <c r="AB37" s="123"/>
      <c r="AC37" s="123"/>
      <c r="AD37" s="123"/>
      <c r="AE37" s="255"/>
      <c r="AF37" s="255"/>
      <c r="AG37" s="255"/>
      <c r="AH37" s="255"/>
      <c r="AI37" s="255"/>
      <c r="AJ37" s="255"/>
      <c r="AK37" s="255"/>
      <c r="AL37" s="256"/>
      <c r="AM37" s="256"/>
      <c r="AN37" s="256"/>
      <c r="AO37" s="256"/>
      <c r="AP37" s="256"/>
      <c r="AQ37" s="256"/>
      <c r="AR37" s="256"/>
      <c r="AS37" s="123"/>
      <c r="AT37" s="123"/>
      <c r="AU37" s="123"/>
      <c r="AV37" s="123"/>
      <c r="AW37" s="123"/>
      <c r="AX37" s="123"/>
      <c r="AY37" s="123"/>
      <c r="AZ37" s="255"/>
      <c r="BA37" s="255"/>
      <c r="BB37" s="255"/>
      <c r="BC37" s="255"/>
      <c r="BD37" s="255"/>
      <c r="BE37" s="255"/>
      <c r="BF37" s="255"/>
      <c r="BG37" s="256"/>
      <c r="BH37" s="256"/>
      <c r="BI37" s="256"/>
      <c r="BJ37" s="256"/>
      <c r="BK37" s="256"/>
      <c r="BL37" s="256"/>
      <c r="BM37" s="256"/>
      <c r="BN37" s="123"/>
      <c r="BO37" s="123"/>
      <c r="BP37" s="123"/>
      <c r="BQ37" s="123"/>
      <c r="BR37" s="123"/>
      <c r="BS37" s="123"/>
      <c r="BT37" s="123"/>
      <c r="BU37" s="255"/>
      <c r="BV37" s="255"/>
      <c r="BW37" s="255"/>
      <c r="BX37" s="255"/>
      <c r="BY37" s="255"/>
      <c r="BZ37" s="255"/>
      <c r="CA37" s="255"/>
      <c r="CB37" s="256"/>
      <c r="CC37" s="256"/>
      <c r="CD37" s="256"/>
      <c r="CE37" s="256"/>
      <c r="CF37" s="256"/>
      <c r="CG37" s="256"/>
      <c r="CH37" s="256"/>
      <c r="CI37" s="458"/>
      <c r="CJ37" s="458"/>
      <c r="CK37" s="458"/>
      <c r="CL37" s="458"/>
      <c r="CM37" s="458"/>
      <c r="CN37" s="458"/>
      <c r="CO37" s="458"/>
      <c r="CP37" s="457"/>
      <c r="CQ37" s="457"/>
      <c r="CR37" s="457"/>
      <c r="CS37" s="457"/>
      <c r="CT37" s="457"/>
      <c r="CU37" s="457"/>
      <c r="CV37" s="457"/>
      <c r="CW37" s="256"/>
      <c r="CX37" s="256"/>
      <c r="CY37" s="256"/>
      <c r="CZ37" s="256"/>
      <c r="DA37" s="256"/>
      <c r="DB37" s="256"/>
      <c r="DC37" s="256"/>
      <c r="DD37" s="257" t="str">
        <f t="shared" si="31"/>
        <v/>
      </c>
      <c r="DE37" s="257" t="str">
        <f t="shared" si="32"/>
        <v/>
      </c>
      <c r="DF37" s="257" t="str">
        <f t="shared" si="33"/>
        <v/>
      </c>
      <c r="DG37" s="257" t="str">
        <f t="shared" si="34"/>
        <v/>
      </c>
      <c r="DH37" s="257" t="str">
        <f t="shared" si="35"/>
        <v/>
      </c>
      <c r="DI37" s="257" t="str">
        <f t="shared" si="36"/>
        <v/>
      </c>
      <c r="DJ37" s="257" t="str">
        <f t="shared" si="37"/>
        <v/>
      </c>
      <c r="DK37" s="569" t="str">
        <f t="shared" si="38"/>
        <v/>
      </c>
      <c r="DL37" s="291" t="str">
        <f t="shared" si="39"/>
        <v xml:space="preserve">  </v>
      </c>
      <c r="DM37" s="243" t="str">
        <f t="shared" si="40"/>
        <v xml:space="preserve"> </v>
      </c>
      <c r="DN37" s="39"/>
      <c r="DO37" s="39"/>
      <c r="DP37" s="257">
        <f t="shared" si="41"/>
        <v>0</v>
      </c>
      <c r="DQ37" s="257">
        <f t="shared" si="42"/>
        <v>0</v>
      </c>
      <c r="DR37" s="257">
        <f t="shared" si="43"/>
        <v>0</v>
      </c>
      <c r="DS37" s="257">
        <f t="shared" si="44"/>
        <v>0</v>
      </c>
      <c r="DT37" s="257">
        <f t="shared" si="45"/>
        <v>0</v>
      </c>
      <c r="DU37" s="257">
        <f t="shared" si="46"/>
        <v>0</v>
      </c>
      <c r="DV37" s="257">
        <f t="shared" si="47"/>
        <v>0</v>
      </c>
      <c r="DW37" s="257"/>
      <c r="DX37" s="257"/>
      <c r="DY37" s="257"/>
      <c r="DZ37" s="289">
        <f t="shared" si="48"/>
        <v>0</v>
      </c>
      <c r="EA37" s="257">
        <f t="shared" si="49"/>
        <v>0</v>
      </c>
      <c r="EB37" s="257">
        <f t="shared" si="50"/>
        <v>0</v>
      </c>
      <c r="EC37" s="257">
        <f t="shared" si="51"/>
        <v>0</v>
      </c>
      <c r="ED37" s="257">
        <f t="shared" si="52"/>
        <v>0</v>
      </c>
      <c r="EE37" s="257">
        <f t="shared" si="53"/>
        <v>0</v>
      </c>
      <c r="EF37" s="257">
        <f t="shared" si="54"/>
        <v>0</v>
      </c>
      <c r="EG37" s="257">
        <f t="shared" si="55"/>
        <v>0</v>
      </c>
      <c r="EH37" s="223"/>
      <c r="EI37" s="223"/>
      <c r="EJ37" s="223"/>
      <c r="EK37" s="289">
        <f t="shared" si="56"/>
        <v>0</v>
      </c>
      <c r="EL37" s="257">
        <f t="shared" si="57"/>
        <v>0</v>
      </c>
      <c r="EM37" s="257">
        <f t="shared" si="58"/>
        <v>0</v>
      </c>
      <c r="EN37" s="257">
        <f t="shared" si="59"/>
        <v>0</v>
      </c>
      <c r="EO37" s="257">
        <f t="shared" si="60"/>
        <v>0</v>
      </c>
      <c r="EP37" s="257">
        <f t="shared" si="61"/>
        <v>0</v>
      </c>
      <c r="EQ37" s="257">
        <f t="shared" si="62"/>
        <v>0</v>
      </c>
      <c r="ER37" s="257">
        <f t="shared" si="63"/>
        <v>0</v>
      </c>
      <c r="ES37" s="223"/>
      <c r="ET37" s="223"/>
      <c r="EU37" s="223"/>
      <c r="EV37" s="289">
        <f t="shared" si="64"/>
        <v>0</v>
      </c>
      <c r="EW37" s="257">
        <f t="shared" si="65"/>
        <v>0</v>
      </c>
      <c r="EX37" s="257">
        <f t="shared" si="66"/>
        <v>0</v>
      </c>
      <c r="EY37" s="257">
        <f t="shared" si="67"/>
        <v>0</v>
      </c>
      <c r="EZ37" s="575">
        <f t="shared" si="68"/>
        <v>3</v>
      </c>
      <c r="FA37" s="506">
        <f t="shared" si="69"/>
        <v>0</v>
      </c>
      <c r="FB37" s="39" t="str">
        <f t="shared" si="70"/>
        <v/>
      </c>
      <c r="FC37" s="257">
        <f t="shared" si="71"/>
        <v>0</v>
      </c>
      <c r="FD37" s="257">
        <f t="shared" si="72"/>
        <v>0</v>
      </c>
      <c r="FE37" s="257">
        <f t="shared" si="73"/>
        <v>0</v>
      </c>
      <c r="FF37" s="575">
        <f t="shared" si="74"/>
        <v>3</v>
      </c>
      <c r="FG37" s="506">
        <f t="shared" si="75"/>
        <v>0</v>
      </c>
      <c r="FH37" s="39" t="str">
        <f t="shared" si="76"/>
        <v/>
      </c>
      <c r="FI37" s="257">
        <f t="shared" si="77"/>
        <v>0</v>
      </c>
      <c r="FJ37" s="257">
        <f t="shared" si="78"/>
        <v>0</v>
      </c>
      <c r="FK37" s="257">
        <f t="shared" si="79"/>
        <v>0</v>
      </c>
      <c r="FL37" s="575">
        <f t="shared" si="80"/>
        <v>3</v>
      </c>
      <c r="FM37" s="506">
        <f t="shared" si="81"/>
        <v>0</v>
      </c>
      <c r="FN37" s="39" t="str">
        <f t="shared" si="82"/>
        <v/>
      </c>
      <c r="FO37" s="257">
        <f t="shared" si="83"/>
        <v>0</v>
      </c>
      <c r="FP37" s="257">
        <f t="shared" si="84"/>
        <v>0</v>
      </c>
      <c r="FQ37" s="257">
        <f t="shared" si="85"/>
        <v>0</v>
      </c>
      <c r="FR37" s="575">
        <f t="shared" si="86"/>
        <v>3</v>
      </c>
      <c r="FS37" s="506">
        <f t="shared" si="87"/>
        <v>0</v>
      </c>
      <c r="FT37" s="39" t="str">
        <f t="shared" si="88"/>
        <v/>
      </c>
      <c r="FU37" s="257">
        <f t="shared" si="89"/>
        <v>0</v>
      </c>
      <c r="FV37" s="257">
        <f t="shared" si="90"/>
        <v>0</v>
      </c>
      <c r="FW37" s="257">
        <f t="shared" si="91"/>
        <v>0</v>
      </c>
      <c r="FX37" s="575">
        <f t="shared" si="92"/>
        <v>3</v>
      </c>
      <c r="FY37" s="506">
        <f t="shared" si="93"/>
        <v>0</v>
      </c>
      <c r="FZ37" s="39" t="str">
        <f t="shared" si="94"/>
        <v/>
      </c>
      <c r="GA37" s="257">
        <f t="shared" si="95"/>
        <v>0</v>
      </c>
      <c r="GB37" s="257">
        <f t="shared" si="96"/>
        <v>0</v>
      </c>
      <c r="GC37" s="257">
        <f t="shared" si="97"/>
        <v>0</v>
      </c>
      <c r="GD37" s="575">
        <f t="shared" si="98"/>
        <v>3</v>
      </c>
      <c r="GE37" s="506">
        <f t="shared" si="99"/>
        <v>0</v>
      </c>
      <c r="GF37" s="39" t="str">
        <f t="shared" si="100"/>
        <v/>
      </c>
      <c r="GG37" s="257">
        <f t="shared" si="101"/>
        <v>0</v>
      </c>
      <c r="GH37" s="257">
        <f t="shared" si="102"/>
        <v>0</v>
      </c>
      <c r="GI37" s="257">
        <f t="shared" si="103"/>
        <v>0</v>
      </c>
      <c r="GJ37" s="575">
        <f t="shared" si="104"/>
        <v>3</v>
      </c>
      <c r="GK37" s="506">
        <f t="shared" si="105"/>
        <v>0</v>
      </c>
      <c r="GL37" s="39" t="str">
        <f t="shared" si="106"/>
        <v/>
      </c>
      <c r="GM37" s="39"/>
      <c r="GN37" s="39" t="str">
        <f t="shared" si="107"/>
        <v/>
      </c>
      <c r="GO37" s="39" t="str">
        <f t="shared" si="108"/>
        <v/>
      </c>
      <c r="GP37" s="39" t="str">
        <f t="shared" si="109"/>
        <v/>
      </c>
      <c r="GQ37" s="39" t="str">
        <f t="shared" si="110"/>
        <v/>
      </c>
      <c r="GR37" s="39" t="str">
        <f t="shared" si="111"/>
        <v/>
      </c>
      <c r="GS37" s="39" t="str">
        <f t="shared" si="112"/>
        <v/>
      </c>
      <c r="GT37" s="257" t="str">
        <f t="shared" si="113"/>
        <v/>
      </c>
      <c r="GU37" s="579" t="str">
        <f t="shared" si="114"/>
        <v/>
      </c>
      <c r="GV37" s="289">
        <f t="shared" si="115"/>
        <v>0</v>
      </c>
      <c r="GW37" s="289">
        <f t="shared" si="116"/>
        <v>0</v>
      </c>
      <c r="GX37" s="289">
        <f>SISWA!E35</f>
        <v>0</v>
      </c>
      <c r="GY37" s="223" t="str">
        <f t="shared" si="117"/>
        <v/>
      </c>
      <c r="GZ37" s="580" t="str">
        <f t="shared" si="118"/>
        <v/>
      </c>
      <c r="HA37" s="580" t="str">
        <f t="shared" si="119"/>
        <v/>
      </c>
      <c r="HB37" s="580" t="str">
        <f t="shared" si="120"/>
        <v/>
      </c>
      <c r="HC37" s="580" t="str">
        <f t="shared" si="121"/>
        <v/>
      </c>
      <c r="HD37" s="580" t="str">
        <f t="shared" si="122"/>
        <v/>
      </c>
      <c r="HE37" s="580" t="str">
        <f t="shared" si="123"/>
        <v/>
      </c>
      <c r="HF37" s="580" t="str">
        <f t="shared" si="124"/>
        <v/>
      </c>
      <c r="HG37" s="580"/>
      <c r="HH37" s="580"/>
      <c r="HI37" s="580"/>
      <c r="HJ37" s="580"/>
      <c r="HK37" s="223">
        <f t="shared" si="125"/>
        <v>0</v>
      </c>
      <c r="HL37" s="289" t="e">
        <f t="shared" si="126"/>
        <v>#N/A</v>
      </c>
      <c r="HM37" s="576" t="e">
        <f>IF(GV37&gt;100,"",IF(GV37&gt;DP$1,"sangat baik dalam "&amp;HL37,IF(GV37&gt;=DP$2,"baik dalam "&amp;HL37,IF(GV37&gt;=DP$3,"cukup dalam "&amp;HL37,IF(GV37&lt;DP$3,"dengan bimbingan dapat meningkatkan dalam "&amp;HL37,IF(GV37&lt;1," ",””))))))</f>
        <v>#N/A</v>
      </c>
      <c r="HN37" s="223"/>
      <c r="HO37" s="223" t="str">
        <f t="shared" si="127"/>
        <v/>
      </c>
      <c r="HP37" s="223" t="str">
        <f t="shared" si="128"/>
        <v/>
      </c>
      <c r="HQ37" s="223" t="str">
        <f t="shared" si="129"/>
        <v/>
      </c>
      <c r="HR37" s="223" t="str">
        <f t="shared" si="130"/>
        <v/>
      </c>
      <c r="HS37" s="223" t="str">
        <f t="shared" si="131"/>
        <v/>
      </c>
      <c r="HT37" s="223" t="str">
        <f t="shared" si="132"/>
        <v/>
      </c>
      <c r="HU37" s="223" t="str">
        <f t="shared" si="133"/>
        <v/>
      </c>
      <c r="HV37" s="223"/>
      <c r="HW37" s="223"/>
      <c r="HX37" s="223"/>
      <c r="HY37" s="223"/>
      <c r="HZ37" s="223" t="e">
        <f t="shared" si="134"/>
        <v>#N/A</v>
      </c>
      <c r="IA37" s="577" t="e">
        <f>IF(GW37&gt;100,"",IF(GW37&gt;=DP$1,"sangat baik dalam "&amp;HZ37,IF(GW37&gt;=DP$2,"baik dalam "&amp;HZ37,IF(GW37&gt;=DP$3,"cukup dalam "&amp;HZ37,IF(GW37&lt;DP$3,"dengan bimbingan dapat meningkatkan dalam "&amp;HZ37,IF(GW37&lt;1," ",””))))))</f>
        <v>#N/A</v>
      </c>
      <c r="IB37" s="223" t="e">
        <f t="shared" si="135"/>
        <v>#N/A</v>
      </c>
    </row>
    <row r="38" spans="1:236">
      <c r="A38" s="39">
        <v>31</v>
      </c>
      <c r="B38" s="290">
        <f>SISWA!B36</f>
        <v>0</v>
      </c>
      <c r="C38" s="123"/>
      <c r="D38" s="123"/>
      <c r="E38" s="123"/>
      <c r="F38" s="123"/>
      <c r="G38" s="123"/>
      <c r="H38" s="123"/>
      <c r="I38" s="123"/>
      <c r="J38" s="255"/>
      <c r="K38" s="255"/>
      <c r="L38" s="255"/>
      <c r="M38" s="255"/>
      <c r="N38" s="255"/>
      <c r="O38" s="255"/>
      <c r="P38" s="255"/>
      <c r="Q38" s="256"/>
      <c r="R38" s="256"/>
      <c r="S38" s="256"/>
      <c r="T38" s="256"/>
      <c r="U38" s="256"/>
      <c r="V38" s="256"/>
      <c r="W38" s="256"/>
      <c r="X38" s="123"/>
      <c r="Y38" s="123"/>
      <c r="Z38" s="123"/>
      <c r="AA38" s="123"/>
      <c r="AB38" s="123"/>
      <c r="AC38" s="123"/>
      <c r="AD38" s="123"/>
      <c r="AE38" s="255"/>
      <c r="AF38" s="255"/>
      <c r="AG38" s="255"/>
      <c r="AH38" s="255"/>
      <c r="AI38" s="255"/>
      <c r="AJ38" s="255"/>
      <c r="AK38" s="255"/>
      <c r="AL38" s="256"/>
      <c r="AM38" s="256"/>
      <c r="AN38" s="256"/>
      <c r="AO38" s="256"/>
      <c r="AP38" s="256"/>
      <c r="AQ38" s="256"/>
      <c r="AR38" s="256"/>
      <c r="AS38" s="123"/>
      <c r="AT38" s="123"/>
      <c r="AU38" s="123"/>
      <c r="AV38" s="123"/>
      <c r="AW38" s="123"/>
      <c r="AX38" s="123"/>
      <c r="AY38" s="123"/>
      <c r="AZ38" s="255"/>
      <c r="BA38" s="255"/>
      <c r="BB38" s="255"/>
      <c r="BC38" s="255"/>
      <c r="BD38" s="255"/>
      <c r="BE38" s="255"/>
      <c r="BF38" s="255"/>
      <c r="BG38" s="256"/>
      <c r="BH38" s="256"/>
      <c r="BI38" s="256"/>
      <c r="BJ38" s="256"/>
      <c r="BK38" s="256"/>
      <c r="BL38" s="256"/>
      <c r="BM38" s="256"/>
      <c r="BN38" s="123"/>
      <c r="BO38" s="123"/>
      <c r="BP38" s="123"/>
      <c r="BQ38" s="123"/>
      <c r="BR38" s="123"/>
      <c r="BS38" s="123"/>
      <c r="BT38" s="123"/>
      <c r="BU38" s="255"/>
      <c r="BV38" s="255"/>
      <c r="BW38" s="255"/>
      <c r="BX38" s="255"/>
      <c r="BY38" s="255"/>
      <c r="BZ38" s="255"/>
      <c r="CA38" s="255"/>
      <c r="CB38" s="256"/>
      <c r="CC38" s="256"/>
      <c r="CD38" s="256"/>
      <c r="CE38" s="256"/>
      <c r="CF38" s="256"/>
      <c r="CG38" s="256"/>
      <c r="CH38" s="256"/>
      <c r="CI38" s="458"/>
      <c r="CJ38" s="458"/>
      <c r="CK38" s="458"/>
      <c r="CL38" s="458"/>
      <c r="CM38" s="458"/>
      <c r="CN38" s="458"/>
      <c r="CO38" s="458"/>
      <c r="CP38" s="457"/>
      <c r="CQ38" s="457"/>
      <c r="CR38" s="457"/>
      <c r="CS38" s="457"/>
      <c r="CT38" s="457"/>
      <c r="CU38" s="457"/>
      <c r="CV38" s="457"/>
      <c r="CW38" s="256"/>
      <c r="CX38" s="256"/>
      <c r="CY38" s="256"/>
      <c r="CZ38" s="256"/>
      <c r="DA38" s="256"/>
      <c r="DB38" s="256"/>
      <c r="DC38" s="256"/>
      <c r="DD38" s="257" t="str">
        <f t="shared" si="31"/>
        <v/>
      </c>
      <c r="DE38" s="257" t="str">
        <f t="shared" si="32"/>
        <v/>
      </c>
      <c r="DF38" s="257" t="str">
        <f t="shared" si="33"/>
        <v/>
      </c>
      <c r="DG38" s="257" t="str">
        <f t="shared" si="34"/>
        <v/>
      </c>
      <c r="DH38" s="257" t="str">
        <f t="shared" si="35"/>
        <v/>
      </c>
      <c r="DI38" s="257" t="str">
        <f t="shared" si="36"/>
        <v/>
      </c>
      <c r="DJ38" s="257" t="str">
        <f t="shared" si="37"/>
        <v/>
      </c>
      <c r="DK38" s="569" t="str">
        <f t="shared" si="38"/>
        <v/>
      </c>
      <c r="DL38" s="291" t="str">
        <f t="shared" si="39"/>
        <v xml:space="preserve">  </v>
      </c>
      <c r="DM38" s="243" t="str">
        <f t="shared" si="40"/>
        <v xml:space="preserve"> </v>
      </c>
      <c r="DN38" s="39"/>
      <c r="DO38" s="39"/>
      <c r="DP38" s="257">
        <f t="shared" si="41"/>
        <v>0</v>
      </c>
      <c r="DQ38" s="257">
        <f t="shared" si="42"/>
        <v>0</v>
      </c>
      <c r="DR38" s="257">
        <f t="shared" si="43"/>
        <v>0</v>
      </c>
      <c r="DS38" s="257">
        <f t="shared" si="44"/>
        <v>0</v>
      </c>
      <c r="DT38" s="257">
        <f t="shared" si="45"/>
        <v>0</v>
      </c>
      <c r="DU38" s="257">
        <f t="shared" si="46"/>
        <v>0</v>
      </c>
      <c r="DV38" s="257">
        <f t="shared" si="47"/>
        <v>0</v>
      </c>
      <c r="DW38" s="257"/>
      <c r="DX38" s="257"/>
      <c r="DY38" s="257"/>
      <c r="DZ38" s="289">
        <f t="shared" si="48"/>
        <v>0</v>
      </c>
      <c r="EA38" s="257">
        <f t="shared" si="49"/>
        <v>0</v>
      </c>
      <c r="EB38" s="257">
        <f t="shared" si="50"/>
        <v>0</v>
      </c>
      <c r="EC38" s="257">
        <f t="shared" si="51"/>
        <v>0</v>
      </c>
      <c r="ED38" s="257">
        <f t="shared" si="52"/>
        <v>0</v>
      </c>
      <c r="EE38" s="257">
        <f t="shared" si="53"/>
        <v>0</v>
      </c>
      <c r="EF38" s="257">
        <f t="shared" si="54"/>
        <v>0</v>
      </c>
      <c r="EG38" s="257">
        <f t="shared" si="55"/>
        <v>0</v>
      </c>
      <c r="EH38" s="223"/>
      <c r="EI38" s="223"/>
      <c r="EJ38" s="223"/>
      <c r="EK38" s="289">
        <f t="shared" si="56"/>
        <v>0</v>
      </c>
      <c r="EL38" s="257">
        <f t="shared" si="57"/>
        <v>0</v>
      </c>
      <c r="EM38" s="257">
        <f t="shared" si="58"/>
        <v>0</v>
      </c>
      <c r="EN38" s="257">
        <f t="shared" si="59"/>
        <v>0</v>
      </c>
      <c r="EO38" s="257">
        <f t="shared" si="60"/>
        <v>0</v>
      </c>
      <c r="EP38" s="257">
        <f t="shared" si="61"/>
        <v>0</v>
      </c>
      <c r="EQ38" s="257">
        <f t="shared" si="62"/>
        <v>0</v>
      </c>
      <c r="ER38" s="257">
        <f t="shared" si="63"/>
        <v>0</v>
      </c>
      <c r="ES38" s="223"/>
      <c r="ET38" s="223"/>
      <c r="EU38" s="223"/>
      <c r="EV38" s="289">
        <f t="shared" si="64"/>
        <v>0</v>
      </c>
      <c r="EW38" s="257">
        <f t="shared" si="65"/>
        <v>0</v>
      </c>
      <c r="EX38" s="257">
        <f t="shared" si="66"/>
        <v>0</v>
      </c>
      <c r="EY38" s="257">
        <f t="shared" si="67"/>
        <v>0</v>
      </c>
      <c r="EZ38" s="575">
        <f t="shared" si="68"/>
        <v>3</v>
      </c>
      <c r="FA38" s="506">
        <f t="shared" si="69"/>
        <v>0</v>
      </c>
      <c r="FB38" s="39" t="str">
        <f t="shared" si="70"/>
        <v/>
      </c>
      <c r="FC38" s="257">
        <f t="shared" si="71"/>
        <v>0</v>
      </c>
      <c r="FD38" s="257">
        <f t="shared" si="72"/>
        <v>0</v>
      </c>
      <c r="FE38" s="257">
        <f t="shared" si="73"/>
        <v>0</v>
      </c>
      <c r="FF38" s="575">
        <f t="shared" si="74"/>
        <v>3</v>
      </c>
      <c r="FG38" s="506">
        <f t="shared" si="75"/>
        <v>0</v>
      </c>
      <c r="FH38" s="39" t="str">
        <f t="shared" si="76"/>
        <v/>
      </c>
      <c r="FI38" s="257">
        <f t="shared" si="77"/>
        <v>0</v>
      </c>
      <c r="FJ38" s="257">
        <f t="shared" si="78"/>
        <v>0</v>
      </c>
      <c r="FK38" s="257">
        <f t="shared" si="79"/>
        <v>0</v>
      </c>
      <c r="FL38" s="575">
        <f t="shared" si="80"/>
        <v>3</v>
      </c>
      <c r="FM38" s="506">
        <f t="shared" si="81"/>
        <v>0</v>
      </c>
      <c r="FN38" s="39" t="str">
        <f t="shared" si="82"/>
        <v/>
      </c>
      <c r="FO38" s="257">
        <f t="shared" si="83"/>
        <v>0</v>
      </c>
      <c r="FP38" s="257">
        <f t="shared" si="84"/>
        <v>0</v>
      </c>
      <c r="FQ38" s="257">
        <f t="shared" si="85"/>
        <v>0</v>
      </c>
      <c r="FR38" s="575">
        <f t="shared" si="86"/>
        <v>3</v>
      </c>
      <c r="FS38" s="506">
        <f t="shared" si="87"/>
        <v>0</v>
      </c>
      <c r="FT38" s="39" t="str">
        <f t="shared" si="88"/>
        <v/>
      </c>
      <c r="FU38" s="257">
        <f t="shared" si="89"/>
        <v>0</v>
      </c>
      <c r="FV38" s="257">
        <f t="shared" si="90"/>
        <v>0</v>
      </c>
      <c r="FW38" s="257">
        <f t="shared" si="91"/>
        <v>0</v>
      </c>
      <c r="FX38" s="575">
        <f t="shared" si="92"/>
        <v>3</v>
      </c>
      <c r="FY38" s="506">
        <f t="shared" si="93"/>
        <v>0</v>
      </c>
      <c r="FZ38" s="39" t="str">
        <f t="shared" si="94"/>
        <v/>
      </c>
      <c r="GA38" s="257">
        <f t="shared" si="95"/>
        <v>0</v>
      </c>
      <c r="GB38" s="257">
        <f t="shared" si="96"/>
        <v>0</v>
      </c>
      <c r="GC38" s="257">
        <f t="shared" si="97"/>
        <v>0</v>
      </c>
      <c r="GD38" s="575">
        <f t="shared" si="98"/>
        <v>3</v>
      </c>
      <c r="GE38" s="506">
        <f t="shared" si="99"/>
        <v>0</v>
      </c>
      <c r="GF38" s="39" t="str">
        <f t="shared" si="100"/>
        <v/>
      </c>
      <c r="GG38" s="257">
        <f t="shared" si="101"/>
        <v>0</v>
      </c>
      <c r="GH38" s="257">
        <f t="shared" si="102"/>
        <v>0</v>
      </c>
      <c r="GI38" s="257">
        <f t="shared" si="103"/>
        <v>0</v>
      </c>
      <c r="GJ38" s="575">
        <f t="shared" si="104"/>
        <v>3</v>
      </c>
      <c r="GK38" s="506">
        <f t="shared" si="105"/>
        <v>0</v>
      </c>
      <c r="GL38" s="39" t="str">
        <f t="shared" si="106"/>
        <v/>
      </c>
      <c r="GM38" s="39"/>
      <c r="GN38" s="39" t="str">
        <f t="shared" si="107"/>
        <v/>
      </c>
      <c r="GO38" s="39" t="str">
        <f t="shared" si="108"/>
        <v/>
      </c>
      <c r="GP38" s="39" t="str">
        <f t="shared" si="109"/>
        <v/>
      </c>
      <c r="GQ38" s="39" t="str">
        <f t="shared" si="110"/>
        <v/>
      </c>
      <c r="GR38" s="39" t="str">
        <f t="shared" si="111"/>
        <v/>
      </c>
      <c r="GS38" s="39" t="str">
        <f t="shared" si="112"/>
        <v/>
      </c>
      <c r="GT38" s="257" t="str">
        <f t="shared" si="113"/>
        <v/>
      </c>
      <c r="GU38" s="579" t="str">
        <f t="shared" si="114"/>
        <v/>
      </c>
      <c r="GV38" s="289">
        <f t="shared" si="115"/>
        <v>0</v>
      </c>
      <c r="GW38" s="289">
        <f t="shared" si="116"/>
        <v>0</v>
      </c>
      <c r="GX38" s="289">
        <f>SISWA!E36</f>
        <v>0</v>
      </c>
      <c r="GY38" s="223" t="str">
        <f t="shared" si="117"/>
        <v/>
      </c>
      <c r="GZ38" s="580" t="str">
        <f t="shared" si="118"/>
        <v/>
      </c>
      <c r="HA38" s="580" t="str">
        <f t="shared" si="119"/>
        <v/>
      </c>
      <c r="HB38" s="580" t="str">
        <f t="shared" si="120"/>
        <v/>
      </c>
      <c r="HC38" s="580" t="str">
        <f t="shared" si="121"/>
        <v/>
      </c>
      <c r="HD38" s="580" t="str">
        <f t="shared" si="122"/>
        <v/>
      </c>
      <c r="HE38" s="580" t="str">
        <f t="shared" si="123"/>
        <v/>
      </c>
      <c r="HF38" s="580" t="str">
        <f t="shared" si="124"/>
        <v/>
      </c>
      <c r="HG38" s="580"/>
      <c r="HH38" s="580"/>
      <c r="HI38" s="580"/>
      <c r="HJ38" s="580"/>
      <c r="HK38" s="223">
        <f t="shared" si="125"/>
        <v>0</v>
      </c>
      <c r="HL38" s="289" t="e">
        <f t="shared" si="126"/>
        <v>#N/A</v>
      </c>
      <c r="HM38" s="576" t="e">
        <f>IF(GV38&gt;100,"",IF(GV38&gt;DP$1,"sangat baik dalam "&amp;HL38,IF(GV38&gt;=DP$2,"baik dalam "&amp;HL38,IF(GV38&gt;=DP$3,"cukup dalam "&amp;HL38,IF(GV38&lt;DP$3,"dengan bimbingan dapat meningkatkan dalam "&amp;HL38,IF(GV38&lt;1," ",””))))))</f>
        <v>#N/A</v>
      </c>
      <c r="HN38" s="223"/>
      <c r="HO38" s="223" t="str">
        <f t="shared" si="127"/>
        <v/>
      </c>
      <c r="HP38" s="223" t="str">
        <f t="shared" si="128"/>
        <v/>
      </c>
      <c r="HQ38" s="223" t="str">
        <f t="shared" si="129"/>
        <v/>
      </c>
      <c r="HR38" s="223" t="str">
        <f t="shared" si="130"/>
        <v/>
      </c>
      <c r="HS38" s="223" t="str">
        <f t="shared" si="131"/>
        <v/>
      </c>
      <c r="HT38" s="223" t="str">
        <f t="shared" si="132"/>
        <v/>
      </c>
      <c r="HU38" s="223" t="str">
        <f t="shared" si="133"/>
        <v/>
      </c>
      <c r="HV38" s="223"/>
      <c r="HW38" s="223"/>
      <c r="HX38" s="223"/>
      <c r="HY38" s="223"/>
      <c r="HZ38" s="223" t="e">
        <f t="shared" si="134"/>
        <v>#N/A</v>
      </c>
      <c r="IA38" s="577" t="e">
        <f>IF(GW38&gt;100,"",IF(GW38&gt;=DP$1,"sangat baik dalam "&amp;HZ38,IF(GW38&gt;=DP$2,"baik dalam "&amp;HZ38,IF(GW38&gt;=DP$3,"cukup dalam "&amp;HZ38,IF(GW38&lt;DP$3,"dengan bimbingan dapat meningkatkan dalam "&amp;HZ38,IF(GW38&lt;1," ",””))))))</f>
        <v>#N/A</v>
      </c>
      <c r="IB38" s="223" t="e">
        <f t="shared" si="135"/>
        <v>#N/A</v>
      </c>
    </row>
    <row r="39" spans="1:236">
      <c r="A39" s="39">
        <v>32</v>
      </c>
      <c r="B39" s="290">
        <f>SISWA!B37</f>
        <v>0</v>
      </c>
      <c r="C39" s="123"/>
      <c r="D39" s="123"/>
      <c r="E39" s="123"/>
      <c r="F39" s="123"/>
      <c r="G39" s="123"/>
      <c r="H39" s="123"/>
      <c r="I39" s="123"/>
      <c r="J39" s="255"/>
      <c r="K39" s="255"/>
      <c r="L39" s="255"/>
      <c r="M39" s="255"/>
      <c r="N39" s="255"/>
      <c r="O39" s="255"/>
      <c r="P39" s="255"/>
      <c r="Q39" s="256"/>
      <c r="R39" s="256"/>
      <c r="S39" s="256"/>
      <c r="T39" s="256"/>
      <c r="U39" s="256"/>
      <c r="V39" s="256"/>
      <c r="W39" s="256"/>
      <c r="X39" s="123"/>
      <c r="Y39" s="123"/>
      <c r="Z39" s="123"/>
      <c r="AA39" s="123"/>
      <c r="AB39" s="123"/>
      <c r="AC39" s="123"/>
      <c r="AD39" s="123"/>
      <c r="AE39" s="255"/>
      <c r="AF39" s="255"/>
      <c r="AG39" s="255"/>
      <c r="AH39" s="255"/>
      <c r="AI39" s="255"/>
      <c r="AJ39" s="255"/>
      <c r="AK39" s="255"/>
      <c r="AL39" s="256"/>
      <c r="AM39" s="256"/>
      <c r="AN39" s="256"/>
      <c r="AO39" s="256"/>
      <c r="AP39" s="256"/>
      <c r="AQ39" s="256"/>
      <c r="AR39" s="256"/>
      <c r="AS39" s="123"/>
      <c r="AT39" s="123"/>
      <c r="AU39" s="123"/>
      <c r="AV39" s="123"/>
      <c r="AW39" s="123"/>
      <c r="AX39" s="123"/>
      <c r="AY39" s="123"/>
      <c r="AZ39" s="255"/>
      <c r="BA39" s="255"/>
      <c r="BB39" s="255"/>
      <c r="BC39" s="255"/>
      <c r="BD39" s="255"/>
      <c r="BE39" s="255"/>
      <c r="BF39" s="255"/>
      <c r="BG39" s="256"/>
      <c r="BH39" s="256"/>
      <c r="BI39" s="256"/>
      <c r="BJ39" s="256"/>
      <c r="BK39" s="256"/>
      <c r="BL39" s="256"/>
      <c r="BM39" s="256"/>
      <c r="BN39" s="123"/>
      <c r="BO39" s="123"/>
      <c r="BP39" s="123"/>
      <c r="BQ39" s="123"/>
      <c r="BR39" s="123"/>
      <c r="BS39" s="123"/>
      <c r="BT39" s="123"/>
      <c r="BU39" s="255"/>
      <c r="BV39" s="255"/>
      <c r="BW39" s="255"/>
      <c r="BX39" s="255"/>
      <c r="BY39" s="255"/>
      <c r="BZ39" s="255"/>
      <c r="CA39" s="255"/>
      <c r="CB39" s="256"/>
      <c r="CC39" s="256"/>
      <c r="CD39" s="256"/>
      <c r="CE39" s="256"/>
      <c r="CF39" s="256"/>
      <c r="CG39" s="256"/>
      <c r="CH39" s="256"/>
      <c r="CI39" s="458"/>
      <c r="CJ39" s="458"/>
      <c r="CK39" s="458"/>
      <c r="CL39" s="458"/>
      <c r="CM39" s="458"/>
      <c r="CN39" s="458"/>
      <c r="CO39" s="458"/>
      <c r="CP39" s="457"/>
      <c r="CQ39" s="457"/>
      <c r="CR39" s="457"/>
      <c r="CS39" s="457"/>
      <c r="CT39" s="457"/>
      <c r="CU39" s="457"/>
      <c r="CV39" s="457"/>
      <c r="CW39" s="256"/>
      <c r="CX39" s="256"/>
      <c r="CY39" s="256"/>
      <c r="CZ39" s="256"/>
      <c r="DA39" s="256"/>
      <c r="DB39" s="256"/>
      <c r="DC39" s="256"/>
      <c r="DD39" s="257" t="str">
        <f t="shared" si="31"/>
        <v/>
      </c>
      <c r="DE39" s="257" t="str">
        <f t="shared" si="32"/>
        <v/>
      </c>
      <c r="DF39" s="257" t="str">
        <f t="shared" si="33"/>
        <v/>
      </c>
      <c r="DG39" s="257" t="str">
        <f t="shared" si="34"/>
        <v/>
      </c>
      <c r="DH39" s="257" t="str">
        <f t="shared" si="35"/>
        <v/>
      </c>
      <c r="DI39" s="257" t="str">
        <f t="shared" si="36"/>
        <v/>
      </c>
      <c r="DJ39" s="257" t="str">
        <f t="shared" si="37"/>
        <v/>
      </c>
      <c r="DK39" s="569" t="str">
        <f t="shared" si="38"/>
        <v/>
      </c>
      <c r="DL39" s="291" t="str">
        <f t="shared" si="39"/>
        <v xml:space="preserve">  </v>
      </c>
      <c r="DM39" s="243" t="str">
        <f t="shared" si="40"/>
        <v xml:space="preserve"> </v>
      </c>
      <c r="DN39" s="39"/>
      <c r="DO39" s="39"/>
      <c r="DP39" s="257">
        <f t="shared" si="41"/>
        <v>0</v>
      </c>
      <c r="DQ39" s="257">
        <f t="shared" si="42"/>
        <v>0</v>
      </c>
      <c r="DR39" s="257">
        <f t="shared" si="43"/>
        <v>0</v>
      </c>
      <c r="DS39" s="257">
        <f t="shared" si="44"/>
        <v>0</v>
      </c>
      <c r="DT39" s="257">
        <f t="shared" si="45"/>
        <v>0</v>
      </c>
      <c r="DU39" s="257">
        <f t="shared" si="46"/>
        <v>0</v>
      </c>
      <c r="DV39" s="257">
        <f t="shared" si="47"/>
        <v>0</v>
      </c>
      <c r="DW39" s="257"/>
      <c r="DX39" s="257"/>
      <c r="DY39" s="257"/>
      <c r="DZ39" s="289">
        <f t="shared" si="48"/>
        <v>0</v>
      </c>
      <c r="EA39" s="257">
        <f t="shared" si="49"/>
        <v>0</v>
      </c>
      <c r="EB39" s="257">
        <f t="shared" si="50"/>
        <v>0</v>
      </c>
      <c r="EC39" s="257">
        <f t="shared" si="51"/>
        <v>0</v>
      </c>
      <c r="ED39" s="257">
        <f t="shared" si="52"/>
        <v>0</v>
      </c>
      <c r="EE39" s="257">
        <f t="shared" si="53"/>
        <v>0</v>
      </c>
      <c r="EF39" s="257">
        <f t="shared" si="54"/>
        <v>0</v>
      </c>
      <c r="EG39" s="257">
        <f t="shared" si="55"/>
        <v>0</v>
      </c>
      <c r="EH39" s="223"/>
      <c r="EI39" s="223"/>
      <c r="EJ39" s="223"/>
      <c r="EK39" s="289">
        <f t="shared" si="56"/>
        <v>0</v>
      </c>
      <c r="EL39" s="257">
        <f t="shared" si="57"/>
        <v>0</v>
      </c>
      <c r="EM39" s="257">
        <f t="shared" si="58"/>
        <v>0</v>
      </c>
      <c r="EN39" s="257">
        <f t="shared" si="59"/>
        <v>0</v>
      </c>
      <c r="EO39" s="257">
        <f t="shared" si="60"/>
        <v>0</v>
      </c>
      <c r="EP39" s="257">
        <f t="shared" si="61"/>
        <v>0</v>
      </c>
      <c r="EQ39" s="257">
        <f t="shared" si="62"/>
        <v>0</v>
      </c>
      <c r="ER39" s="257">
        <f t="shared" si="63"/>
        <v>0</v>
      </c>
      <c r="ES39" s="223"/>
      <c r="ET39" s="223"/>
      <c r="EU39" s="223"/>
      <c r="EV39" s="289">
        <f t="shared" si="64"/>
        <v>0</v>
      </c>
      <c r="EW39" s="257">
        <f t="shared" si="65"/>
        <v>0</v>
      </c>
      <c r="EX39" s="257">
        <f t="shared" si="66"/>
        <v>0</v>
      </c>
      <c r="EY39" s="257">
        <f t="shared" si="67"/>
        <v>0</v>
      </c>
      <c r="EZ39" s="575">
        <f t="shared" si="68"/>
        <v>3</v>
      </c>
      <c r="FA39" s="506">
        <f t="shared" si="69"/>
        <v>0</v>
      </c>
      <c r="FB39" s="39" t="str">
        <f t="shared" si="70"/>
        <v/>
      </c>
      <c r="FC39" s="257">
        <f t="shared" si="71"/>
        <v>0</v>
      </c>
      <c r="FD39" s="257">
        <f t="shared" si="72"/>
        <v>0</v>
      </c>
      <c r="FE39" s="257">
        <f t="shared" si="73"/>
        <v>0</v>
      </c>
      <c r="FF39" s="575">
        <f t="shared" si="74"/>
        <v>3</v>
      </c>
      <c r="FG39" s="506">
        <f t="shared" si="75"/>
        <v>0</v>
      </c>
      <c r="FH39" s="39" t="str">
        <f t="shared" si="76"/>
        <v/>
      </c>
      <c r="FI39" s="257">
        <f t="shared" si="77"/>
        <v>0</v>
      </c>
      <c r="FJ39" s="257">
        <f t="shared" si="78"/>
        <v>0</v>
      </c>
      <c r="FK39" s="257">
        <f t="shared" si="79"/>
        <v>0</v>
      </c>
      <c r="FL39" s="575">
        <f t="shared" si="80"/>
        <v>3</v>
      </c>
      <c r="FM39" s="506">
        <f t="shared" si="81"/>
        <v>0</v>
      </c>
      <c r="FN39" s="39" t="str">
        <f t="shared" si="82"/>
        <v/>
      </c>
      <c r="FO39" s="257">
        <f t="shared" si="83"/>
        <v>0</v>
      </c>
      <c r="FP39" s="257">
        <f t="shared" si="84"/>
        <v>0</v>
      </c>
      <c r="FQ39" s="257">
        <f t="shared" si="85"/>
        <v>0</v>
      </c>
      <c r="FR39" s="575">
        <f t="shared" si="86"/>
        <v>3</v>
      </c>
      <c r="FS39" s="506">
        <f t="shared" si="87"/>
        <v>0</v>
      </c>
      <c r="FT39" s="39" t="str">
        <f t="shared" si="88"/>
        <v/>
      </c>
      <c r="FU39" s="257">
        <f t="shared" si="89"/>
        <v>0</v>
      </c>
      <c r="FV39" s="257">
        <f t="shared" si="90"/>
        <v>0</v>
      </c>
      <c r="FW39" s="257">
        <f t="shared" si="91"/>
        <v>0</v>
      </c>
      <c r="FX39" s="575">
        <f t="shared" si="92"/>
        <v>3</v>
      </c>
      <c r="FY39" s="506">
        <f t="shared" si="93"/>
        <v>0</v>
      </c>
      <c r="FZ39" s="39" t="str">
        <f t="shared" si="94"/>
        <v/>
      </c>
      <c r="GA39" s="257">
        <f t="shared" si="95"/>
        <v>0</v>
      </c>
      <c r="GB39" s="257">
        <f t="shared" si="96"/>
        <v>0</v>
      </c>
      <c r="GC39" s="257">
        <f t="shared" si="97"/>
        <v>0</v>
      </c>
      <c r="GD39" s="575">
        <f t="shared" si="98"/>
        <v>3</v>
      </c>
      <c r="GE39" s="506">
        <f t="shared" si="99"/>
        <v>0</v>
      </c>
      <c r="GF39" s="39" t="str">
        <f t="shared" si="100"/>
        <v/>
      </c>
      <c r="GG39" s="257">
        <f t="shared" si="101"/>
        <v>0</v>
      </c>
      <c r="GH39" s="257">
        <f t="shared" si="102"/>
        <v>0</v>
      </c>
      <c r="GI39" s="257">
        <f t="shared" si="103"/>
        <v>0</v>
      </c>
      <c r="GJ39" s="575">
        <f t="shared" si="104"/>
        <v>3</v>
      </c>
      <c r="GK39" s="506">
        <f t="shared" si="105"/>
        <v>0</v>
      </c>
      <c r="GL39" s="39" t="str">
        <f t="shared" si="106"/>
        <v/>
      </c>
      <c r="GM39" s="39"/>
      <c r="GN39" s="39" t="str">
        <f t="shared" si="107"/>
        <v/>
      </c>
      <c r="GO39" s="39" t="str">
        <f t="shared" si="108"/>
        <v/>
      </c>
      <c r="GP39" s="39" t="str">
        <f t="shared" si="109"/>
        <v/>
      </c>
      <c r="GQ39" s="39" t="str">
        <f t="shared" si="110"/>
        <v/>
      </c>
      <c r="GR39" s="39" t="str">
        <f t="shared" si="111"/>
        <v/>
      </c>
      <c r="GS39" s="39" t="str">
        <f t="shared" si="112"/>
        <v/>
      </c>
      <c r="GT39" s="257" t="str">
        <f t="shared" si="113"/>
        <v/>
      </c>
      <c r="GU39" s="579" t="str">
        <f t="shared" si="114"/>
        <v/>
      </c>
      <c r="GV39" s="289">
        <f t="shared" si="115"/>
        <v>0</v>
      </c>
      <c r="GW39" s="289">
        <f t="shared" si="116"/>
        <v>0</v>
      </c>
      <c r="GX39" s="289">
        <f>SISWA!E37</f>
        <v>0</v>
      </c>
      <c r="GY39" s="223" t="str">
        <f t="shared" si="117"/>
        <v/>
      </c>
      <c r="GZ39" s="580" t="str">
        <f t="shared" si="118"/>
        <v/>
      </c>
      <c r="HA39" s="580" t="str">
        <f t="shared" si="119"/>
        <v/>
      </c>
      <c r="HB39" s="580" t="str">
        <f t="shared" si="120"/>
        <v/>
      </c>
      <c r="HC39" s="580" t="str">
        <f t="shared" si="121"/>
        <v/>
      </c>
      <c r="HD39" s="580" t="str">
        <f t="shared" si="122"/>
        <v/>
      </c>
      <c r="HE39" s="580" t="str">
        <f t="shared" si="123"/>
        <v/>
      </c>
      <c r="HF39" s="580" t="str">
        <f t="shared" si="124"/>
        <v/>
      </c>
      <c r="HG39" s="580"/>
      <c r="HH39" s="580"/>
      <c r="HI39" s="580"/>
      <c r="HJ39" s="580"/>
      <c r="HK39" s="223">
        <f t="shared" si="125"/>
        <v>0</v>
      </c>
      <c r="HL39" s="289" t="e">
        <f t="shared" si="126"/>
        <v>#N/A</v>
      </c>
      <c r="HM39" s="576" t="e">
        <f>IF(GV39&gt;100,"",IF(GV39&gt;DP$1,"sangat baik dalam "&amp;HL39,IF(GV39&gt;=DP$2,"baik dalam "&amp;HL39,IF(GV39&gt;=DP$3,"cukup dalam "&amp;HL39,IF(GV39&lt;DP$3,"dengan bimbingan dapat meningkatkan dalam "&amp;HL39,IF(GV39&lt;1," ",””))))))</f>
        <v>#N/A</v>
      </c>
      <c r="HN39" s="223"/>
      <c r="HO39" s="223" t="str">
        <f t="shared" si="127"/>
        <v/>
      </c>
      <c r="HP39" s="223" t="str">
        <f t="shared" si="128"/>
        <v/>
      </c>
      <c r="HQ39" s="223" t="str">
        <f t="shared" si="129"/>
        <v/>
      </c>
      <c r="HR39" s="223" t="str">
        <f t="shared" si="130"/>
        <v/>
      </c>
      <c r="HS39" s="223" t="str">
        <f t="shared" si="131"/>
        <v/>
      </c>
      <c r="HT39" s="223" t="str">
        <f t="shared" si="132"/>
        <v/>
      </c>
      <c r="HU39" s="223" t="str">
        <f t="shared" si="133"/>
        <v/>
      </c>
      <c r="HV39" s="223"/>
      <c r="HW39" s="223"/>
      <c r="HX39" s="223"/>
      <c r="HY39" s="223"/>
      <c r="HZ39" s="223" t="e">
        <f t="shared" si="134"/>
        <v>#N/A</v>
      </c>
      <c r="IA39" s="577" t="e">
        <f>IF(GW39&gt;100,"",IF(GW39&gt;=DP$1,"sangat baik dalam "&amp;HZ39,IF(GW39&gt;=DP$2,"baik dalam "&amp;HZ39,IF(GW39&gt;=DP$3,"cukup dalam "&amp;HZ39,IF(GW39&lt;DP$3,"dengan bimbingan dapat meningkatkan dalam "&amp;HZ39,IF(GW39&lt;1," ",””))))))</f>
        <v>#N/A</v>
      </c>
      <c r="IB39" s="223" t="e">
        <f t="shared" si="135"/>
        <v>#N/A</v>
      </c>
    </row>
    <row r="40" spans="1:236">
      <c r="A40" s="39">
        <v>33</v>
      </c>
      <c r="B40" s="290">
        <f>SISWA!B38</f>
        <v>0</v>
      </c>
      <c r="C40" s="123"/>
      <c r="D40" s="123"/>
      <c r="E40" s="123"/>
      <c r="F40" s="123"/>
      <c r="G40" s="123"/>
      <c r="H40" s="123"/>
      <c r="I40" s="123"/>
      <c r="J40" s="255"/>
      <c r="K40" s="255"/>
      <c r="L40" s="255"/>
      <c r="M40" s="255"/>
      <c r="N40" s="255"/>
      <c r="O40" s="255"/>
      <c r="P40" s="255"/>
      <c r="Q40" s="256"/>
      <c r="R40" s="256"/>
      <c r="S40" s="256"/>
      <c r="T40" s="256"/>
      <c r="U40" s="256"/>
      <c r="V40" s="256"/>
      <c r="W40" s="256"/>
      <c r="X40" s="123"/>
      <c r="Y40" s="123"/>
      <c r="Z40" s="123"/>
      <c r="AA40" s="123"/>
      <c r="AB40" s="123"/>
      <c r="AC40" s="123"/>
      <c r="AD40" s="123"/>
      <c r="AE40" s="255"/>
      <c r="AF40" s="255"/>
      <c r="AG40" s="255"/>
      <c r="AH40" s="255"/>
      <c r="AI40" s="255"/>
      <c r="AJ40" s="255"/>
      <c r="AK40" s="255"/>
      <c r="AL40" s="256"/>
      <c r="AM40" s="256"/>
      <c r="AN40" s="256"/>
      <c r="AO40" s="256"/>
      <c r="AP40" s="256"/>
      <c r="AQ40" s="256"/>
      <c r="AR40" s="256"/>
      <c r="AS40" s="123"/>
      <c r="AT40" s="123"/>
      <c r="AU40" s="123"/>
      <c r="AV40" s="123"/>
      <c r="AW40" s="123"/>
      <c r="AX40" s="123"/>
      <c r="AY40" s="123"/>
      <c r="AZ40" s="255"/>
      <c r="BA40" s="255"/>
      <c r="BB40" s="255"/>
      <c r="BC40" s="255"/>
      <c r="BD40" s="255"/>
      <c r="BE40" s="255"/>
      <c r="BF40" s="255"/>
      <c r="BG40" s="256"/>
      <c r="BH40" s="256"/>
      <c r="BI40" s="256"/>
      <c r="BJ40" s="256"/>
      <c r="BK40" s="256"/>
      <c r="BL40" s="256"/>
      <c r="BM40" s="256"/>
      <c r="BN40" s="123"/>
      <c r="BO40" s="123"/>
      <c r="BP40" s="123"/>
      <c r="BQ40" s="123"/>
      <c r="BR40" s="123"/>
      <c r="BS40" s="123"/>
      <c r="BT40" s="123"/>
      <c r="BU40" s="255"/>
      <c r="BV40" s="255"/>
      <c r="BW40" s="255"/>
      <c r="BX40" s="255"/>
      <c r="BY40" s="255"/>
      <c r="BZ40" s="255"/>
      <c r="CA40" s="255"/>
      <c r="CB40" s="256"/>
      <c r="CC40" s="256"/>
      <c r="CD40" s="256"/>
      <c r="CE40" s="256"/>
      <c r="CF40" s="256"/>
      <c r="CG40" s="256"/>
      <c r="CH40" s="256"/>
      <c r="CI40" s="458"/>
      <c r="CJ40" s="458"/>
      <c r="CK40" s="458"/>
      <c r="CL40" s="458"/>
      <c r="CM40" s="458"/>
      <c r="CN40" s="458"/>
      <c r="CO40" s="458"/>
      <c r="CP40" s="457"/>
      <c r="CQ40" s="457"/>
      <c r="CR40" s="457"/>
      <c r="CS40" s="457"/>
      <c r="CT40" s="457"/>
      <c r="CU40" s="457"/>
      <c r="CV40" s="457"/>
      <c r="CW40" s="256"/>
      <c r="CX40" s="256"/>
      <c r="CY40" s="256"/>
      <c r="CZ40" s="256"/>
      <c r="DA40" s="256"/>
      <c r="DB40" s="256"/>
      <c r="DC40" s="256"/>
      <c r="DD40" s="257" t="str">
        <f t="shared" si="31"/>
        <v/>
      </c>
      <c r="DE40" s="257" t="str">
        <f t="shared" si="32"/>
        <v/>
      </c>
      <c r="DF40" s="257" t="str">
        <f t="shared" si="33"/>
        <v/>
      </c>
      <c r="DG40" s="257" t="str">
        <f t="shared" si="34"/>
        <v/>
      </c>
      <c r="DH40" s="257" t="str">
        <f t="shared" si="35"/>
        <v/>
      </c>
      <c r="DI40" s="257" t="str">
        <f t="shared" si="36"/>
        <v/>
      </c>
      <c r="DJ40" s="257" t="str">
        <f t="shared" si="37"/>
        <v/>
      </c>
      <c r="DK40" s="569" t="str">
        <f t="shared" si="38"/>
        <v/>
      </c>
      <c r="DL40" s="291" t="str">
        <f t="shared" si="39"/>
        <v xml:space="preserve">  </v>
      </c>
      <c r="DM40" s="243" t="str">
        <f t="shared" si="40"/>
        <v xml:space="preserve"> </v>
      </c>
      <c r="DN40" s="39"/>
      <c r="DO40" s="39"/>
      <c r="DP40" s="257">
        <f t="shared" si="41"/>
        <v>0</v>
      </c>
      <c r="DQ40" s="257">
        <f t="shared" si="42"/>
        <v>0</v>
      </c>
      <c r="DR40" s="257">
        <f t="shared" si="43"/>
        <v>0</v>
      </c>
      <c r="DS40" s="257">
        <f t="shared" si="44"/>
        <v>0</v>
      </c>
      <c r="DT40" s="257">
        <f t="shared" si="45"/>
        <v>0</v>
      </c>
      <c r="DU40" s="257">
        <f t="shared" si="46"/>
        <v>0</v>
      </c>
      <c r="DV40" s="257">
        <f t="shared" si="47"/>
        <v>0</v>
      </c>
      <c r="DW40" s="257"/>
      <c r="DX40" s="257"/>
      <c r="DY40" s="257"/>
      <c r="DZ40" s="289">
        <f t="shared" si="48"/>
        <v>0</v>
      </c>
      <c r="EA40" s="257">
        <f t="shared" si="49"/>
        <v>0</v>
      </c>
      <c r="EB40" s="257">
        <f t="shared" si="50"/>
        <v>0</v>
      </c>
      <c r="EC40" s="257">
        <f t="shared" si="51"/>
        <v>0</v>
      </c>
      <c r="ED40" s="257">
        <f t="shared" si="52"/>
        <v>0</v>
      </c>
      <c r="EE40" s="257">
        <f t="shared" si="53"/>
        <v>0</v>
      </c>
      <c r="EF40" s="257">
        <f t="shared" si="54"/>
        <v>0</v>
      </c>
      <c r="EG40" s="257">
        <f t="shared" si="55"/>
        <v>0</v>
      </c>
      <c r="EH40" s="223"/>
      <c r="EI40" s="223"/>
      <c r="EJ40" s="223"/>
      <c r="EK40" s="289">
        <f t="shared" si="56"/>
        <v>0</v>
      </c>
      <c r="EL40" s="257">
        <f t="shared" si="57"/>
        <v>0</v>
      </c>
      <c r="EM40" s="257">
        <f t="shared" si="58"/>
        <v>0</v>
      </c>
      <c r="EN40" s="257">
        <f t="shared" si="59"/>
        <v>0</v>
      </c>
      <c r="EO40" s="257">
        <f t="shared" si="60"/>
        <v>0</v>
      </c>
      <c r="EP40" s="257">
        <f t="shared" si="61"/>
        <v>0</v>
      </c>
      <c r="EQ40" s="257">
        <f t="shared" si="62"/>
        <v>0</v>
      </c>
      <c r="ER40" s="257">
        <f t="shared" si="63"/>
        <v>0</v>
      </c>
      <c r="ES40" s="223"/>
      <c r="ET40" s="223"/>
      <c r="EU40" s="223"/>
      <c r="EV40" s="289">
        <f t="shared" si="64"/>
        <v>0</v>
      </c>
      <c r="EW40" s="257">
        <f t="shared" si="65"/>
        <v>0</v>
      </c>
      <c r="EX40" s="257">
        <f t="shared" si="66"/>
        <v>0</v>
      </c>
      <c r="EY40" s="257">
        <f t="shared" si="67"/>
        <v>0</v>
      </c>
      <c r="EZ40" s="575">
        <f t="shared" si="68"/>
        <v>3</v>
      </c>
      <c r="FA40" s="506">
        <f t="shared" si="69"/>
        <v>0</v>
      </c>
      <c r="FB40" s="39" t="str">
        <f t="shared" si="70"/>
        <v/>
      </c>
      <c r="FC40" s="257">
        <f t="shared" si="71"/>
        <v>0</v>
      </c>
      <c r="FD40" s="257">
        <f t="shared" si="72"/>
        <v>0</v>
      </c>
      <c r="FE40" s="257">
        <f t="shared" si="73"/>
        <v>0</v>
      </c>
      <c r="FF40" s="575">
        <f t="shared" si="74"/>
        <v>3</v>
      </c>
      <c r="FG40" s="506">
        <f t="shared" si="75"/>
        <v>0</v>
      </c>
      <c r="FH40" s="39" t="str">
        <f t="shared" si="76"/>
        <v/>
      </c>
      <c r="FI40" s="257">
        <f t="shared" si="77"/>
        <v>0</v>
      </c>
      <c r="FJ40" s="257">
        <f t="shared" si="78"/>
        <v>0</v>
      </c>
      <c r="FK40" s="257">
        <f t="shared" si="79"/>
        <v>0</v>
      </c>
      <c r="FL40" s="575">
        <f t="shared" si="80"/>
        <v>3</v>
      </c>
      <c r="FM40" s="506">
        <f t="shared" si="81"/>
        <v>0</v>
      </c>
      <c r="FN40" s="39" t="str">
        <f t="shared" si="82"/>
        <v/>
      </c>
      <c r="FO40" s="257">
        <f t="shared" si="83"/>
        <v>0</v>
      </c>
      <c r="FP40" s="257">
        <f t="shared" si="84"/>
        <v>0</v>
      </c>
      <c r="FQ40" s="257">
        <f t="shared" si="85"/>
        <v>0</v>
      </c>
      <c r="FR40" s="575">
        <f t="shared" si="86"/>
        <v>3</v>
      </c>
      <c r="FS40" s="506">
        <f t="shared" si="87"/>
        <v>0</v>
      </c>
      <c r="FT40" s="39" t="str">
        <f t="shared" si="88"/>
        <v/>
      </c>
      <c r="FU40" s="257">
        <f t="shared" si="89"/>
        <v>0</v>
      </c>
      <c r="FV40" s="257">
        <f t="shared" si="90"/>
        <v>0</v>
      </c>
      <c r="FW40" s="257">
        <f t="shared" si="91"/>
        <v>0</v>
      </c>
      <c r="FX40" s="575">
        <f t="shared" si="92"/>
        <v>3</v>
      </c>
      <c r="FY40" s="506">
        <f t="shared" si="93"/>
        <v>0</v>
      </c>
      <c r="FZ40" s="39" t="str">
        <f t="shared" si="94"/>
        <v/>
      </c>
      <c r="GA40" s="257">
        <f t="shared" si="95"/>
        <v>0</v>
      </c>
      <c r="GB40" s="257">
        <f t="shared" si="96"/>
        <v>0</v>
      </c>
      <c r="GC40" s="257">
        <f t="shared" si="97"/>
        <v>0</v>
      </c>
      <c r="GD40" s="575">
        <f t="shared" si="98"/>
        <v>3</v>
      </c>
      <c r="GE40" s="506">
        <f t="shared" si="99"/>
        <v>0</v>
      </c>
      <c r="GF40" s="39" t="str">
        <f t="shared" si="100"/>
        <v/>
      </c>
      <c r="GG40" s="257">
        <f t="shared" si="101"/>
        <v>0</v>
      </c>
      <c r="GH40" s="257">
        <f t="shared" si="102"/>
        <v>0</v>
      </c>
      <c r="GI40" s="257">
        <f t="shared" si="103"/>
        <v>0</v>
      </c>
      <c r="GJ40" s="575">
        <f t="shared" si="104"/>
        <v>3</v>
      </c>
      <c r="GK40" s="506">
        <f t="shared" si="105"/>
        <v>0</v>
      </c>
      <c r="GL40" s="39" t="str">
        <f t="shared" si="106"/>
        <v/>
      </c>
      <c r="GM40" s="39"/>
      <c r="GN40" s="39" t="str">
        <f t="shared" si="107"/>
        <v/>
      </c>
      <c r="GO40" s="39" t="str">
        <f t="shared" si="108"/>
        <v/>
      </c>
      <c r="GP40" s="39" t="str">
        <f t="shared" si="109"/>
        <v/>
      </c>
      <c r="GQ40" s="39" t="str">
        <f t="shared" si="110"/>
        <v/>
      </c>
      <c r="GR40" s="39" t="str">
        <f t="shared" si="111"/>
        <v/>
      </c>
      <c r="GS40" s="39" t="str">
        <f t="shared" si="112"/>
        <v/>
      </c>
      <c r="GT40" s="257" t="str">
        <f t="shared" si="113"/>
        <v/>
      </c>
      <c r="GU40" s="579" t="str">
        <f t="shared" si="114"/>
        <v/>
      </c>
      <c r="GV40" s="289">
        <f t="shared" si="115"/>
        <v>0</v>
      </c>
      <c r="GW40" s="289">
        <f t="shared" si="116"/>
        <v>0</v>
      </c>
      <c r="GX40" s="289">
        <f>SISWA!E38</f>
        <v>0</v>
      </c>
      <c r="GY40" s="223" t="str">
        <f t="shared" si="117"/>
        <v/>
      </c>
      <c r="GZ40" s="580" t="str">
        <f t="shared" si="118"/>
        <v/>
      </c>
      <c r="HA40" s="580" t="str">
        <f t="shared" si="119"/>
        <v/>
      </c>
      <c r="HB40" s="580" t="str">
        <f t="shared" si="120"/>
        <v/>
      </c>
      <c r="HC40" s="580" t="str">
        <f t="shared" si="121"/>
        <v/>
      </c>
      <c r="HD40" s="580" t="str">
        <f t="shared" si="122"/>
        <v/>
      </c>
      <c r="HE40" s="580" t="str">
        <f t="shared" si="123"/>
        <v/>
      </c>
      <c r="HF40" s="580" t="str">
        <f t="shared" si="124"/>
        <v/>
      </c>
      <c r="HG40" s="580"/>
      <c r="HH40" s="580"/>
      <c r="HI40" s="580"/>
      <c r="HJ40" s="580"/>
      <c r="HK40" s="223">
        <f t="shared" si="125"/>
        <v>0</v>
      </c>
      <c r="HL40" s="289" t="e">
        <f t="shared" si="126"/>
        <v>#N/A</v>
      </c>
      <c r="HM40" s="576" t="e">
        <f>IF(GV40&gt;100,"",IF(GV40&gt;DP$1,"sangat baik dalam "&amp;HL40,IF(GV40&gt;=DP$2,"baik dalam "&amp;HL40,IF(GV40&gt;=DP$3,"cukup dalam "&amp;HL40,IF(GV40&lt;DP$3,"dengan bimbingan dapat meningkatkan dalam "&amp;HL40,IF(GV40&lt;1," ",””))))))</f>
        <v>#N/A</v>
      </c>
      <c r="HN40" s="223"/>
      <c r="HO40" s="223" t="str">
        <f t="shared" si="127"/>
        <v/>
      </c>
      <c r="HP40" s="223" t="str">
        <f t="shared" si="128"/>
        <v/>
      </c>
      <c r="HQ40" s="223" t="str">
        <f t="shared" si="129"/>
        <v/>
      </c>
      <c r="HR40" s="223" t="str">
        <f t="shared" si="130"/>
        <v/>
      </c>
      <c r="HS40" s="223" t="str">
        <f t="shared" si="131"/>
        <v/>
      </c>
      <c r="HT40" s="223" t="str">
        <f t="shared" si="132"/>
        <v/>
      </c>
      <c r="HU40" s="223" t="str">
        <f t="shared" si="133"/>
        <v/>
      </c>
      <c r="HV40" s="223"/>
      <c r="HW40" s="223"/>
      <c r="HX40" s="223"/>
      <c r="HY40" s="223"/>
      <c r="HZ40" s="223" t="e">
        <f t="shared" si="134"/>
        <v>#N/A</v>
      </c>
      <c r="IA40" s="577" t="e">
        <f>IF(GW40&gt;100,"",IF(GW40&gt;=DP$1,"sangat baik dalam "&amp;HZ40,IF(GW40&gt;=DP$2,"baik dalam "&amp;HZ40,IF(GW40&gt;=DP$3,"cukup dalam "&amp;HZ40,IF(GW40&lt;DP$3,"dengan bimbingan dapat meningkatkan dalam "&amp;HZ40,IF(GW40&lt;1," ",””))))))</f>
        <v>#N/A</v>
      </c>
      <c r="IB40" s="223" t="e">
        <f t="shared" si="135"/>
        <v>#N/A</v>
      </c>
    </row>
    <row r="41" spans="1:236">
      <c r="A41" s="39">
        <v>34</v>
      </c>
      <c r="B41" s="290">
        <f>SISWA!B39</f>
        <v>0</v>
      </c>
      <c r="C41" s="123"/>
      <c r="D41" s="123"/>
      <c r="E41" s="123"/>
      <c r="F41" s="123"/>
      <c r="G41" s="123"/>
      <c r="H41" s="123"/>
      <c r="I41" s="123"/>
      <c r="J41" s="255"/>
      <c r="K41" s="255"/>
      <c r="L41" s="255"/>
      <c r="M41" s="255"/>
      <c r="N41" s="255"/>
      <c r="O41" s="255"/>
      <c r="P41" s="255"/>
      <c r="Q41" s="256"/>
      <c r="R41" s="256"/>
      <c r="S41" s="256"/>
      <c r="T41" s="256"/>
      <c r="U41" s="256"/>
      <c r="V41" s="256"/>
      <c r="W41" s="256"/>
      <c r="X41" s="123"/>
      <c r="Y41" s="123"/>
      <c r="Z41" s="123"/>
      <c r="AA41" s="123"/>
      <c r="AB41" s="123"/>
      <c r="AC41" s="123"/>
      <c r="AD41" s="123"/>
      <c r="AE41" s="255"/>
      <c r="AF41" s="255"/>
      <c r="AG41" s="255"/>
      <c r="AH41" s="255"/>
      <c r="AI41" s="255"/>
      <c r="AJ41" s="255"/>
      <c r="AK41" s="255"/>
      <c r="AL41" s="256"/>
      <c r="AM41" s="256"/>
      <c r="AN41" s="256"/>
      <c r="AO41" s="256"/>
      <c r="AP41" s="256"/>
      <c r="AQ41" s="256"/>
      <c r="AR41" s="256"/>
      <c r="AS41" s="123"/>
      <c r="AT41" s="123"/>
      <c r="AU41" s="123"/>
      <c r="AV41" s="123"/>
      <c r="AW41" s="123"/>
      <c r="AX41" s="123"/>
      <c r="AY41" s="123"/>
      <c r="AZ41" s="255"/>
      <c r="BA41" s="255"/>
      <c r="BB41" s="255"/>
      <c r="BC41" s="255"/>
      <c r="BD41" s="255"/>
      <c r="BE41" s="255"/>
      <c r="BF41" s="255"/>
      <c r="BG41" s="256"/>
      <c r="BH41" s="256"/>
      <c r="BI41" s="256"/>
      <c r="BJ41" s="256"/>
      <c r="BK41" s="256"/>
      <c r="BL41" s="256"/>
      <c r="BM41" s="256"/>
      <c r="BN41" s="123"/>
      <c r="BO41" s="123"/>
      <c r="BP41" s="123"/>
      <c r="BQ41" s="123"/>
      <c r="BR41" s="123"/>
      <c r="BS41" s="123"/>
      <c r="BT41" s="123"/>
      <c r="BU41" s="255"/>
      <c r="BV41" s="255"/>
      <c r="BW41" s="255"/>
      <c r="BX41" s="255"/>
      <c r="BY41" s="255"/>
      <c r="BZ41" s="255"/>
      <c r="CA41" s="255"/>
      <c r="CB41" s="256"/>
      <c r="CC41" s="256"/>
      <c r="CD41" s="256"/>
      <c r="CE41" s="256"/>
      <c r="CF41" s="256"/>
      <c r="CG41" s="256"/>
      <c r="CH41" s="256"/>
      <c r="CI41" s="458"/>
      <c r="CJ41" s="458"/>
      <c r="CK41" s="458"/>
      <c r="CL41" s="458"/>
      <c r="CM41" s="458"/>
      <c r="CN41" s="458"/>
      <c r="CO41" s="458"/>
      <c r="CP41" s="457"/>
      <c r="CQ41" s="457"/>
      <c r="CR41" s="457"/>
      <c r="CS41" s="457"/>
      <c r="CT41" s="457"/>
      <c r="CU41" s="457"/>
      <c r="CV41" s="457"/>
      <c r="CW41" s="256"/>
      <c r="CX41" s="256"/>
      <c r="CY41" s="256"/>
      <c r="CZ41" s="256"/>
      <c r="DA41" s="256"/>
      <c r="DB41" s="256"/>
      <c r="DC41" s="256"/>
      <c r="DD41" s="257" t="str">
        <f t="shared" si="31"/>
        <v/>
      </c>
      <c r="DE41" s="257" t="str">
        <f t="shared" si="32"/>
        <v/>
      </c>
      <c r="DF41" s="257" t="str">
        <f t="shared" si="33"/>
        <v/>
      </c>
      <c r="DG41" s="257" t="str">
        <f t="shared" si="34"/>
        <v/>
      </c>
      <c r="DH41" s="257" t="str">
        <f t="shared" si="35"/>
        <v/>
      </c>
      <c r="DI41" s="257" t="str">
        <f t="shared" si="36"/>
        <v/>
      </c>
      <c r="DJ41" s="257" t="str">
        <f t="shared" si="37"/>
        <v/>
      </c>
      <c r="DK41" s="569" t="str">
        <f t="shared" si="38"/>
        <v/>
      </c>
      <c r="DL41" s="291" t="str">
        <f t="shared" si="39"/>
        <v xml:space="preserve">  </v>
      </c>
      <c r="DM41" s="243" t="str">
        <f t="shared" si="40"/>
        <v xml:space="preserve"> </v>
      </c>
      <c r="DN41" s="39"/>
      <c r="DO41" s="39"/>
      <c r="DP41" s="257">
        <f t="shared" si="41"/>
        <v>0</v>
      </c>
      <c r="DQ41" s="257">
        <f t="shared" si="42"/>
        <v>0</v>
      </c>
      <c r="DR41" s="257">
        <f t="shared" si="43"/>
        <v>0</v>
      </c>
      <c r="DS41" s="257">
        <f t="shared" si="44"/>
        <v>0</v>
      </c>
      <c r="DT41" s="257">
        <f t="shared" si="45"/>
        <v>0</v>
      </c>
      <c r="DU41" s="257">
        <f t="shared" si="46"/>
        <v>0</v>
      </c>
      <c r="DV41" s="257">
        <f t="shared" si="47"/>
        <v>0</v>
      </c>
      <c r="DW41" s="257"/>
      <c r="DX41" s="257"/>
      <c r="DY41" s="257"/>
      <c r="DZ41" s="289">
        <f t="shared" si="48"/>
        <v>0</v>
      </c>
      <c r="EA41" s="257">
        <f t="shared" si="49"/>
        <v>0</v>
      </c>
      <c r="EB41" s="257">
        <f t="shared" si="50"/>
        <v>0</v>
      </c>
      <c r="EC41" s="257">
        <f t="shared" si="51"/>
        <v>0</v>
      </c>
      <c r="ED41" s="257">
        <f t="shared" si="52"/>
        <v>0</v>
      </c>
      <c r="EE41" s="257">
        <f t="shared" si="53"/>
        <v>0</v>
      </c>
      <c r="EF41" s="257">
        <f t="shared" si="54"/>
        <v>0</v>
      </c>
      <c r="EG41" s="257">
        <f t="shared" si="55"/>
        <v>0</v>
      </c>
      <c r="EH41" s="223"/>
      <c r="EI41" s="223"/>
      <c r="EJ41" s="223"/>
      <c r="EK41" s="289">
        <f t="shared" si="56"/>
        <v>0</v>
      </c>
      <c r="EL41" s="257">
        <f t="shared" si="57"/>
        <v>0</v>
      </c>
      <c r="EM41" s="257">
        <f t="shared" si="58"/>
        <v>0</v>
      </c>
      <c r="EN41" s="257">
        <f t="shared" si="59"/>
        <v>0</v>
      </c>
      <c r="EO41" s="257">
        <f t="shared" si="60"/>
        <v>0</v>
      </c>
      <c r="EP41" s="257">
        <f t="shared" si="61"/>
        <v>0</v>
      </c>
      <c r="EQ41" s="257">
        <f t="shared" si="62"/>
        <v>0</v>
      </c>
      <c r="ER41" s="257">
        <f t="shared" si="63"/>
        <v>0</v>
      </c>
      <c r="ES41" s="223"/>
      <c r="ET41" s="223"/>
      <c r="EU41" s="223"/>
      <c r="EV41" s="289">
        <f t="shared" si="64"/>
        <v>0</v>
      </c>
      <c r="EW41" s="257">
        <f t="shared" si="65"/>
        <v>0</v>
      </c>
      <c r="EX41" s="257">
        <f t="shared" si="66"/>
        <v>0</v>
      </c>
      <c r="EY41" s="257">
        <f t="shared" si="67"/>
        <v>0</v>
      </c>
      <c r="EZ41" s="575">
        <f t="shared" si="68"/>
        <v>3</v>
      </c>
      <c r="FA41" s="506">
        <f t="shared" si="69"/>
        <v>0</v>
      </c>
      <c r="FB41" s="39" t="str">
        <f t="shared" si="70"/>
        <v/>
      </c>
      <c r="FC41" s="257">
        <f t="shared" si="71"/>
        <v>0</v>
      </c>
      <c r="FD41" s="257">
        <f t="shared" si="72"/>
        <v>0</v>
      </c>
      <c r="FE41" s="257">
        <f t="shared" si="73"/>
        <v>0</v>
      </c>
      <c r="FF41" s="575">
        <f t="shared" si="74"/>
        <v>3</v>
      </c>
      <c r="FG41" s="506">
        <f t="shared" si="75"/>
        <v>0</v>
      </c>
      <c r="FH41" s="39" t="str">
        <f t="shared" si="76"/>
        <v/>
      </c>
      <c r="FI41" s="257">
        <f t="shared" si="77"/>
        <v>0</v>
      </c>
      <c r="FJ41" s="257">
        <f t="shared" si="78"/>
        <v>0</v>
      </c>
      <c r="FK41" s="257">
        <f t="shared" si="79"/>
        <v>0</v>
      </c>
      <c r="FL41" s="575">
        <f t="shared" si="80"/>
        <v>3</v>
      </c>
      <c r="FM41" s="506">
        <f t="shared" si="81"/>
        <v>0</v>
      </c>
      <c r="FN41" s="39" t="str">
        <f t="shared" si="82"/>
        <v/>
      </c>
      <c r="FO41" s="257">
        <f t="shared" si="83"/>
        <v>0</v>
      </c>
      <c r="FP41" s="257">
        <f t="shared" si="84"/>
        <v>0</v>
      </c>
      <c r="FQ41" s="257">
        <f t="shared" si="85"/>
        <v>0</v>
      </c>
      <c r="FR41" s="575">
        <f t="shared" si="86"/>
        <v>3</v>
      </c>
      <c r="FS41" s="506">
        <f t="shared" si="87"/>
        <v>0</v>
      </c>
      <c r="FT41" s="39" t="str">
        <f t="shared" si="88"/>
        <v/>
      </c>
      <c r="FU41" s="257">
        <f t="shared" si="89"/>
        <v>0</v>
      </c>
      <c r="FV41" s="257">
        <f t="shared" si="90"/>
        <v>0</v>
      </c>
      <c r="FW41" s="257">
        <f t="shared" si="91"/>
        <v>0</v>
      </c>
      <c r="FX41" s="575">
        <f t="shared" si="92"/>
        <v>3</v>
      </c>
      <c r="FY41" s="506">
        <f t="shared" si="93"/>
        <v>0</v>
      </c>
      <c r="FZ41" s="39" t="str">
        <f t="shared" si="94"/>
        <v/>
      </c>
      <c r="GA41" s="257">
        <f t="shared" si="95"/>
        <v>0</v>
      </c>
      <c r="GB41" s="257">
        <f t="shared" si="96"/>
        <v>0</v>
      </c>
      <c r="GC41" s="257">
        <f t="shared" si="97"/>
        <v>0</v>
      </c>
      <c r="GD41" s="575">
        <f t="shared" si="98"/>
        <v>3</v>
      </c>
      <c r="GE41" s="506">
        <f t="shared" si="99"/>
        <v>0</v>
      </c>
      <c r="GF41" s="39" t="str">
        <f t="shared" si="100"/>
        <v/>
      </c>
      <c r="GG41" s="257">
        <f t="shared" si="101"/>
        <v>0</v>
      </c>
      <c r="GH41" s="257">
        <f t="shared" si="102"/>
        <v>0</v>
      </c>
      <c r="GI41" s="257">
        <f t="shared" si="103"/>
        <v>0</v>
      </c>
      <c r="GJ41" s="575">
        <f t="shared" si="104"/>
        <v>3</v>
      </c>
      <c r="GK41" s="506">
        <f t="shared" si="105"/>
        <v>0</v>
      </c>
      <c r="GL41" s="39" t="str">
        <f t="shared" si="106"/>
        <v/>
      </c>
      <c r="GM41" s="39"/>
      <c r="GN41" s="39" t="str">
        <f t="shared" si="107"/>
        <v/>
      </c>
      <c r="GO41" s="39" t="str">
        <f t="shared" si="108"/>
        <v/>
      </c>
      <c r="GP41" s="39" t="str">
        <f t="shared" si="109"/>
        <v/>
      </c>
      <c r="GQ41" s="39" t="str">
        <f t="shared" si="110"/>
        <v/>
      </c>
      <c r="GR41" s="39" t="str">
        <f t="shared" si="111"/>
        <v/>
      </c>
      <c r="GS41" s="39" t="str">
        <f t="shared" si="112"/>
        <v/>
      </c>
      <c r="GT41" s="257" t="str">
        <f t="shared" si="113"/>
        <v/>
      </c>
      <c r="GU41" s="579" t="str">
        <f t="shared" si="114"/>
        <v/>
      </c>
      <c r="GV41" s="289">
        <f t="shared" si="115"/>
        <v>0</v>
      </c>
      <c r="GW41" s="289">
        <f t="shared" si="116"/>
        <v>0</v>
      </c>
      <c r="GX41" s="289">
        <f>SISWA!E39</f>
        <v>0</v>
      </c>
      <c r="GY41" s="223" t="str">
        <f t="shared" si="117"/>
        <v/>
      </c>
      <c r="GZ41" s="580" t="str">
        <f t="shared" si="118"/>
        <v/>
      </c>
      <c r="HA41" s="580" t="str">
        <f t="shared" si="119"/>
        <v/>
      </c>
      <c r="HB41" s="580" t="str">
        <f t="shared" si="120"/>
        <v/>
      </c>
      <c r="HC41" s="580" t="str">
        <f t="shared" si="121"/>
        <v/>
      </c>
      <c r="HD41" s="580" t="str">
        <f t="shared" si="122"/>
        <v/>
      </c>
      <c r="HE41" s="580" t="str">
        <f t="shared" si="123"/>
        <v/>
      </c>
      <c r="HF41" s="580" t="str">
        <f t="shared" si="124"/>
        <v/>
      </c>
      <c r="HG41" s="580"/>
      <c r="HH41" s="580"/>
      <c r="HI41" s="580"/>
      <c r="HJ41" s="580"/>
      <c r="HK41" s="223">
        <f t="shared" si="125"/>
        <v>0</v>
      </c>
      <c r="HL41" s="289" t="e">
        <f t="shared" si="126"/>
        <v>#N/A</v>
      </c>
      <c r="HM41" s="576" t="e">
        <f>IF(GV41&gt;100,"",IF(GV41&gt;DP$1,"sangat baik dalam "&amp;HL41,IF(GV41&gt;=DP$2,"baik dalam "&amp;HL41,IF(GV41&gt;=DP$3,"cukup dalam "&amp;HL41,IF(GV41&lt;DP$3,"dengan bimbingan dapat meningkatkan dalam "&amp;HL41,IF(GV41&lt;1," ",””))))))</f>
        <v>#N/A</v>
      </c>
      <c r="HN41" s="223"/>
      <c r="HO41" s="223" t="str">
        <f t="shared" si="127"/>
        <v/>
      </c>
      <c r="HP41" s="223" t="str">
        <f t="shared" si="128"/>
        <v/>
      </c>
      <c r="HQ41" s="223" t="str">
        <f t="shared" si="129"/>
        <v/>
      </c>
      <c r="HR41" s="223" t="str">
        <f t="shared" si="130"/>
        <v/>
      </c>
      <c r="HS41" s="223" t="str">
        <f t="shared" si="131"/>
        <v/>
      </c>
      <c r="HT41" s="223" t="str">
        <f t="shared" si="132"/>
        <v/>
      </c>
      <c r="HU41" s="223" t="str">
        <f t="shared" si="133"/>
        <v/>
      </c>
      <c r="HV41" s="223"/>
      <c r="HW41" s="223"/>
      <c r="HX41" s="223"/>
      <c r="HY41" s="223"/>
      <c r="HZ41" s="223" t="e">
        <f t="shared" si="134"/>
        <v>#N/A</v>
      </c>
      <c r="IA41" s="577" t="e">
        <f>IF(GW41&gt;100,"",IF(GW41&gt;=DP$1,"sangat baik dalam "&amp;HZ41,IF(GW41&gt;=DP$2,"baik dalam "&amp;HZ41,IF(GW41&gt;=DP$3,"cukup dalam "&amp;HZ41,IF(GW41&lt;DP$3,"dengan bimbingan dapat meningkatkan dalam "&amp;HZ41,IF(GW41&lt;1," ",””))))))</f>
        <v>#N/A</v>
      </c>
      <c r="IB41" s="223" t="e">
        <f t="shared" si="135"/>
        <v>#N/A</v>
      </c>
    </row>
    <row r="42" spans="1:236">
      <c r="A42" s="39">
        <v>35</v>
      </c>
      <c r="B42" s="290">
        <f>SISWA!B40</f>
        <v>0</v>
      </c>
      <c r="C42" s="123"/>
      <c r="D42" s="123"/>
      <c r="E42" s="123"/>
      <c r="F42" s="123"/>
      <c r="G42" s="123"/>
      <c r="H42" s="123"/>
      <c r="I42" s="123"/>
      <c r="J42" s="255"/>
      <c r="K42" s="255"/>
      <c r="L42" s="255"/>
      <c r="M42" s="255"/>
      <c r="N42" s="255"/>
      <c r="O42" s="255"/>
      <c r="P42" s="255"/>
      <c r="Q42" s="256"/>
      <c r="R42" s="256"/>
      <c r="S42" s="256"/>
      <c r="T42" s="256"/>
      <c r="U42" s="256"/>
      <c r="V42" s="256"/>
      <c r="W42" s="256"/>
      <c r="X42" s="123"/>
      <c r="Y42" s="123"/>
      <c r="Z42" s="123"/>
      <c r="AA42" s="123"/>
      <c r="AB42" s="123"/>
      <c r="AC42" s="123"/>
      <c r="AD42" s="123"/>
      <c r="AE42" s="255"/>
      <c r="AF42" s="255"/>
      <c r="AG42" s="255"/>
      <c r="AH42" s="255"/>
      <c r="AI42" s="255"/>
      <c r="AJ42" s="255"/>
      <c r="AK42" s="255"/>
      <c r="AL42" s="256"/>
      <c r="AM42" s="256"/>
      <c r="AN42" s="256"/>
      <c r="AO42" s="256"/>
      <c r="AP42" s="256"/>
      <c r="AQ42" s="256"/>
      <c r="AR42" s="256"/>
      <c r="AS42" s="123"/>
      <c r="AT42" s="123"/>
      <c r="AU42" s="123"/>
      <c r="AV42" s="123"/>
      <c r="AW42" s="123"/>
      <c r="AX42" s="123"/>
      <c r="AY42" s="123"/>
      <c r="AZ42" s="255"/>
      <c r="BA42" s="255"/>
      <c r="BB42" s="255"/>
      <c r="BC42" s="255"/>
      <c r="BD42" s="255"/>
      <c r="BE42" s="255"/>
      <c r="BF42" s="255"/>
      <c r="BG42" s="256"/>
      <c r="BH42" s="256"/>
      <c r="BI42" s="256"/>
      <c r="BJ42" s="256"/>
      <c r="BK42" s="256"/>
      <c r="BL42" s="256"/>
      <c r="BM42" s="256"/>
      <c r="BN42" s="123"/>
      <c r="BO42" s="123"/>
      <c r="BP42" s="123"/>
      <c r="BQ42" s="123"/>
      <c r="BR42" s="123"/>
      <c r="BS42" s="123"/>
      <c r="BT42" s="123"/>
      <c r="BU42" s="255"/>
      <c r="BV42" s="255"/>
      <c r="BW42" s="255"/>
      <c r="BX42" s="255"/>
      <c r="BY42" s="255"/>
      <c r="BZ42" s="255"/>
      <c r="CA42" s="255"/>
      <c r="CB42" s="256"/>
      <c r="CC42" s="256"/>
      <c r="CD42" s="256"/>
      <c r="CE42" s="256"/>
      <c r="CF42" s="256"/>
      <c r="CG42" s="256"/>
      <c r="CH42" s="256"/>
      <c r="CI42" s="458"/>
      <c r="CJ42" s="458"/>
      <c r="CK42" s="458"/>
      <c r="CL42" s="458"/>
      <c r="CM42" s="458"/>
      <c r="CN42" s="458"/>
      <c r="CO42" s="458"/>
      <c r="CP42" s="457"/>
      <c r="CQ42" s="457"/>
      <c r="CR42" s="457"/>
      <c r="CS42" s="457"/>
      <c r="CT42" s="457"/>
      <c r="CU42" s="457"/>
      <c r="CV42" s="457"/>
      <c r="CW42" s="256"/>
      <c r="CX42" s="256"/>
      <c r="CY42" s="256"/>
      <c r="CZ42" s="256"/>
      <c r="DA42" s="256"/>
      <c r="DB42" s="256"/>
      <c r="DC42" s="256"/>
      <c r="DD42" s="257" t="str">
        <f t="shared" si="31"/>
        <v/>
      </c>
      <c r="DE42" s="257" t="str">
        <f t="shared" si="32"/>
        <v/>
      </c>
      <c r="DF42" s="257" t="str">
        <f t="shared" si="33"/>
        <v/>
      </c>
      <c r="DG42" s="257" t="str">
        <f t="shared" si="34"/>
        <v/>
      </c>
      <c r="DH42" s="257" t="str">
        <f t="shared" si="35"/>
        <v/>
      </c>
      <c r="DI42" s="257" t="str">
        <f t="shared" si="36"/>
        <v/>
      </c>
      <c r="DJ42" s="257" t="str">
        <f t="shared" si="37"/>
        <v/>
      </c>
      <c r="DK42" s="569" t="str">
        <f t="shared" si="38"/>
        <v/>
      </c>
      <c r="DL42" s="291" t="str">
        <f t="shared" si="39"/>
        <v xml:space="preserve">  </v>
      </c>
      <c r="DM42" s="243" t="str">
        <f t="shared" si="40"/>
        <v xml:space="preserve"> </v>
      </c>
      <c r="DN42" s="39"/>
      <c r="DO42" s="39"/>
      <c r="DP42" s="257">
        <f t="shared" si="41"/>
        <v>0</v>
      </c>
      <c r="DQ42" s="257">
        <f t="shared" si="42"/>
        <v>0</v>
      </c>
      <c r="DR42" s="257">
        <f t="shared" si="43"/>
        <v>0</v>
      </c>
      <c r="DS42" s="257">
        <f t="shared" si="44"/>
        <v>0</v>
      </c>
      <c r="DT42" s="257">
        <f t="shared" si="45"/>
        <v>0</v>
      </c>
      <c r="DU42" s="257">
        <f t="shared" si="46"/>
        <v>0</v>
      </c>
      <c r="DV42" s="257">
        <f t="shared" si="47"/>
        <v>0</v>
      </c>
      <c r="DW42" s="257"/>
      <c r="DX42" s="257"/>
      <c r="DY42" s="257"/>
      <c r="DZ42" s="289">
        <f t="shared" si="48"/>
        <v>0</v>
      </c>
      <c r="EA42" s="257">
        <f t="shared" si="49"/>
        <v>0</v>
      </c>
      <c r="EB42" s="257">
        <f t="shared" si="50"/>
        <v>0</v>
      </c>
      <c r="EC42" s="257">
        <f t="shared" si="51"/>
        <v>0</v>
      </c>
      <c r="ED42" s="257">
        <f t="shared" si="52"/>
        <v>0</v>
      </c>
      <c r="EE42" s="257">
        <f t="shared" si="53"/>
        <v>0</v>
      </c>
      <c r="EF42" s="257">
        <f t="shared" si="54"/>
        <v>0</v>
      </c>
      <c r="EG42" s="257">
        <f t="shared" si="55"/>
        <v>0</v>
      </c>
      <c r="EH42" s="223"/>
      <c r="EI42" s="223"/>
      <c r="EJ42" s="223"/>
      <c r="EK42" s="289">
        <f t="shared" si="56"/>
        <v>0</v>
      </c>
      <c r="EL42" s="257">
        <f t="shared" si="57"/>
        <v>0</v>
      </c>
      <c r="EM42" s="257">
        <f t="shared" si="58"/>
        <v>0</v>
      </c>
      <c r="EN42" s="257">
        <f t="shared" si="59"/>
        <v>0</v>
      </c>
      <c r="EO42" s="257">
        <f t="shared" si="60"/>
        <v>0</v>
      </c>
      <c r="EP42" s="257">
        <f t="shared" si="61"/>
        <v>0</v>
      </c>
      <c r="EQ42" s="257">
        <f t="shared" si="62"/>
        <v>0</v>
      </c>
      <c r="ER42" s="257">
        <f t="shared" si="63"/>
        <v>0</v>
      </c>
      <c r="ES42" s="223"/>
      <c r="ET42" s="223"/>
      <c r="EU42" s="223"/>
      <c r="EV42" s="289">
        <f t="shared" si="64"/>
        <v>0</v>
      </c>
      <c r="EW42" s="257">
        <f t="shared" si="65"/>
        <v>0</v>
      </c>
      <c r="EX42" s="257">
        <f t="shared" si="66"/>
        <v>0</v>
      </c>
      <c r="EY42" s="257">
        <f t="shared" si="67"/>
        <v>0</v>
      </c>
      <c r="EZ42" s="575">
        <f t="shared" si="68"/>
        <v>3</v>
      </c>
      <c r="FA42" s="506">
        <f t="shared" si="69"/>
        <v>0</v>
      </c>
      <c r="FB42" s="39" t="str">
        <f t="shared" si="70"/>
        <v/>
      </c>
      <c r="FC42" s="257">
        <f t="shared" si="71"/>
        <v>0</v>
      </c>
      <c r="FD42" s="257">
        <f t="shared" si="72"/>
        <v>0</v>
      </c>
      <c r="FE42" s="257">
        <f t="shared" si="73"/>
        <v>0</v>
      </c>
      <c r="FF42" s="575">
        <f t="shared" si="74"/>
        <v>3</v>
      </c>
      <c r="FG42" s="506">
        <f t="shared" si="75"/>
        <v>0</v>
      </c>
      <c r="FH42" s="39" t="str">
        <f t="shared" si="76"/>
        <v/>
      </c>
      <c r="FI42" s="257">
        <f t="shared" si="77"/>
        <v>0</v>
      </c>
      <c r="FJ42" s="257">
        <f t="shared" si="78"/>
        <v>0</v>
      </c>
      <c r="FK42" s="257">
        <f t="shared" si="79"/>
        <v>0</v>
      </c>
      <c r="FL42" s="575">
        <f t="shared" si="80"/>
        <v>3</v>
      </c>
      <c r="FM42" s="506">
        <f t="shared" si="81"/>
        <v>0</v>
      </c>
      <c r="FN42" s="39" t="str">
        <f t="shared" si="82"/>
        <v/>
      </c>
      <c r="FO42" s="257">
        <f t="shared" si="83"/>
        <v>0</v>
      </c>
      <c r="FP42" s="257">
        <f t="shared" si="84"/>
        <v>0</v>
      </c>
      <c r="FQ42" s="257">
        <f t="shared" si="85"/>
        <v>0</v>
      </c>
      <c r="FR42" s="575">
        <f t="shared" si="86"/>
        <v>3</v>
      </c>
      <c r="FS42" s="506">
        <f t="shared" si="87"/>
        <v>0</v>
      </c>
      <c r="FT42" s="39" t="str">
        <f t="shared" si="88"/>
        <v/>
      </c>
      <c r="FU42" s="257">
        <f t="shared" si="89"/>
        <v>0</v>
      </c>
      <c r="FV42" s="257">
        <f t="shared" si="90"/>
        <v>0</v>
      </c>
      <c r="FW42" s="257">
        <f t="shared" si="91"/>
        <v>0</v>
      </c>
      <c r="FX42" s="575">
        <f t="shared" si="92"/>
        <v>3</v>
      </c>
      <c r="FY42" s="506">
        <f t="shared" si="93"/>
        <v>0</v>
      </c>
      <c r="FZ42" s="39" t="str">
        <f t="shared" si="94"/>
        <v/>
      </c>
      <c r="GA42" s="257">
        <f t="shared" si="95"/>
        <v>0</v>
      </c>
      <c r="GB42" s="257">
        <f t="shared" si="96"/>
        <v>0</v>
      </c>
      <c r="GC42" s="257">
        <f t="shared" si="97"/>
        <v>0</v>
      </c>
      <c r="GD42" s="575">
        <f t="shared" si="98"/>
        <v>3</v>
      </c>
      <c r="GE42" s="506">
        <f t="shared" si="99"/>
        <v>0</v>
      </c>
      <c r="GF42" s="39" t="str">
        <f t="shared" si="100"/>
        <v/>
      </c>
      <c r="GG42" s="257">
        <f t="shared" si="101"/>
        <v>0</v>
      </c>
      <c r="GH42" s="257">
        <f t="shared" si="102"/>
        <v>0</v>
      </c>
      <c r="GI42" s="257">
        <f t="shared" si="103"/>
        <v>0</v>
      </c>
      <c r="GJ42" s="575">
        <f t="shared" si="104"/>
        <v>3</v>
      </c>
      <c r="GK42" s="506">
        <f t="shared" si="105"/>
        <v>0</v>
      </c>
      <c r="GL42" s="39" t="str">
        <f t="shared" si="106"/>
        <v/>
      </c>
      <c r="GM42" s="39"/>
      <c r="GN42" s="39" t="str">
        <f t="shared" si="107"/>
        <v/>
      </c>
      <c r="GO42" s="39" t="str">
        <f t="shared" si="108"/>
        <v/>
      </c>
      <c r="GP42" s="39" t="str">
        <f t="shared" si="109"/>
        <v/>
      </c>
      <c r="GQ42" s="39" t="str">
        <f t="shared" si="110"/>
        <v/>
      </c>
      <c r="GR42" s="39" t="str">
        <f t="shared" si="111"/>
        <v/>
      </c>
      <c r="GS42" s="39" t="str">
        <f t="shared" si="112"/>
        <v/>
      </c>
      <c r="GT42" s="257" t="str">
        <f t="shared" si="113"/>
        <v/>
      </c>
      <c r="GU42" s="579" t="str">
        <f t="shared" si="114"/>
        <v/>
      </c>
      <c r="GV42" s="289">
        <f t="shared" si="115"/>
        <v>0</v>
      </c>
      <c r="GW42" s="289">
        <f t="shared" si="116"/>
        <v>0</v>
      </c>
      <c r="GX42" s="289">
        <f>SISWA!E40</f>
        <v>0</v>
      </c>
      <c r="GY42" s="223" t="str">
        <f t="shared" si="117"/>
        <v/>
      </c>
      <c r="GZ42" s="580" t="str">
        <f t="shared" si="118"/>
        <v/>
      </c>
      <c r="HA42" s="580" t="str">
        <f t="shared" si="119"/>
        <v/>
      </c>
      <c r="HB42" s="580" t="str">
        <f t="shared" si="120"/>
        <v/>
      </c>
      <c r="HC42" s="580" t="str">
        <f t="shared" si="121"/>
        <v/>
      </c>
      <c r="HD42" s="580" t="str">
        <f t="shared" si="122"/>
        <v/>
      </c>
      <c r="HE42" s="580" t="str">
        <f t="shared" si="123"/>
        <v/>
      </c>
      <c r="HF42" s="580" t="str">
        <f t="shared" si="124"/>
        <v/>
      </c>
      <c r="HG42" s="580"/>
      <c r="HH42" s="580"/>
      <c r="HI42" s="580"/>
      <c r="HJ42" s="580"/>
      <c r="HK42" s="223">
        <f t="shared" si="125"/>
        <v>0</v>
      </c>
      <c r="HL42" s="289" t="e">
        <f t="shared" si="126"/>
        <v>#N/A</v>
      </c>
      <c r="HM42" s="576" t="e">
        <f>IF(GV42&gt;100,"",IF(GV42&gt;DP$1,"sangat baik dalam "&amp;HL42,IF(GV42&gt;=DP$2,"baik dalam "&amp;HL42,IF(GV42&gt;=DP$3,"cukup dalam "&amp;HL42,IF(GV42&lt;DP$3,"dengan bimbingan dapat meningkatkan dalam "&amp;HL42,IF(GV42&lt;1," ",””))))))</f>
        <v>#N/A</v>
      </c>
      <c r="HN42" s="223"/>
      <c r="HO42" s="223" t="str">
        <f t="shared" si="127"/>
        <v/>
      </c>
      <c r="HP42" s="223" t="str">
        <f t="shared" si="128"/>
        <v/>
      </c>
      <c r="HQ42" s="223" t="str">
        <f t="shared" si="129"/>
        <v/>
      </c>
      <c r="HR42" s="223" t="str">
        <f t="shared" si="130"/>
        <v/>
      </c>
      <c r="HS42" s="223" t="str">
        <f t="shared" si="131"/>
        <v/>
      </c>
      <c r="HT42" s="223" t="str">
        <f t="shared" si="132"/>
        <v/>
      </c>
      <c r="HU42" s="223" t="str">
        <f t="shared" si="133"/>
        <v/>
      </c>
      <c r="HV42" s="223"/>
      <c r="HW42" s="223"/>
      <c r="HX42" s="223"/>
      <c r="HY42" s="223"/>
      <c r="HZ42" s="223" t="e">
        <f t="shared" si="134"/>
        <v>#N/A</v>
      </c>
      <c r="IA42" s="577" t="e">
        <f>IF(GW42&gt;100,"",IF(GW42&gt;=DP$1,"sangat baik dalam "&amp;HZ42,IF(GW42&gt;=DP$2,"baik dalam "&amp;HZ42,IF(GW42&gt;=DP$3,"cukup dalam "&amp;HZ42,IF(GW42&lt;DP$3,"dengan bimbingan dapat meningkatkan dalam "&amp;HZ42,IF(GW42&lt;1," ",””))))))</f>
        <v>#N/A</v>
      </c>
      <c r="IB42" s="223" t="e">
        <f t="shared" si="135"/>
        <v>#N/A</v>
      </c>
    </row>
    <row r="43" spans="1:236"/>
    <row r="44" spans="1:236">
      <c r="B44" s="244" t="str">
        <f>"Kompetensi Dasar "&amp;C2&amp;" :"</f>
        <v>Kompetensi Dasar PPKn :</v>
      </c>
    </row>
    <row r="45" spans="1:236">
      <c r="A45" s="366" t="str">
        <f>'KDKI-4'!A5</f>
        <v>4.1</v>
      </c>
      <c r="B45" s="366" t="str">
        <f>'KDKI-4'!B5</f>
        <v>menyajikan hasil identifikasi nilai-nilai Pancasila dalam kehidupan sehari-hari</v>
      </c>
      <c r="C45" s="300"/>
      <c r="D45" s="300"/>
      <c r="E45" s="300"/>
      <c r="F45" s="300"/>
      <c r="G45" s="300"/>
      <c r="H45" s="300"/>
      <c r="I45" s="300"/>
      <c r="J45" s="300"/>
      <c r="K45" s="300"/>
      <c r="L45" s="300"/>
      <c r="M45" s="300"/>
      <c r="N45" s="300"/>
      <c r="O45" s="300"/>
      <c r="P45" s="300"/>
      <c r="Q45" s="300"/>
      <c r="R45" s="300"/>
      <c r="S45" s="300"/>
      <c r="T45" s="300"/>
      <c r="U45" s="300"/>
      <c r="V45" s="300"/>
      <c r="W45" s="300"/>
      <c r="X45" s="300"/>
      <c r="Y45" s="300"/>
      <c r="Z45" s="300"/>
      <c r="AA45" s="300"/>
      <c r="AB45" s="300"/>
      <c r="AC45" s="300"/>
      <c r="AD45" s="300"/>
      <c r="AE45" s="300"/>
      <c r="AF45" s="300"/>
      <c r="AG45" s="300"/>
      <c r="AH45" s="300"/>
      <c r="AI45" s="300"/>
      <c r="AJ45" s="300"/>
      <c r="AK45" s="301"/>
    </row>
    <row r="46" spans="1:236">
      <c r="A46" s="366" t="str">
        <f>'KDKI-4'!A6</f>
        <v>4.2</v>
      </c>
      <c r="B46" s="366" t="str">
        <f>'KDKI-4'!B6</f>
        <v>menjelaskan hak, kewajiban, dan tanggung jawab sebagai warga masyarakat dalam kehidupan sehari-hari</v>
      </c>
      <c r="C46" s="302"/>
      <c r="D46" s="302"/>
      <c r="E46" s="302"/>
      <c r="F46" s="302"/>
      <c r="G46" s="302"/>
      <c r="H46" s="302"/>
      <c r="I46" s="302"/>
      <c r="J46" s="302"/>
      <c r="K46" s="302"/>
      <c r="L46" s="302"/>
      <c r="M46" s="302"/>
      <c r="N46" s="302"/>
      <c r="O46" s="302"/>
      <c r="P46" s="302"/>
      <c r="Q46" s="302"/>
      <c r="R46" s="302"/>
      <c r="S46" s="302"/>
      <c r="T46" s="302"/>
      <c r="U46" s="302"/>
      <c r="V46" s="302"/>
      <c r="W46" s="302"/>
      <c r="X46" s="302"/>
      <c r="Y46" s="302"/>
      <c r="Z46" s="302"/>
      <c r="AA46" s="302"/>
      <c r="AB46" s="302"/>
      <c r="AC46" s="302"/>
      <c r="AD46" s="302"/>
      <c r="AE46" s="302"/>
      <c r="AF46" s="302"/>
      <c r="AG46" s="302"/>
      <c r="AH46" s="302"/>
      <c r="AI46" s="302"/>
      <c r="AJ46" s="302"/>
      <c r="AK46" s="303"/>
    </row>
    <row r="47" spans="1:236">
      <c r="A47" s="366" t="str">
        <f>'KDKI-4'!A7</f>
        <v>4.3</v>
      </c>
      <c r="B47" s="366" t="str">
        <f>'KDKI-4'!B7</f>
        <v>menyelenggarakan kegiatan yang mendukung keberagaman sosial budaya masyarakat</v>
      </c>
      <c r="C47" s="304"/>
      <c r="D47" s="304"/>
      <c r="E47" s="304"/>
      <c r="F47" s="304"/>
      <c r="G47" s="304"/>
      <c r="H47" s="304"/>
      <c r="I47" s="304"/>
      <c r="J47" s="304"/>
      <c r="K47" s="304"/>
      <c r="L47" s="304"/>
      <c r="M47" s="304"/>
      <c r="N47" s="304"/>
      <c r="O47" s="304"/>
      <c r="P47" s="304"/>
      <c r="Q47" s="304"/>
      <c r="R47" s="304"/>
      <c r="S47" s="304"/>
      <c r="T47" s="304"/>
      <c r="U47" s="304"/>
      <c r="V47" s="304"/>
      <c r="W47" s="304"/>
      <c r="X47" s="304"/>
      <c r="Y47" s="304"/>
      <c r="Z47" s="304"/>
      <c r="AA47" s="304"/>
      <c r="AB47" s="304"/>
      <c r="AC47" s="304"/>
      <c r="AD47" s="304"/>
      <c r="AE47" s="304"/>
      <c r="AF47" s="304"/>
      <c r="AG47" s="304"/>
      <c r="AH47" s="304"/>
      <c r="AI47" s="304"/>
      <c r="AJ47" s="304"/>
      <c r="AK47" s="305"/>
    </row>
    <row r="48" spans="1:236">
      <c r="A48" s="366" t="str">
        <f>'KDKI-4'!A8</f>
        <v>4.4</v>
      </c>
      <c r="B48" s="366" t="str">
        <f>'KDKI-4'!B8</f>
        <v>menyajikan hasil penggalian tentang manfaat persatuan dan kesatuan untuk membangun kerukunan.</v>
      </c>
      <c r="C48" s="302"/>
      <c r="D48" s="302"/>
      <c r="E48" s="302"/>
      <c r="F48" s="302"/>
      <c r="G48" s="302"/>
      <c r="H48" s="302"/>
      <c r="I48" s="302"/>
      <c r="J48" s="302"/>
      <c r="K48" s="302"/>
      <c r="L48" s="302"/>
      <c r="M48" s="302"/>
      <c r="N48" s="302"/>
      <c r="O48" s="302"/>
      <c r="P48" s="302"/>
      <c r="Q48" s="302"/>
      <c r="R48" s="302"/>
      <c r="S48" s="302"/>
      <c r="T48" s="302"/>
      <c r="U48" s="302"/>
      <c r="V48" s="302"/>
      <c r="W48" s="302"/>
      <c r="X48" s="302"/>
      <c r="Y48" s="302"/>
      <c r="Z48" s="302"/>
      <c r="AA48" s="302"/>
      <c r="AB48" s="302"/>
      <c r="AC48" s="302"/>
      <c r="AD48" s="302"/>
      <c r="AE48" s="302"/>
      <c r="AF48" s="302"/>
      <c r="AG48" s="302"/>
      <c r="AH48" s="302"/>
      <c r="AI48" s="302"/>
      <c r="AJ48" s="302"/>
      <c r="AK48" s="303"/>
    </row>
    <row r="49" spans="1:37">
      <c r="A49" s="366">
        <f>'KDKI-4'!A9</f>
        <v>0</v>
      </c>
      <c r="B49" s="366">
        <f>'KDKI-4'!B9</f>
        <v>0</v>
      </c>
      <c r="C49" s="304"/>
      <c r="D49" s="304"/>
      <c r="E49" s="304"/>
      <c r="F49" s="304"/>
      <c r="G49" s="304"/>
      <c r="H49" s="304"/>
      <c r="I49" s="304"/>
      <c r="J49" s="304"/>
      <c r="K49" s="304"/>
      <c r="L49" s="304"/>
      <c r="M49" s="304"/>
      <c r="N49" s="304"/>
      <c r="O49" s="304"/>
      <c r="P49" s="304"/>
      <c r="Q49" s="304"/>
      <c r="R49" s="304"/>
      <c r="S49" s="304"/>
      <c r="T49" s="304"/>
      <c r="U49" s="304"/>
      <c r="V49" s="304"/>
      <c r="W49" s="304"/>
      <c r="X49" s="304"/>
      <c r="Y49" s="304"/>
      <c r="Z49" s="304"/>
      <c r="AA49" s="304"/>
      <c r="AB49" s="304"/>
      <c r="AC49" s="304"/>
      <c r="AD49" s="304"/>
      <c r="AE49" s="304"/>
      <c r="AF49" s="304"/>
      <c r="AG49" s="304"/>
      <c r="AH49" s="304"/>
      <c r="AI49" s="304"/>
      <c r="AJ49" s="304"/>
      <c r="AK49" s="305"/>
    </row>
    <row r="50" spans="1:37">
      <c r="A50" s="366">
        <f>'KDKI-4'!A10</f>
        <v>0</v>
      </c>
      <c r="B50" s="366">
        <f>'KDKI-4'!B10</f>
        <v>0</v>
      </c>
      <c r="C50" s="302"/>
      <c r="D50" s="302"/>
      <c r="E50" s="302"/>
      <c r="F50" s="302"/>
      <c r="G50" s="302"/>
      <c r="H50" s="302"/>
      <c r="I50" s="302"/>
      <c r="J50" s="302"/>
      <c r="K50" s="302"/>
      <c r="L50" s="302"/>
      <c r="M50" s="302"/>
      <c r="N50" s="302"/>
      <c r="O50" s="302"/>
      <c r="P50" s="302"/>
      <c r="Q50" s="302"/>
      <c r="R50" s="302"/>
      <c r="S50" s="302"/>
      <c r="T50" s="302"/>
      <c r="U50" s="302"/>
      <c r="V50" s="302"/>
      <c r="W50" s="302"/>
      <c r="X50" s="302"/>
      <c r="Y50" s="302"/>
      <c r="Z50" s="302"/>
      <c r="AA50" s="302"/>
      <c r="AB50" s="302"/>
      <c r="AC50" s="302"/>
      <c r="AD50" s="302"/>
      <c r="AE50" s="302"/>
      <c r="AF50" s="302"/>
      <c r="AG50" s="302"/>
      <c r="AH50" s="302"/>
      <c r="AI50" s="302"/>
      <c r="AJ50" s="302"/>
      <c r="AK50" s="303"/>
    </row>
    <row r="51" spans="1:37">
      <c r="A51" s="367"/>
      <c r="B51" s="368"/>
      <c r="C51" s="304"/>
      <c r="D51" s="304"/>
      <c r="E51" s="304"/>
      <c r="F51" s="304"/>
      <c r="G51" s="304"/>
      <c r="H51" s="304"/>
      <c r="I51" s="304"/>
      <c r="J51" s="304"/>
      <c r="K51" s="304"/>
      <c r="L51" s="304"/>
      <c r="M51" s="304"/>
      <c r="N51" s="304"/>
      <c r="O51" s="304"/>
      <c r="P51" s="304"/>
      <c r="Q51" s="304"/>
      <c r="R51" s="304"/>
      <c r="S51" s="304"/>
      <c r="T51" s="304"/>
      <c r="U51" s="304"/>
      <c r="V51" s="304"/>
      <c r="W51" s="304"/>
      <c r="X51" s="304"/>
      <c r="Y51" s="304"/>
      <c r="Z51" s="304"/>
      <c r="AA51" s="304"/>
      <c r="AB51" s="304"/>
      <c r="AC51" s="304"/>
      <c r="AD51" s="304"/>
      <c r="AE51" s="304"/>
      <c r="AF51" s="304"/>
      <c r="AG51" s="304"/>
      <c r="AH51" s="304"/>
      <c r="AI51" s="304"/>
      <c r="AJ51" s="304"/>
      <c r="AK51" s="305"/>
    </row>
    <row r="52" spans="1:37">
      <c r="A52" s="367"/>
      <c r="B52" s="367"/>
      <c r="C52" s="302"/>
      <c r="D52" s="302"/>
      <c r="E52" s="302"/>
      <c r="F52" s="302"/>
      <c r="G52" s="302"/>
      <c r="H52" s="302"/>
      <c r="I52" s="302"/>
      <c r="J52" s="302"/>
      <c r="K52" s="302"/>
      <c r="L52" s="302"/>
      <c r="M52" s="302"/>
      <c r="N52" s="302"/>
      <c r="O52" s="302"/>
      <c r="P52" s="302"/>
      <c r="Q52" s="302"/>
      <c r="R52" s="302"/>
      <c r="S52" s="302"/>
      <c r="T52" s="302"/>
      <c r="U52" s="302"/>
      <c r="V52" s="302"/>
      <c r="W52" s="302"/>
      <c r="X52" s="302"/>
      <c r="Y52" s="302"/>
      <c r="Z52" s="302"/>
      <c r="AA52" s="302"/>
      <c r="AB52" s="302"/>
      <c r="AC52" s="302"/>
      <c r="AD52" s="302"/>
      <c r="AE52" s="302"/>
      <c r="AF52" s="302"/>
      <c r="AG52" s="302"/>
      <c r="AH52" s="302"/>
      <c r="AI52" s="302"/>
      <c r="AJ52" s="302"/>
      <c r="AK52" s="303"/>
    </row>
    <row r="53" spans="1:37">
      <c r="A53" s="367"/>
      <c r="B53" s="368"/>
      <c r="C53" s="304"/>
      <c r="D53" s="304"/>
      <c r="E53" s="304"/>
      <c r="F53" s="304"/>
      <c r="G53" s="304"/>
      <c r="H53" s="304"/>
      <c r="I53" s="304"/>
      <c r="J53" s="304"/>
      <c r="K53" s="304"/>
      <c r="L53" s="304"/>
      <c r="M53" s="304"/>
      <c r="N53" s="304"/>
      <c r="O53" s="304"/>
      <c r="P53" s="304"/>
      <c r="Q53" s="304"/>
      <c r="R53" s="304"/>
      <c r="S53" s="304"/>
      <c r="T53" s="304"/>
      <c r="U53" s="304"/>
      <c r="V53" s="304"/>
      <c r="W53" s="304"/>
      <c r="X53" s="304"/>
      <c r="Y53" s="304"/>
      <c r="Z53" s="304"/>
      <c r="AA53" s="304"/>
      <c r="AB53" s="304"/>
      <c r="AC53" s="304"/>
      <c r="AD53" s="304"/>
      <c r="AE53" s="304"/>
      <c r="AF53" s="304"/>
      <c r="AG53" s="304"/>
      <c r="AH53" s="304"/>
      <c r="AI53" s="304"/>
      <c r="AJ53" s="304"/>
      <c r="AK53" s="305"/>
    </row>
    <row r="54" spans="1:37">
      <c r="A54" s="367"/>
      <c r="B54" s="367"/>
      <c r="C54" s="302"/>
      <c r="D54" s="302"/>
      <c r="E54" s="302"/>
      <c r="F54" s="302"/>
      <c r="G54" s="302"/>
      <c r="H54" s="302"/>
      <c r="I54" s="302"/>
      <c r="J54" s="302"/>
      <c r="K54" s="302"/>
      <c r="L54" s="302"/>
      <c r="M54" s="302"/>
      <c r="N54" s="302"/>
      <c r="O54" s="302"/>
      <c r="P54" s="302"/>
      <c r="Q54" s="302"/>
      <c r="R54" s="302"/>
      <c r="S54" s="302"/>
      <c r="T54" s="302"/>
      <c r="U54" s="302"/>
      <c r="V54" s="302"/>
      <c r="W54" s="302"/>
      <c r="X54" s="302"/>
      <c r="Y54" s="302"/>
      <c r="Z54" s="302"/>
      <c r="AA54" s="302"/>
      <c r="AB54" s="302"/>
      <c r="AC54" s="302"/>
      <c r="AD54" s="302"/>
      <c r="AE54" s="302"/>
      <c r="AF54" s="302"/>
      <c r="AG54" s="302"/>
      <c r="AH54" s="302"/>
      <c r="AI54" s="302"/>
      <c r="AJ54" s="302"/>
      <c r="AK54" s="303"/>
    </row>
    <row r="55" spans="1:37">
      <c r="A55" s="367"/>
      <c r="B55" s="369"/>
      <c r="C55" s="306"/>
      <c r="D55" s="306"/>
      <c r="E55" s="306"/>
      <c r="F55" s="306"/>
      <c r="G55" s="306"/>
      <c r="H55" s="306"/>
      <c r="I55" s="306"/>
      <c r="J55" s="306"/>
      <c r="K55" s="306"/>
      <c r="L55" s="306"/>
      <c r="M55" s="306"/>
      <c r="N55" s="306"/>
      <c r="O55" s="306"/>
      <c r="P55" s="306"/>
      <c r="Q55" s="306"/>
      <c r="R55" s="306"/>
      <c r="S55" s="306"/>
      <c r="T55" s="306"/>
      <c r="U55" s="306"/>
      <c r="V55" s="306"/>
      <c r="W55" s="306"/>
      <c r="X55" s="306"/>
      <c r="Y55" s="306"/>
      <c r="Z55" s="306"/>
      <c r="AA55" s="306"/>
      <c r="AB55" s="306"/>
      <c r="AC55" s="306"/>
      <c r="AD55" s="306"/>
      <c r="AE55" s="306"/>
      <c r="AF55" s="306"/>
      <c r="AG55" s="306"/>
      <c r="AH55" s="306"/>
      <c r="AI55" s="306"/>
      <c r="AJ55" s="306"/>
      <c r="AK55" s="307"/>
    </row>
    <row r="56" spans="1:37"/>
    <row r="57" spans="1:37"/>
    <row r="58" spans="1:37"/>
    <row r="59" spans="1:37"/>
    <row r="60" spans="1:37"/>
    <row r="61" spans="1:37"/>
  </sheetData>
  <sheetProtection password="CA9C" sheet="1" objects="1" scenarios="1" formatCells="0" formatRows="0"/>
  <mergeCells count="91">
    <mergeCell ref="IB6:IB7"/>
    <mergeCell ref="HU6:HU7"/>
    <mergeCell ref="HV6:HV7"/>
    <mergeCell ref="HW6:HW7"/>
    <mergeCell ref="HX6:HX7"/>
    <mergeCell ref="HZ6:HZ7"/>
    <mergeCell ref="HP6:HP7"/>
    <mergeCell ref="HQ6:HQ7"/>
    <mergeCell ref="HR6:HR7"/>
    <mergeCell ref="HS6:HS7"/>
    <mergeCell ref="HT6:HT7"/>
    <mergeCell ref="HJ6:HJ7"/>
    <mergeCell ref="HK6:HK7"/>
    <mergeCell ref="HL6:HL7"/>
    <mergeCell ref="HM6:HM7"/>
    <mergeCell ref="HO6:HO7"/>
    <mergeCell ref="HE6:HE7"/>
    <mergeCell ref="HF6:HF7"/>
    <mergeCell ref="HG6:HG7"/>
    <mergeCell ref="HH6:HH7"/>
    <mergeCell ref="HI6:HI7"/>
    <mergeCell ref="GZ6:GZ7"/>
    <mergeCell ref="HA6:HA7"/>
    <mergeCell ref="HB6:HB7"/>
    <mergeCell ref="HC6:HC7"/>
    <mergeCell ref="HD6:HD7"/>
    <mergeCell ref="GG6:GI7"/>
    <mergeCell ref="GJ6:GJ7"/>
    <mergeCell ref="GK6:GK7"/>
    <mergeCell ref="GL6:GL7"/>
    <mergeCell ref="GY6:GY7"/>
    <mergeCell ref="FZ6:FZ7"/>
    <mergeCell ref="GA6:GC7"/>
    <mergeCell ref="GD6:GD7"/>
    <mergeCell ref="GE6:GE7"/>
    <mergeCell ref="GF6:GF7"/>
    <mergeCell ref="FS6:FS7"/>
    <mergeCell ref="FT6:FT7"/>
    <mergeCell ref="FU6:FW7"/>
    <mergeCell ref="FX6:FX7"/>
    <mergeCell ref="FY6:FY7"/>
    <mergeCell ref="FL6:FL7"/>
    <mergeCell ref="FM6:FM7"/>
    <mergeCell ref="FN6:FN7"/>
    <mergeCell ref="FO6:FQ7"/>
    <mergeCell ref="FR6:FR7"/>
    <mergeCell ref="FC6:FE7"/>
    <mergeCell ref="FF6:FF7"/>
    <mergeCell ref="FG6:FG7"/>
    <mergeCell ref="FH6:FH7"/>
    <mergeCell ref="FI6:FK7"/>
    <mergeCell ref="EV6:EV7"/>
    <mergeCell ref="EW6:EY7"/>
    <mergeCell ref="EZ6:EZ7"/>
    <mergeCell ref="FA6:FA7"/>
    <mergeCell ref="FB6:FB7"/>
    <mergeCell ref="A5:A7"/>
    <mergeCell ref="B5:B7"/>
    <mergeCell ref="C5:W5"/>
    <mergeCell ref="X5:AR5"/>
    <mergeCell ref="DL5:DL7"/>
    <mergeCell ref="BN6:BT6"/>
    <mergeCell ref="BU6:CA6"/>
    <mergeCell ref="CB6:CH6"/>
    <mergeCell ref="DK5:DK7"/>
    <mergeCell ref="CI6:CO6"/>
    <mergeCell ref="CP6:CV6"/>
    <mergeCell ref="CW6:DC6"/>
    <mergeCell ref="CI5:DC5"/>
    <mergeCell ref="B1:AN1"/>
    <mergeCell ref="C2:Q2"/>
    <mergeCell ref="DM5:DM7"/>
    <mergeCell ref="C6:I6"/>
    <mergeCell ref="J6:P6"/>
    <mergeCell ref="Q6:W6"/>
    <mergeCell ref="X6:AD6"/>
    <mergeCell ref="AE6:AK6"/>
    <mergeCell ref="AL6:AR6"/>
    <mergeCell ref="AS6:AY6"/>
    <mergeCell ref="AZ6:BF6"/>
    <mergeCell ref="BG6:BM6"/>
    <mergeCell ref="AS5:BM5"/>
    <mergeCell ref="BN5:CH5"/>
    <mergeCell ref="DD5:DJ5"/>
    <mergeCell ref="C3:Q3"/>
    <mergeCell ref="DP6:DY6"/>
    <mergeCell ref="EA6:EJ6"/>
    <mergeCell ref="EK6:EK7"/>
    <mergeCell ref="EL6:EU6"/>
    <mergeCell ref="C4:F4"/>
    <mergeCell ref="DZ6:DZ7"/>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A1:GM60"/>
  <sheetViews>
    <sheetView showRowColHeaders="0" showZeros="0" workbookViewId="0">
      <pane xSplit="2" ySplit="7" topLeftCell="BC8" activePane="bottomRight" state="frozen"/>
      <selection pane="topRight" activeCell="C1" sqref="C1"/>
      <selection pane="bottomLeft" activeCell="A8" sqref="A8"/>
      <selection pane="bottomRight" activeCell="BZ17" sqref="BZ17"/>
    </sheetView>
  </sheetViews>
  <sheetFormatPr defaultColWidth="0" defaultRowHeight="15" zeroHeight="1"/>
  <cols>
    <col min="1" max="1" width="4.7109375" customWidth="1"/>
    <col min="2" max="2" width="31" customWidth="1"/>
    <col min="3" max="80" width="3.7109375" customWidth="1"/>
    <col min="81" max="82" width="6.7109375" customWidth="1"/>
    <col min="83" max="83" width="100.7109375" customWidth="1"/>
    <col min="84" max="84" width="3.7109375" customWidth="1"/>
    <col min="85" max="141" width="3.7109375" hidden="1" customWidth="1"/>
    <col min="142" max="195" width="4.7109375" hidden="1" customWidth="1"/>
    <col min="196" max="16384" width="9.140625" hidden="1"/>
  </cols>
  <sheetData>
    <row r="1" spans="1:152" ht="15.75">
      <c r="A1" s="327"/>
      <c r="B1" s="894" t="s">
        <v>0</v>
      </c>
      <c r="C1" s="894"/>
      <c r="D1" s="894"/>
      <c r="E1" s="894"/>
      <c r="F1" s="894"/>
      <c r="G1" s="894"/>
      <c r="H1" s="894"/>
      <c r="I1" s="894"/>
      <c r="J1" s="894"/>
      <c r="K1" s="894"/>
      <c r="L1" s="894"/>
      <c r="M1" s="894"/>
      <c r="N1" s="894"/>
      <c r="O1" s="894"/>
      <c r="P1" s="894"/>
      <c r="Q1" s="894"/>
      <c r="R1" s="894"/>
      <c r="S1" s="894"/>
      <c r="T1" s="894"/>
      <c r="U1" s="894"/>
      <c r="V1" s="894"/>
      <c r="W1" s="894"/>
      <c r="CC1" t="s">
        <v>1</v>
      </c>
      <c r="CD1">
        <f>KKM!D29</f>
        <v>92</v>
      </c>
      <c r="CG1">
        <v>100</v>
      </c>
      <c r="CU1" s="2"/>
      <c r="CV1" s="2"/>
      <c r="CW1" s="2"/>
      <c r="CX1" s="3"/>
      <c r="DC1" s="4"/>
      <c r="DD1" s="2"/>
      <c r="DE1" s="2"/>
      <c r="DF1" s="2"/>
      <c r="DG1" s="3"/>
      <c r="DH1" s="5"/>
      <c r="DI1" s="5"/>
      <c r="DJ1" s="5"/>
      <c r="DK1" s="5"/>
      <c r="DL1" s="5"/>
      <c r="DM1" s="5"/>
      <c r="DN1" s="5"/>
      <c r="DO1" s="5"/>
      <c r="DP1" s="5"/>
      <c r="DQ1" s="6"/>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4"/>
      <c r="EV1" s="4"/>
    </row>
    <row r="2" spans="1:152" ht="15.75">
      <c r="A2" s="1"/>
      <c r="B2" s="7" t="s">
        <v>3</v>
      </c>
      <c r="C2" s="996" t="s">
        <v>4</v>
      </c>
      <c r="D2" s="996"/>
      <c r="E2" s="996"/>
      <c r="F2" s="996"/>
      <c r="G2" s="996"/>
      <c r="H2" s="996"/>
      <c r="I2" s="996"/>
      <c r="J2" s="8"/>
      <c r="K2" s="9"/>
      <c r="L2" s="9"/>
      <c r="M2" s="9"/>
      <c r="N2" s="9"/>
      <c r="O2" s="9"/>
      <c r="P2" s="9"/>
      <c r="Q2" s="10"/>
      <c r="R2" s="10"/>
      <c r="U2" s="9"/>
      <c r="V2" s="11"/>
      <c r="W2" s="12"/>
      <c r="CC2" t="s">
        <v>2</v>
      </c>
      <c r="CD2">
        <f>KKM!D30</f>
        <v>83</v>
      </c>
      <c r="CG2">
        <f>(CG1-CD2)/2</f>
        <v>8.5</v>
      </c>
      <c r="CU2" s="2"/>
      <c r="CV2" s="2"/>
      <c r="CW2" s="2"/>
      <c r="CX2" s="3"/>
      <c r="DC2" s="4"/>
      <c r="DD2" s="2"/>
      <c r="DE2" s="2"/>
      <c r="DF2" s="2"/>
      <c r="DG2" s="13"/>
      <c r="DH2" s="13"/>
      <c r="DI2" s="13"/>
      <c r="DJ2" s="13"/>
      <c r="DK2" s="13"/>
      <c r="DL2" s="13"/>
      <c r="DM2" s="13"/>
      <c r="DN2" s="13"/>
      <c r="DO2" s="13"/>
      <c r="DP2" s="13"/>
      <c r="DQ2" s="13"/>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row>
    <row r="3" spans="1:152" ht="15.75">
      <c r="A3" s="1"/>
      <c r="B3" s="14" t="s">
        <v>7</v>
      </c>
      <c r="C3" s="992" t="str">
        <f>MENU!N20&amp;" / "&amp;MENU!N21</f>
        <v>V ( Lima ) / 1 ( satu )</v>
      </c>
      <c r="D3" s="992"/>
      <c r="E3" s="992"/>
      <c r="F3" s="992"/>
      <c r="G3" s="992"/>
      <c r="H3" s="992"/>
      <c r="I3" s="992"/>
      <c r="J3" s="992"/>
      <c r="K3" s="992"/>
      <c r="L3" s="992"/>
      <c r="M3" s="992"/>
      <c r="N3" s="992"/>
      <c r="O3" s="992"/>
      <c r="P3" s="992"/>
      <c r="Q3" s="21" t="str">
        <f>MENU!N22</f>
        <v>2019/2020</v>
      </c>
      <c r="R3" s="8"/>
      <c r="S3" s="8"/>
      <c r="T3" s="8"/>
      <c r="U3" s="8"/>
      <c r="V3" s="8"/>
      <c r="X3" s="997"/>
      <c r="Y3" s="997"/>
      <c r="Z3" s="997"/>
      <c r="AA3" s="997"/>
      <c r="AB3" s="997"/>
      <c r="AH3" s="23"/>
      <c r="CC3" t="s">
        <v>64</v>
      </c>
      <c r="CD3">
        <f>KKM!D31</f>
        <v>75</v>
      </c>
      <c r="CU3" s="2"/>
      <c r="CV3" s="2"/>
      <c r="CW3" s="2"/>
      <c r="CX3" s="3"/>
      <c r="DC3" s="4"/>
      <c r="DD3" s="24"/>
      <c r="DE3" s="2"/>
      <c r="DF3" s="2"/>
      <c r="DG3" s="998"/>
      <c r="DH3" s="999"/>
      <c r="DI3" s="999"/>
      <c r="DJ3" s="999"/>
      <c r="DK3" s="999"/>
      <c r="DL3" s="999"/>
      <c r="DM3" s="999"/>
      <c r="DN3" s="999"/>
      <c r="DO3" s="999"/>
      <c r="DP3" s="999"/>
      <c r="DQ3" s="1000"/>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2"/>
    </row>
    <row r="4" spans="1:152">
      <c r="C4" s="993">
        <f>KKM!C18</f>
        <v>75</v>
      </c>
      <c r="D4" s="993"/>
      <c r="E4" s="993"/>
      <c r="F4" s="993"/>
      <c r="G4" s="993"/>
      <c r="H4" s="993"/>
      <c r="I4" s="993"/>
      <c r="J4" s="993"/>
      <c r="K4" s="993"/>
      <c r="L4" s="993"/>
      <c r="M4" s="993"/>
      <c r="N4" s="993"/>
      <c r="O4" s="27"/>
      <c r="P4" s="27"/>
      <c r="Q4" s="27"/>
      <c r="R4" s="27"/>
      <c r="S4" s="27"/>
      <c r="T4" s="27"/>
      <c r="U4" s="27"/>
      <c r="V4" s="27"/>
      <c r="W4" s="27"/>
      <c r="X4" s="27"/>
      <c r="CC4" t="s">
        <v>146</v>
      </c>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1007" t="s">
        <v>23</v>
      </c>
      <c r="EU4" s="4"/>
      <c r="EV4" s="4"/>
    </row>
    <row r="5" spans="1:152" ht="14.1" customHeight="1">
      <c r="A5" s="900" t="s">
        <v>9</v>
      </c>
      <c r="B5" s="900" t="s">
        <v>10</v>
      </c>
      <c r="C5" s="1001" t="s">
        <v>269</v>
      </c>
      <c r="D5" s="1002"/>
      <c r="E5" s="1002"/>
      <c r="F5" s="1002"/>
      <c r="G5" s="1002"/>
      <c r="H5" s="1002"/>
      <c r="I5" s="1002"/>
      <c r="J5" s="1002"/>
      <c r="K5" s="1002"/>
      <c r="L5" s="1002"/>
      <c r="M5" s="1002"/>
      <c r="N5" s="1002"/>
      <c r="O5" s="964" t="s">
        <v>270</v>
      </c>
      <c r="P5" s="965"/>
      <c r="Q5" s="965"/>
      <c r="R5" s="965"/>
      <c r="S5" s="965"/>
      <c r="T5" s="965"/>
      <c r="U5" s="965"/>
      <c r="V5" s="965"/>
      <c r="W5" s="965"/>
      <c r="X5" s="965"/>
      <c r="Y5" s="965"/>
      <c r="Z5" s="965"/>
      <c r="AA5" s="1001" t="s">
        <v>271</v>
      </c>
      <c r="AB5" s="1002"/>
      <c r="AC5" s="1002"/>
      <c r="AD5" s="1002"/>
      <c r="AE5" s="1002"/>
      <c r="AF5" s="1002"/>
      <c r="AG5" s="1002"/>
      <c r="AH5" s="1002"/>
      <c r="AI5" s="1002"/>
      <c r="AJ5" s="1002"/>
      <c r="AK5" s="1002"/>
      <c r="AL5" s="1002"/>
      <c r="AM5" s="964" t="s">
        <v>272</v>
      </c>
      <c r="AN5" s="965"/>
      <c r="AO5" s="965"/>
      <c r="AP5" s="965"/>
      <c r="AQ5" s="965"/>
      <c r="AR5" s="965"/>
      <c r="AS5" s="965"/>
      <c r="AT5" s="965"/>
      <c r="AU5" s="965"/>
      <c r="AV5" s="965"/>
      <c r="AW5" s="965"/>
      <c r="AX5" s="965"/>
      <c r="AY5" s="1001" t="s">
        <v>273</v>
      </c>
      <c r="AZ5" s="1002"/>
      <c r="BA5" s="1002"/>
      <c r="BB5" s="1002"/>
      <c r="BC5" s="1002"/>
      <c r="BD5" s="1002"/>
      <c r="BE5" s="1002"/>
      <c r="BF5" s="1002"/>
      <c r="BG5" s="1002"/>
      <c r="BH5" s="1002"/>
      <c r="BI5" s="1002"/>
      <c r="BJ5" s="1002"/>
      <c r="BK5" s="956" t="s">
        <v>13</v>
      </c>
      <c r="BL5" s="957"/>
      <c r="BM5" s="957"/>
      <c r="BN5" s="957"/>
      <c r="BO5" s="957"/>
      <c r="BP5" s="957"/>
      <c r="BQ5" s="994" t="s">
        <v>379</v>
      </c>
      <c r="BR5" s="994"/>
      <c r="BS5" s="994"/>
      <c r="BT5" s="994"/>
      <c r="BU5" s="994"/>
      <c r="BV5" s="994"/>
      <c r="BW5" s="995" t="s">
        <v>378</v>
      </c>
      <c r="BX5" s="995"/>
      <c r="BY5" s="995"/>
      <c r="BZ5" s="995"/>
      <c r="CA5" s="995"/>
      <c r="CB5" s="995"/>
      <c r="CC5" s="28" t="s">
        <v>14</v>
      </c>
      <c r="CD5" s="1018" t="s">
        <v>15</v>
      </c>
      <c r="CE5" s="1021" t="s">
        <v>16</v>
      </c>
      <c r="CF5" s="281"/>
      <c r="CG5" s="493"/>
      <c r="CH5" s="1027" t="s">
        <v>380</v>
      </c>
      <c r="CI5" s="1028"/>
      <c r="CJ5" s="1028"/>
      <c r="CK5" s="1028"/>
      <c r="CL5" s="1028"/>
      <c r="CM5" s="1028"/>
      <c r="CN5" s="1028"/>
      <c r="CO5" s="1028"/>
      <c r="CP5" s="1028"/>
      <c r="CQ5" s="1029"/>
      <c r="CR5" s="1024"/>
      <c r="CS5" s="4"/>
      <c r="CT5" s="990" t="s">
        <v>17</v>
      </c>
      <c r="CU5" s="991"/>
      <c r="CV5" s="991"/>
      <c r="CW5" s="991"/>
      <c r="CX5" s="991"/>
      <c r="CY5" s="991"/>
      <c r="CZ5" s="991"/>
      <c r="DA5" s="991"/>
      <c r="DB5" s="991"/>
      <c r="DC5" s="31"/>
      <c r="DD5" s="31"/>
      <c r="DE5" s="31"/>
      <c r="DF5" s="31"/>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1008"/>
      <c r="EU5" s="4"/>
      <c r="EV5" s="4"/>
    </row>
    <row r="6" spans="1:152" ht="25.5" customHeight="1">
      <c r="A6" s="900"/>
      <c r="B6" s="900"/>
      <c r="C6" s="1003" t="s">
        <v>521</v>
      </c>
      <c r="D6" s="1004"/>
      <c r="E6" s="1004"/>
      <c r="F6" s="1004"/>
      <c r="G6" s="1004"/>
      <c r="H6" s="1004"/>
      <c r="I6" s="1005" t="s">
        <v>275</v>
      </c>
      <c r="J6" s="1006"/>
      <c r="K6" s="1006"/>
      <c r="L6" s="1006"/>
      <c r="M6" s="1006"/>
      <c r="N6" s="1006"/>
      <c r="O6" s="1003" t="s">
        <v>521</v>
      </c>
      <c r="P6" s="1004"/>
      <c r="Q6" s="1004"/>
      <c r="R6" s="1004"/>
      <c r="S6" s="1004"/>
      <c r="T6" s="1004"/>
      <c r="U6" s="1005" t="s">
        <v>275</v>
      </c>
      <c r="V6" s="1006"/>
      <c r="W6" s="1006"/>
      <c r="X6" s="1006"/>
      <c r="Y6" s="1006"/>
      <c r="Z6" s="1006"/>
      <c r="AA6" s="1003" t="s">
        <v>521</v>
      </c>
      <c r="AB6" s="1004"/>
      <c r="AC6" s="1004"/>
      <c r="AD6" s="1004"/>
      <c r="AE6" s="1004"/>
      <c r="AF6" s="1004"/>
      <c r="AG6" s="1005" t="s">
        <v>275</v>
      </c>
      <c r="AH6" s="1006"/>
      <c r="AI6" s="1006"/>
      <c r="AJ6" s="1006"/>
      <c r="AK6" s="1006"/>
      <c r="AL6" s="1006"/>
      <c r="AM6" s="1003" t="s">
        <v>521</v>
      </c>
      <c r="AN6" s="1004"/>
      <c r="AO6" s="1004"/>
      <c r="AP6" s="1004"/>
      <c r="AQ6" s="1004"/>
      <c r="AR6" s="1004"/>
      <c r="AS6" s="1005" t="s">
        <v>275</v>
      </c>
      <c r="AT6" s="1006"/>
      <c r="AU6" s="1006"/>
      <c r="AV6" s="1006"/>
      <c r="AW6" s="1006"/>
      <c r="AX6" s="1006"/>
      <c r="AY6" s="1003" t="s">
        <v>521</v>
      </c>
      <c r="AZ6" s="1004"/>
      <c r="BA6" s="1004"/>
      <c r="BB6" s="1004"/>
      <c r="BC6" s="1004"/>
      <c r="BD6" s="1004"/>
      <c r="BE6" s="1005" t="s">
        <v>275</v>
      </c>
      <c r="BF6" s="1006"/>
      <c r="BG6" s="1006"/>
      <c r="BH6" s="1006"/>
      <c r="BI6" s="1006"/>
      <c r="BJ6" s="1006"/>
      <c r="BK6" s="32" t="s">
        <v>19</v>
      </c>
      <c r="BL6" s="32" t="s">
        <v>19</v>
      </c>
      <c r="BM6" s="32" t="s">
        <v>19</v>
      </c>
      <c r="BN6" s="32" t="s">
        <v>19</v>
      </c>
      <c r="BO6" s="32" t="s">
        <v>19</v>
      </c>
      <c r="BP6" s="32" t="s">
        <v>19</v>
      </c>
      <c r="BQ6" s="546" t="s">
        <v>19</v>
      </c>
      <c r="BR6" s="546" t="s">
        <v>19</v>
      </c>
      <c r="BS6" s="546" t="s">
        <v>19</v>
      </c>
      <c r="BT6" s="546" t="s">
        <v>19</v>
      </c>
      <c r="BU6" s="546" t="s">
        <v>19</v>
      </c>
      <c r="BV6" s="546" t="s">
        <v>19</v>
      </c>
      <c r="BW6" s="234" t="s">
        <v>19</v>
      </c>
      <c r="BX6" s="234" t="s">
        <v>19</v>
      </c>
      <c r="BY6" s="234" t="s">
        <v>19</v>
      </c>
      <c r="BZ6" s="234" t="s">
        <v>19</v>
      </c>
      <c r="CA6" s="234" t="s">
        <v>19</v>
      </c>
      <c r="CB6" s="234" t="s">
        <v>19</v>
      </c>
      <c r="CC6" s="33"/>
      <c r="CD6" s="1019"/>
      <c r="CE6" s="1022"/>
      <c r="CF6" s="281"/>
      <c r="CG6" s="493"/>
      <c r="CH6" s="32" t="s">
        <v>19</v>
      </c>
      <c r="CI6" s="32" t="s">
        <v>19</v>
      </c>
      <c r="CJ6" s="32" t="s">
        <v>19</v>
      </c>
      <c r="CK6" s="32" t="s">
        <v>19</v>
      </c>
      <c r="CL6" s="32" t="s">
        <v>19</v>
      </c>
      <c r="CM6" s="32" t="s">
        <v>19</v>
      </c>
      <c r="CN6" s="32" t="s">
        <v>19</v>
      </c>
      <c r="CO6" s="32"/>
      <c r="CP6" s="32"/>
      <c r="CQ6" s="32"/>
      <c r="CR6" s="1025"/>
      <c r="CS6" s="4"/>
      <c r="CT6" s="36" t="str">
        <f>A45</f>
        <v>3.1</v>
      </c>
      <c r="CU6" s="36" t="str">
        <f>A46</f>
        <v>3.2</v>
      </c>
      <c r="CV6" s="36" t="str">
        <f>A47</f>
        <v>3.3</v>
      </c>
      <c r="CW6" s="36" t="str">
        <f>A48</f>
        <v>3.4</v>
      </c>
      <c r="CX6" s="36">
        <f>A49</f>
        <v>0</v>
      </c>
      <c r="CY6" s="36">
        <f>A50</f>
        <v>0</v>
      </c>
      <c r="CZ6" s="36">
        <f>A51</f>
        <v>0</v>
      </c>
      <c r="DA6" s="36">
        <f>A52</f>
        <v>0</v>
      </c>
      <c r="DB6" s="36">
        <f>A53</f>
        <v>0</v>
      </c>
      <c r="DC6" s="36"/>
      <c r="DD6" s="37"/>
      <c r="DE6" s="37"/>
      <c r="DF6" s="37"/>
      <c r="DG6" s="4"/>
      <c r="DH6" s="4"/>
      <c r="DI6" s="987" t="str">
        <f>B45</f>
        <v>mengidentifikasi nilai-nilai Pancasila dalam kehidupan sehari-hari</v>
      </c>
      <c r="DJ6" s="987" t="str">
        <f>B46</f>
        <v>memahami hak, kewajiban dan tanggung jawab sebagai warga dalam kehidupan sehari-hari</v>
      </c>
      <c r="DK6" s="987" t="str">
        <f>B47</f>
        <v>menelaah keberagaman sosial budaya masyarakat</v>
      </c>
      <c r="DL6" s="987" t="str">
        <f>B48</f>
        <v>menggali manfaat persatuan dan kesatuan untuk membangun kerukunan hidup</v>
      </c>
      <c r="DM6" s="987">
        <f>B49</f>
        <v>0</v>
      </c>
      <c r="DN6" s="987">
        <f>IFERROR((B50)," ")</f>
        <v>0</v>
      </c>
      <c r="DO6" s="987">
        <f>B51</f>
        <v>0</v>
      </c>
      <c r="DP6" s="989">
        <f>B52</f>
        <v>0</v>
      </c>
      <c r="DQ6" s="989">
        <f>B53</f>
        <v>0</v>
      </c>
      <c r="DR6" s="989">
        <f>B54</f>
        <v>0</v>
      </c>
      <c r="DS6" s="37"/>
      <c r="DT6" s="978" t="s">
        <v>24</v>
      </c>
      <c r="DU6" s="38"/>
      <c r="DV6" s="1016" t="s">
        <v>21</v>
      </c>
      <c r="DX6" s="981" t="str">
        <f>DI6</f>
        <v>mengidentifikasi nilai-nilai Pancasila dalam kehidupan sehari-hari</v>
      </c>
      <c r="DY6" s="981" t="str">
        <f t="shared" ref="DY6:EG6" si="0">DJ6</f>
        <v>memahami hak, kewajiban dan tanggung jawab sebagai warga dalam kehidupan sehari-hari</v>
      </c>
      <c r="DZ6" s="981" t="str">
        <f t="shared" si="0"/>
        <v>menelaah keberagaman sosial budaya masyarakat</v>
      </c>
      <c r="EA6" s="981" t="str">
        <f t="shared" si="0"/>
        <v>menggali manfaat persatuan dan kesatuan untuk membangun kerukunan hidup</v>
      </c>
      <c r="EB6" s="981">
        <f t="shared" si="0"/>
        <v>0</v>
      </c>
      <c r="EC6" s="981">
        <f t="shared" si="0"/>
        <v>0</v>
      </c>
      <c r="ED6" s="981">
        <f t="shared" si="0"/>
        <v>0</v>
      </c>
      <c r="EE6" s="981">
        <f t="shared" si="0"/>
        <v>0</v>
      </c>
      <c r="EF6" s="981">
        <f t="shared" si="0"/>
        <v>0</v>
      </c>
      <c r="EG6" s="981">
        <f t="shared" si="0"/>
        <v>0</v>
      </c>
      <c r="EH6" s="1012" t="s">
        <v>25</v>
      </c>
      <c r="EI6" s="1013" t="s">
        <v>381</v>
      </c>
      <c r="EJ6" s="39"/>
      <c r="EK6" s="1008"/>
      <c r="EU6" s="40" t="s">
        <v>23</v>
      </c>
      <c r="EV6" s="4"/>
    </row>
    <row r="7" spans="1:152" ht="15" customHeight="1">
      <c r="A7" s="900"/>
      <c r="B7" s="900"/>
      <c r="C7" s="41" t="str">
        <f>A45</f>
        <v>3.1</v>
      </c>
      <c r="D7" s="41" t="str">
        <f>A46</f>
        <v>3.2</v>
      </c>
      <c r="E7" s="41" t="str">
        <f>A47</f>
        <v>3.3</v>
      </c>
      <c r="F7" s="41" t="str">
        <f>A48</f>
        <v>3.4</v>
      </c>
      <c r="G7" s="41">
        <f>A49</f>
        <v>0</v>
      </c>
      <c r="H7" s="41">
        <f>A50</f>
        <v>0</v>
      </c>
      <c r="I7" s="42" t="str">
        <f t="shared" ref="I7:AX7" si="1">C7</f>
        <v>3.1</v>
      </c>
      <c r="J7" s="42" t="str">
        <f t="shared" si="1"/>
        <v>3.2</v>
      </c>
      <c r="K7" s="42" t="str">
        <f t="shared" si="1"/>
        <v>3.3</v>
      </c>
      <c r="L7" s="42" t="str">
        <f t="shared" si="1"/>
        <v>3.4</v>
      </c>
      <c r="M7" s="42">
        <f t="shared" si="1"/>
        <v>0</v>
      </c>
      <c r="N7" s="42">
        <f t="shared" si="1"/>
        <v>0</v>
      </c>
      <c r="O7" s="42" t="str">
        <f t="shared" si="1"/>
        <v>3.1</v>
      </c>
      <c r="P7" s="42" t="str">
        <f t="shared" si="1"/>
        <v>3.2</v>
      </c>
      <c r="Q7" s="42" t="str">
        <f t="shared" si="1"/>
        <v>3.3</v>
      </c>
      <c r="R7" s="42" t="str">
        <f t="shared" si="1"/>
        <v>3.4</v>
      </c>
      <c r="S7" s="42">
        <f t="shared" si="1"/>
        <v>0</v>
      </c>
      <c r="T7" s="42">
        <f t="shared" si="1"/>
        <v>0</v>
      </c>
      <c r="U7" s="42" t="str">
        <f t="shared" si="1"/>
        <v>3.1</v>
      </c>
      <c r="V7" s="42" t="str">
        <f t="shared" si="1"/>
        <v>3.2</v>
      </c>
      <c r="W7" s="42" t="str">
        <f t="shared" si="1"/>
        <v>3.3</v>
      </c>
      <c r="X7" s="42" t="str">
        <f t="shared" si="1"/>
        <v>3.4</v>
      </c>
      <c r="Y7" s="42">
        <f t="shared" si="1"/>
        <v>0</v>
      </c>
      <c r="Z7" s="42">
        <f t="shared" si="1"/>
        <v>0</v>
      </c>
      <c r="AA7" s="42" t="str">
        <f t="shared" si="1"/>
        <v>3.1</v>
      </c>
      <c r="AB7" s="42" t="str">
        <f t="shared" si="1"/>
        <v>3.2</v>
      </c>
      <c r="AC7" s="42" t="str">
        <f t="shared" si="1"/>
        <v>3.3</v>
      </c>
      <c r="AD7" s="42" t="str">
        <f t="shared" si="1"/>
        <v>3.4</v>
      </c>
      <c r="AE7" s="42">
        <f t="shared" si="1"/>
        <v>0</v>
      </c>
      <c r="AF7" s="42">
        <f t="shared" si="1"/>
        <v>0</v>
      </c>
      <c r="AG7" s="42" t="str">
        <f t="shared" si="1"/>
        <v>3.1</v>
      </c>
      <c r="AH7" s="42" t="str">
        <f t="shared" si="1"/>
        <v>3.2</v>
      </c>
      <c r="AI7" s="42" t="str">
        <f t="shared" si="1"/>
        <v>3.3</v>
      </c>
      <c r="AJ7" s="42" t="str">
        <f t="shared" si="1"/>
        <v>3.4</v>
      </c>
      <c r="AK7" s="42">
        <f t="shared" si="1"/>
        <v>0</v>
      </c>
      <c r="AL7" s="42">
        <f t="shared" si="1"/>
        <v>0</v>
      </c>
      <c r="AM7" s="42" t="str">
        <f t="shared" si="1"/>
        <v>3.1</v>
      </c>
      <c r="AN7" s="42" t="str">
        <f t="shared" si="1"/>
        <v>3.2</v>
      </c>
      <c r="AO7" s="42" t="str">
        <f t="shared" si="1"/>
        <v>3.3</v>
      </c>
      <c r="AP7" s="42" t="str">
        <f t="shared" si="1"/>
        <v>3.4</v>
      </c>
      <c r="AQ7" s="42">
        <f t="shared" si="1"/>
        <v>0</v>
      </c>
      <c r="AR7" s="42">
        <f t="shared" si="1"/>
        <v>0</v>
      </c>
      <c r="AS7" s="42" t="str">
        <f t="shared" si="1"/>
        <v>3.1</v>
      </c>
      <c r="AT7" s="42" t="str">
        <f t="shared" si="1"/>
        <v>3.2</v>
      </c>
      <c r="AU7" s="42" t="str">
        <f t="shared" si="1"/>
        <v>3.3</v>
      </c>
      <c r="AV7" s="42" t="str">
        <f t="shared" si="1"/>
        <v>3.4</v>
      </c>
      <c r="AW7" s="42">
        <f t="shared" si="1"/>
        <v>0</v>
      </c>
      <c r="AX7" s="42">
        <f t="shared" si="1"/>
        <v>0</v>
      </c>
      <c r="AY7" s="42" t="str">
        <f t="shared" ref="AY7" si="2">AS7</f>
        <v>3.1</v>
      </c>
      <c r="AZ7" s="42" t="str">
        <f t="shared" ref="AZ7" si="3">AT7</f>
        <v>3.2</v>
      </c>
      <c r="BA7" s="42" t="str">
        <f t="shared" ref="BA7" si="4">AU7</f>
        <v>3.3</v>
      </c>
      <c r="BB7" s="42" t="str">
        <f t="shared" ref="BB7" si="5">AV7</f>
        <v>3.4</v>
      </c>
      <c r="BC7" s="42">
        <f t="shared" ref="BC7" si="6">AW7</f>
        <v>0</v>
      </c>
      <c r="BD7" s="42">
        <f t="shared" ref="BD7" si="7">AX7</f>
        <v>0</v>
      </c>
      <c r="BE7" s="42" t="str">
        <f t="shared" ref="BE7" si="8">AY7</f>
        <v>3.1</v>
      </c>
      <c r="BF7" s="42" t="str">
        <f t="shared" ref="BF7" si="9">AZ7</f>
        <v>3.2</v>
      </c>
      <c r="BG7" s="42" t="str">
        <f t="shared" ref="BG7" si="10">BA7</f>
        <v>3.3</v>
      </c>
      <c r="BH7" s="42" t="str">
        <f t="shared" ref="BH7" si="11">BB7</f>
        <v>3.4</v>
      </c>
      <c r="BI7" s="42">
        <f t="shared" ref="BI7" si="12">BC7</f>
        <v>0</v>
      </c>
      <c r="BJ7" s="42">
        <f t="shared" ref="BJ7" si="13">BD7</f>
        <v>0</v>
      </c>
      <c r="BK7" s="43" t="str">
        <f t="shared" ref="BK7:BP7" si="14">AS7</f>
        <v>3.1</v>
      </c>
      <c r="BL7" s="43" t="str">
        <f t="shared" si="14"/>
        <v>3.2</v>
      </c>
      <c r="BM7" s="43" t="str">
        <f t="shared" si="14"/>
        <v>3.3</v>
      </c>
      <c r="BN7" s="43" t="str">
        <f t="shared" si="14"/>
        <v>3.4</v>
      </c>
      <c r="BO7" s="43">
        <f t="shared" si="14"/>
        <v>0</v>
      </c>
      <c r="BP7" s="43">
        <f t="shared" si="14"/>
        <v>0</v>
      </c>
      <c r="BQ7" s="545" t="str">
        <f t="shared" ref="BQ7:CB7" si="15">BK7</f>
        <v>3.1</v>
      </c>
      <c r="BR7" s="545" t="str">
        <f t="shared" si="15"/>
        <v>3.2</v>
      </c>
      <c r="BS7" s="545" t="str">
        <f t="shared" si="15"/>
        <v>3.3</v>
      </c>
      <c r="BT7" s="545" t="str">
        <f t="shared" si="15"/>
        <v>3.4</v>
      </c>
      <c r="BU7" s="545">
        <f t="shared" si="15"/>
        <v>0</v>
      </c>
      <c r="BV7" s="545">
        <f t="shared" si="15"/>
        <v>0</v>
      </c>
      <c r="BW7" s="545" t="str">
        <f t="shared" si="15"/>
        <v>3.1</v>
      </c>
      <c r="BX7" s="545" t="str">
        <f t="shared" si="15"/>
        <v>3.2</v>
      </c>
      <c r="BY7" s="545" t="str">
        <f t="shared" si="15"/>
        <v>3.3</v>
      </c>
      <c r="BZ7" s="545" t="str">
        <f t="shared" si="15"/>
        <v>3.4</v>
      </c>
      <c r="CA7" s="545">
        <f t="shared" si="15"/>
        <v>0</v>
      </c>
      <c r="CB7" s="545">
        <f t="shared" si="15"/>
        <v>0</v>
      </c>
      <c r="CC7" s="44"/>
      <c r="CD7" s="1020"/>
      <c r="CE7" s="1023"/>
      <c r="CF7" s="281"/>
      <c r="CG7" s="493"/>
      <c r="CH7" s="43" t="str">
        <f>A45</f>
        <v>3.1</v>
      </c>
      <c r="CI7" s="43" t="str">
        <f>A46</f>
        <v>3.2</v>
      </c>
      <c r="CJ7" s="43" t="str">
        <f>A47</f>
        <v>3.3</v>
      </c>
      <c r="CK7" s="43" t="str">
        <f>A48</f>
        <v>3.4</v>
      </c>
      <c r="CL7" s="43">
        <f>A49</f>
        <v>0</v>
      </c>
      <c r="CM7" s="43">
        <f>A50</f>
        <v>0</v>
      </c>
      <c r="CN7" s="43"/>
      <c r="CO7" s="43"/>
      <c r="CP7" s="43"/>
      <c r="CQ7" s="43"/>
      <c r="CR7" s="1026"/>
      <c r="CS7" s="4"/>
      <c r="CT7" s="46"/>
      <c r="CU7" s="46"/>
      <c r="CV7" s="46"/>
      <c r="CW7" s="46"/>
      <c r="CX7" s="46"/>
      <c r="CY7" s="46"/>
      <c r="CZ7" s="46"/>
      <c r="DA7" s="46"/>
      <c r="DB7" s="46"/>
      <c r="DC7" s="46"/>
      <c r="DD7" s="47"/>
      <c r="DE7" s="48" t="s">
        <v>24</v>
      </c>
      <c r="DF7" s="48" t="s">
        <v>25</v>
      </c>
      <c r="DH7" s="49"/>
      <c r="DI7" s="988"/>
      <c r="DJ7" s="988"/>
      <c r="DK7" s="988"/>
      <c r="DL7" s="988"/>
      <c r="DM7" s="988"/>
      <c r="DN7" s="988"/>
      <c r="DO7" s="988"/>
      <c r="DP7" s="989"/>
      <c r="DQ7" s="989"/>
      <c r="DR7" s="989"/>
      <c r="DS7" s="49"/>
      <c r="DT7" s="1015"/>
      <c r="DU7" s="38"/>
      <c r="DV7" s="1017"/>
      <c r="DX7" s="981"/>
      <c r="DY7" s="981"/>
      <c r="DZ7" s="981"/>
      <c r="EA7" s="981"/>
      <c r="EB7" s="981"/>
      <c r="EC7" s="981"/>
      <c r="ED7" s="981"/>
      <c r="EE7" s="981"/>
      <c r="EF7" s="981"/>
      <c r="EG7" s="981"/>
      <c r="EH7" s="1012"/>
      <c r="EI7" s="1014"/>
      <c r="EK7" s="1009"/>
      <c r="EU7" s="49"/>
      <c r="EV7" s="4"/>
    </row>
    <row r="8" spans="1:152" s="63" customFormat="1" ht="34.5" customHeight="1">
      <c r="A8" s="258">
        <v>1</v>
      </c>
      <c r="B8" s="269" t="str">
        <f>SISWA!B6</f>
        <v>Afif Rafiudin</v>
      </c>
      <c r="C8" s="123">
        <v>93</v>
      </c>
      <c r="D8" s="123"/>
      <c r="E8" s="123"/>
      <c r="F8" s="123"/>
      <c r="G8" s="123"/>
      <c r="H8" s="123"/>
      <c r="I8" s="256">
        <v>87</v>
      </c>
      <c r="J8" s="256"/>
      <c r="K8" s="256"/>
      <c r="L8" s="256"/>
      <c r="M8" s="256"/>
      <c r="N8" s="256"/>
      <c r="O8" s="123"/>
      <c r="P8" s="123">
        <v>80</v>
      </c>
      <c r="Q8" s="123"/>
      <c r="R8" s="123"/>
      <c r="S8" s="123"/>
      <c r="T8" s="123"/>
      <c r="U8" s="256"/>
      <c r="V8" s="256">
        <v>75</v>
      </c>
      <c r="W8" s="256"/>
      <c r="X8" s="256"/>
      <c r="Y8" s="256"/>
      <c r="Z8" s="256"/>
      <c r="AA8" s="123"/>
      <c r="AB8" s="123"/>
      <c r="AC8" s="123">
        <v>87</v>
      </c>
      <c r="AD8" s="123"/>
      <c r="AE8" s="123"/>
      <c r="AF8" s="123"/>
      <c r="AG8" s="256"/>
      <c r="AH8" s="256"/>
      <c r="AI8" s="256">
        <v>87</v>
      </c>
      <c r="AJ8" s="256"/>
      <c r="AK8" s="256"/>
      <c r="AL8" s="256"/>
      <c r="AM8" s="584"/>
      <c r="AN8" s="259">
        <v>80</v>
      </c>
      <c r="AO8" s="259"/>
      <c r="AP8" s="259"/>
      <c r="AQ8" s="259"/>
      <c r="AR8" s="259"/>
      <c r="AS8" s="256"/>
      <c r="AT8" s="256">
        <v>87</v>
      </c>
      <c r="AU8" s="256"/>
      <c r="AV8" s="256"/>
      <c r="AW8" s="256"/>
      <c r="AX8" s="256"/>
      <c r="AY8" s="460"/>
      <c r="AZ8" s="460"/>
      <c r="BA8" s="460"/>
      <c r="BB8" s="460">
        <v>87</v>
      </c>
      <c r="BC8" s="460"/>
      <c r="BD8" s="460"/>
      <c r="BE8" s="346"/>
      <c r="BF8" s="346"/>
      <c r="BG8" s="346"/>
      <c r="BH8" s="346">
        <v>87</v>
      </c>
      <c r="BI8" s="346"/>
      <c r="BJ8" s="346"/>
      <c r="BK8" s="260">
        <f t="shared" ref="BK8:BK42" si="16">IFERROR(AVERAGE(C8,I8,O8,U8,AA8,AG8,AM8,AS8,AY8,BE8)," ")</f>
        <v>90</v>
      </c>
      <c r="BL8" s="260">
        <f t="shared" ref="BL8:BL42" si="17">IFERROR(AVERAGE(D8,J8,P8,V8,AB8,AH8,AN8,AT8,AZ8,BF8)," ")</f>
        <v>80.5</v>
      </c>
      <c r="BM8" s="260">
        <f t="shared" ref="BM8:BM42" si="18">IFERROR(AVERAGE(E8,K8,Q8,W8,AC8,AI8,AO8,AU8,BA8,BG8)," ")</f>
        <v>87</v>
      </c>
      <c r="BN8" s="260">
        <f t="shared" ref="BN8:BN42" si="19">IFERROR(AVERAGE(F8,L8,R8,X8,AD8,AJ8,AP8,AV8,BB8,BH8)," ")</f>
        <v>87</v>
      </c>
      <c r="BO8" s="260" t="str">
        <f t="shared" ref="BO8:BO42" si="20">IFERROR(AVERAGE(G8,M8,S8,Y8,AE8,AK8,AQ8,AW8,BC8,BI8)," ")</f>
        <v xml:space="preserve"> </v>
      </c>
      <c r="BP8" s="260" t="str">
        <f t="shared" ref="BP8:BP42" si="21">IFERROR(AVERAGE(H8,N8,T8,Z8,AF8,AL8,AR8,AX8,BD8,BJ8)," ")</f>
        <v xml:space="preserve"> </v>
      </c>
      <c r="BQ8" s="547">
        <v>80</v>
      </c>
      <c r="BR8" s="547">
        <v>93</v>
      </c>
      <c r="BS8" s="547"/>
      <c r="BT8" s="547"/>
      <c r="BU8" s="547"/>
      <c r="BV8" s="547"/>
      <c r="BW8" s="548">
        <v>75</v>
      </c>
      <c r="BX8" s="548">
        <v>77</v>
      </c>
      <c r="BY8" s="548">
        <v>75</v>
      </c>
      <c r="BZ8" s="548">
        <v>75</v>
      </c>
      <c r="CA8" s="548"/>
      <c r="CB8" s="548"/>
      <c r="CC8" s="550">
        <f>IFERROR(DD8," ")</f>
        <v>83</v>
      </c>
      <c r="CD8" s="291" t="str">
        <f>IF(CC8&gt;100,"  ",IF(CC8&gt;=CD$1,"A",IF(CC8&gt;=CD$2,"B",IF(CC8&gt;=CD$3,"C",IF(CC8&gt;=1,"D","")))))</f>
        <v>B</v>
      </c>
      <c r="CE8" s="50" t="str">
        <f>IFERROR(EK8," ")</f>
        <v>Ananda Afif  baik dalam mengidentifikasi nilai-nilai Pancasila dalam kehidupan sehari-hari, cukup dalam memahami hak, kewajiban dan tanggung jawab sebagai warga dalam kehidupan sehari-hari</v>
      </c>
      <c r="CF8" s="282"/>
      <c r="CG8" s="51"/>
      <c r="CH8" s="46">
        <f t="shared" ref="CH8:CM8" si="22">BK8</f>
        <v>90</v>
      </c>
      <c r="CI8" s="46">
        <f t="shared" si="22"/>
        <v>80.5</v>
      </c>
      <c r="CJ8" s="46">
        <f t="shared" si="22"/>
        <v>87</v>
      </c>
      <c r="CK8" s="46">
        <f t="shared" si="22"/>
        <v>87</v>
      </c>
      <c r="CL8" s="46" t="str">
        <f t="shared" si="22"/>
        <v xml:space="preserve"> </v>
      </c>
      <c r="CM8" s="46" t="str">
        <f t="shared" si="22"/>
        <v xml:space="preserve"> </v>
      </c>
      <c r="CN8" s="46"/>
      <c r="CO8" s="46"/>
      <c r="CP8" s="46"/>
      <c r="CQ8" s="46"/>
      <c r="CR8" s="52"/>
      <c r="CS8" s="51"/>
      <c r="CT8" s="53">
        <f t="shared" ref="CT8:CT42" si="23">IFERROR(AVERAGE(BK8,BQ8,BW8,CH8),"  ")</f>
        <v>83.75</v>
      </c>
      <c r="CU8" s="53">
        <f t="shared" ref="CU8:CU42" si="24">IFERROR(AVERAGE(BL8,BR8,BX8,CI8),"  ")</f>
        <v>82.75</v>
      </c>
      <c r="CV8" s="53">
        <f t="shared" ref="CV8:CV42" si="25">IFERROR(AVERAGE(BM8,BS8,BY8,CJ8),"  ")</f>
        <v>83</v>
      </c>
      <c r="CW8" s="53">
        <f t="shared" ref="CW8:CW42" si="26">IFERROR(AVERAGE(BN8,BT8,BZ8,CK8),"  ")</f>
        <v>83</v>
      </c>
      <c r="CX8" s="53" t="str">
        <f t="shared" ref="CX8:CX42" si="27">IFERROR(AVERAGE(BO8,BU8,CA8,CL8),"  ")</f>
        <v xml:space="preserve">  </v>
      </c>
      <c r="CY8" s="53" t="str">
        <f t="shared" ref="CY8:CY42" si="28">IFERROR(AVERAGE(BP8,BV8,CB8,CM8),"  ")</f>
        <v xml:space="preserve">  </v>
      </c>
      <c r="CZ8" s="53"/>
      <c r="DA8" s="53"/>
      <c r="DB8" s="53"/>
      <c r="DC8" s="53"/>
      <c r="DD8" s="54">
        <f>IFERROR(ROUND(AVERAGE(CT8:CY8),0)," ")</f>
        <v>83</v>
      </c>
      <c r="DE8" s="55">
        <f>MAX(CT8:CY8)</f>
        <v>83.75</v>
      </c>
      <c r="DF8" s="55">
        <f>MIN(CT8:CY8)</f>
        <v>82.75</v>
      </c>
      <c r="DG8" s="51" t="str">
        <f>SISWA!E6</f>
        <v>Afif</v>
      </c>
      <c r="DH8" s="51" t="str">
        <f>IF(DS8&gt;1,"Ananda "&amp;DG8&amp;" ","")</f>
        <v xml:space="preserve">Ananda Afif </v>
      </c>
      <c r="DI8" s="56">
        <f t="shared" ref="DI8:DN8" si="29">IF(CT8=$DE8,$DE8,"")</f>
        <v>83.75</v>
      </c>
      <c r="DJ8" s="57" t="str">
        <f t="shared" si="29"/>
        <v/>
      </c>
      <c r="DK8" s="57" t="str">
        <f t="shared" si="29"/>
        <v/>
      </c>
      <c r="DL8" s="57" t="str">
        <f t="shared" si="29"/>
        <v/>
      </c>
      <c r="DM8" s="57" t="str">
        <f t="shared" si="29"/>
        <v/>
      </c>
      <c r="DN8" s="57" t="str">
        <f t="shared" si="29"/>
        <v/>
      </c>
      <c r="DO8" s="57"/>
      <c r="DP8" s="57"/>
      <c r="DQ8" s="57"/>
      <c r="DR8" s="57"/>
      <c r="DS8" s="58">
        <f>SUM(DI8:DN8)</f>
        <v>83.75</v>
      </c>
      <c r="DT8" s="55" t="str">
        <f t="shared" ref="DT8" si="30">LOOKUP(DE8,(DI8:DR8),($DI$6:$DR$6))</f>
        <v>mengidentifikasi nilai-nilai Pancasila dalam kehidupan sehari-hari</v>
      </c>
      <c r="DU8" s="58"/>
      <c r="DV8" s="59" t="str">
        <f>IF(DE8&gt;100,"",IF(DE8&gt;CD$1,"sangat baik dalam "&amp;DT8,IF(DE8&gt;=CD$2,"baik dalam "&amp;DT8,IF(DE8&gt;=CD$3,"cukup dalam "&amp;DT8,IF(DE8&lt;CD$3,"dengan bimbingan dapat meningkatkan dalam "&amp;DT8,IF(DE8&lt;1," ",””))))))</f>
        <v>baik dalam mengidentifikasi nilai-nilai Pancasila dalam kehidupan sehari-hari</v>
      </c>
      <c r="DW8" s="58"/>
      <c r="DX8" s="57" t="str">
        <f t="shared" ref="DX8:EC8" si="31">IF(CT8=$DF8,$DF8,"")</f>
        <v/>
      </c>
      <c r="DY8" s="57">
        <f t="shared" si="31"/>
        <v>82.75</v>
      </c>
      <c r="DZ8" s="57" t="str">
        <f t="shared" si="31"/>
        <v/>
      </c>
      <c r="EA8" s="57" t="str">
        <f t="shared" si="31"/>
        <v/>
      </c>
      <c r="EB8" s="57" t="str">
        <f t="shared" si="31"/>
        <v/>
      </c>
      <c r="EC8" s="57" t="str">
        <f t="shared" si="31"/>
        <v/>
      </c>
      <c r="ED8" s="57"/>
      <c r="EE8" s="57"/>
      <c r="EF8" s="57"/>
      <c r="EG8" s="57"/>
      <c r="EH8" s="59" t="str">
        <f>LOOKUP(DF8,(DX8:EG8),($DX$6:$EG$6))</f>
        <v>memahami hak, kewajiban dan tanggung jawab sebagai warga dalam kehidupan sehari-hari</v>
      </c>
      <c r="EI8" s="59" t="str">
        <f>IF(DF8&gt;100,"",IF(DF8&gt;CD$1,"sangat baik dalam "&amp;EH8,IF(DF8&gt;=CD$2,"baik dalam "&amp;EH8,IF(DF8&gt;=CD$3,"cukup dalam "&amp;EH8,IF(DF8&lt;CD$3,"dengan bimbingan dapat meningkatkan dalam "&amp;EH8,IF(DF8&lt;1," ",””))))))</f>
        <v>cukup dalam memahami hak, kewajiban dan tanggung jawab sebagai warga dalam kehidupan sehari-hari</v>
      </c>
      <c r="EJ8" s="61"/>
      <c r="EK8" s="62" t="str">
        <f>CONCATENATE(DH8&amp;" "&amp;DV8&amp;", "&amp;EI8)</f>
        <v>Ananda Afif  baik dalam mengidentifikasi nilai-nilai Pancasila dalam kehidupan sehari-hari, cukup dalam memahami hak, kewajiban dan tanggung jawab sebagai warga dalam kehidupan sehari-hari</v>
      </c>
      <c r="EL8"/>
      <c r="EM8"/>
      <c r="EN8" s="57">
        <f t="shared" ref="EN8:EN42" si="32">IF(DJ8=$DP8,$DP8,"")</f>
        <v>0</v>
      </c>
      <c r="EO8" s="57"/>
      <c r="EP8" s="57"/>
      <c r="EQ8" s="57"/>
      <c r="ER8" s="59">
        <f t="shared" ref="ER8:ER42" si="33">LOOKUP(DP8,(EH8:EQ8),($EH$6:$EQ$6))</f>
        <v>0</v>
      </c>
      <c r="ES8" s="60"/>
      <c r="ET8" s="61"/>
      <c r="EU8" s="62" t="str">
        <f>CONCATENATE(EF8&amp;", "&amp;ER8)</f>
        <v>, 0</v>
      </c>
      <c r="EV8" s="51"/>
    </row>
    <row r="9" spans="1:152" ht="34.5" customHeight="1">
      <c r="A9" s="39">
        <v>2</v>
      </c>
      <c r="B9" s="269" t="str">
        <f>SISWA!B7</f>
        <v>Ahmad Faiq Athaya</v>
      </c>
      <c r="C9" s="123">
        <v>93</v>
      </c>
      <c r="D9" s="123"/>
      <c r="E9" s="123"/>
      <c r="F9" s="123"/>
      <c r="G9" s="123"/>
      <c r="H9" s="123"/>
      <c r="I9" s="256">
        <v>87</v>
      </c>
      <c r="J9" s="256"/>
      <c r="K9" s="256"/>
      <c r="L9" s="256"/>
      <c r="M9" s="256"/>
      <c r="N9" s="256"/>
      <c r="O9" s="123"/>
      <c r="P9" s="123">
        <v>87</v>
      </c>
      <c r="Q9" s="123"/>
      <c r="R9" s="123"/>
      <c r="S9" s="123"/>
      <c r="T9" s="123"/>
      <c r="U9" s="256"/>
      <c r="V9" s="256">
        <v>75</v>
      </c>
      <c r="W9" s="256"/>
      <c r="X9" s="256"/>
      <c r="Y9" s="256"/>
      <c r="Z9" s="256"/>
      <c r="AA9" s="123"/>
      <c r="AB9" s="123"/>
      <c r="AC9" s="123">
        <v>100</v>
      </c>
      <c r="AD9" s="123"/>
      <c r="AE9" s="123"/>
      <c r="AF9" s="123"/>
      <c r="AG9" s="256"/>
      <c r="AH9" s="256"/>
      <c r="AI9" s="256">
        <v>87</v>
      </c>
      <c r="AJ9" s="256"/>
      <c r="AK9" s="256"/>
      <c r="AL9" s="256"/>
      <c r="AM9" s="123"/>
      <c r="AN9" s="123">
        <v>75</v>
      </c>
      <c r="AO9" s="123"/>
      <c r="AP9" s="123"/>
      <c r="AQ9" s="123"/>
      <c r="AR9" s="123"/>
      <c r="AS9" s="256"/>
      <c r="AT9" s="256">
        <v>100</v>
      </c>
      <c r="AU9" s="256"/>
      <c r="AV9" s="256"/>
      <c r="AW9" s="256"/>
      <c r="AX9" s="256"/>
      <c r="AY9" s="460"/>
      <c r="AZ9" s="460"/>
      <c r="BA9" s="460"/>
      <c r="BB9" s="460">
        <v>93</v>
      </c>
      <c r="BC9" s="460"/>
      <c r="BD9" s="460"/>
      <c r="BE9" s="346"/>
      <c r="BF9" s="346"/>
      <c r="BG9" s="346"/>
      <c r="BH9" s="346">
        <v>100</v>
      </c>
      <c r="BI9" s="346"/>
      <c r="BJ9" s="346"/>
      <c r="BK9" s="260">
        <f t="shared" si="16"/>
        <v>90</v>
      </c>
      <c r="BL9" s="260">
        <f t="shared" si="17"/>
        <v>84.25</v>
      </c>
      <c r="BM9" s="260">
        <f t="shared" si="18"/>
        <v>93.5</v>
      </c>
      <c r="BN9" s="260">
        <f t="shared" si="19"/>
        <v>96.5</v>
      </c>
      <c r="BO9" s="260" t="str">
        <f t="shared" si="20"/>
        <v xml:space="preserve"> </v>
      </c>
      <c r="BP9" s="260" t="str">
        <f t="shared" si="21"/>
        <v xml:space="preserve"> </v>
      </c>
      <c r="BQ9" s="547">
        <v>84</v>
      </c>
      <c r="BR9" s="547">
        <v>100</v>
      </c>
      <c r="BS9" s="547"/>
      <c r="BT9" s="547"/>
      <c r="BU9" s="547"/>
      <c r="BV9" s="547"/>
      <c r="BW9" s="548">
        <v>90</v>
      </c>
      <c r="BX9" s="548">
        <v>93</v>
      </c>
      <c r="BY9" s="548">
        <v>80</v>
      </c>
      <c r="BZ9" s="548">
        <v>80</v>
      </c>
      <c r="CA9" s="548"/>
      <c r="CB9" s="548"/>
      <c r="CC9" s="550">
        <f t="shared" ref="CC9:CC42" si="34">IFERROR(DD9," ")</f>
        <v>90</v>
      </c>
      <c r="CD9" s="291" t="str">
        <f t="shared" ref="CD9:CD42" si="35">IF(CC9&gt;100,"  ",IF(CC9&gt;=CD$1,"A",IF(CC9&gt;=CD$2,"B",IF(CC9&gt;=CD$3,"C",IF(CC9&gt;=1,"D","")))))</f>
        <v>B</v>
      </c>
      <c r="CE9" s="50" t="str">
        <f t="shared" ref="CE9:CE42" si="36">IFERROR(EK9," ")</f>
        <v>Ananda Athaya  baik dalam menggali manfaat persatuan dan kesatuan untuk membangun kerukunan hidup, baik dalam mengidentifikasi nilai-nilai Pancasila dalam kehidupan sehari-hari</v>
      </c>
      <c r="CF9" s="282"/>
      <c r="CG9" s="51"/>
      <c r="CH9" s="46">
        <f t="shared" ref="CH9:CH42" si="37">BK9</f>
        <v>90</v>
      </c>
      <c r="CI9" s="46">
        <f t="shared" ref="CI9:CI42" si="38">BL9</f>
        <v>84.25</v>
      </c>
      <c r="CJ9" s="46">
        <f t="shared" ref="CJ9:CJ42" si="39">BM9</f>
        <v>93.5</v>
      </c>
      <c r="CK9" s="46">
        <f t="shared" ref="CK9:CK42" si="40">BN9</f>
        <v>96.5</v>
      </c>
      <c r="CL9" s="46" t="str">
        <f t="shared" ref="CL9:CL42" si="41">BO9</f>
        <v xml:space="preserve"> </v>
      </c>
      <c r="CM9" s="46" t="str">
        <f t="shared" ref="CM9:CM42" si="42">BP9</f>
        <v xml:space="preserve"> </v>
      </c>
      <c r="CN9" s="46"/>
      <c r="CO9" s="46"/>
      <c r="CP9" s="46"/>
      <c r="CQ9" s="46"/>
      <c r="CR9" s="52"/>
      <c r="CS9" s="51"/>
      <c r="CT9" s="53">
        <f t="shared" si="23"/>
        <v>88.5</v>
      </c>
      <c r="CU9" s="53">
        <f t="shared" si="24"/>
        <v>90.375</v>
      </c>
      <c r="CV9" s="53">
        <f t="shared" si="25"/>
        <v>89</v>
      </c>
      <c r="CW9" s="53">
        <f t="shared" si="26"/>
        <v>91</v>
      </c>
      <c r="CX9" s="53" t="str">
        <f t="shared" si="27"/>
        <v xml:space="preserve">  </v>
      </c>
      <c r="CY9" s="53" t="str">
        <f t="shared" si="28"/>
        <v xml:space="preserve">  </v>
      </c>
      <c r="CZ9" s="53"/>
      <c r="DA9" s="53"/>
      <c r="DB9" s="53"/>
      <c r="DC9" s="53"/>
      <c r="DD9" s="54">
        <f t="shared" ref="DD9:DD42" si="43">IFERROR(ROUND(AVERAGE(CT9:DC9),0)," ")</f>
        <v>90</v>
      </c>
      <c r="DE9" s="55">
        <f t="shared" ref="DE9:DE42" si="44">MAX(CT9:DC9)</f>
        <v>91</v>
      </c>
      <c r="DF9" s="55">
        <f t="shared" ref="DF9:DF42" si="45">MIN(CT9:DC9)</f>
        <v>88.5</v>
      </c>
      <c r="DG9" s="51" t="str">
        <f>SISWA!E7</f>
        <v>Athaya</v>
      </c>
      <c r="DH9" s="51" t="str">
        <f t="shared" ref="DH9:DH42" si="46">IF(DS9&gt;1,"Ananda "&amp;DG9&amp;" ","")</f>
        <v xml:space="preserve">Ananda Athaya </v>
      </c>
      <c r="DI9" s="56" t="str">
        <f t="shared" ref="DI9:DI42" si="47">IF(CT9=$DE9,$DE9,"")</f>
        <v/>
      </c>
      <c r="DJ9" s="57" t="str">
        <f t="shared" ref="DJ9:DJ42" si="48">IF(CU9=$DE9,$DE9,"")</f>
        <v/>
      </c>
      <c r="DK9" s="57" t="str">
        <f t="shared" ref="DK9:DK42" si="49">IF(CV9=$DE9,$DE9,"")</f>
        <v/>
      </c>
      <c r="DL9" s="57">
        <f t="shared" ref="DL9:DL42" si="50">IF(CW9=$DE9,$DE9,"")</f>
        <v>91</v>
      </c>
      <c r="DM9" s="57" t="str">
        <f t="shared" ref="DM9:DM42" si="51">IF(CX9=$DE9,$DE9,"")</f>
        <v/>
      </c>
      <c r="DN9" s="57" t="str">
        <f t="shared" ref="DN9:DN42" si="52">IF(CY9=$DE9,$DE9,"")</f>
        <v/>
      </c>
      <c r="DO9" s="57"/>
      <c r="DP9" s="57"/>
      <c r="DQ9" s="57"/>
      <c r="DR9" s="57"/>
      <c r="DS9" s="58">
        <f t="shared" ref="DS9:DS42" si="53">SUM(DI9:DN9)</f>
        <v>91</v>
      </c>
      <c r="DT9" s="55" t="str">
        <f t="shared" ref="DT9:DT42" si="54">LOOKUP(DE9,(DI9:DR9),($DI$6:$DR$6))</f>
        <v>menggali manfaat persatuan dan kesatuan untuk membangun kerukunan hidup</v>
      </c>
      <c r="DU9" s="58"/>
      <c r="DV9" s="59" t="str">
        <f>IF(DE9&gt;100,"",IF(DE9&gt;CD$1,"sangat baik dalam "&amp;DT9,IF(DE9&gt;=CD$2,"baik dalam "&amp;DT9,IF(DE9&gt;=CD$3,"cukup dalam "&amp;DT9,IF(DE9&lt;CD$3,"dengan bimbingan dapat meningkatkan dalam "&amp;DT9,IF(DE9&lt;1," ",””))))))</f>
        <v>baik dalam menggali manfaat persatuan dan kesatuan untuk membangun kerukunan hidup</v>
      </c>
      <c r="DW9" s="58"/>
      <c r="DX9" s="57">
        <f t="shared" ref="DX9:DX42" si="55">IF(CT9=$DF9,$DF9,"")</f>
        <v>88.5</v>
      </c>
      <c r="DY9" s="57" t="str">
        <f t="shared" ref="DY9:DY42" si="56">IF(CU9=$DF9,$DF9,"")</f>
        <v/>
      </c>
      <c r="DZ9" s="57" t="str">
        <f t="shared" ref="DZ9:DZ42" si="57">IF(CV9=$DF9,$DF9,"")</f>
        <v/>
      </c>
      <c r="EA9" s="57" t="str">
        <f t="shared" ref="EA9:EA42" si="58">IF(CW9=$DF9,$DF9,"")</f>
        <v/>
      </c>
      <c r="EB9" s="57" t="str">
        <f t="shared" ref="EB9:EB42" si="59">IF(CX9=$DF9,$DF9,"")</f>
        <v/>
      </c>
      <c r="EC9" s="57" t="str">
        <f t="shared" ref="EC9:EC42" si="60">IF(CY9=$DF9,$DF9,"")</f>
        <v/>
      </c>
      <c r="ED9" s="57"/>
      <c r="EE9" s="57"/>
      <c r="EF9" s="57"/>
      <c r="EG9" s="57"/>
      <c r="EH9" s="59" t="str">
        <f t="shared" ref="EH9:EH42" si="61">LOOKUP(DF9,(DX9:EG9),($DX$6:$EG$6))</f>
        <v>mengidentifikasi nilai-nilai Pancasila dalam kehidupan sehari-hari</v>
      </c>
      <c r="EI9" s="59" t="str">
        <f>IF(DF9&gt;100,"",IF(DF9&gt;CD$1,"sangat baik dalam "&amp;EH9,IF(DF9&gt;=CD$2,"baik dalam "&amp;EH9,IF(DF9&gt;=CD$3,"cukup dalam "&amp;EH9,IF(DF9&lt;CD$3,"dengan bimbingan dapat meningkatkan dalam "&amp;EH9,IF(DF9&lt;1," ",””))))))</f>
        <v>baik dalam mengidentifikasi nilai-nilai Pancasila dalam kehidupan sehari-hari</v>
      </c>
      <c r="EJ9" s="61"/>
      <c r="EK9" s="62" t="str">
        <f t="shared" ref="EK9:EK42" si="62">CONCATENATE(DH9&amp;" "&amp;DV9&amp;", "&amp;EI9)</f>
        <v>Ananda Athaya  baik dalam menggali manfaat persatuan dan kesatuan untuk membangun kerukunan hidup, baik dalam mengidentifikasi nilai-nilai Pancasila dalam kehidupan sehari-hari</v>
      </c>
      <c r="EL9" s="57" t="str">
        <f t="shared" ref="EL9:EL42" si="63">IF(DH9=$DP9,$DP9,"")</f>
        <v/>
      </c>
      <c r="EM9" s="57">
        <f t="shared" ref="EM9:EM42" si="64">IF(DI9=$DP9,$DP9,"")</f>
        <v>0</v>
      </c>
      <c r="EN9" s="57">
        <f t="shared" si="32"/>
        <v>0</v>
      </c>
      <c r="EO9" s="57"/>
      <c r="EP9" s="57"/>
      <c r="EQ9" s="57"/>
      <c r="ER9" s="59">
        <f t="shared" si="33"/>
        <v>0</v>
      </c>
      <c r="ES9" s="60"/>
      <c r="ET9" s="61"/>
      <c r="EU9" s="62" t="str">
        <f t="shared" ref="EU9:EU42" si="65">CONCATENATE(EF9&amp;", "&amp;ER9)</f>
        <v>, 0</v>
      </c>
      <c r="EV9" s="4"/>
    </row>
    <row r="10" spans="1:152" ht="34.5" customHeight="1">
      <c r="A10" s="39">
        <v>3</v>
      </c>
      <c r="B10" s="269" t="str">
        <f>SISWA!B8</f>
        <v>Amira Zerlinda</v>
      </c>
      <c r="C10" s="123">
        <v>80</v>
      </c>
      <c r="D10" s="123"/>
      <c r="E10" s="123"/>
      <c r="F10" s="123"/>
      <c r="G10" s="123"/>
      <c r="H10" s="123"/>
      <c r="I10" s="256">
        <v>87</v>
      </c>
      <c r="J10" s="256"/>
      <c r="K10" s="256"/>
      <c r="L10" s="256"/>
      <c r="M10" s="256"/>
      <c r="N10" s="256"/>
      <c r="O10" s="123"/>
      <c r="P10" s="123">
        <v>75</v>
      </c>
      <c r="Q10" s="123"/>
      <c r="R10" s="123"/>
      <c r="S10" s="123"/>
      <c r="T10" s="123"/>
      <c r="U10" s="256"/>
      <c r="V10" s="256">
        <v>80</v>
      </c>
      <c r="W10" s="256"/>
      <c r="X10" s="256"/>
      <c r="Y10" s="256"/>
      <c r="Z10" s="256"/>
      <c r="AA10" s="123"/>
      <c r="AB10" s="123"/>
      <c r="AC10" s="123">
        <v>93</v>
      </c>
      <c r="AD10" s="123"/>
      <c r="AE10" s="123"/>
      <c r="AF10" s="123"/>
      <c r="AG10" s="256"/>
      <c r="AH10" s="256"/>
      <c r="AI10" s="256">
        <v>100</v>
      </c>
      <c r="AJ10" s="256"/>
      <c r="AK10" s="256"/>
      <c r="AL10" s="256"/>
      <c r="AM10" s="123"/>
      <c r="AN10" s="123">
        <v>87</v>
      </c>
      <c r="AO10" s="123"/>
      <c r="AP10" s="123"/>
      <c r="AQ10" s="123"/>
      <c r="AR10" s="123"/>
      <c r="AS10" s="256"/>
      <c r="AT10" s="256">
        <v>87</v>
      </c>
      <c r="AU10" s="256"/>
      <c r="AV10" s="256"/>
      <c r="AW10" s="256"/>
      <c r="AX10" s="256"/>
      <c r="AY10" s="460"/>
      <c r="AZ10" s="460"/>
      <c r="BA10" s="460"/>
      <c r="BB10" s="460">
        <v>60</v>
      </c>
      <c r="BC10" s="460"/>
      <c r="BD10" s="460"/>
      <c r="BE10" s="346"/>
      <c r="BF10" s="346"/>
      <c r="BG10" s="346"/>
      <c r="BH10" s="346">
        <v>75</v>
      </c>
      <c r="BI10" s="346"/>
      <c r="BJ10" s="346"/>
      <c r="BK10" s="260">
        <f t="shared" si="16"/>
        <v>83.5</v>
      </c>
      <c r="BL10" s="260">
        <f t="shared" si="17"/>
        <v>82.25</v>
      </c>
      <c r="BM10" s="260">
        <f t="shared" si="18"/>
        <v>96.5</v>
      </c>
      <c r="BN10" s="260">
        <f t="shared" si="19"/>
        <v>67.5</v>
      </c>
      <c r="BO10" s="260" t="str">
        <f t="shared" si="20"/>
        <v xml:space="preserve"> </v>
      </c>
      <c r="BP10" s="260" t="str">
        <f t="shared" si="21"/>
        <v xml:space="preserve"> </v>
      </c>
      <c r="BQ10" s="547">
        <v>75</v>
      </c>
      <c r="BR10" s="547">
        <v>77</v>
      </c>
      <c r="BS10" s="547"/>
      <c r="BT10" s="547"/>
      <c r="BU10" s="547"/>
      <c r="BV10" s="547"/>
      <c r="BW10" s="548">
        <v>75</v>
      </c>
      <c r="BX10" s="548">
        <v>75</v>
      </c>
      <c r="BY10" s="548">
        <v>75</v>
      </c>
      <c r="BZ10" s="548">
        <v>75</v>
      </c>
      <c r="CA10" s="548"/>
      <c r="CB10" s="548"/>
      <c r="CC10" s="550">
        <f t="shared" si="34"/>
        <v>79</v>
      </c>
      <c r="CD10" s="291" t="str">
        <f t="shared" si="35"/>
        <v>C</v>
      </c>
      <c r="CE10" s="50" t="str">
        <f t="shared" si="36"/>
        <v>Ananda Amira  baik dalam menelaah keberagaman sosial budaya masyarakat, dengan bimbingan dapat meningkatkan dalam menggali manfaat persatuan dan kesatuan untuk membangun kerukunan hidup</v>
      </c>
      <c r="CF10" s="282"/>
      <c r="CG10" s="51"/>
      <c r="CH10" s="46">
        <f t="shared" si="37"/>
        <v>83.5</v>
      </c>
      <c r="CI10" s="46">
        <f t="shared" si="38"/>
        <v>82.25</v>
      </c>
      <c r="CJ10" s="46">
        <f t="shared" si="39"/>
        <v>96.5</v>
      </c>
      <c r="CK10" s="46">
        <f t="shared" si="40"/>
        <v>67.5</v>
      </c>
      <c r="CL10" s="46" t="str">
        <f t="shared" si="41"/>
        <v xml:space="preserve"> </v>
      </c>
      <c r="CM10" s="46" t="str">
        <f t="shared" si="42"/>
        <v xml:space="preserve"> </v>
      </c>
      <c r="CN10" s="46"/>
      <c r="CO10" s="46"/>
      <c r="CP10" s="46"/>
      <c r="CQ10" s="46"/>
      <c r="CR10" s="52"/>
      <c r="CS10" s="51"/>
      <c r="CT10" s="53">
        <f t="shared" si="23"/>
        <v>79.25</v>
      </c>
      <c r="CU10" s="53">
        <f t="shared" si="24"/>
        <v>79.125</v>
      </c>
      <c r="CV10" s="53">
        <f t="shared" si="25"/>
        <v>89.333333333333329</v>
      </c>
      <c r="CW10" s="53">
        <f t="shared" si="26"/>
        <v>70</v>
      </c>
      <c r="CX10" s="53" t="str">
        <f t="shared" si="27"/>
        <v xml:space="preserve">  </v>
      </c>
      <c r="CY10" s="53" t="str">
        <f t="shared" si="28"/>
        <v xml:space="preserve">  </v>
      </c>
      <c r="CZ10" s="53"/>
      <c r="DA10" s="53"/>
      <c r="DB10" s="53"/>
      <c r="DC10" s="53"/>
      <c r="DD10" s="54">
        <f t="shared" si="43"/>
        <v>79</v>
      </c>
      <c r="DE10" s="55">
        <f t="shared" si="44"/>
        <v>89.333333333333329</v>
      </c>
      <c r="DF10" s="55">
        <f t="shared" si="45"/>
        <v>70</v>
      </c>
      <c r="DG10" s="51" t="str">
        <f>SISWA!E8</f>
        <v>Amira</v>
      </c>
      <c r="DH10" s="51" t="str">
        <f t="shared" si="46"/>
        <v xml:space="preserve">Ananda Amira </v>
      </c>
      <c r="DI10" s="56" t="str">
        <f t="shared" si="47"/>
        <v/>
      </c>
      <c r="DJ10" s="57" t="str">
        <f t="shared" si="48"/>
        <v/>
      </c>
      <c r="DK10" s="57">
        <f t="shared" si="49"/>
        <v>89.333333333333329</v>
      </c>
      <c r="DL10" s="57" t="str">
        <f t="shared" si="50"/>
        <v/>
      </c>
      <c r="DM10" s="57" t="str">
        <f t="shared" si="51"/>
        <v/>
      </c>
      <c r="DN10" s="57" t="str">
        <f t="shared" si="52"/>
        <v/>
      </c>
      <c r="DO10" s="57"/>
      <c r="DP10" s="57"/>
      <c r="DQ10" s="57"/>
      <c r="DR10" s="57"/>
      <c r="DS10" s="58">
        <f t="shared" si="53"/>
        <v>89.333333333333329</v>
      </c>
      <c r="DT10" s="55" t="str">
        <f t="shared" si="54"/>
        <v>menelaah keberagaman sosial budaya masyarakat</v>
      </c>
      <c r="DU10" s="58"/>
      <c r="DV10" s="59" t="str">
        <f>IF(DE10&gt;100,"",IF(DE10&gt;CD$1,"sangat baik dalam "&amp;DT10,IF(DE10&gt;=CD$2,"baik dalam "&amp;DT10,IF(DE10&gt;=CD$3,"cukup dalam "&amp;DT10,IF(DE10&lt;CD$3,"dengan bimbingan dapat meningkatkan dalam "&amp;DT10,IF(DE10&lt;1," ",””))))))</f>
        <v>baik dalam menelaah keberagaman sosial budaya masyarakat</v>
      </c>
      <c r="DW10" s="58"/>
      <c r="DX10" s="57" t="str">
        <f t="shared" si="55"/>
        <v/>
      </c>
      <c r="DY10" s="57" t="str">
        <f t="shared" si="56"/>
        <v/>
      </c>
      <c r="DZ10" s="57" t="str">
        <f t="shared" si="57"/>
        <v/>
      </c>
      <c r="EA10" s="57">
        <f t="shared" si="58"/>
        <v>70</v>
      </c>
      <c r="EB10" s="57" t="str">
        <f t="shared" si="59"/>
        <v/>
      </c>
      <c r="EC10" s="57" t="str">
        <f t="shared" si="60"/>
        <v/>
      </c>
      <c r="ED10" s="57"/>
      <c r="EE10" s="57"/>
      <c r="EF10" s="57"/>
      <c r="EG10" s="57"/>
      <c r="EH10" s="59" t="str">
        <f t="shared" si="61"/>
        <v>menggali manfaat persatuan dan kesatuan untuk membangun kerukunan hidup</v>
      </c>
      <c r="EI10" s="59" t="str">
        <f>IF(DF10&gt;100,"",IF(DF10&gt;CD$1,"sangat baik dalam "&amp;EH10,IF(DF10&gt;=CD$2,"baik dalam "&amp;EH10,IF(DF10&gt;=CD$3,"cukup dalam "&amp;EH10,IF(DF10&lt;CD$3,"dengan bimbingan dapat meningkatkan dalam "&amp;EH10,IF(DF10&lt;1," ",””))))))</f>
        <v>dengan bimbingan dapat meningkatkan dalam menggali manfaat persatuan dan kesatuan untuk membangun kerukunan hidup</v>
      </c>
      <c r="EJ10" s="61"/>
      <c r="EK10" s="62" t="str">
        <f t="shared" si="62"/>
        <v>Ananda Amira  baik dalam menelaah keberagaman sosial budaya masyarakat, dengan bimbingan dapat meningkatkan dalam menggali manfaat persatuan dan kesatuan untuk membangun kerukunan hidup</v>
      </c>
      <c r="EL10" s="57" t="str">
        <f t="shared" si="63"/>
        <v/>
      </c>
      <c r="EM10" s="57">
        <f t="shared" si="64"/>
        <v>0</v>
      </c>
      <c r="EN10" s="57">
        <f t="shared" si="32"/>
        <v>0</v>
      </c>
      <c r="EO10" s="57"/>
      <c r="EP10" s="57"/>
      <c r="EQ10" s="57"/>
      <c r="ER10" s="59">
        <f t="shared" si="33"/>
        <v>0</v>
      </c>
      <c r="ES10" s="60"/>
      <c r="ET10" s="61"/>
      <c r="EU10" s="62" t="str">
        <f t="shared" si="65"/>
        <v>, 0</v>
      </c>
      <c r="EV10" s="4"/>
    </row>
    <row r="11" spans="1:152" ht="34.5" customHeight="1">
      <c r="A11" s="39">
        <v>4</v>
      </c>
      <c r="B11" s="269" t="str">
        <f>SISWA!B9</f>
        <v>Andrian Putra Pangestu</v>
      </c>
      <c r="C11" s="123">
        <v>75</v>
      </c>
      <c r="D11" s="123"/>
      <c r="E11" s="123"/>
      <c r="F11" s="123"/>
      <c r="G11" s="123"/>
      <c r="H11" s="123"/>
      <c r="I11" s="256">
        <v>75</v>
      </c>
      <c r="J11" s="256"/>
      <c r="K11" s="256"/>
      <c r="L11" s="256"/>
      <c r="M11" s="256"/>
      <c r="N11" s="256"/>
      <c r="O11" s="123"/>
      <c r="P11" s="123">
        <v>75</v>
      </c>
      <c r="Q11" s="123"/>
      <c r="R11" s="123"/>
      <c r="S11" s="123"/>
      <c r="T11" s="123"/>
      <c r="U11" s="256"/>
      <c r="V11" s="256">
        <v>75</v>
      </c>
      <c r="W11" s="256"/>
      <c r="X11" s="256"/>
      <c r="Y11" s="256"/>
      <c r="Z11" s="256"/>
      <c r="AA11" s="123"/>
      <c r="AB11" s="123"/>
      <c r="AC11" s="123">
        <v>75</v>
      </c>
      <c r="AD11" s="123"/>
      <c r="AE11" s="123"/>
      <c r="AF11" s="123"/>
      <c r="AG11" s="256"/>
      <c r="AH11" s="256"/>
      <c r="AI11" s="256">
        <v>75</v>
      </c>
      <c r="AJ11" s="256"/>
      <c r="AK11" s="256"/>
      <c r="AL11" s="256"/>
      <c r="AM11" s="123"/>
      <c r="AN11" s="123">
        <v>75</v>
      </c>
      <c r="AO11" s="123"/>
      <c r="AP11" s="123"/>
      <c r="AQ11" s="123"/>
      <c r="AR11" s="123"/>
      <c r="AS11" s="256"/>
      <c r="AT11" s="256">
        <v>80</v>
      </c>
      <c r="AU11" s="256"/>
      <c r="AV11" s="256"/>
      <c r="AW11" s="256"/>
      <c r="AX11" s="256"/>
      <c r="AY11" s="460"/>
      <c r="AZ11" s="460"/>
      <c r="BA11" s="460"/>
      <c r="BB11" s="460">
        <v>75</v>
      </c>
      <c r="BC11" s="460"/>
      <c r="BD11" s="460"/>
      <c r="BE11" s="346"/>
      <c r="BF11" s="346"/>
      <c r="BG11" s="346"/>
      <c r="BH11" s="346">
        <v>77</v>
      </c>
      <c r="BI11" s="346"/>
      <c r="BJ11" s="346"/>
      <c r="BK11" s="260">
        <f t="shared" si="16"/>
        <v>75</v>
      </c>
      <c r="BL11" s="260">
        <f t="shared" si="17"/>
        <v>76.25</v>
      </c>
      <c r="BM11" s="260">
        <f t="shared" si="18"/>
        <v>75</v>
      </c>
      <c r="BN11" s="260">
        <f t="shared" si="19"/>
        <v>76</v>
      </c>
      <c r="BO11" s="260" t="str">
        <f t="shared" si="20"/>
        <v xml:space="preserve"> </v>
      </c>
      <c r="BP11" s="260" t="str">
        <f t="shared" si="21"/>
        <v xml:space="preserve"> </v>
      </c>
      <c r="BQ11" s="547">
        <v>75</v>
      </c>
      <c r="BR11" s="547">
        <v>77</v>
      </c>
      <c r="BS11" s="547"/>
      <c r="BT11" s="547"/>
      <c r="BU11" s="547"/>
      <c r="BV11" s="547"/>
      <c r="BW11" s="548">
        <v>75</v>
      </c>
      <c r="BX11" s="548">
        <v>75</v>
      </c>
      <c r="BY11" s="548">
        <v>75</v>
      </c>
      <c r="BZ11" s="548">
        <v>75</v>
      </c>
      <c r="CA11" s="548"/>
      <c r="CB11" s="548"/>
      <c r="CC11" s="550">
        <f t="shared" si="34"/>
        <v>75</v>
      </c>
      <c r="CD11" s="291" t="str">
        <f t="shared" si="35"/>
        <v>C</v>
      </c>
      <c r="CE11" s="50" t="str">
        <f t="shared" si="36"/>
        <v>Ananda Andri  cukup dalam memahami hak, kewajiban dan tanggung jawab sebagai warga dalam kehidupan sehari-hari, cukup dalam menelaah keberagaman sosial budaya masyarakat</v>
      </c>
      <c r="CF11" s="282"/>
      <c r="CG11" s="51"/>
      <c r="CH11" s="46">
        <f t="shared" si="37"/>
        <v>75</v>
      </c>
      <c r="CI11" s="46">
        <f t="shared" si="38"/>
        <v>76.25</v>
      </c>
      <c r="CJ11" s="46">
        <f t="shared" si="39"/>
        <v>75</v>
      </c>
      <c r="CK11" s="46">
        <f t="shared" si="40"/>
        <v>76</v>
      </c>
      <c r="CL11" s="46" t="str">
        <f t="shared" si="41"/>
        <v xml:space="preserve"> </v>
      </c>
      <c r="CM11" s="46" t="str">
        <f t="shared" si="42"/>
        <v xml:space="preserve"> </v>
      </c>
      <c r="CN11" s="46"/>
      <c r="CO11" s="46"/>
      <c r="CP11" s="46"/>
      <c r="CQ11" s="46"/>
      <c r="CR11" s="52"/>
      <c r="CS11" s="51"/>
      <c r="CT11" s="53">
        <f t="shared" si="23"/>
        <v>75</v>
      </c>
      <c r="CU11" s="53">
        <f t="shared" si="24"/>
        <v>76.125</v>
      </c>
      <c r="CV11" s="53">
        <f t="shared" si="25"/>
        <v>75</v>
      </c>
      <c r="CW11" s="53">
        <f t="shared" si="26"/>
        <v>75.666666666666671</v>
      </c>
      <c r="CX11" s="53" t="str">
        <f t="shared" si="27"/>
        <v xml:space="preserve">  </v>
      </c>
      <c r="CY11" s="53" t="str">
        <f t="shared" si="28"/>
        <v xml:space="preserve">  </v>
      </c>
      <c r="CZ11" s="53"/>
      <c r="DA11" s="53"/>
      <c r="DB11" s="53"/>
      <c r="DC11" s="53"/>
      <c r="DD11" s="54">
        <f t="shared" si="43"/>
        <v>75</v>
      </c>
      <c r="DE11" s="55">
        <f t="shared" si="44"/>
        <v>76.125</v>
      </c>
      <c r="DF11" s="55">
        <f t="shared" si="45"/>
        <v>75</v>
      </c>
      <c r="DG11" s="51" t="str">
        <f>SISWA!E9</f>
        <v>Andri</v>
      </c>
      <c r="DH11" s="51" t="str">
        <f t="shared" si="46"/>
        <v xml:space="preserve">Ananda Andri </v>
      </c>
      <c r="DI11" s="56" t="str">
        <f t="shared" si="47"/>
        <v/>
      </c>
      <c r="DJ11" s="57">
        <f t="shared" si="48"/>
        <v>76.125</v>
      </c>
      <c r="DK11" s="57" t="str">
        <f t="shared" si="49"/>
        <v/>
      </c>
      <c r="DL11" s="57" t="str">
        <f t="shared" si="50"/>
        <v/>
      </c>
      <c r="DM11" s="57" t="str">
        <f t="shared" si="51"/>
        <v/>
      </c>
      <c r="DN11" s="57" t="str">
        <f t="shared" si="52"/>
        <v/>
      </c>
      <c r="DO11" s="57"/>
      <c r="DP11" s="57"/>
      <c r="DQ11" s="57"/>
      <c r="DR11" s="57"/>
      <c r="DS11" s="58">
        <f t="shared" si="53"/>
        <v>76.125</v>
      </c>
      <c r="DT11" s="55" t="str">
        <f t="shared" si="54"/>
        <v>memahami hak, kewajiban dan tanggung jawab sebagai warga dalam kehidupan sehari-hari</v>
      </c>
      <c r="DU11" s="58"/>
      <c r="DV11" s="59" t="str">
        <f>IF(DE11&gt;100,"",IF(DE11&gt;CD$1,"sangat baik dalam "&amp;DT11,IF(DE11&gt;=CD$2,"baik dalam "&amp;DT11,IF(DE11&gt;=CD$3,"cukup dalam "&amp;DT11,IF(DE11&lt;CD$3,"dengan bimbingan dapat meningkatkan dalam "&amp;DT11,IF(DE11&lt;1," ",””))))))</f>
        <v>cukup dalam memahami hak, kewajiban dan tanggung jawab sebagai warga dalam kehidupan sehari-hari</v>
      </c>
      <c r="DW11" s="58"/>
      <c r="DX11" s="57">
        <f t="shared" si="55"/>
        <v>75</v>
      </c>
      <c r="DY11" s="57" t="str">
        <f t="shared" si="56"/>
        <v/>
      </c>
      <c r="DZ11" s="57">
        <f t="shared" si="57"/>
        <v>75</v>
      </c>
      <c r="EA11" s="57" t="str">
        <f t="shared" si="58"/>
        <v/>
      </c>
      <c r="EB11" s="57" t="str">
        <f t="shared" si="59"/>
        <v/>
      </c>
      <c r="EC11" s="57" t="str">
        <f t="shared" si="60"/>
        <v/>
      </c>
      <c r="ED11" s="57"/>
      <c r="EE11" s="57"/>
      <c r="EF11" s="57"/>
      <c r="EG11" s="57"/>
      <c r="EH11" s="59" t="str">
        <f t="shared" si="61"/>
        <v>menelaah keberagaman sosial budaya masyarakat</v>
      </c>
      <c r="EI11" s="59" t="str">
        <f>IF(DF11&gt;100,"",IF(DF11&gt;CD$1,"sangat baik dalam "&amp;EH11,IF(DF11&gt;=CD$2,"baik dalam "&amp;EH11,IF(DF11&gt;=CD$3,"cukup dalam "&amp;EH11,IF(DF11&lt;CD$3,"dengan bimbingan dapat meningkatkan dalam "&amp;EH11,IF(DF11&lt;1," ",””))))))</f>
        <v>cukup dalam menelaah keberagaman sosial budaya masyarakat</v>
      </c>
      <c r="EJ11" s="61"/>
      <c r="EK11" s="62" t="str">
        <f t="shared" si="62"/>
        <v>Ananda Andri  cukup dalam memahami hak, kewajiban dan tanggung jawab sebagai warga dalam kehidupan sehari-hari, cukup dalam menelaah keberagaman sosial budaya masyarakat</v>
      </c>
      <c r="EL11" s="57" t="str">
        <f t="shared" si="63"/>
        <v/>
      </c>
      <c r="EM11" s="57">
        <f t="shared" si="64"/>
        <v>0</v>
      </c>
      <c r="EN11" s="57" t="str">
        <f t="shared" si="32"/>
        <v/>
      </c>
      <c r="EO11" s="57"/>
      <c r="EP11" s="57"/>
      <c r="EQ11" s="57"/>
      <c r="ER11" s="59">
        <f t="shared" si="33"/>
        <v>0</v>
      </c>
      <c r="ES11" s="60"/>
      <c r="ET11" s="61"/>
      <c r="EU11" s="62" t="str">
        <f t="shared" si="65"/>
        <v>, 0</v>
      </c>
      <c r="EV11" s="4"/>
    </row>
    <row r="12" spans="1:152" ht="34.5" customHeight="1">
      <c r="A12" s="39">
        <v>5</v>
      </c>
      <c r="B12" s="269" t="str">
        <f>SISWA!B10</f>
        <v>Gresiya Suma Safitri</v>
      </c>
      <c r="C12" s="123">
        <v>93</v>
      </c>
      <c r="D12" s="123"/>
      <c r="E12" s="123"/>
      <c r="F12" s="123"/>
      <c r="G12" s="123"/>
      <c r="H12" s="123"/>
      <c r="I12" s="256">
        <v>75</v>
      </c>
      <c r="J12" s="256"/>
      <c r="K12" s="256"/>
      <c r="L12" s="256"/>
      <c r="M12" s="256"/>
      <c r="N12" s="256"/>
      <c r="O12" s="123"/>
      <c r="P12" s="123">
        <v>87</v>
      </c>
      <c r="Q12" s="123"/>
      <c r="R12" s="123"/>
      <c r="S12" s="123"/>
      <c r="T12" s="123"/>
      <c r="U12" s="256"/>
      <c r="V12" s="256">
        <v>87</v>
      </c>
      <c r="W12" s="256"/>
      <c r="X12" s="256"/>
      <c r="Y12" s="256"/>
      <c r="Z12" s="256"/>
      <c r="AA12" s="123"/>
      <c r="AB12" s="123"/>
      <c r="AC12" s="123">
        <v>87</v>
      </c>
      <c r="AD12" s="123"/>
      <c r="AE12" s="123"/>
      <c r="AF12" s="123"/>
      <c r="AG12" s="256"/>
      <c r="AH12" s="256"/>
      <c r="AI12" s="256">
        <v>100</v>
      </c>
      <c r="AJ12" s="256"/>
      <c r="AK12" s="256"/>
      <c r="AL12" s="256"/>
      <c r="AM12" s="123"/>
      <c r="AN12" s="123">
        <v>87</v>
      </c>
      <c r="AO12" s="123"/>
      <c r="AP12" s="123"/>
      <c r="AQ12" s="123"/>
      <c r="AR12" s="123"/>
      <c r="AS12" s="256"/>
      <c r="AT12" s="256">
        <v>87</v>
      </c>
      <c r="AU12" s="256"/>
      <c r="AV12" s="256"/>
      <c r="AW12" s="256"/>
      <c r="AX12" s="256"/>
      <c r="AY12" s="460"/>
      <c r="AZ12" s="460"/>
      <c r="BA12" s="460"/>
      <c r="BB12" s="460">
        <v>75</v>
      </c>
      <c r="BC12" s="460"/>
      <c r="BD12" s="460"/>
      <c r="BE12" s="346"/>
      <c r="BF12" s="346"/>
      <c r="BG12" s="346"/>
      <c r="BH12" s="346">
        <v>100</v>
      </c>
      <c r="BI12" s="346"/>
      <c r="BJ12" s="346"/>
      <c r="BK12" s="260">
        <f t="shared" si="16"/>
        <v>84</v>
      </c>
      <c r="BL12" s="260">
        <f t="shared" si="17"/>
        <v>87</v>
      </c>
      <c r="BM12" s="260">
        <f t="shared" si="18"/>
        <v>93.5</v>
      </c>
      <c r="BN12" s="260">
        <f t="shared" si="19"/>
        <v>87.5</v>
      </c>
      <c r="BO12" s="260" t="str">
        <f t="shared" si="20"/>
        <v xml:space="preserve"> </v>
      </c>
      <c r="BP12" s="260" t="str">
        <f t="shared" si="21"/>
        <v xml:space="preserve"> </v>
      </c>
      <c r="BQ12" s="547">
        <v>76</v>
      </c>
      <c r="BR12" s="547">
        <v>75</v>
      </c>
      <c r="BS12" s="547"/>
      <c r="BT12" s="547"/>
      <c r="BU12" s="547"/>
      <c r="BV12" s="547"/>
      <c r="BW12" s="548">
        <v>75</v>
      </c>
      <c r="BX12" s="548">
        <v>87</v>
      </c>
      <c r="BY12" s="548">
        <v>75</v>
      </c>
      <c r="BZ12" s="548">
        <v>75</v>
      </c>
      <c r="CA12" s="548"/>
      <c r="CB12" s="548"/>
      <c r="CC12" s="550">
        <f t="shared" si="34"/>
        <v>84</v>
      </c>
      <c r="CD12" s="291" t="str">
        <f t="shared" si="35"/>
        <v>B</v>
      </c>
      <c r="CE12" s="50" t="str">
        <f t="shared" si="36"/>
        <v>Ananda Gresia  baik dalam menelaah keberagaman sosial budaya masyarakat, cukup dalam mengidentifikasi nilai-nilai Pancasila dalam kehidupan sehari-hari</v>
      </c>
      <c r="CF12" s="282"/>
      <c r="CG12" s="51"/>
      <c r="CH12" s="46">
        <f t="shared" si="37"/>
        <v>84</v>
      </c>
      <c r="CI12" s="46">
        <f t="shared" si="38"/>
        <v>87</v>
      </c>
      <c r="CJ12" s="46">
        <f t="shared" si="39"/>
        <v>93.5</v>
      </c>
      <c r="CK12" s="46">
        <f t="shared" si="40"/>
        <v>87.5</v>
      </c>
      <c r="CL12" s="46" t="str">
        <f t="shared" si="41"/>
        <v xml:space="preserve"> </v>
      </c>
      <c r="CM12" s="46" t="str">
        <f t="shared" si="42"/>
        <v xml:space="preserve"> </v>
      </c>
      <c r="CN12" s="46"/>
      <c r="CO12" s="46"/>
      <c r="CP12" s="46"/>
      <c r="CQ12" s="46"/>
      <c r="CR12" s="52"/>
      <c r="CS12" s="51"/>
      <c r="CT12" s="53">
        <f t="shared" si="23"/>
        <v>79.75</v>
      </c>
      <c r="CU12" s="53">
        <f t="shared" si="24"/>
        <v>84</v>
      </c>
      <c r="CV12" s="53">
        <f t="shared" si="25"/>
        <v>87.333333333333329</v>
      </c>
      <c r="CW12" s="53">
        <f t="shared" si="26"/>
        <v>83.333333333333329</v>
      </c>
      <c r="CX12" s="53" t="str">
        <f t="shared" si="27"/>
        <v xml:space="preserve">  </v>
      </c>
      <c r="CY12" s="53" t="str">
        <f t="shared" si="28"/>
        <v xml:space="preserve">  </v>
      </c>
      <c r="CZ12" s="53"/>
      <c r="DA12" s="53"/>
      <c r="DB12" s="53"/>
      <c r="DC12" s="53"/>
      <c r="DD12" s="54">
        <f t="shared" si="43"/>
        <v>84</v>
      </c>
      <c r="DE12" s="55">
        <f t="shared" si="44"/>
        <v>87.333333333333329</v>
      </c>
      <c r="DF12" s="55">
        <f t="shared" si="45"/>
        <v>79.75</v>
      </c>
      <c r="DG12" s="51" t="str">
        <f>SISWA!E10</f>
        <v>Gresia</v>
      </c>
      <c r="DH12" s="51" t="str">
        <f t="shared" si="46"/>
        <v xml:space="preserve">Ananda Gresia </v>
      </c>
      <c r="DI12" s="56" t="str">
        <f t="shared" si="47"/>
        <v/>
      </c>
      <c r="DJ12" s="57" t="str">
        <f t="shared" si="48"/>
        <v/>
      </c>
      <c r="DK12" s="57">
        <f t="shared" si="49"/>
        <v>87.333333333333329</v>
      </c>
      <c r="DL12" s="57" t="str">
        <f t="shared" si="50"/>
        <v/>
      </c>
      <c r="DM12" s="57" t="str">
        <f t="shared" si="51"/>
        <v/>
      </c>
      <c r="DN12" s="57" t="str">
        <f t="shared" si="52"/>
        <v/>
      </c>
      <c r="DO12" s="57"/>
      <c r="DP12" s="57"/>
      <c r="DQ12" s="57"/>
      <c r="DR12" s="57"/>
      <c r="DS12" s="58">
        <f t="shared" si="53"/>
        <v>87.333333333333329</v>
      </c>
      <c r="DT12" s="55" t="str">
        <f t="shared" si="54"/>
        <v>menelaah keberagaman sosial budaya masyarakat</v>
      </c>
      <c r="DU12" s="58"/>
      <c r="DV12" s="59" t="str">
        <f>IF(DE12&gt;100,"",IF(DE12&gt;CD$1,"sangat baik dalam "&amp;DT12,IF(DE12&gt;=CD$2,"baik dalam "&amp;DT12,IF(DE12&gt;=CD$3,"cukup dalam "&amp;DT12,IF(DE12&lt;CD$3,"dengan bimbingan dapat meningkatkan dalam "&amp;DT12,IF(DE12&lt;1," ",””))))))</f>
        <v>baik dalam menelaah keberagaman sosial budaya masyarakat</v>
      </c>
      <c r="DW12" s="58"/>
      <c r="DX12" s="57">
        <f t="shared" si="55"/>
        <v>79.75</v>
      </c>
      <c r="DY12" s="57" t="str">
        <f t="shared" si="56"/>
        <v/>
      </c>
      <c r="DZ12" s="57" t="str">
        <f t="shared" si="57"/>
        <v/>
      </c>
      <c r="EA12" s="57" t="str">
        <f t="shared" si="58"/>
        <v/>
      </c>
      <c r="EB12" s="57" t="str">
        <f t="shared" si="59"/>
        <v/>
      </c>
      <c r="EC12" s="57" t="str">
        <f t="shared" si="60"/>
        <v/>
      </c>
      <c r="ED12" s="57"/>
      <c r="EE12" s="57"/>
      <c r="EF12" s="57"/>
      <c r="EG12" s="57"/>
      <c r="EH12" s="59" t="str">
        <f t="shared" si="61"/>
        <v>mengidentifikasi nilai-nilai Pancasila dalam kehidupan sehari-hari</v>
      </c>
      <c r="EI12" s="59" t="str">
        <f>IF(DF12&gt;100,"",IF(DF12&gt;CD$1,"sangat baik dalam "&amp;EH12,IF(DF12&gt;=CD$2,"baik dalam "&amp;EH12,IF(DF12&gt;=CD$3,"cukup dalam "&amp;EH12,IF(DF12&lt;CD$3,"dengan bimbingan dapat meningkatkan dalam "&amp;EH12,IF(DF12&lt;1," ",””))))))</f>
        <v>cukup dalam mengidentifikasi nilai-nilai Pancasila dalam kehidupan sehari-hari</v>
      </c>
      <c r="EJ12" s="61"/>
      <c r="EK12" s="62" t="str">
        <f t="shared" si="62"/>
        <v>Ananda Gresia  baik dalam menelaah keberagaman sosial budaya masyarakat, cukup dalam mengidentifikasi nilai-nilai Pancasila dalam kehidupan sehari-hari</v>
      </c>
      <c r="EL12" s="57" t="str">
        <f t="shared" si="63"/>
        <v/>
      </c>
      <c r="EM12" s="57">
        <f t="shared" si="64"/>
        <v>0</v>
      </c>
      <c r="EN12" s="57">
        <f t="shared" si="32"/>
        <v>0</v>
      </c>
      <c r="EO12" s="57"/>
      <c r="EP12" s="57"/>
      <c r="EQ12" s="57"/>
      <c r="ER12" s="59">
        <f t="shared" si="33"/>
        <v>0</v>
      </c>
      <c r="ES12" s="60"/>
      <c r="ET12" s="61"/>
      <c r="EU12" s="62" t="str">
        <f t="shared" si="65"/>
        <v>, 0</v>
      </c>
      <c r="EV12" s="4" t="str">
        <f t="shared" ref="EV12:EV27" si="66">CONCATENATE(IF(DD12&gt;100,"  ",IF(DD12&gt;95,"Sangat pandai "&amp;$B$45,IF(DD12&gt;87,"Pandai "&amp;$B$45,IF(DD12&gt;79,"Cukup pandai "&amp;$B$45,IF(DD12&gt;71,"Menguasai dengan baik "&amp;$B$45,IF(DD12&gt;62,"Perlu banyak latihan "&amp;$B$45,IF(DD12&gt;0,"Perlu bimbingan "&amp;$B$45,IF(DD12="","")))))))),IF(DE12&gt;100,"  ",IF(DE12&gt;95," Sangat pandai "&amp;$B$46,IF(DE12&gt;87," Pandai "&amp;$B$46,IF(DE12&gt;79," Cukup pandai "&amp;$B$46,IF(DE12&gt;71," Menguasai dengan baik "&amp;$B$46,IF(DE12&gt;62," Perlu banyak latihan "&amp;$B$46,IF(DE12&gt;0," Perlu bimbingan "&amp;$B$46,IF(DE12="","")))))))),IF(DF12&gt;100,"  ",IF(DF12&gt;95," Sangat pandai "&amp;$B$47,IF(DF12&gt;87," Pandai "&amp;$B$47,IF(DF12&gt;79," cukup pandai "&amp;$B$47,IF(DF12&gt;71," Menguasai dengan baik "&amp;$B$47,IF(DF12&gt;62," Perlu banyak latihan "&amp;$B$47,IF(DF12&gt;0," Perlu bimbingan "&amp;$B$47,IF(DF12="","")))))))),IF(DG12&gt;100,"  ",IF(DG12&gt;95," Sangat pandai "&amp;$B$48,IF(DG12&gt;87," Pandai "&amp;$B$48,IF(DG12&gt;79," Cukup pandai "&amp;$B$48,IF(DG12&gt;71," Menguasai dengan baik "&amp;$B$48,IF(DG12&gt;62," Perlu banyak latihan "&amp;$B$48,IF(DG12&gt;0," Perlu bimbingan "&amp;$B$48,IF(DG12="","")))))))),IF(DH12&gt;100,"  ",IF(DH12&gt;95," Sangat pandai "&amp;$B$49,IF(DH12&gt;87," Pandai "&amp;$B$49,IF(DH12&gt;79," Cukup pandai "&amp;$B$49,IF(DH12&gt;71," Menguasai dengan baik "&amp;$B$49,IF(DH12&gt;62," Perlu banyak latihan "&amp;$B$49,IF(DH12&gt;0," Perlu bimbingan "&amp;$B$49,IF(DH12="","")))))))),IF(DI12&gt;100,"  ",IF(DI12&gt;95," Sangat pandai "&amp;$B$50,IF(DI12&gt;87," Pandai "&amp;$B$50,IF(DI12&gt;79," Cukup pandai "&amp;$B$50,IF(DI12&gt;71," Menguasai dengan baik "&amp;$B$50,IF(DI12&gt;62," Perlu banyak latihan "&amp;$B$50,IF(DI12&gt;0," Perlu bimbingan "&amp;$B$50,IF(DI12="","")))))))),IF(DJ12&gt;100,"  ",IF(DJ12&gt;95," Sangat pandai "&amp;$B$51,IF(DJ12&gt;87," Pandai "&amp;$B$51,IF(DJ12&gt;79," Cukup pandai "&amp;$B$51,IF(DJ12&gt;71," Menguasai dengan baik "&amp;$B$51,IF(DJ12&gt;62," Perlu banyak latihan "&amp;$B$51,IF(DJ12&gt;0," Perlu bimbingan "&amp;$B$51,IF(DJ12="","")))))))))</f>
        <v xml:space="preserve">Cukup pandai mengidentifikasi nilai-nilai Pancasila dalam kehidupan sehari-hari Pandai memahami hak, kewajiban dan tanggung jawab sebagai warga dalam kehidupan sehari-hari cukup pandai menelaah keberagaman sosial budaya masyarakat        </v>
      </c>
    </row>
    <row r="13" spans="1:152" ht="34.5" customHeight="1">
      <c r="A13" s="39">
        <v>6</v>
      </c>
      <c r="B13" s="269" t="str">
        <f>SISWA!B11</f>
        <v>Hasna Fathitya Sabrina</v>
      </c>
      <c r="C13" s="123">
        <v>80</v>
      </c>
      <c r="D13" s="123"/>
      <c r="E13" s="123"/>
      <c r="F13" s="123"/>
      <c r="G13" s="123"/>
      <c r="H13" s="123"/>
      <c r="I13" s="256">
        <v>80</v>
      </c>
      <c r="J13" s="256"/>
      <c r="K13" s="256"/>
      <c r="L13" s="256"/>
      <c r="M13" s="256"/>
      <c r="N13" s="256"/>
      <c r="O13" s="123"/>
      <c r="P13" s="123">
        <v>93</v>
      </c>
      <c r="Q13" s="123"/>
      <c r="R13" s="123"/>
      <c r="S13" s="123"/>
      <c r="T13" s="123"/>
      <c r="U13" s="256"/>
      <c r="V13" s="256">
        <v>87</v>
      </c>
      <c r="W13" s="256"/>
      <c r="X13" s="256"/>
      <c r="Y13" s="256"/>
      <c r="Z13" s="256"/>
      <c r="AA13" s="123"/>
      <c r="AB13" s="123"/>
      <c r="AC13" s="123">
        <v>93</v>
      </c>
      <c r="AD13" s="123"/>
      <c r="AE13" s="123"/>
      <c r="AF13" s="123"/>
      <c r="AG13" s="256"/>
      <c r="AH13" s="256"/>
      <c r="AI13" s="256">
        <v>87</v>
      </c>
      <c r="AJ13" s="256"/>
      <c r="AK13" s="256"/>
      <c r="AL13" s="256"/>
      <c r="AM13" s="123"/>
      <c r="AN13" s="123">
        <v>93</v>
      </c>
      <c r="AO13" s="123"/>
      <c r="AP13" s="123"/>
      <c r="AQ13" s="123"/>
      <c r="AR13" s="123"/>
      <c r="AS13" s="256"/>
      <c r="AT13" s="256">
        <v>93</v>
      </c>
      <c r="AU13" s="256"/>
      <c r="AV13" s="256"/>
      <c r="AW13" s="256"/>
      <c r="AX13" s="256"/>
      <c r="AY13" s="460"/>
      <c r="AZ13" s="460"/>
      <c r="BA13" s="460"/>
      <c r="BB13" s="460">
        <v>75</v>
      </c>
      <c r="BC13" s="460"/>
      <c r="BD13" s="460"/>
      <c r="BE13" s="346"/>
      <c r="BF13" s="346"/>
      <c r="BG13" s="346"/>
      <c r="BH13" s="346">
        <v>87</v>
      </c>
      <c r="BI13" s="346"/>
      <c r="BJ13" s="346"/>
      <c r="BK13" s="260">
        <f t="shared" si="16"/>
        <v>80</v>
      </c>
      <c r="BL13" s="260">
        <f t="shared" si="17"/>
        <v>91.5</v>
      </c>
      <c r="BM13" s="260">
        <f t="shared" si="18"/>
        <v>90</v>
      </c>
      <c r="BN13" s="260">
        <f t="shared" si="19"/>
        <v>81</v>
      </c>
      <c r="BO13" s="260" t="str">
        <f t="shared" si="20"/>
        <v xml:space="preserve"> </v>
      </c>
      <c r="BP13" s="260" t="str">
        <f t="shared" si="21"/>
        <v xml:space="preserve"> </v>
      </c>
      <c r="BQ13" s="547">
        <v>92</v>
      </c>
      <c r="BR13" s="547">
        <v>77</v>
      </c>
      <c r="BS13" s="547"/>
      <c r="BT13" s="547"/>
      <c r="BU13" s="547"/>
      <c r="BV13" s="547"/>
      <c r="BW13" s="548">
        <v>95</v>
      </c>
      <c r="BX13" s="548">
        <v>95</v>
      </c>
      <c r="BY13" s="548">
        <v>75</v>
      </c>
      <c r="BZ13" s="548">
        <v>75</v>
      </c>
      <c r="CA13" s="548"/>
      <c r="CB13" s="548"/>
      <c r="CC13" s="550">
        <f t="shared" si="34"/>
        <v>85</v>
      </c>
      <c r="CD13" s="291" t="str">
        <f t="shared" si="35"/>
        <v>B</v>
      </c>
      <c r="CE13" s="50" t="str">
        <f t="shared" si="36"/>
        <v>Ananda Hasna  baik dalam memahami hak, kewajiban dan tanggung jawab sebagai warga dalam kehidupan sehari-hari, cukup dalam menggali manfaat persatuan dan kesatuan untuk membangun kerukunan hidup</v>
      </c>
      <c r="CF13" s="282"/>
      <c r="CG13" s="51"/>
      <c r="CH13" s="46">
        <f t="shared" si="37"/>
        <v>80</v>
      </c>
      <c r="CI13" s="46">
        <f t="shared" si="38"/>
        <v>91.5</v>
      </c>
      <c r="CJ13" s="46">
        <f t="shared" si="39"/>
        <v>90</v>
      </c>
      <c r="CK13" s="46">
        <f t="shared" si="40"/>
        <v>81</v>
      </c>
      <c r="CL13" s="46" t="str">
        <f t="shared" si="41"/>
        <v xml:space="preserve"> </v>
      </c>
      <c r="CM13" s="46" t="str">
        <f t="shared" si="42"/>
        <v xml:space="preserve"> </v>
      </c>
      <c r="CN13" s="46"/>
      <c r="CO13" s="46"/>
      <c r="CP13" s="46"/>
      <c r="CQ13" s="46"/>
      <c r="CR13" s="52"/>
      <c r="CS13" s="51"/>
      <c r="CT13" s="53">
        <f t="shared" si="23"/>
        <v>86.75</v>
      </c>
      <c r="CU13" s="53">
        <f t="shared" si="24"/>
        <v>88.75</v>
      </c>
      <c r="CV13" s="53">
        <f t="shared" si="25"/>
        <v>85</v>
      </c>
      <c r="CW13" s="53">
        <f t="shared" si="26"/>
        <v>79</v>
      </c>
      <c r="CX13" s="53" t="str">
        <f t="shared" si="27"/>
        <v xml:space="preserve">  </v>
      </c>
      <c r="CY13" s="53" t="str">
        <f t="shared" si="28"/>
        <v xml:space="preserve">  </v>
      </c>
      <c r="CZ13" s="53"/>
      <c r="DA13" s="53"/>
      <c r="DB13" s="53"/>
      <c r="DC13" s="53"/>
      <c r="DD13" s="54">
        <f t="shared" si="43"/>
        <v>85</v>
      </c>
      <c r="DE13" s="55">
        <f t="shared" si="44"/>
        <v>88.75</v>
      </c>
      <c r="DF13" s="55">
        <f t="shared" si="45"/>
        <v>79</v>
      </c>
      <c r="DG13" s="51" t="str">
        <f>SISWA!E11</f>
        <v>Hasna</v>
      </c>
      <c r="DH13" s="51" t="str">
        <f t="shared" si="46"/>
        <v xml:space="preserve">Ananda Hasna </v>
      </c>
      <c r="DI13" s="56" t="str">
        <f t="shared" si="47"/>
        <v/>
      </c>
      <c r="DJ13" s="57">
        <f t="shared" si="48"/>
        <v>88.75</v>
      </c>
      <c r="DK13" s="57" t="str">
        <f t="shared" si="49"/>
        <v/>
      </c>
      <c r="DL13" s="57" t="str">
        <f t="shared" si="50"/>
        <v/>
      </c>
      <c r="DM13" s="57" t="str">
        <f t="shared" si="51"/>
        <v/>
      </c>
      <c r="DN13" s="57" t="str">
        <f t="shared" si="52"/>
        <v/>
      </c>
      <c r="DO13" s="57"/>
      <c r="DP13" s="57"/>
      <c r="DQ13" s="57"/>
      <c r="DR13" s="57"/>
      <c r="DS13" s="58">
        <f t="shared" si="53"/>
        <v>88.75</v>
      </c>
      <c r="DT13" s="55" t="str">
        <f t="shared" si="54"/>
        <v>memahami hak, kewajiban dan tanggung jawab sebagai warga dalam kehidupan sehari-hari</v>
      </c>
      <c r="DU13" s="58"/>
      <c r="DV13" s="59" t="str">
        <f>IF(DE13&gt;100,"",IF(DE13&gt;CD$1,"sangat baik dalam "&amp;DT13,IF(DE13&gt;=CD$2,"baik dalam "&amp;DT13,IF(DE13&gt;=CD$3,"cukup dalam "&amp;DT13,IF(DE13&lt;CD$3,"dengan bimbingan dapat meningkatkan dalam "&amp;DT13,IF(DE13&lt;1," ",””))))))</f>
        <v>baik dalam memahami hak, kewajiban dan tanggung jawab sebagai warga dalam kehidupan sehari-hari</v>
      </c>
      <c r="DW13" s="58"/>
      <c r="DX13" s="57" t="str">
        <f t="shared" si="55"/>
        <v/>
      </c>
      <c r="DY13" s="57" t="str">
        <f t="shared" si="56"/>
        <v/>
      </c>
      <c r="DZ13" s="57" t="str">
        <f t="shared" si="57"/>
        <v/>
      </c>
      <c r="EA13" s="57">
        <f t="shared" si="58"/>
        <v>79</v>
      </c>
      <c r="EB13" s="57" t="str">
        <f t="shared" si="59"/>
        <v/>
      </c>
      <c r="EC13" s="57" t="str">
        <f t="shared" si="60"/>
        <v/>
      </c>
      <c r="ED13" s="57"/>
      <c r="EE13" s="57"/>
      <c r="EF13" s="57"/>
      <c r="EG13" s="57"/>
      <c r="EH13" s="59" t="str">
        <f t="shared" si="61"/>
        <v>menggali manfaat persatuan dan kesatuan untuk membangun kerukunan hidup</v>
      </c>
      <c r="EI13" s="59" t="str">
        <f>IF(DF13&gt;100,"",IF(DF13&gt;CD$1,"sangat baik dalam "&amp;EH13,IF(DF13&gt;=CD$2,"baik dalam "&amp;EH13,IF(DF13&gt;=CD$3,"cukup dalam "&amp;EH13,IF(DF13&lt;CD$3,"dengan bimbingan dapat meningkatkan dalam "&amp;EH13,IF(DF13&lt;1," ",””))))))</f>
        <v>cukup dalam menggali manfaat persatuan dan kesatuan untuk membangun kerukunan hidup</v>
      </c>
      <c r="EJ13" s="61"/>
      <c r="EK13" s="62" t="str">
        <f t="shared" si="62"/>
        <v>Ananda Hasna  baik dalam memahami hak, kewajiban dan tanggung jawab sebagai warga dalam kehidupan sehari-hari, cukup dalam menggali manfaat persatuan dan kesatuan untuk membangun kerukunan hidup</v>
      </c>
      <c r="EL13" s="57" t="str">
        <f t="shared" si="63"/>
        <v/>
      </c>
      <c r="EM13" s="57">
        <f t="shared" si="64"/>
        <v>0</v>
      </c>
      <c r="EN13" s="57" t="str">
        <f t="shared" si="32"/>
        <v/>
      </c>
      <c r="EO13" s="57"/>
      <c r="EP13" s="57"/>
      <c r="EQ13" s="57"/>
      <c r="ER13" s="59">
        <f t="shared" si="33"/>
        <v>0</v>
      </c>
      <c r="ES13" s="60"/>
      <c r="ET13" s="61"/>
      <c r="EU13" s="62" t="str">
        <f t="shared" si="65"/>
        <v>, 0</v>
      </c>
      <c r="EV13" s="4" t="str">
        <f t="shared" si="66"/>
        <v>Cukup pandai mengidentifikasi nilai-nilai Pancasila dalam kehidupan sehari-hari Pandai memahami hak, kewajiban dan tanggung jawab sebagai warga dalam kehidupan sehari-hari Menguasai dengan baik menelaah keberagaman sosial budaya masyarakat       Pandai 0</v>
      </c>
    </row>
    <row r="14" spans="1:152" ht="34.5" customHeight="1">
      <c r="A14" s="39">
        <v>7</v>
      </c>
      <c r="B14" s="269" t="str">
        <f>SISWA!B12</f>
        <v>Indah Fitria Ningrum</v>
      </c>
      <c r="C14" s="123">
        <v>93</v>
      </c>
      <c r="D14" s="123"/>
      <c r="E14" s="123"/>
      <c r="F14" s="123"/>
      <c r="G14" s="123"/>
      <c r="H14" s="123"/>
      <c r="I14" s="256">
        <v>87</v>
      </c>
      <c r="J14" s="256"/>
      <c r="K14" s="256"/>
      <c r="L14" s="256"/>
      <c r="M14" s="256"/>
      <c r="N14" s="256"/>
      <c r="O14" s="123"/>
      <c r="P14" s="123">
        <v>80</v>
      </c>
      <c r="Q14" s="123"/>
      <c r="R14" s="123"/>
      <c r="S14" s="123"/>
      <c r="T14" s="123"/>
      <c r="U14" s="256"/>
      <c r="V14" s="256">
        <v>87</v>
      </c>
      <c r="W14" s="256"/>
      <c r="X14" s="256"/>
      <c r="Y14" s="256"/>
      <c r="Z14" s="256"/>
      <c r="AA14" s="123"/>
      <c r="AB14" s="123"/>
      <c r="AC14" s="123">
        <v>100</v>
      </c>
      <c r="AD14" s="123"/>
      <c r="AE14" s="123"/>
      <c r="AF14" s="123"/>
      <c r="AG14" s="256"/>
      <c r="AH14" s="256"/>
      <c r="AI14" s="256">
        <v>100</v>
      </c>
      <c r="AJ14" s="256"/>
      <c r="AK14" s="256"/>
      <c r="AL14" s="256"/>
      <c r="AM14" s="123"/>
      <c r="AN14" s="123">
        <v>75</v>
      </c>
      <c r="AO14" s="123"/>
      <c r="AP14" s="123"/>
      <c r="AQ14" s="123"/>
      <c r="AR14" s="123"/>
      <c r="AS14" s="256"/>
      <c r="AT14" s="256">
        <v>100</v>
      </c>
      <c r="AU14" s="256"/>
      <c r="AV14" s="256"/>
      <c r="AW14" s="256"/>
      <c r="AX14" s="256"/>
      <c r="AY14" s="460"/>
      <c r="AZ14" s="460"/>
      <c r="BA14" s="460"/>
      <c r="BB14" s="460">
        <v>75</v>
      </c>
      <c r="BC14" s="460"/>
      <c r="BD14" s="460"/>
      <c r="BE14" s="346"/>
      <c r="BF14" s="346"/>
      <c r="BG14" s="346"/>
      <c r="BH14" s="346">
        <v>93</v>
      </c>
      <c r="BI14" s="346"/>
      <c r="BJ14" s="346"/>
      <c r="BK14" s="260">
        <f t="shared" si="16"/>
        <v>90</v>
      </c>
      <c r="BL14" s="260">
        <f t="shared" si="17"/>
        <v>85.5</v>
      </c>
      <c r="BM14" s="260">
        <f t="shared" si="18"/>
        <v>100</v>
      </c>
      <c r="BN14" s="260">
        <f t="shared" si="19"/>
        <v>84</v>
      </c>
      <c r="BO14" s="260" t="str">
        <f t="shared" si="20"/>
        <v xml:space="preserve"> </v>
      </c>
      <c r="BP14" s="260" t="str">
        <f t="shared" si="21"/>
        <v xml:space="preserve"> </v>
      </c>
      <c r="BQ14" s="547">
        <v>84</v>
      </c>
      <c r="BR14" s="547">
        <v>87</v>
      </c>
      <c r="BS14" s="547"/>
      <c r="BT14" s="547"/>
      <c r="BU14" s="547"/>
      <c r="BV14" s="547"/>
      <c r="BW14" s="548">
        <v>85</v>
      </c>
      <c r="BX14" s="548">
        <v>95</v>
      </c>
      <c r="BY14" s="548">
        <v>83</v>
      </c>
      <c r="BZ14" s="548">
        <v>75</v>
      </c>
      <c r="CA14" s="548"/>
      <c r="CB14" s="548"/>
      <c r="CC14" s="550">
        <f t="shared" si="34"/>
        <v>88</v>
      </c>
      <c r="CD14" s="291" t="str">
        <f t="shared" si="35"/>
        <v>B</v>
      </c>
      <c r="CE14" s="50" t="str">
        <f t="shared" si="36"/>
        <v>Ananda Indah  sangat baik dalam menelaah keberagaman sosial budaya masyarakat, cukup dalam menggali manfaat persatuan dan kesatuan untuk membangun kerukunan hidup</v>
      </c>
      <c r="CF14" s="282"/>
      <c r="CG14" s="51"/>
      <c r="CH14" s="46">
        <f t="shared" si="37"/>
        <v>90</v>
      </c>
      <c r="CI14" s="46">
        <f t="shared" si="38"/>
        <v>85.5</v>
      </c>
      <c r="CJ14" s="46">
        <f t="shared" si="39"/>
        <v>100</v>
      </c>
      <c r="CK14" s="46">
        <f t="shared" si="40"/>
        <v>84</v>
      </c>
      <c r="CL14" s="46" t="str">
        <f t="shared" si="41"/>
        <v xml:space="preserve"> </v>
      </c>
      <c r="CM14" s="46" t="str">
        <f t="shared" si="42"/>
        <v xml:space="preserve"> </v>
      </c>
      <c r="CN14" s="46"/>
      <c r="CO14" s="46"/>
      <c r="CP14" s="46"/>
      <c r="CQ14" s="46"/>
      <c r="CR14" s="52"/>
      <c r="CS14" s="51"/>
      <c r="CT14" s="53">
        <f t="shared" si="23"/>
        <v>87.25</v>
      </c>
      <c r="CU14" s="53">
        <f t="shared" si="24"/>
        <v>88.25</v>
      </c>
      <c r="CV14" s="53">
        <f t="shared" si="25"/>
        <v>94.333333333333329</v>
      </c>
      <c r="CW14" s="53">
        <f t="shared" si="26"/>
        <v>81</v>
      </c>
      <c r="CX14" s="53" t="str">
        <f t="shared" si="27"/>
        <v xml:space="preserve">  </v>
      </c>
      <c r="CY14" s="53" t="str">
        <f t="shared" si="28"/>
        <v xml:space="preserve">  </v>
      </c>
      <c r="CZ14" s="53"/>
      <c r="DA14" s="53"/>
      <c r="DB14" s="53"/>
      <c r="DC14" s="53"/>
      <c r="DD14" s="54">
        <f t="shared" si="43"/>
        <v>88</v>
      </c>
      <c r="DE14" s="55">
        <f t="shared" si="44"/>
        <v>94.333333333333329</v>
      </c>
      <c r="DF14" s="55">
        <f t="shared" si="45"/>
        <v>81</v>
      </c>
      <c r="DG14" s="51" t="str">
        <f>SISWA!E12</f>
        <v>Indah</v>
      </c>
      <c r="DH14" s="51" t="str">
        <f t="shared" si="46"/>
        <v xml:space="preserve">Ananda Indah </v>
      </c>
      <c r="DI14" s="56" t="str">
        <f t="shared" si="47"/>
        <v/>
      </c>
      <c r="DJ14" s="57" t="str">
        <f t="shared" si="48"/>
        <v/>
      </c>
      <c r="DK14" s="57">
        <f t="shared" si="49"/>
        <v>94.333333333333329</v>
      </c>
      <c r="DL14" s="57" t="str">
        <f t="shared" si="50"/>
        <v/>
      </c>
      <c r="DM14" s="57" t="str">
        <f t="shared" si="51"/>
        <v/>
      </c>
      <c r="DN14" s="57" t="str">
        <f t="shared" si="52"/>
        <v/>
      </c>
      <c r="DO14" s="57"/>
      <c r="DP14" s="57"/>
      <c r="DQ14" s="57"/>
      <c r="DR14" s="57"/>
      <c r="DS14" s="58">
        <f t="shared" si="53"/>
        <v>94.333333333333329</v>
      </c>
      <c r="DT14" s="55" t="str">
        <f t="shared" si="54"/>
        <v>menelaah keberagaman sosial budaya masyarakat</v>
      </c>
      <c r="DU14" s="58"/>
      <c r="DV14" s="59" t="str">
        <f>IF(DE14&gt;100,"",IF(DE14&gt;CD$1,"sangat baik dalam "&amp;DT14,IF(DE14&gt;=CD$2,"baik dalam "&amp;DT14,IF(DE14&gt;=CD$3,"cukup dalam "&amp;DT14,IF(DE14&lt;CD$3,"dengan bimbingan dapat meningkatkan dalam "&amp;DT14,IF(DE14&lt;1," ",””))))))</f>
        <v>sangat baik dalam menelaah keberagaman sosial budaya masyarakat</v>
      </c>
      <c r="DW14" s="58"/>
      <c r="DX14" s="57" t="str">
        <f t="shared" si="55"/>
        <v/>
      </c>
      <c r="DY14" s="57" t="str">
        <f t="shared" si="56"/>
        <v/>
      </c>
      <c r="DZ14" s="57" t="str">
        <f t="shared" si="57"/>
        <v/>
      </c>
      <c r="EA14" s="57">
        <f t="shared" si="58"/>
        <v>81</v>
      </c>
      <c r="EB14" s="57" t="str">
        <f t="shared" si="59"/>
        <v/>
      </c>
      <c r="EC14" s="57" t="str">
        <f t="shared" si="60"/>
        <v/>
      </c>
      <c r="ED14" s="57"/>
      <c r="EE14" s="57"/>
      <c r="EF14" s="57"/>
      <c r="EG14" s="57"/>
      <c r="EH14" s="59" t="str">
        <f t="shared" si="61"/>
        <v>menggali manfaat persatuan dan kesatuan untuk membangun kerukunan hidup</v>
      </c>
      <c r="EI14" s="59" t="str">
        <f>IF(DF14&gt;100,"",IF(DF14&gt;CD$1,"sangat baik dalam "&amp;EH14,IF(DF14&gt;=CD$2,"baik dalam "&amp;EH14,IF(DF14&gt;=CD$3,"cukup dalam "&amp;EH14,IF(DF14&lt;CD$3,"dengan bimbingan dapat meningkatkan dalam "&amp;EH14,IF(DF14&lt;1," ",””))))))</f>
        <v>cukup dalam menggali manfaat persatuan dan kesatuan untuk membangun kerukunan hidup</v>
      </c>
      <c r="EJ14" s="61"/>
      <c r="EK14" s="62" t="str">
        <f t="shared" si="62"/>
        <v>Ananda Indah  sangat baik dalam menelaah keberagaman sosial budaya masyarakat, cukup dalam menggali manfaat persatuan dan kesatuan untuk membangun kerukunan hidup</v>
      </c>
      <c r="EL14" s="57" t="str">
        <f t="shared" si="63"/>
        <v/>
      </c>
      <c r="EM14" s="57">
        <f t="shared" si="64"/>
        <v>0</v>
      </c>
      <c r="EN14" s="57">
        <f t="shared" si="32"/>
        <v>0</v>
      </c>
      <c r="EO14" s="57"/>
      <c r="EP14" s="57"/>
      <c r="EQ14" s="57"/>
      <c r="ER14" s="59">
        <f t="shared" si="33"/>
        <v>0</v>
      </c>
      <c r="ES14" s="60"/>
      <c r="ET14" s="61"/>
      <c r="EU14" s="62" t="str">
        <f t="shared" si="65"/>
        <v>, 0</v>
      </c>
      <c r="EV14" s="4" t="str">
        <f t="shared" si="66"/>
        <v xml:space="preserve">Pandai mengidentifikasi nilai-nilai Pancasila dalam kehidupan sehari-hari Pandai memahami hak, kewajiban dan tanggung jawab sebagai warga dalam kehidupan sehari-hari cukup pandai menelaah keberagaman sosial budaya masyarakat        </v>
      </c>
    </row>
    <row r="15" spans="1:152" ht="34.5" customHeight="1">
      <c r="A15" s="39">
        <v>8</v>
      </c>
      <c r="B15" s="269" t="str">
        <f>SISWA!B13</f>
        <v>Muhammad Ilham Sarifuddin</v>
      </c>
      <c r="C15" s="123">
        <v>93</v>
      </c>
      <c r="D15" s="123"/>
      <c r="E15" s="123"/>
      <c r="F15" s="123"/>
      <c r="G15" s="123"/>
      <c r="H15" s="123"/>
      <c r="I15" s="256">
        <v>93</v>
      </c>
      <c r="J15" s="256"/>
      <c r="K15" s="256"/>
      <c r="L15" s="256"/>
      <c r="M15" s="256"/>
      <c r="N15" s="256"/>
      <c r="O15" s="123"/>
      <c r="P15" s="123">
        <v>80</v>
      </c>
      <c r="Q15" s="123"/>
      <c r="R15" s="123"/>
      <c r="S15" s="123"/>
      <c r="T15" s="123"/>
      <c r="U15" s="256"/>
      <c r="V15" s="256">
        <v>75</v>
      </c>
      <c r="W15" s="256"/>
      <c r="X15" s="256"/>
      <c r="Y15" s="256"/>
      <c r="Z15" s="256"/>
      <c r="AA15" s="123"/>
      <c r="AB15" s="123"/>
      <c r="AC15" s="123">
        <v>100</v>
      </c>
      <c r="AD15" s="123"/>
      <c r="AE15" s="123"/>
      <c r="AF15" s="123"/>
      <c r="AG15" s="256"/>
      <c r="AH15" s="256"/>
      <c r="AI15" s="256">
        <v>75</v>
      </c>
      <c r="AJ15" s="256"/>
      <c r="AK15" s="256"/>
      <c r="AL15" s="256"/>
      <c r="AM15" s="123"/>
      <c r="AN15" s="123">
        <v>75</v>
      </c>
      <c r="AO15" s="123"/>
      <c r="AP15" s="123"/>
      <c r="AQ15" s="123"/>
      <c r="AR15" s="123"/>
      <c r="AS15" s="256"/>
      <c r="AT15" s="256">
        <v>100</v>
      </c>
      <c r="AU15" s="256"/>
      <c r="AV15" s="256"/>
      <c r="AW15" s="256"/>
      <c r="AX15" s="256"/>
      <c r="AY15" s="460"/>
      <c r="AZ15" s="460"/>
      <c r="BA15" s="460"/>
      <c r="BB15" s="460">
        <v>75</v>
      </c>
      <c r="BC15" s="460"/>
      <c r="BD15" s="460"/>
      <c r="BE15" s="346"/>
      <c r="BF15" s="346"/>
      <c r="BG15" s="346"/>
      <c r="BH15" s="346">
        <v>78</v>
      </c>
      <c r="BI15" s="346"/>
      <c r="BJ15" s="346"/>
      <c r="BK15" s="260">
        <f t="shared" si="16"/>
        <v>93</v>
      </c>
      <c r="BL15" s="260">
        <f t="shared" si="17"/>
        <v>82.5</v>
      </c>
      <c r="BM15" s="260">
        <f t="shared" si="18"/>
        <v>87.5</v>
      </c>
      <c r="BN15" s="260">
        <f t="shared" si="19"/>
        <v>76.5</v>
      </c>
      <c r="BO15" s="260" t="str">
        <f t="shared" si="20"/>
        <v xml:space="preserve"> </v>
      </c>
      <c r="BP15" s="260" t="str">
        <f t="shared" si="21"/>
        <v xml:space="preserve"> </v>
      </c>
      <c r="BQ15" s="547">
        <v>78</v>
      </c>
      <c r="BR15" s="547">
        <v>80</v>
      </c>
      <c r="BS15" s="547"/>
      <c r="BT15" s="547"/>
      <c r="BU15" s="547"/>
      <c r="BV15" s="547"/>
      <c r="BW15" s="548">
        <v>75</v>
      </c>
      <c r="BX15" s="548">
        <v>93</v>
      </c>
      <c r="BY15" s="548">
        <v>75</v>
      </c>
      <c r="BZ15" s="548">
        <v>75</v>
      </c>
      <c r="CA15" s="548"/>
      <c r="CB15" s="548"/>
      <c r="CC15" s="550">
        <f t="shared" si="34"/>
        <v>82</v>
      </c>
      <c r="CD15" s="291" t="str">
        <f t="shared" si="35"/>
        <v>C</v>
      </c>
      <c r="CE15" s="50" t="str">
        <f t="shared" si="36"/>
        <v>Ananda Ilham  baik dalam mengidentifikasi nilai-nilai Pancasila dalam kehidupan sehari-hari, cukup dalam menggali manfaat persatuan dan kesatuan untuk membangun kerukunan hidup</v>
      </c>
      <c r="CF15" s="282"/>
      <c r="CG15" s="51"/>
      <c r="CH15" s="46">
        <f t="shared" si="37"/>
        <v>93</v>
      </c>
      <c r="CI15" s="46">
        <f t="shared" si="38"/>
        <v>82.5</v>
      </c>
      <c r="CJ15" s="46">
        <f t="shared" si="39"/>
        <v>87.5</v>
      </c>
      <c r="CK15" s="46">
        <f t="shared" si="40"/>
        <v>76.5</v>
      </c>
      <c r="CL15" s="46" t="str">
        <f t="shared" si="41"/>
        <v xml:space="preserve"> </v>
      </c>
      <c r="CM15" s="46" t="str">
        <f t="shared" si="42"/>
        <v xml:space="preserve"> </v>
      </c>
      <c r="CN15" s="46"/>
      <c r="CO15" s="46"/>
      <c r="CP15" s="46"/>
      <c r="CQ15" s="46"/>
      <c r="CR15" s="52"/>
      <c r="CS15" s="51"/>
      <c r="CT15" s="53">
        <f t="shared" si="23"/>
        <v>84.75</v>
      </c>
      <c r="CU15" s="53">
        <f t="shared" si="24"/>
        <v>84.5</v>
      </c>
      <c r="CV15" s="53">
        <f t="shared" si="25"/>
        <v>83.333333333333329</v>
      </c>
      <c r="CW15" s="53">
        <f t="shared" si="26"/>
        <v>76</v>
      </c>
      <c r="CX15" s="53" t="str">
        <f t="shared" si="27"/>
        <v xml:space="preserve">  </v>
      </c>
      <c r="CY15" s="53" t="str">
        <f t="shared" si="28"/>
        <v xml:space="preserve">  </v>
      </c>
      <c r="CZ15" s="53"/>
      <c r="DA15" s="53"/>
      <c r="DB15" s="53"/>
      <c r="DC15" s="53"/>
      <c r="DD15" s="54">
        <f t="shared" si="43"/>
        <v>82</v>
      </c>
      <c r="DE15" s="55">
        <f t="shared" si="44"/>
        <v>84.75</v>
      </c>
      <c r="DF15" s="55">
        <f t="shared" si="45"/>
        <v>76</v>
      </c>
      <c r="DG15" s="51" t="str">
        <f>SISWA!E13</f>
        <v>Ilham</v>
      </c>
      <c r="DH15" s="51" t="str">
        <f t="shared" si="46"/>
        <v xml:space="preserve">Ananda Ilham </v>
      </c>
      <c r="DI15" s="56">
        <f t="shared" si="47"/>
        <v>84.75</v>
      </c>
      <c r="DJ15" s="57" t="str">
        <f t="shared" si="48"/>
        <v/>
      </c>
      <c r="DK15" s="57" t="str">
        <f t="shared" si="49"/>
        <v/>
      </c>
      <c r="DL15" s="57" t="str">
        <f t="shared" si="50"/>
        <v/>
      </c>
      <c r="DM15" s="57" t="str">
        <f t="shared" si="51"/>
        <v/>
      </c>
      <c r="DN15" s="57" t="str">
        <f t="shared" si="52"/>
        <v/>
      </c>
      <c r="DO15" s="57"/>
      <c r="DP15" s="57"/>
      <c r="DQ15" s="57"/>
      <c r="DR15" s="57"/>
      <c r="DS15" s="58">
        <f t="shared" si="53"/>
        <v>84.75</v>
      </c>
      <c r="DT15" s="55" t="str">
        <f t="shared" si="54"/>
        <v>mengidentifikasi nilai-nilai Pancasila dalam kehidupan sehari-hari</v>
      </c>
      <c r="DU15" s="58"/>
      <c r="DV15" s="59" t="str">
        <f>IF(DE15&gt;100,"",IF(DE15&gt;CD$1,"sangat baik dalam "&amp;DT15,IF(DE15&gt;=CD$2,"baik dalam "&amp;DT15,IF(DE15&gt;=CD$3,"cukup dalam "&amp;DT15,IF(DE15&lt;CD$3,"dengan bimbingan dapat meningkatkan dalam "&amp;DT15,IF(DE15&lt;1," ",””))))))</f>
        <v>baik dalam mengidentifikasi nilai-nilai Pancasila dalam kehidupan sehari-hari</v>
      </c>
      <c r="DW15" s="58"/>
      <c r="DX15" s="57" t="str">
        <f t="shared" si="55"/>
        <v/>
      </c>
      <c r="DY15" s="57" t="str">
        <f t="shared" si="56"/>
        <v/>
      </c>
      <c r="DZ15" s="57" t="str">
        <f t="shared" si="57"/>
        <v/>
      </c>
      <c r="EA15" s="57">
        <f t="shared" si="58"/>
        <v>76</v>
      </c>
      <c r="EB15" s="57" t="str">
        <f t="shared" si="59"/>
        <v/>
      </c>
      <c r="EC15" s="57" t="str">
        <f t="shared" si="60"/>
        <v/>
      </c>
      <c r="ED15" s="57"/>
      <c r="EE15" s="57"/>
      <c r="EF15" s="57"/>
      <c r="EG15" s="57"/>
      <c r="EH15" s="59" t="str">
        <f t="shared" si="61"/>
        <v>menggali manfaat persatuan dan kesatuan untuk membangun kerukunan hidup</v>
      </c>
      <c r="EI15" s="59" t="str">
        <f>IF(DF15&gt;100,"",IF(DF15&gt;CD$1,"sangat baik dalam "&amp;EH15,IF(DF15&gt;=CD$2,"baik dalam "&amp;EH15,IF(DF15&gt;=CD$3,"cukup dalam "&amp;EH15,IF(DF15&lt;CD$3,"dengan bimbingan dapat meningkatkan dalam "&amp;EH15,IF(DF15&lt;1," ",””))))))</f>
        <v>cukup dalam menggali manfaat persatuan dan kesatuan untuk membangun kerukunan hidup</v>
      </c>
      <c r="EJ15" s="61"/>
      <c r="EK15" s="62" t="str">
        <f t="shared" si="62"/>
        <v>Ananda Ilham  baik dalam mengidentifikasi nilai-nilai Pancasila dalam kehidupan sehari-hari, cukup dalam menggali manfaat persatuan dan kesatuan untuk membangun kerukunan hidup</v>
      </c>
      <c r="EL15" s="57" t="str">
        <f t="shared" si="63"/>
        <v/>
      </c>
      <c r="EM15" s="57" t="str">
        <f t="shared" si="64"/>
        <v/>
      </c>
      <c r="EN15" s="57">
        <f t="shared" si="32"/>
        <v>0</v>
      </c>
      <c r="EO15" s="57"/>
      <c r="EP15" s="57"/>
      <c r="EQ15" s="57"/>
      <c r="ER15" s="59">
        <f t="shared" si="33"/>
        <v>0</v>
      </c>
      <c r="ES15" s="60"/>
      <c r="ET15" s="61"/>
      <c r="EU15" s="62" t="str">
        <f t="shared" si="65"/>
        <v>, 0</v>
      </c>
      <c r="EV15" s="4" t="str">
        <f t="shared" si="66"/>
        <v xml:space="preserve">Cukup pandai mengidentifikasi nilai-nilai Pancasila dalam kehidupan sehari-hari Cukup pandai memahami hak, kewajiban dan tanggung jawab sebagai warga dalam kehidupan sehari-hari Menguasai dengan baik menelaah keberagaman sosial budaya masyarakat     Cukup pandai 0  </v>
      </c>
    </row>
    <row r="16" spans="1:152" ht="34.5" customHeight="1">
      <c r="A16" s="39">
        <v>9</v>
      </c>
      <c r="B16" s="269" t="str">
        <f>SISWA!B14</f>
        <v>Muhammad Raditya Ainul Yaqin</v>
      </c>
      <c r="C16" s="123">
        <v>93</v>
      </c>
      <c r="D16" s="123"/>
      <c r="E16" s="123"/>
      <c r="F16" s="123"/>
      <c r="G16" s="123"/>
      <c r="H16" s="123"/>
      <c r="I16" s="256">
        <v>93</v>
      </c>
      <c r="J16" s="256"/>
      <c r="K16" s="256"/>
      <c r="L16" s="256"/>
      <c r="M16" s="256"/>
      <c r="N16" s="256"/>
      <c r="O16" s="123"/>
      <c r="P16" s="123">
        <v>87</v>
      </c>
      <c r="Q16" s="123"/>
      <c r="R16" s="123"/>
      <c r="S16" s="123"/>
      <c r="T16" s="123"/>
      <c r="U16" s="256"/>
      <c r="V16" s="256">
        <v>75</v>
      </c>
      <c r="W16" s="256"/>
      <c r="X16" s="256"/>
      <c r="Y16" s="256"/>
      <c r="Z16" s="256"/>
      <c r="AA16" s="123"/>
      <c r="AB16" s="123"/>
      <c r="AC16" s="123">
        <v>93</v>
      </c>
      <c r="AD16" s="123"/>
      <c r="AE16" s="123"/>
      <c r="AF16" s="123"/>
      <c r="AG16" s="256"/>
      <c r="AH16" s="256"/>
      <c r="AI16" s="256">
        <v>75</v>
      </c>
      <c r="AJ16" s="256"/>
      <c r="AK16" s="256"/>
      <c r="AL16" s="256"/>
      <c r="AM16" s="123"/>
      <c r="AN16" s="123">
        <v>75</v>
      </c>
      <c r="AO16" s="123"/>
      <c r="AP16" s="123"/>
      <c r="AQ16" s="123"/>
      <c r="AR16" s="123"/>
      <c r="AS16" s="256"/>
      <c r="AT16" s="256">
        <v>80</v>
      </c>
      <c r="AU16" s="256"/>
      <c r="AV16" s="256"/>
      <c r="AW16" s="256"/>
      <c r="AX16" s="256"/>
      <c r="AY16" s="460"/>
      <c r="AZ16" s="460"/>
      <c r="BA16" s="460"/>
      <c r="BB16" s="460">
        <v>75</v>
      </c>
      <c r="BC16" s="460"/>
      <c r="BD16" s="460"/>
      <c r="BE16" s="346"/>
      <c r="BF16" s="346"/>
      <c r="BG16" s="346"/>
      <c r="BH16" s="346">
        <v>80</v>
      </c>
      <c r="BI16" s="346"/>
      <c r="BJ16" s="346"/>
      <c r="BK16" s="260">
        <f t="shared" si="16"/>
        <v>93</v>
      </c>
      <c r="BL16" s="260">
        <f t="shared" si="17"/>
        <v>79.25</v>
      </c>
      <c r="BM16" s="260">
        <f t="shared" si="18"/>
        <v>84</v>
      </c>
      <c r="BN16" s="260">
        <f t="shared" si="19"/>
        <v>77.5</v>
      </c>
      <c r="BO16" s="260" t="str">
        <f t="shared" si="20"/>
        <v xml:space="preserve"> </v>
      </c>
      <c r="BP16" s="260" t="str">
        <f t="shared" si="21"/>
        <v xml:space="preserve"> </v>
      </c>
      <c r="BQ16" s="547">
        <v>75</v>
      </c>
      <c r="BR16" s="547">
        <v>75</v>
      </c>
      <c r="BS16" s="547"/>
      <c r="BT16" s="547"/>
      <c r="BU16" s="547"/>
      <c r="BV16" s="547"/>
      <c r="BW16" s="548">
        <v>75</v>
      </c>
      <c r="BX16" s="548">
        <v>75</v>
      </c>
      <c r="BY16" s="548">
        <v>75</v>
      </c>
      <c r="BZ16" s="548">
        <v>75</v>
      </c>
      <c r="CA16" s="548"/>
      <c r="CB16" s="548"/>
      <c r="CC16" s="550">
        <f t="shared" si="34"/>
        <v>80</v>
      </c>
      <c r="CD16" s="291" t="str">
        <f t="shared" si="35"/>
        <v>C</v>
      </c>
      <c r="CE16" s="50" t="str">
        <f t="shared" si="36"/>
        <v>Ananda Radit  baik dalam mengidentifikasi nilai-nilai Pancasila dalam kehidupan sehari-hari, cukup dalam menggali manfaat persatuan dan kesatuan untuk membangun kerukunan hidup</v>
      </c>
      <c r="CF16" s="282"/>
      <c r="CG16" s="51"/>
      <c r="CH16" s="46">
        <f t="shared" si="37"/>
        <v>93</v>
      </c>
      <c r="CI16" s="46">
        <f t="shared" si="38"/>
        <v>79.25</v>
      </c>
      <c r="CJ16" s="46">
        <f t="shared" si="39"/>
        <v>84</v>
      </c>
      <c r="CK16" s="46">
        <f t="shared" si="40"/>
        <v>77.5</v>
      </c>
      <c r="CL16" s="46" t="str">
        <f t="shared" si="41"/>
        <v xml:space="preserve"> </v>
      </c>
      <c r="CM16" s="46" t="str">
        <f t="shared" si="42"/>
        <v xml:space="preserve"> </v>
      </c>
      <c r="CN16" s="46"/>
      <c r="CO16" s="46"/>
      <c r="CP16" s="46"/>
      <c r="CQ16" s="46"/>
      <c r="CR16" s="52"/>
      <c r="CS16" s="51"/>
      <c r="CT16" s="53">
        <f t="shared" si="23"/>
        <v>84</v>
      </c>
      <c r="CU16" s="53">
        <f t="shared" si="24"/>
        <v>77.125</v>
      </c>
      <c r="CV16" s="53">
        <f t="shared" si="25"/>
        <v>81</v>
      </c>
      <c r="CW16" s="53">
        <f t="shared" si="26"/>
        <v>76.666666666666671</v>
      </c>
      <c r="CX16" s="53" t="str">
        <f t="shared" si="27"/>
        <v xml:space="preserve">  </v>
      </c>
      <c r="CY16" s="53" t="str">
        <f t="shared" si="28"/>
        <v xml:space="preserve">  </v>
      </c>
      <c r="CZ16" s="53"/>
      <c r="DA16" s="53"/>
      <c r="DB16" s="53"/>
      <c r="DC16" s="53"/>
      <c r="DD16" s="54">
        <f t="shared" si="43"/>
        <v>80</v>
      </c>
      <c r="DE16" s="55">
        <f t="shared" si="44"/>
        <v>84</v>
      </c>
      <c r="DF16" s="55">
        <f t="shared" si="45"/>
        <v>76.666666666666671</v>
      </c>
      <c r="DG16" s="51" t="str">
        <f>SISWA!E14</f>
        <v>Radit</v>
      </c>
      <c r="DH16" s="51" t="str">
        <f t="shared" si="46"/>
        <v xml:space="preserve">Ananda Radit </v>
      </c>
      <c r="DI16" s="56">
        <f t="shared" si="47"/>
        <v>84</v>
      </c>
      <c r="DJ16" s="57" t="str">
        <f t="shared" si="48"/>
        <v/>
      </c>
      <c r="DK16" s="57" t="str">
        <f t="shared" si="49"/>
        <v/>
      </c>
      <c r="DL16" s="57" t="str">
        <f t="shared" si="50"/>
        <v/>
      </c>
      <c r="DM16" s="57" t="str">
        <f t="shared" si="51"/>
        <v/>
      </c>
      <c r="DN16" s="57" t="str">
        <f t="shared" si="52"/>
        <v/>
      </c>
      <c r="DO16" s="57"/>
      <c r="DP16" s="57"/>
      <c r="DQ16" s="57"/>
      <c r="DR16" s="57"/>
      <c r="DS16" s="58">
        <f t="shared" si="53"/>
        <v>84</v>
      </c>
      <c r="DT16" s="55" t="str">
        <f t="shared" si="54"/>
        <v>mengidentifikasi nilai-nilai Pancasila dalam kehidupan sehari-hari</v>
      </c>
      <c r="DU16" s="58"/>
      <c r="DV16" s="59" t="str">
        <f>IF(DE16&gt;100,"",IF(DE16&gt;CD$1,"sangat baik dalam "&amp;DT16,IF(DE16&gt;=CD$2,"baik dalam "&amp;DT16,IF(DE16&gt;=CD$3,"cukup dalam "&amp;DT16,IF(DE16&lt;CD$3,"dengan bimbingan dapat meningkatkan dalam "&amp;DT16,IF(DE16&lt;1," ",””))))))</f>
        <v>baik dalam mengidentifikasi nilai-nilai Pancasila dalam kehidupan sehari-hari</v>
      </c>
      <c r="DW16" s="58"/>
      <c r="DX16" s="57" t="str">
        <f t="shared" si="55"/>
        <v/>
      </c>
      <c r="DY16" s="57" t="str">
        <f t="shared" si="56"/>
        <v/>
      </c>
      <c r="DZ16" s="57" t="str">
        <f t="shared" si="57"/>
        <v/>
      </c>
      <c r="EA16" s="57">
        <f t="shared" si="58"/>
        <v>76.666666666666671</v>
      </c>
      <c r="EB16" s="57" t="str">
        <f t="shared" si="59"/>
        <v/>
      </c>
      <c r="EC16" s="57" t="str">
        <f t="shared" si="60"/>
        <v/>
      </c>
      <c r="ED16" s="57"/>
      <c r="EE16" s="57"/>
      <c r="EF16" s="57"/>
      <c r="EG16" s="57"/>
      <c r="EH16" s="59" t="str">
        <f t="shared" si="61"/>
        <v>menggali manfaat persatuan dan kesatuan untuk membangun kerukunan hidup</v>
      </c>
      <c r="EI16" s="59" t="str">
        <f>IF(DF16&gt;100,"",IF(DF16&gt;CD$1,"sangat baik dalam "&amp;EH16,IF(DF16&gt;=CD$2,"baik dalam "&amp;EH16,IF(DF16&gt;=CD$3,"cukup dalam "&amp;EH16,IF(DF16&lt;CD$3,"dengan bimbingan dapat meningkatkan dalam "&amp;EH16,IF(DF16&lt;1," ",””))))))</f>
        <v>cukup dalam menggali manfaat persatuan dan kesatuan untuk membangun kerukunan hidup</v>
      </c>
      <c r="EJ16" s="61"/>
      <c r="EK16" s="62" t="str">
        <f t="shared" si="62"/>
        <v>Ananda Radit  baik dalam mengidentifikasi nilai-nilai Pancasila dalam kehidupan sehari-hari, cukup dalam menggali manfaat persatuan dan kesatuan untuk membangun kerukunan hidup</v>
      </c>
      <c r="EL16" s="57" t="str">
        <f t="shared" si="63"/>
        <v/>
      </c>
      <c r="EM16" s="57" t="str">
        <f t="shared" si="64"/>
        <v/>
      </c>
      <c r="EN16" s="57">
        <f t="shared" si="32"/>
        <v>0</v>
      </c>
      <c r="EO16" s="57"/>
      <c r="EP16" s="57"/>
      <c r="EQ16" s="57"/>
      <c r="ER16" s="59">
        <f t="shared" si="33"/>
        <v>0</v>
      </c>
      <c r="ES16" s="60"/>
      <c r="ET16" s="61"/>
      <c r="EU16" s="62" t="str">
        <f t="shared" si="65"/>
        <v>, 0</v>
      </c>
      <c r="EV16" s="4" t="str">
        <f t="shared" si="66"/>
        <v xml:space="preserve">Cukup pandai mengidentifikasi nilai-nilai Pancasila dalam kehidupan sehari-hari Cukup pandai memahami hak, kewajiban dan tanggung jawab sebagai warga dalam kehidupan sehari-hari Menguasai dengan baik menelaah keberagaman sosial budaya masyarakat     Cukup pandai 0  </v>
      </c>
    </row>
    <row r="17" spans="1:152" ht="34.5" customHeight="1">
      <c r="A17" s="39">
        <v>10</v>
      </c>
      <c r="B17" s="269" t="str">
        <f>SISWA!B15</f>
        <v>Muhammad Shulhan Al-farisi</v>
      </c>
      <c r="C17" s="123">
        <v>93</v>
      </c>
      <c r="D17" s="123"/>
      <c r="E17" s="123"/>
      <c r="F17" s="123"/>
      <c r="G17" s="123"/>
      <c r="H17" s="123"/>
      <c r="I17" s="256">
        <v>100</v>
      </c>
      <c r="J17" s="256"/>
      <c r="K17" s="256"/>
      <c r="L17" s="256"/>
      <c r="M17" s="256"/>
      <c r="N17" s="256"/>
      <c r="O17" s="123"/>
      <c r="P17" s="123">
        <v>87</v>
      </c>
      <c r="Q17" s="123"/>
      <c r="R17" s="123"/>
      <c r="S17" s="123"/>
      <c r="T17" s="123"/>
      <c r="U17" s="256"/>
      <c r="V17" s="256">
        <v>75</v>
      </c>
      <c r="W17" s="256"/>
      <c r="X17" s="256"/>
      <c r="Y17" s="256"/>
      <c r="Z17" s="256"/>
      <c r="AA17" s="123"/>
      <c r="AB17" s="123"/>
      <c r="AC17" s="123">
        <v>100</v>
      </c>
      <c r="AD17" s="123"/>
      <c r="AE17" s="123"/>
      <c r="AF17" s="123"/>
      <c r="AG17" s="256"/>
      <c r="AH17" s="256"/>
      <c r="AI17" s="256">
        <v>87</v>
      </c>
      <c r="AJ17" s="256"/>
      <c r="AK17" s="256"/>
      <c r="AL17" s="256"/>
      <c r="AM17" s="123"/>
      <c r="AN17" s="123">
        <v>87</v>
      </c>
      <c r="AO17" s="123"/>
      <c r="AP17" s="123"/>
      <c r="AQ17" s="123"/>
      <c r="AR17" s="123"/>
      <c r="AS17" s="256"/>
      <c r="AT17" s="256">
        <v>80</v>
      </c>
      <c r="AU17" s="256"/>
      <c r="AV17" s="256"/>
      <c r="AW17" s="256"/>
      <c r="AX17" s="256"/>
      <c r="AY17" s="460"/>
      <c r="AZ17" s="460"/>
      <c r="BA17" s="460"/>
      <c r="BB17" s="460">
        <v>75</v>
      </c>
      <c r="BC17" s="460"/>
      <c r="BD17" s="460"/>
      <c r="BE17" s="346"/>
      <c r="BF17" s="346"/>
      <c r="BG17" s="346"/>
      <c r="BH17" s="346">
        <v>93</v>
      </c>
      <c r="BI17" s="346"/>
      <c r="BJ17" s="346"/>
      <c r="BK17" s="260">
        <f t="shared" si="16"/>
        <v>96.5</v>
      </c>
      <c r="BL17" s="260">
        <f t="shared" si="17"/>
        <v>82.25</v>
      </c>
      <c r="BM17" s="260">
        <f t="shared" si="18"/>
        <v>93.5</v>
      </c>
      <c r="BN17" s="260">
        <f t="shared" si="19"/>
        <v>84</v>
      </c>
      <c r="BO17" s="260" t="str">
        <f t="shared" si="20"/>
        <v xml:space="preserve"> </v>
      </c>
      <c r="BP17" s="260" t="str">
        <f t="shared" si="21"/>
        <v xml:space="preserve"> </v>
      </c>
      <c r="BQ17" s="547">
        <v>92</v>
      </c>
      <c r="BR17" s="547">
        <v>87</v>
      </c>
      <c r="BS17" s="547"/>
      <c r="BT17" s="547"/>
      <c r="BU17" s="547"/>
      <c r="BV17" s="547"/>
      <c r="BW17" s="548">
        <v>80</v>
      </c>
      <c r="BX17" s="548">
        <v>87</v>
      </c>
      <c r="BY17" s="548">
        <v>75</v>
      </c>
      <c r="BZ17" s="548">
        <v>78</v>
      </c>
      <c r="CA17" s="548"/>
      <c r="CB17" s="548"/>
      <c r="CC17" s="550">
        <f t="shared" si="34"/>
        <v>86</v>
      </c>
      <c r="CD17" s="291" t="str">
        <f t="shared" si="35"/>
        <v>B</v>
      </c>
      <c r="CE17" s="50" t="str">
        <f t="shared" si="36"/>
        <v>Ananda Shulhan  baik dalam mengidentifikasi nilai-nilai Pancasila dalam kehidupan sehari-hari, cukup dalam menggali manfaat persatuan dan kesatuan untuk membangun kerukunan hidup</v>
      </c>
      <c r="CF17" s="282"/>
      <c r="CG17" s="51"/>
      <c r="CH17" s="46">
        <f t="shared" si="37"/>
        <v>96.5</v>
      </c>
      <c r="CI17" s="46">
        <f t="shared" si="38"/>
        <v>82.25</v>
      </c>
      <c r="CJ17" s="46">
        <f t="shared" si="39"/>
        <v>93.5</v>
      </c>
      <c r="CK17" s="46">
        <f t="shared" si="40"/>
        <v>84</v>
      </c>
      <c r="CL17" s="46" t="str">
        <f t="shared" si="41"/>
        <v xml:space="preserve"> </v>
      </c>
      <c r="CM17" s="46" t="str">
        <f t="shared" si="42"/>
        <v xml:space="preserve"> </v>
      </c>
      <c r="CN17" s="46"/>
      <c r="CO17" s="46"/>
      <c r="CP17" s="46"/>
      <c r="CQ17" s="46"/>
      <c r="CR17" s="52"/>
      <c r="CS17" s="51"/>
      <c r="CT17" s="53">
        <f t="shared" si="23"/>
        <v>91.25</v>
      </c>
      <c r="CU17" s="53">
        <f t="shared" si="24"/>
        <v>84.625</v>
      </c>
      <c r="CV17" s="53">
        <f t="shared" si="25"/>
        <v>87.333333333333329</v>
      </c>
      <c r="CW17" s="53">
        <f t="shared" si="26"/>
        <v>82</v>
      </c>
      <c r="CX17" s="53" t="str">
        <f t="shared" si="27"/>
        <v xml:space="preserve">  </v>
      </c>
      <c r="CY17" s="53" t="str">
        <f t="shared" si="28"/>
        <v xml:space="preserve">  </v>
      </c>
      <c r="CZ17" s="53"/>
      <c r="DA17" s="53"/>
      <c r="DB17" s="53"/>
      <c r="DC17" s="53"/>
      <c r="DD17" s="54">
        <f t="shared" si="43"/>
        <v>86</v>
      </c>
      <c r="DE17" s="55">
        <f t="shared" si="44"/>
        <v>91.25</v>
      </c>
      <c r="DF17" s="55">
        <f t="shared" si="45"/>
        <v>82</v>
      </c>
      <c r="DG17" s="51" t="str">
        <f>SISWA!E15</f>
        <v>Shulhan</v>
      </c>
      <c r="DH17" s="51" t="str">
        <f t="shared" si="46"/>
        <v xml:space="preserve">Ananda Shulhan </v>
      </c>
      <c r="DI17" s="56">
        <f t="shared" si="47"/>
        <v>91.25</v>
      </c>
      <c r="DJ17" s="57" t="str">
        <f t="shared" si="48"/>
        <v/>
      </c>
      <c r="DK17" s="57" t="str">
        <f t="shared" si="49"/>
        <v/>
      </c>
      <c r="DL17" s="57" t="str">
        <f t="shared" si="50"/>
        <v/>
      </c>
      <c r="DM17" s="57" t="str">
        <f t="shared" si="51"/>
        <v/>
      </c>
      <c r="DN17" s="57" t="str">
        <f t="shared" si="52"/>
        <v/>
      </c>
      <c r="DO17" s="57"/>
      <c r="DP17" s="57"/>
      <c r="DQ17" s="57"/>
      <c r="DR17" s="57"/>
      <c r="DS17" s="58">
        <f t="shared" si="53"/>
        <v>91.25</v>
      </c>
      <c r="DT17" s="55" t="str">
        <f t="shared" si="54"/>
        <v>mengidentifikasi nilai-nilai Pancasila dalam kehidupan sehari-hari</v>
      </c>
      <c r="DU17" s="58"/>
      <c r="DV17" s="59" t="str">
        <f>IF(DE17&gt;100,"",IF(DE17&gt;CD$1,"sangat baik dalam "&amp;DT17,IF(DE17&gt;=CD$2,"baik dalam "&amp;DT17,IF(DE17&gt;=CD$3,"cukup dalam "&amp;DT17,IF(DE17&lt;CD$3,"dengan bimbingan dapat meningkatkan dalam "&amp;DT17,IF(DE17&lt;1," ",””))))))</f>
        <v>baik dalam mengidentifikasi nilai-nilai Pancasila dalam kehidupan sehari-hari</v>
      </c>
      <c r="DW17" s="58"/>
      <c r="DX17" s="57" t="str">
        <f t="shared" si="55"/>
        <v/>
      </c>
      <c r="DY17" s="57" t="str">
        <f t="shared" si="56"/>
        <v/>
      </c>
      <c r="DZ17" s="57" t="str">
        <f t="shared" si="57"/>
        <v/>
      </c>
      <c r="EA17" s="57">
        <f t="shared" si="58"/>
        <v>82</v>
      </c>
      <c r="EB17" s="57" t="str">
        <f t="shared" si="59"/>
        <v/>
      </c>
      <c r="EC17" s="57" t="str">
        <f t="shared" si="60"/>
        <v/>
      </c>
      <c r="ED17" s="57"/>
      <c r="EE17" s="57"/>
      <c r="EF17" s="57"/>
      <c r="EG17" s="57"/>
      <c r="EH17" s="59" t="str">
        <f t="shared" si="61"/>
        <v>menggali manfaat persatuan dan kesatuan untuk membangun kerukunan hidup</v>
      </c>
      <c r="EI17" s="59" t="str">
        <f>IF(DF17&gt;100,"",IF(DF17&gt;CD$1,"sangat baik dalam "&amp;EH17,IF(DF17&gt;=CD$2,"baik dalam "&amp;EH17,IF(DF17&gt;=CD$3,"cukup dalam "&amp;EH17,IF(DF17&lt;CD$3,"dengan bimbingan dapat meningkatkan dalam "&amp;EH17,IF(DF17&lt;1," ",””))))))</f>
        <v>cukup dalam menggali manfaat persatuan dan kesatuan untuk membangun kerukunan hidup</v>
      </c>
      <c r="EJ17" s="61"/>
      <c r="EK17" s="62" t="str">
        <f t="shared" si="62"/>
        <v>Ananda Shulhan  baik dalam mengidentifikasi nilai-nilai Pancasila dalam kehidupan sehari-hari, cukup dalam menggali manfaat persatuan dan kesatuan untuk membangun kerukunan hidup</v>
      </c>
      <c r="EL17" s="57" t="str">
        <f t="shared" si="63"/>
        <v/>
      </c>
      <c r="EM17" s="57" t="str">
        <f t="shared" si="64"/>
        <v/>
      </c>
      <c r="EN17" s="57">
        <f t="shared" si="32"/>
        <v>0</v>
      </c>
      <c r="EO17" s="57"/>
      <c r="EP17" s="57"/>
      <c r="EQ17" s="57"/>
      <c r="ER17" s="59">
        <f t="shared" si="33"/>
        <v>0</v>
      </c>
      <c r="ES17" s="60"/>
      <c r="ET17" s="61"/>
      <c r="EU17" s="62" t="str">
        <f t="shared" si="65"/>
        <v>, 0</v>
      </c>
      <c r="EV17" s="4" t="str">
        <f t="shared" si="66"/>
        <v xml:space="preserve">Cukup pandai mengidentifikasi nilai-nilai Pancasila dalam kehidupan sehari-hari Pandai memahami hak, kewajiban dan tanggung jawab sebagai warga dalam kehidupan sehari-hari cukup pandai menelaah keberagaman sosial budaya masyarakat     Pandai 0  </v>
      </c>
    </row>
    <row r="18" spans="1:152" ht="34.5" customHeight="1">
      <c r="A18" s="39">
        <v>11</v>
      </c>
      <c r="B18" s="269" t="str">
        <f>SISWA!B16</f>
        <v>Novaris Dwi Firmansyah</v>
      </c>
      <c r="C18" s="123">
        <v>75</v>
      </c>
      <c r="D18" s="123"/>
      <c r="E18" s="123"/>
      <c r="F18" s="123"/>
      <c r="G18" s="123"/>
      <c r="H18" s="123"/>
      <c r="I18" s="256">
        <v>75</v>
      </c>
      <c r="J18" s="256"/>
      <c r="K18" s="256"/>
      <c r="L18" s="256"/>
      <c r="M18" s="256"/>
      <c r="N18" s="256"/>
      <c r="O18" s="123"/>
      <c r="P18" s="123">
        <v>87</v>
      </c>
      <c r="Q18" s="123"/>
      <c r="R18" s="123"/>
      <c r="S18" s="123"/>
      <c r="T18" s="123"/>
      <c r="U18" s="256"/>
      <c r="V18" s="256">
        <v>87</v>
      </c>
      <c r="W18" s="256"/>
      <c r="X18" s="256"/>
      <c r="Y18" s="256"/>
      <c r="Z18" s="256"/>
      <c r="AA18" s="123"/>
      <c r="AB18" s="123"/>
      <c r="AC18" s="123">
        <v>87</v>
      </c>
      <c r="AD18" s="123"/>
      <c r="AE18" s="123"/>
      <c r="AF18" s="123"/>
      <c r="AG18" s="256"/>
      <c r="AH18" s="256"/>
      <c r="AI18" s="256">
        <v>75</v>
      </c>
      <c r="AJ18" s="256"/>
      <c r="AK18" s="256"/>
      <c r="AL18" s="256"/>
      <c r="AM18" s="123"/>
      <c r="AN18" s="123">
        <v>87</v>
      </c>
      <c r="AO18" s="123"/>
      <c r="AP18" s="123"/>
      <c r="AQ18" s="123"/>
      <c r="AR18" s="123"/>
      <c r="AS18" s="256"/>
      <c r="AT18" s="256">
        <v>80</v>
      </c>
      <c r="AU18" s="256"/>
      <c r="AV18" s="256"/>
      <c r="AW18" s="256"/>
      <c r="AX18" s="256"/>
      <c r="AY18" s="460"/>
      <c r="AZ18" s="460"/>
      <c r="BA18" s="460"/>
      <c r="BB18" s="460">
        <v>87</v>
      </c>
      <c r="BC18" s="460"/>
      <c r="BD18" s="460"/>
      <c r="BE18" s="346"/>
      <c r="BF18" s="346"/>
      <c r="BG18" s="346"/>
      <c r="BH18" s="346">
        <v>87</v>
      </c>
      <c r="BI18" s="346"/>
      <c r="BJ18" s="346"/>
      <c r="BK18" s="260">
        <f t="shared" si="16"/>
        <v>75</v>
      </c>
      <c r="BL18" s="260">
        <f t="shared" si="17"/>
        <v>85.25</v>
      </c>
      <c r="BM18" s="260">
        <f t="shared" si="18"/>
        <v>81</v>
      </c>
      <c r="BN18" s="260">
        <f t="shared" si="19"/>
        <v>87</v>
      </c>
      <c r="BO18" s="260" t="str">
        <f t="shared" si="20"/>
        <v xml:space="preserve"> </v>
      </c>
      <c r="BP18" s="260" t="str">
        <f t="shared" si="21"/>
        <v xml:space="preserve"> </v>
      </c>
      <c r="BQ18" s="547">
        <v>84</v>
      </c>
      <c r="BR18" s="547">
        <v>90</v>
      </c>
      <c r="BS18" s="547"/>
      <c r="BT18" s="547"/>
      <c r="BU18" s="547"/>
      <c r="BV18" s="547"/>
      <c r="BW18" s="548">
        <v>75</v>
      </c>
      <c r="BX18" s="548">
        <v>77</v>
      </c>
      <c r="BY18" s="548">
        <v>75</v>
      </c>
      <c r="BZ18" s="548">
        <v>75</v>
      </c>
      <c r="CA18" s="548"/>
      <c r="CB18" s="548"/>
      <c r="CC18" s="550">
        <f t="shared" si="34"/>
        <v>81</v>
      </c>
      <c r="CD18" s="291" t="str">
        <f t="shared" si="35"/>
        <v>C</v>
      </c>
      <c r="CE18" s="50" t="str">
        <f t="shared" si="36"/>
        <v>Ananda Varis  baik dalam memahami hak, kewajiban dan tanggung jawab sebagai warga dalam kehidupan sehari-hari, cukup dalam mengidentifikasi nilai-nilai Pancasila dalam kehidupan sehari-hari</v>
      </c>
      <c r="CF18" s="282"/>
      <c r="CG18" s="51"/>
      <c r="CH18" s="46">
        <f t="shared" si="37"/>
        <v>75</v>
      </c>
      <c r="CI18" s="46">
        <f t="shared" si="38"/>
        <v>85.25</v>
      </c>
      <c r="CJ18" s="46">
        <f t="shared" si="39"/>
        <v>81</v>
      </c>
      <c r="CK18" s="46">
        <f t="shared" si="40"/>
        <v>87</v>
      </c>
      <c r="CL18" s="46" t="str">
        <f t="shared" si="41"/>
        <v xml:space="preserve"> </v>
      </c>
      <c r="CM18" s="46" t="str">
        <f t="shared" si="42"/>
        <v xml:space="preserve"> </v>
      </c>
      <c r="CN18" s="46"/>
      <c r="CO18" s="46"/>
      <c r="CP18" s="46"/>
      <c r="CQ18" s="46"/>
      <c r="CR18" s="52"/>
      <c r="CS18" s="51"/>
      <c r="CT18" s="53">
        <f t="shared" si="23"/>
        <v>77.25</v>
      </c>
      <c r="CU18" s="53">
        <f t="shared" si="24"/>
        <v>84.375</v>
      </c>
      <c r="CV18" s="53">
        <f t="shared" si="25"/>
        <v>79</v>
      </c>
      <c r="CW18" s="53">
        <f t="shared" si="26"/>
        <v>83</v>
      </c>
      <c r="CX18" s="53" t="str">
        <f t="shared" si="27"/>
        <v xml:space="preserve">  </v>
      </c>
      <c r="CY18" s="53" t="str">
        <f t="shared" si="28"/>
        <v xml:space="preserve">  </v>
      </c>
      <c r="CZ18" s="53"/>
      <c r="DA18" s="53"/>
      <c r="DB18" s="53"/>
      <c r="DC18" s="53"/>
      <c r="DD18" s="54">
        <f t="shared" si="43"/>
        <v>81</v>
      </c>
      <c r="DE18" s="55">
        <f t="shared" si="44"/>
        <v>84.375</v>
      </c>
      <c r="DF18" s="55">
        <f t="shared" si="45"/>
        <v>77.25</v>
      </c>
      <c r="DG18" s="51" t="str">
        <f>SISWA!E16</f>
        <v>Varis</v>
      </c>
      <c r="DH18" s="51" t="str">
        <f t="shared" si="46"/>
        <v xml:space="preserve">Ananda Varis </v>
      </c>
      <c r="DI18" s="56" t="str">
        <f t="shared" si="47"/>
        <v/>
      </c>
      <c r="DJ18" s="57">
        <f t="shared" si="48"/>
        <v>84.375</v>
      </c>
      <c r="DK18" s="57" t="str">
        <f t="shared" si="49"/>
        <v/>
      </c>
      <c r="DL18" s="57" t="str">
        <f t="shared" si="50"/>
        <v/>
      </c>
      <c r="DM18" s="57" t="str">
        <f t="shared" si="51"/>
        <v/>
      </c>
      <c r="DN18" s="57" t="str">
        <f t="shared" si="52"/>
        <v/>
      </c>
      <c r="DO18" s="57"/>
      <c r="DP18" s="57"/>
      <c r="DQ18" s="57"/>
      <c r="DR18" s="57"/>
      <c r="DS18" s="58">
        <f t="shared" si="53"/>
        <v>84.375</v>
      </c>
      <c r="DT18" s="55" t="str">
        <f t="shared" si="54"/>
        <v>memahami hak, kewajiban dan tanggung jawab sebagai warga dalam kehidupan sehari-hari</v>
      </c>
      <c r="DU18" s="58"/>
      <c r="DV18" s="59" t="str">
        <f>IF(DE18&gt;100,"",IF(DE18&gt;CD$1,"sangat baik dalam "&amp;DT18,IF(DE18&gt;=CD$2,"baik dalam "&amp;DT18,IF(DE18&gt;=CD$3,"cukup dalam "&amp;DT18,IF(DE18&lt;CD$3,"dengan bimbingan dapat meningkatkan dalam "&amp;DT18,IF(DE18&lt;1," ",””))))))</f>
        <v>baik dalam memahami hak, kewajiban dan tanggung jawab sebagai warga dalam kehidupan sehari-hari</v>
      </c>
      <c r="DW18" s="58"/>
      <c r="DX18" s="57">
        <f t="shared" si="55"/>
        <v>77.25</v>
      </c>
      <c r="DY18" s="57" t="str">
        <f t="shared" si="56"/>
        <v/>
      </c>
      <c r="DZ18" s="57" t="str">
        <f t="shared" si="57"/>
        <v/>
      </c>
      <c r="EA18" s="57" t="str">
        <f t="shared" si="58"/>
        <v/>
      </c>
      <c r="EB18" s="57" t="str">
        <f t="shared" si="59"/>
        <v/>
      </c>
      <c r="EC18" s="57" t="str">
        <f t="shared" si="60"/>
        <v/>
      </c>
      <c r="ED18" s="57"/>
      <c r="EE18" s="57"/>
      <c r="EF18" s="57"/>
      <c r="EG18" s="57"/>
      <c r="EH18" s="59" t="str">
        <f t="shared" si="61"/>
        <v>mengidentifikasi nilai-nilai Pancasila dalam kehidupan sehari-hari</v>
      </c>
      <c r="EI18" s="59" t="str">
        <f>IF(DF18&gt;100,"",IF(DF18&gt;CD$1,"sangat baik dalam "&amp;EH18,IF(DF18&gt;=CD$2,"baik dalam "&amp;EH18,IF(DF18&gt;=CD$3,"cukup dalam "&amp;EH18,IF(DF18&lt;CD$3,"dengan bimbingan dapat meningkatkan dalam "&amp;EH18,IF(DF18&lt;1," ",””))))))</f>
        <v>cukup dalam mengidentifikasi nilai-nilai Pancasila dalam kehidupan sehari-hari</v>
      </c>
      <c r="EJ18" s="61"/>
      <c r="EK18" s="62" t="str">
        <f t="shared" si="62"/>
        <v>Ananda Varis  baik dalam memahami hak, kewajiban dan tanggung jawab sebagai warga dalam kehidupan sehari-hari, cukup dalam mengidentifikasi nilai-nilai Pancasila dalam kehidupan sehari-hari</v>
      </c>
      <c r="EL18" s="57" t="str">
        <f t="shared" si="63"/>
        <v/>
      </c>
      <c r="EM18" s="57">
        <f t="shared" si="64"/>
        <v>0</v>
      </c>
      <c r="EN18" s="57" t="str">
        <f t="shared" si="32"/>
        <v/>
      </c>
      <c r="EO18" s="57"/>
      <c r="EP18" s="57"/>
      <c r="EQ18" s="57"/>
      <c r="ER18" s="59">
        <f t="shared" si="33"/>
        <v>0</v>
      </c>
      <c r="ES18" s="60"/>
      <c r="ET18" s="61"/>
      <c r="EU18" s="62" t="str">
        <f t="shared" si="65"/>
        <v>, 0</v>
      </c>
      <c r="EV18" s="4" t="str">
        <f t="shared" si="66"/>
        <v>Cukup pandai mengidentifikasi nilai-nilai Pancasila dalam kehidupan sehari-hari Cukup pandai memahami hak, kewajiban dan tanggung jawab sebagai warga dalam kehidupan sehari-hari Menguasai dengan baik menelaah keberagaman sosial budaya masyarakat       Cukup pandai 0</v>
      </c>
    </row>
    <row r="19" spans="1:152" ht="34.5" customHeight="1">
      <c r="A19" s="39">
        <v>12</v>
      </c>
      <c r="B19" s="269" t="str">
        <f>SISWA!B17</f>
        <v>Oktafiya Duwi Safitri</v>
      </c>
      <c r="C19" s="123">
        <v>75</v>
      </c>
      <c r="D19" s="123"/>
      <c r="E19" s="123"/>
      <c r="F19" s="123"/>
      <c r="G19" s="123"/>
      <c r="H19" s="123"/>
      <c r="I19" s="256">
        <v>75</v>
      </c>
      <c r="J19" s="256"/>
      <c r="K19" s="256"/>
      <c r="L19" s="256"/>
      <c r="M19" s="256"/>
      <c r="N19" s="256"/>
      <c r="O19" s="123"/>
      <c r="P19" s="123">
        <v>75</v>
      </c>
      <c r="Q19" s="123"/>
      <c r="R19" s="123"/>
      <c r="S19" s="123"/>
      <c r="T19" s="123"/>
      <c r="U19" s="256"/>
      <c r="V19" s="256">
        <v>75</v>
      </c>
      <c r="W19" s="256"/>
      <c r="X19" s="256"/>
      <c r="Y19" s="256"/>
      <c r="Z19" s="256"/>
      <c r="AA19" s="123"/>
      <c r="AB19" s="123"/>
      <c r="AC19" s="123">
        <v>87</v>
      </c>
      <c r="AD19" s="123"/>
      <c r="AE19" s="123"/>
      <c r="AF19" s="123"/>
      <c r="AG19" s="256"/>
      <c r="AH19" s="256"/>
      <c r="AI19" s="256">
        <v>75</v>
      </c>
      <c r="AJ19" s="256"/>
      <c r="AK19" s="256"/>
      <c r="AL19" s="256"/>
      <c r="AM19" s="123"/>
      <c r="AN19" s="123">
        <v>75</v>
      </c>
      <c r="AO19" s="123"/>
      <c r="AP19" s="123"/>
      <c r="AQ19" s="123"/>
      <c r="AR19" s="123"/>
      <c r="AS19" s="256"/>
      <c r="AT19" s="256">
        <v>80</v>
      </c>
      <c r="AU19" s="256"/>
      <c r="AV19" s="256"/>
      <c r="AW19" s="256"/>
      <c r="AX19" s="256"/>
      <c r="AY19" s="460"/>
      <c r="AZ19" s="460"/>
      <c r="BA19" s="460"/>
      <c r="BB19" s="460">
        <v>75</v>
      </c>
      <c r="BC19" s="460"/>
      <c r="BD19" s="460"/>
      <c r="BE19" s="346"/>
      <c r="BF19" s="346"/>
      <c r="BG19" s="346"/>
      <c r="BH19" s="346">
        <v>75</v>
      </c>
      <c r="BI19" s="346"/>
      <c r="BJ19" s="346"/>
      <c r="BK19" s="260">
        <f t="shared" si="16"/>
        <v>75</v>
      </c>
      <c r="BL19" s="260">
        <f t="shared" si="17"/>
        <v>76.25</v>
      </c>
      <c r="BM19" s="260">
        <f t="shared" si="18"/>
        <v>81</v>
      </c>
      <c r="BN19" s="260">
        <f t="shared" si="19"/>
        <v>75</v>
      </c>
      <c r="BO19" s="260" t="str">
        <f t="shared" si="20"/>
        <v xml:space="preserve"> </v>
      </c>
      <c r="BP19" s="260" t="str">
        <f t="shared" si="21"/>
        <v xml:space="preserve"> </v>
      </c>
      <c r="BQ19" s="547">
        <v>75</v>
      </c>
      <c r="BR19" s="547">
        <v>75</v>
      </c>
      <c r="BS19" s="547"/>
      <c r="BT19" s="547"/>
      <c r="BU19" s="547"/>
      <c r="BV19" s="547"/>
      <c r="BW19" s="548">
        <v>75</v>
      </c>
      <c r="BX19" s="548">
        <v>75</v>
      </c>
      <c r="BY19" s="548">
        <v>75</v>
      </c>
      <c r="BZ19" s="548">
        <v>75</v>
      </c>
      <c r="CA19" s="548"/>
      <c r="CB19" s="548"/>
      <c r="CC19" s="550">
        <f t="shared" si="34"/>
        <v>76</v>
      </c>
      <c r="CD19" s="291" t="str">
        <f t="shared" si="35"/>
        <v>C</v>
      </c>
      <c r="CE19" s="50" t="str">
        <f t="shared" si="36"/>
        <v>Ananda Fitri  cukup dalam menelaah keberagaman sosial budaya masyarakat, cukup dalam menggali manfaat persatuan dan kesatuan untuk membangun kerukunan hidup</v>
      </c>
      <c r="CF19" s="282"/>
      <c r="CG19" s="51"/>
      <c r="CH19" s="46">
        <f t="shared" si="37"/>
        <v>75</v>
      </c>
      <c r="CI19" s="46">
        <f t="shared" si="38"/>
        <v>76.25</v>
      </c>
      <c r="CJ19" s="46">
        <f t="shared" si="39"/>
        <v>81</v>
      </c>
      <c r="CK19" s="46">
        <f t="shared" si="40"/>
        <v>75</v>
      </c>
      <c r="CL19" s="46" t="str">
        <f t="shared" si="41"/>
        <v xml:space="preserve"> </v>
      </c>
      <c r="CM19" s="46" t="str">
        <f t="shared" si="42"/>
        <v xml:space="preserve"> </v>
      </c>
      <c r="CN19" s="46"/>
      <c r="CO19" s="46"/>
      <c r="CP19" s="46"/>
      <c r="CQ19" s="46"/>
      <c r="CR19" s="52"/>
      <c r="CS19" s="51"/>
      <c r="CT19" s="53">
        <f t="shared" si="23"/>
        <v>75</v>
      </c>
      <c r="CU19" s="53">
        <f t="shared" si="24"/>
        <v>75.625</v>
      </c>
      <c r="CV19" s="53">
        <f t="shared" si="25"/>
        <v>79</v>
      </c>
      <c r="CW19" s="53">
        <f t="shared" si="26"/>
        <v>75</v>
      </c>
      <c r="CX19" s="53" t="str">
        <f t="shared" si="27"/>
        <v xml:space="preserve">  </v>
      </c>
      <c r="CY19" s="53" t="str">
        <f t="shared" si="28"/>
        <v xml:space="preserve">  </v>
      </c>
      <c r="CZ19" s="53"/>
      <c r="DA19" s="53"/>
      <c r="DB19" s="53"/>
      <c r="DC19" s="53"/>
      <c r="DD19" s="54">
        <f t="shared" si="43"/>
        <v>76</v>
      </c>
      <c r="DE19" s="55">
        <f t="shared" si="44"/>
        <v>79</v>
      </c>
      <c r="DF19" s="55">
        <f t="shared" si="45"/>
        <v>75</v>
      </c>
      <c r="DG19" s="51" t="str">
        <f>SISWA!E17</f>
        <v>Fitri</v>
      </c>
      <c r="DH19" s="51" t="str">
        <f t="shared" si="46"/>
        <v xml:space="preserve">Ananda Fitri </v>
      </c>
      <c r="DI19" s="56" t="str">
        <f t="shared" si="47"/>
        <v/>
      </c>
      <c r="DJ19" s="57" t="str">
        <f t="shared" si="48"/>
        <v/>
      </c>
      <c r="DK19" s="57">
        <f t="shared" si="49"/>
        <v>79</v>
      </c>
      <c r="DL19" s="57" t="str">
        <f t="shared" si="50"/>
        <v/>
      </c>
      <c r="DM19" s="57" t="str">
        <f t="shared" si="51"/>
        <v/>
      </c>
      <c r="DN19" s="57" t="str">
        <f t="shared" si="52"/>
        <v/>
      </c>
      <c r="DO19" s="57"/>
      <c r="DP19" s="57"/>
      <c r="DQ19" s="57"/>
      <c r="DR19" s="57"/>
      <c r="DS19" s="58">
        <f t="shared" si="53"/>
        <v>79</v>
      </c>
      <c r="DT19" s="55" t="str">
        <f t="shared" si="54"/>
        <v>menelaah keberagaman sosial budaya masyarakat</v>
      </c>
      <c r="DU19" s="58"/>
      <c r="DV19" s="59" t="str">
        <f>IF(DE19&gt;100,"",IF(DE19&gt;CD$1,"sangat baik dalam "&amp;DT19,IF(DE19&gt;=CD$2,"baik dalam "&amp;DT19,IF(DE19&gt;=CD$3,"cukup dalam "&amp;DT19,IF(DE19&lt;CD$3,"dengan bimbingan dapat meningkatkan dalam "&amp;DT19,IF(DE19&lt;1," ",””))))))</f>
        <v>cukup dalam menelaah keberagaman sosial budaya masyarakat</v>
      </c>
      <c r="DW19" s="58"/>
      <c r="DX19" s="57">
        <f t="shared" si="55"/>
        <v>75</v>
      </c>
      <c r="DY19" s="57" t="str">
        <f t="shared" si="56"/>
        <v/>
      </c>
      <c r="DZ19" s="57" t="str">
        <f t="shared" si="57"/>
        <v/>
      </c>
      <c r="EA19" s="57">
        <f t="shared" si="58"/>
        <v>75</v>
      </c>
      <c r="EB19" s="57" t="str">
        <f t="shared" si="59"/>
        <v/>
      </c>
      <c r="EC19" s="57" t="str">
        <f t="shared" si="60"/>
        <v/>
      </c>
      <c r="ED19" s="57"/>
      <c r="EE19" s="57"/>
      <c r="EF19" s="57"/>
      <c r="EG19" s="57"/>
      <c r="EH19" s="59" t="str">
        <f t="shared" si="61"/>
        <v>menggali manfaat persatuan dan kesatuan untuk membangun kerukunan hidup</v>
      </c>
      <c r="EI19" s="59" t="str">
        <f>IF(DF19&gt;100,"",IF(DF19&gt;CD$1,"sangat baik dalam "&amp;EH19,IF(DF19&gt;=CD$2,"baik dalam "&amp;EH19,IF(DF19&gt;=CD$3,"cukup dalam "&amp;EH19,IF(DF19&lt;CD$3,"dengan bimbingan dapat meningkatkan dalam "&amp;EH19,IF(DF19&lt;1," ",””))))))</f>
        <v>cukup dalam menggali manfaat persatuan dan kesatuan untuk membangun kerukunan hidup</v>
      </c>
      <c r="EJ19" s="61"/>
      <c r="EK19" s="62" t="str">
        <f t="shared" si="62"/>
        <v>Ananda Fitri  cukup dalam menelaah keberagaman sosial budaya masyarakat, cukup dalam menggali manfaat persatuan dan kesatuan untuk membangun kerukunan hidup</v>
      </c>
      <c r="EL19" s="57" t="str">
        <f t="shared" si="63"/>
        <v/>
      </c>
      <c r="EM19" s="57">
        <f t="shared" si="64"/>
        <v>0</v>
      </c>
      <c r="EN19" s="57">
        <f t="shared" si="32"/>
        <v>0</v>
      </c>
      <c r="EO19" s="57"/>
      <c r="EP19" s="57"/>
      <c r="EQ19" s="57"/>
      <c r="ER19" s="59">
        <f t="shared" si="33"/>
        <v>0</v>
      </c>
      <c r="ES19" s="60"/>
      <c r="ET19" s="61"/>
      <c r="EU19" s="62" t="str">
        <f t="shared" si="65"/>
        <v>, 0</v>
      </c>
      <c r="EV19" s="4" t="str">
        <f t="shared" si="66"/>
        <v xml:space="preserve">Menguasai dengan baik mengidentifikasi nilai-nilai Pancasila dalam kehidupan sehari-hari Menguasai dengan baik memahami hak, kewajiban dan tanggung jawab sebagai warga dalam kehidupan sehari-hari Menguasai dengan baik menelaah keberagaman sosial budaya masyarakat        </v>
      </c>
    </row>
    <row r="20" spans="1:152" ht="34.5" customHeight="1">
      <c r="A20" s="39">
        <v>13</v>
      </c>
      <c r="B20" s="269" t="str">
        <f>SISWA!B18</f>
        <v>Prastika Guntur Firmansyah</v>
      </c>
      <c r="C20" s="123">
        <v>100</v>
      </c>
      <c r="D20" s="123"/>
      <c r="E20" s="123"/>
      <c r="F20" s="123"/>
      <c r="G20" s="123"/>
      <c r="H20" s="123"/>
      <c r="I20" s="256">
        <v>100</v>
      </c>
      <c r="J20" s="256"/>
      <c r="K20" s="256"/>
      <c r="L20" s="256"/>
      <c r="M20" s="256"/>
      <c r="N20" s="256"/>
      <c r="O20" s="123"/>
      <c r="P20" s="123">
        <v>80</v>
      </c>
      <c r="Q20" s="123"/>
      <c r="R20" s="123"/>
      <c r="S20" s="123"/>
      <c r="T20" s="123"/>
      <c r="U20" s="256"/>
      <c r="V20" s="256">
        <v>75</v>
      </c>
      <c r="W20" s="256"/>
      <c r="X20" s="256"/>
      <c r="Y20" s="256"/>
      <c r="Z20" s="256"/>
      <c r="AA20" s="123"/>
      <c r="AB20" s="123"/>
      <c r="AC20" s="123">
        <v>87</v>
      </c>
      <c r="AD20" s="123"/>
      <c r="AE20" s="123"/>
      <c r="AF20" s="123"/>
      <c r="AG20" s="256"/>
      <c r="AH20" s="256"/>
      <c r="AI20" s="256">
        <v>75</v>
      </c>
      <c r="AJ20" s="256"/>
      <c r="AK20" s="256"/>
      <c r="AL20" s="256"/>
      <c r="AM20" s="123"/>
      <c r="AN20" s="123">
        <v>80</v>
      </c>
      <c r="AO20" s="123"/>
      <c r="AP20" s="123"/>
      <c r="AQ20" s="123"/>
      <c r="AR20" s="123"/>
      <c r="AS20" s="256"/>
      <c r="AT20" s="256">
        <v>75</v>
      </c>
      <c r="AU20" s="256"/>
      <c r="AV20" s="256"/>
      <c r="AW20" s="256"/>
      <c r="AX20" s="256"/>
      <c r="AY20" s="460"/>
      <c r="AZ20" s="460"/>
      <c r="BA20" s="460"/>
      <c r="BB20" s="460">
        <v>87</v>
      </c>
      <c r="BC20" s="460"/>
      <c r="BD20" s="460"/>
      <c r="BE20" s="346"/>
      <c r="BF20" s="346"/>
      <c r="BG20" s="346"/>
      <c r="BH20" s="346">
        <v>100</v>
      </c>
      <c r="BI20" s="346"/>
      <c r="BJ20" s="346"/>
      <c r="BK20" s="260">
        <f t="shared" si="16"/>
        <v>100</v>
      </c>
      <c r="BL20" s="260">
        <f t="shared" si="17"/>
        <v>77.5</v>
      </c>
      <c r="BM20" s="260">
        <f t="shared" si="18"/>
        <v>81</v>
      </c>
      <c r="BN20" s="260">
        <f t="shared" si="19"/>
        <v>93.5</v>
      </c>
      <c r="BO20" s="260" t="str">
        <f t="shared" si="20"/>
        <v xml:space="preserve"> </v>
      </c>
      <c r="BP20" s="260" t="str">
        <f t="shared" si="21"/>
        <v xml:space="preserve"> </v>
      </c>
      <c r="BQ20" s="547">
        <v>92</v>
      </c>
      <c r="BR20" s="547">
        <v>97</v>
      </c>
      <c r="BS20" s="547"/>
      <c r="BT20" s="547"/>
      <c r="BU20" s="547"/>
      <c r="BV20" s="547"/>
      <c r="BW20" s="548">
        <v>75</v>
      </c>
      <c r="BX20" s="548">
        <v>93</v>
      </c>
      <c r="BY20" s="548">
        <v>75</v>
      </c>
      <c r="BZ20" s="548">
        <v>80</v>
      </c>
      <c r="CA20" s="548"/>
      <c r="CB20" s="548"/>
      <c r="CC20" s="550">
        <f t="shared" si="34"/>
        <v>87</v>
      </c>
      <c r="CD20" s="291" t="str">
        <f t="shared" si="35"/>
        <v>B</v>
      </c>
      <c r="CE20" s="50" t="str">
        <f t="shared" si="36"/>
        <v>Ananda Pras  baik dalam mengidentifikasi nilai-nilai Pancasila dalam kehidupan sehari-hari, cukup dalam menelaah keberagaman sosial budaya masyarakat</v>
      </c>
      <c r="CF20" s="282"/>
      <c r="CG20" s="51"/>
      <c r="CH20" s="46">
        <f t="shared" si="37"/>
        <v>100</v>
      </c>
      <c r="CI20" s="46">
        <f t="shared" si="38"/>
        <v>77.5</v>
      </c>
      <c r="CJ20" s="46">
        <f t="shared" si="39"/>
        <v>81</v>
      </c>
      <c r="CK20" s="46">
        <f t="shared" si="40"/>
        <v>93.5</v>
      </c>
      <c r="CL20" s="46" t="str">
        <f t="shared" si="41"/>
        <v xml:space="preserve"> </v>
      </c>
      <c r="CM20" s="46" t="str">
        <f t="shared" si="42"/>
        <v xml:space="preserve"> </v>
      </c>
      <c r="CN20" s="46"/>
      <c r="CO20" s="46"/>
      <c r="CP20" s="46"/>
      <c r="CQ20" s="46"/>
      <c r="CR20" s="52"/>
      <c r="CS20" s="51"/>
      <c r="CT20" s="53">
        <f t="shared" si="23"/>
        <v>91.75</v>
      </c>
      <c r="CU20" s="53">
        <f t="shared" si="24"/>
        <v>86.25</v>
      </c>
      <c r="CV20" s="53">
        <f t="shared" si="25"/>
        <v>79</v>
      </c>
      <c r="CW20" s="53">
        <f t="shared" si="26"/>
        <v>89</v>
      </c>
      <c r="CX20" s="53" t="str">
        <f t="shared" si="27"/>
        <v xml:space="preserve">  </v>
      </c>
      <c r="CY20" s="53" t="str">
        <f t="shared" si="28"/>
        <v xml:space="preserve">  </v>
      </c>
      <c r="CZ20" s="53"/>
      <c r="DA20" s="53"/>
      <c r="DB20" s="53"/>
      <c r="DC20" s="53"/>
      <c r="DD20" s="54">
        <f t="shared" si="43"/>
        <v>87</v>
      </c>
      <c r="DE20" s="55">
        <f t="shared" si="44"/>
        <v>91.75</v>
      </c>
      <c r="DF20" s="55">
        <f t="shared" si="45"/>
        <v>79</v>
      </c>
      <c r="DG20" s="51" t="str">
        <f>SISWA!E18</f>
        <v>Pras</v>
      </c>
      <c r="DH20" s="51" t="str">
        <f t="shared" si="46"/>
        <v xml:space="preserve">Ananda Pras </v>
      </c>
      <c r="DI20" s="56">
        <f t="shared" si="47"/>
        <v>91.75</v>
      </c>
      <c r="DJ20" s="57" t="str">
        <f t="shared" si="48"/>
        <v/>
      </c>
      <c r="DK20" s="57" t="str">
        <f t="shared" si="49"/>
        <v/>
      </c>
      <c r="DL20" s="57" t="str">
        <f t="shared" si="50"/>
        <v/>
      </c>
      <c r="DM20" s="57" t="str">
        <f t="shared" si="51"/>
        <v/>
      </c>
      <c r="DN20" s="57" t="str">
        <f t="shared" si="52"/>
        <v/>
      </c>
      <c r="DO20" s="57"/>
      <c r="DP20" s="57"/>
      <c r="DQ20" s="57"/>
      <c r="DR20" s="57"/>
      <c r="DS20" s="58">
        <f t="shared" si="53"/>
        <v>91.75</v>
      </c>
      <c r="DT20" s="55" t="str">
        <f t="shared" si="54"/>
        <v>mengidentifikasi nilai-nilai Pancasila dalam kehidupan sehari-hari</v>
      </c>
      <c r="DU20" s="58"/>
      <c r="DV20" s="59" t="str">
        <f>IF(DE20&gt;100,"",IF(DE20&gt;CD$1,"sangat baik dalam "&amp;DT20,IF(DE20&gt;=CD$2,"baik dalam "&amp;DT20,IF(DE20&gt;=CD$3,"cukup dalam "&amp;DT20,IF(DE20&lt;CD$3,"dengan bimbingan dapat meningkatkan dalam "&amp;DT20,IF(DE20&lt;1," ",””))))))</f>
        <v>baik dalam mengidentifikasi nilai-nilai Pancasila dalam kehidupan sehari-hari</v>
      </c>
      <c r="DW20" s="58"/>
      <c r="DX20" s="57" t="str">
        <f t="shared" si="55"/>
        <v/>
      </c>
      <c r="DY20" s="57" t="str">
        <f t="shared" si="56"/>
        <v/>
      </c>
      <c r="DZ20" s="57">
        <f t="shared" si="57"/>
        <v>79</v>
      </c>
      <c r="EA20" s="57" t="str">
        <f t="shared" si="58"/>
        <v/>
      </c>
      <c r="EB20" s="57" t="str">
        <f t="shared" si="59"/>
        <v/>
      </c>
      <c r="EC20" s="57" t="str">
        <f t="shared" si="60"/>
        <v/>
      </c>
      <c r="ED20" s="57"/>
      <c r="EE20" s="57"/>
      <c r="EF20" s="57"/>
      <c r="EG20" s="57"/>
      <c r="EH20" s="59" t="str">
        <f t="shared" si="61"/>
        <v>menelaah keberagaman sosial budaya masyarakat</v>
      </c>
      <c r="EI20" s="59" t="str">
        <f>IF(DF20&gt;100,"",IF(DF20&gt;CD$1,"sangat baik dalam "&amp;EH20,IF(DF20&gt;=CD$2,"baik dalam "&amp;EH20,IF(DF20&gt;=CD$3,"cukup dalam "&amp;EH20,IF(DF20&lt;CD$3,"dengan bimbingan dapat meningkatkan dalam "&amp;EH20,IF(DF20&lt;1," ",””))))))</f>
        <v>cukup dalam menelaah keberagaman sosial budaya masyarakat</v>
      </c>
      <c r="EJ20" s="61"/>
      <c r="EK20" s="62" t="str">
        <f t="shared" si="62"/>
        <v>Ananda Pras  baik dalam mengidentifikasi nilai-nilai Pancasila dalam kehidupan sehari-hari, cukup dalam menelaah keberagaman sosial budaya masyarakat</v>
      </c>
      <c r="EL20" s="57" t="str">
        <f t="shared" si="63"/>
        <v/>
      </c>
      <c r="EM20" s="57" t="str">
        <f t="shared" si="64"/>
        <v/>
      </c>
      <c r="EN20" s="57">
        <f t="shared" si="32"/>
        <v>0</v>
      </c>
      <c r="EO20" s="57"/>
      <c r="EP20" s="57"/>
      <c r="EQ20" s="57"/>
      <c r="ER20" s="59">
        <f t="shared" si="33"/>
        <v>0</v>
      </c>
      <c r="ES20" s="60"/>
      <c r="ET20" s="61"/>
      <c r="EU20" s="62" t="str">
        <f t="shared" si="65"/>
        <v>, 0</v>
      </c>
      <c r="EV20" s="4" t="str">
        <f t="shared" si="66"/>
        <v xml:space="preserve">Cukup pandai mengidentifikasi nilai-nilai Pancasila dalam kehidupan sehari-hari Pandai memahami hak, kewajiban dan tanggung jawab sebagai warga dalam kehidupan sehari-hari Menguasai dengan baik menelaah keberagaman sosial budaya masyarakat     Pandai 0  </v>
      </c>
    </row>
    <row r="21" spans="1:152" ht="34.5" customHeight="1">
      <c r="A21" s="39">
        <v>14</v>
      </c>
      <c r="B21" s="269" t="str">
        <f>SISWA!B19</f>
        <v>Siti Musyafiani</v>
      </c>
      <c r="C21" s="123">
        <v>80</v>
      </c>
      <c r="D21" s="123"/>
      <c r="E21" s="123"/>
      <c r="F21" s="123"/>
      <c r="G21" s="123"/>
      <c r="H21" s="123"/>
      <c r="I21" s="256">
        <v>80</v>
      </c>
      <c r="J21" s="256"/>
      <c r="K21" s="256"/>
      <c r="L21" s="256"/>
      <c r="M21" s="256"/>
      <c r="N21" s="256"/>
      <c r="O21" s="123"/>
      <c r="P21" s="123">
        <v>75</v>
      </c>
      <c r="Q21" s="123"/>
      <c r="R21" s="123"/>
      <c r="S21" s="123"/>
      <c r="T21" s="123"/>
      <c r="U21" s="256"/>
      <c r="V21" s="256">
        <v>87</v>
      </c>
      <c r="W21" s="256"/>
      <c r="X21" s="256"/>
      <c r="Y21" s="256"/>
      <c r="Z21" s="256"/>
      <c r="AA21" s="123"/>
      <c r="AB21" s="123"/>
      <c r="AC21" s="123">
        <v>100</v>
      </c>
      <c r="AD21" s="123"/>
      <c r="AE21" s="123"/>
      <c r="AF21" s="123"/>
      <c r="AG21" s="256"/>
      <c r="AH21" s="256"/>
      <c r="AI21" s="256">
        <v>80</v>
      </c>
      <c r="AJ21" s="256"/>
      <c r="AK21" s="256"/>
      <c r="AL21" s="256"/>
      <c r="AM21" s="123"/>
      <c r="AN21" s="123">
        <v>93</v>
      </c>
      <c r="AO21" s="123"/>
      <c r="AP21" s="123"/>
      <c r="AQ21" s="123"/>
      <c r="AR21" s="123"/>
      <c r="AS21" s="256"/>
      <c r="AT21" s="256">
        <v>80</v>
      </c>
      <c r="AU21" s="256"/>
      <c r="AV21" s="256"/>
      <c r="AW21" s="256"/>
      <c r="AX21" s="256"/>
      <c r="AY21" s="460"/>
      <c r="AZ21" s="460"/>
      <c r="BA21" s="460"/>
      <c r="BB21" s="460">
        <v>75</v>
      </c>
      <c r="BC21" s="460"/>
      <c r="BD21" s="460"/>
      <c r="BE21" s="346"/>
      <c r="BF21" s="346"/>
      <c r="BG21" s="346"/>
      <c r="BH21" s="346">
        <v>75</v>
      </c>
      <c r="BI21" s="346"/>
      <c r="BJ21" s="346"/>
      <c r="BK21" s="260">
        <f t="shared" si="16"/>
        <v>80</v>
      </c>
      <c r="BL21" s="260">
        <f t="shared" si="17"/>
        <v>83.75</v>
      </c>
      <c r="BM21" s="260">
        <f t="shared" si="18"/>
        <v>90</v>
      </c>
      <c r="BN21" s="260">
        <f t="shared" si="19"/>
        <v>75</v>
      </c>
      <c r="BO21" s="260" t="str">
        <f t="shared" si="20"/>
        <v xml:space="preserve"> </v>
      </c>
      <c r="BP21" s="260" t="str">
        <f t="shared" si="21"/>
        <v xml:space="preserve"> </v>
      </c>
      <c r="BQ21" s="547">
        <v>75</v>
      </c>
      <c r="BR21" s="547">
        <v>78</v>
      </c>
      <c r="BS21" s="547"/>
      <c r="BT21" s="547"/>
      <c r="BU21" s="547"/>
      <c r="BV21" s="547"/>
      <c r="BW21" s="548">
        <v>75</v>
      </c>
      <c r="BX21" s="548">
        <v>75</v>
      </c>
      <c r="BY21" s="548">
        <v>75</v>
      </c>
      <c r="BZ21" s="548">
        <v>75</v>
      </c>
      <c r="CA21" s="548"/>
      <c r="CB21" s="548"/>
      <c r="CC21" s="550">
        <f t="shared" si="34"/>
        <v>79</v>
      </c>
      <c r="CD21" s="291" t="str">
        <f t="shared" si="35"/>
        <v>C</v>
      </c>
      <c r="CE21" s="50" t="str">
        <f t="shared" si="36"/>
        <v>Ananda Fifi  baik dalam menelaah keberagaman sosial budaya masyarakat, cukup dalam menggali manfaat persatuan dan kesatuan untuk membangun kerukunan hidup</v>
      </c>
      <c r="CF21" s="282"/>
      <c r="CG21" s="51"/>
      <c r="CH21" s="46">
        <f t="shared" si="37"/>
        <v>80</v>
      </c>
      <c r="CI21" s="46">
        <f t="shared" si="38"/>
        <v>83.75</v>
      </c>
      <c r="CJ21" s="46">
        <f t="shared" si="39"/>
        <v>90</v>
      </c>
      <c r="CK21" s="46">
        <f t="shared" si="40"/>
        <v>75</v>
      </c>
      <c r="CL21" s="46" t="str">
        <f t="shared" si="41"/>
        <v xml:space="preserve"> </v>
      </c>
      <c r="CM21" s="46" t="str">
        <f t="shared" si="42"/>
        <v xml:space="preserve"> </v>
      </c>
      <c r="CN21" s="46"/>
      <c r="CO21" s="46"/>
      <c r="CP21" s="46"/>
      <c r="CQ21" s="46"/>
      <c r="CR21" s="52"/>
      <c r="CS21" s="51"/>
      <c r="CT21" s="53">
        <f t="shared" si="23"/>
        <v>77.5</v>
      </c>
      <c r="CU21" s="53">
        <f t="shared" si="24"/>
        <v>80.125</v>
      </c>
      <c r="CV21" s="53">
        <f t="shared" si="25"/>
        <v>85</v>
      </c>
      <c r="CW21" s="53">
        <f t="shared" si="26"/>
        <v>75</v>
      </c>
      <c r="CX21" s="53" t="str">
        <f t="shared" si="27"/>
        <v xml:space="preserve">  </v>
      </c>
      <c r="CY21" s="53" t="str">
        <f t="shared" si="28"/>
        <v xml:space="preserve">  </v>
      </c>
      <c r="CZ21" s="53"/>
      <c r="DA21" s="53"/>
      <c r="DB21" s="53"/>
      <c r="DC21" s="53"/>
      <c r="DD21" s="54">
        <f t="shared" si="43"/>
        <v>79</v>
      </c>
      <c r="DE21" s="55">
        <f t="shared" si="44"/>
        <v>85</v>
      </c>
      <c r="DF21" s="55">
        <f t="shared" si="45"/>
        <v>75</v>
      </c>
      <c r="DG21" s="51" t="str">
        <f>SISWA!E19</f>
        <v>Fifi</v>
      </c>
      <c r="DH21" s="51" t="str">
        <f t="shared" si="46"/>
        <v xml:space="preserve">Ananda Fifi </v>
      </c>
      <c r="DI21" s="56" t="str">
        <f t="shared" si="47"/>
        <v/>
      </c>
      <c r="DJ21" s="57" t="str">
        <f t="shared" si="48"/>
        <v/>
      </c>
      <c r="DK21" s="57">
        <f t="shared" si="49"/>
        <v>85</v>
      </c>
      <c r="DL21" s="57" t="str">
        <f t="shared" si="50"/>
        <v/>
      </c>
      <c r="DM21" s="57" t="str">
        <f t="shared" si="51"/>
        <v/>
      </c>
      <c r="DN21" s="57" t="str">
        <f t="shared" si="52"/>
        <v/>
      </c>
      <c r="DO21" s="57"/>
      <c r="DP21" s="57"/>
      <c r="DQ21" s="57"/>
      <c r="DR21" s="57"/>
      <c r="DS21" s="58">
        <f t="shared" si="53"/>
        <v>85</v>
      </c>
      <c r="DT21" s="55" t="str">
        <f t="shared" si="54"/>
        <v>menelaah keberagaman sosial budaya masyarakat</v>
      </c>
      <c r="DU21" s="58"/>
      <c r="DV21" s="59" t="str">
        <f>IF(DE21&gt;100,"",IF(DE21&gt;CD$1,"sangat baik dalam "&amp;DT21,IF(DE21&gt;=CD$2,"baik dalam "&amp;DT21,IF(DE21&gt;=CD$3,"cukup dalam "&amp;DT21,IF(DE21&lt;CD$3,"dengan bimbingan dapat meningkatkan dalam "&amp;DT21,IF(DE21&lt;1," ",””))))))</f>
        <v>baik dalam menelaah keberagaman sosial budaya masyarakat</v>
      </c>
      <c r="DW21" s="58"/>
      <c r="DX21" s="57" t="str">
        <f t="shared" si="55"/>
        <v/>
      </c>
      <c r="DY21" s="57" t="str">
        <f t="shared" si="56"/>
        <v/>
      </c>
      <c r="DZ21" s="57" t="str">
        <f t="shared" si="57"/>
        <v/>
      </c>
      <c r="EA21" s="57">
        <f t="shared" si="58"/>
        <v>75</v>
      </c>
      <c r="EB21" s="57" t="str">
        <f t="shared" si="59"/>
        <v/>
      </c>
      <c r="EC21" s="57" t="str">
        <f t="shared" si="60"/>
        <v/>
      </c>
      <c r="ED21" s="57"/>
      <c r="EE21" s="57"/>
      <c r="EF21" s="57"/>
      <c r="EG21" s="57"/>
      <c r="EH21" s="59" t="str">
        <f t="shared" si="61"/>
        <v>menggali manfaat persatuan dan kesatuan untuk membangun kerukunan hidup</v>
      </c>
      <c r="EI21" s="59" t="str">
        <f>IF(DF21&gt;100,"",IF(DF21&gt;CD$1,"sangat baik dalam "&amp;EH21,IF(DF21&gt;=CD$2,"baik dalam "&amp;EH21,IF(DF21&gt;=CD$3,"cukup dalam "&amp;EH21,IF(DF21&lt;CD$3,"dengan bimbingan dapat meningkatkan dalam "&amp;EH21,IF(DF21&lt;1," ",””))))))</f>
        <v>cukup dalam menggali manfaat persatuan dan kesatuan untuk membangun kerukunan hidup</v>
      </c>
      <c r="EJ21" s="61"/>
      <c r="EK21" s="62" t="str">
        <f t="shared" si="62"/>
        <v>Ananda Fifi  baik dalam menelaah keberagaman sosial budaya masyarakat, cukup dalam menggali manfaat persatuan dan kesatuan untuk membangun kerukunan hidup</v>
      </c>
      <c r="EL21" s="57" t="str">
        <f t="shared" si="63"/>
        <v/>
      </c>
      <c r="EM21" s="57">
        <f t="shared" si="64"/>
        <v>0</v>
      </c>
      <c r="EN21" s="57">
        <f t="shared" si="32"/>
        <v>0</v>
      </c>
      <c r="EO21" s="57"/>
      <c r="EP21" s="57"/>
      <c r="EQ21" s="57"/>
      <c r="ER21" s="59">
        <f t="shared" si="33"/>
        <v>0</v>
      </c>
      <c r="ES21" s="60"/>
      <c r="ET21" s="61"/>
      <c r="EU21" s="62" t="str">
        <f t="shared" si="65"/>
        <v>, 0</v>
      </c>
      <c r="EV21" s="4" t="str">
        <f t="shared" si="66"/>
        <v xml:space="preserve">Menguasai dengan baik mengidentifikasi nilai-nilai Pancasila dalam kehidupan sehari-hari Cukup pandai memahami hak, kewajiban dan tanggung jawab sebagai warga dalam kehidupan sehari-hari Menguasai dengan baik menelaah keberagaman sosial budaya masyarakat        </v>
      </c>
    </row>
    <row r="22" spans="1:152" ht="34.5" customHeight="1">
      <c r="A22" s="39">
        <v>15</v>
      </c>
      <c r="B22" s="269" t="str">
        <f>SISWA!B20</f>
        <v>Tegar Arya Pangestu</v>
      </c>
      <c r="C22" s="123">
        <v>80</v>
      </c>
      <c r="D22" s="123"/>
      <c r="E22" s="123"/>
      <c r="F22" s="123"/>
      <c r="G22" s="123"/>
      <c r="H22" s="123"/>
      <c r="I22" s="256">
        <v>87</v>
      </c>
      <c r="J22" s="256"/>
      <c r="K22" s="256"/>
      <c r="L22" s="256"/>
      <c r="M22" s="256"/>
      <c r="N22" s="256"/>
      <c r="O22" s="123"/>
      <c r="P22" s="123">
        <v>93</v>
      </c>
      <c r="Q22" s="123"/>
      <c r="R22" s="123"/>
      <c r="S22" s="123"/>
      <c r="T22" s="123"/>
      <c r="U22" s="256"/>
      <c r="V22" s="256">
        <v>80</v>
      </c>
      <c r="W22" s="256"/>
      <c r="X22" s="256"/>
      <c r="Y22" s="256"/>
      <c r="Z22" s="256"/>
      <c r="AA22" s="123"/>
      <c r="AB22" s="123"/>
      <c r="AC22" s="123">
        <v>100</v>
      </c>
      <c r="AD22" s="123"/>
      <c r="AE22" s="123"/>
      <c r="AF22" s="123"/>
      <c r="AG22" s="256"/>
      <c r="AH22" s="256"/>
      <c r="AI22" s="256">
        <v>93</v>
      </c>
      <c r="AJ22" s="256"/>
      <c r="AK22" s="256"/>
      <c r="AL22" s="256"/>
      <c r="AM22" s="123"/>
      <c r="AN22" s="123">
        <v>87</v>
      </c>
      <c r="AO22" s="123"/>
      <c r="AP22" s="123"/>
      <c r="AQ22" s="123"/>
      <c r="AR22" s="123"/>
      <c r="AS22" s="256"/>
      <c r="AT22" s="256">
        <v>75</v>
      </c>
      <c r="AU22" s="256"/>
      <c r="AV22" s="256"/>
      <c r="AW22" s="256"/>
      <c r="AX22" s="256"/>
      <c r="AY22" s="460"/>
      <c r="AZ22" s="460"/>
      <c r="BA22" s="460"/>
      <c r="BB22" s="460">
        <v>80</v>
      </c>
      <c r="BC22" s="460"/>
      <c r="BD22" s="460"/>
      <c r="BE22" s="346"/>
      <c r="BF22" s="346"/>
      <c r="BG22" s="346"/>
      <c r="BH22" s="346">
        <v>87</v>
      </c>
      <c r="BI22" s="346"/>
      <c r="BJ22" s="346"/>
      <c r="BK22" s="260">
        <f t="shared" si="16"/>
        <v>83.5</v>
      </c>
      <c r="BL22" s="260">
        <f t="shared" si="17"/>
        <v>83.75</v>
      </c>
      <c r="BM22" s="260">
        <f t="shared" si="18"/>
        <v>96.5</v>
      </c>
      <c r="BN22" s="260">
        <f t="shared" si="19"/>
        <v>83.5</v>
      </c>
      <c r="BO22" s="260" t="str">
        <f t="shared" si="20"/>
        <v xml:space="preserve"> </v>
      </c>
      <c r="BP22" s="260" t="str">
        <f t="shared" si="21"/>
        <v xml:space="preserve"> </v>
      </c>
      <c r="BQ22" s="547">
        <v>84</v>
      </c>
      <c r="BR22" s="547">
        <v>75</v>
      </c>
      <c r="BS22" s="547"/>
      <c r="BT22" s="547"/>
      <c r="BU22" s="547"/>
      <c r="BV22" s="547"/>
      <c r="BW22" s="548">
        <v>83</v>
      </c>
      <c r="BX22" s="548">
        <v>88</v>
      </c>
      <c r="BY22" s="548">
        <v>75</v>
      </c>
      <c r="BZ22" s="548">
        <v>78</v>
      </c>
      <c r="CA22" s="548"/>
      <c r="CB22" s="548"/>
      <c r="CC22" s="550">
        <f t="shared" si="34"/>
        <v>84</v>
      </c>
      <c r="CD22" s="291" t="str">
        <f t="shared" si="35"/>
        <v>B</v>
      </c>
      <c r="CE22" s="50" t="str">
        <f t="shared" si="36"/>
        <v>Ananda Tegar  baik dalam menelaah keberagaman sosial budaya masyarakat, cukup dalam menggali manfaat persatuan dan kesatuan untuk membangun kerukunan hidup</v>
      </c>
      <c r="CF22" s="282"/>
      <c r="CG22" s="51"/>
      <c r="CH22" s="46">
        <f t="shared" si="37"/>
        <v>83.5</v>
      </c>
      <c r="CI22" s="46">
        <f t="shared" si="38"/>
        <v>83.75</v>
      </c>
      <c r="CJ22" s="46">
        <f t="shared" si="39"/>
        <v>96.5</v>
      </c>
      <c r="CK22" s="46">
        <f t="shared" si="40"/>
        <v>83.5</v>
      </c>
      <c r="CL22" s="46" t="str">
        <f t="shared" si="41"/>
        <v xml:space="preserve"> </v>
      </c>
      <c r="CM22" s="46" t="str">
        <f t="shared" si="42"/>
        <v xml:space="preserve"> </v>
      </c>
      <c r="CN22" s="46"/>
      <c r="CO22" s="46"/>
      <c r="CP22" s="46"/>
      <c r="CQ22" s="46"/>
      <c r="CR22" s="52"/>
      <c r="CS22" s="51"/>
      <c r="CT22" s="53">
        <f t="shared" si="23"/>
        <v>83.5</v>
      </c>
      <c r="CU22" s="53">
        <f t="shared" si="24"/>
        <v>82.625</v>
      </c>
      <c r="CV22" s="53">
        <f t="shared" si="25"/>
        <v>89.333333333333329</v>
      </c>
      <c r="CW22" s="53">
        <f t="shared" si="26"/>
        <v>81.666666666666671</v>
      </c>
      <c r="CX22" s="53" t="str">
        <f t="shared" si="27"/>
        <v xml:space="preserve">  </v>
      </c>
      <c r="CY22" s="53" t="str">
        <f t="shared" si="28"/>
        <v xml:space="preserve">  </v>
      </c>
      <c r="CZ22" s="53"/>
      <c r="DA22" s="53"/>
      <c r="DB22" s="53"/>
      <c r="DC22" s="53"/>
      <c r="DD22" s="54">
        <f t="shared" si="43"/>
        <v>84</v>
      </c>
      <c r="DE22" s="55">
        <f t="shared" si="44"/>
        <v>89.333333333333329</v>
      </c>
      <c r="DF22" s="55">
        <f t="shared" si="45"/>
        <v>81.666666666666671</v>
      </c>
      <c r="DG22" s="51" t="str">
        <f>SISWA!E20</f>
        <v>Tegar</v>
      </c>
      <c r="DH22" s="51" t="str">
        <f t="shared" si="46"/>
        <v xml:space="preserve">Ananda Tegar </v>
      </c>
      <c r="DI22" s="56" t="str">
        <f t="shared" si="47"/>
        <v/>
      </c>
      <c r="DJ22" s="57" t="str">
        <f t="shared" si="48"/>
        <v/>
      </c>
      <c r="DK22" s="57">
        <f t="shared" si="49"/>
        <v>89.333333333333329</v>
      </c>
      <c r="DL22" s="57" t="str">
        <f t="shared" si="50"/>
        <v/>
      </c>
      <c r="DM22" s="57" t="str">
        <f t="shared" si="51"/>
        <v/>
      </c>
      <c r="DN22" s="57" t="str">
        <f t="shared" si="52"/>
        <v/>
      </c>
      <c r="DO22" s="57"/>
      <c r="DP22" s="57"/>
      <c r="DQ22" s="57"/>
      <c r="DR22" s="57"/>
      <c r="DS22" s="58">
        <f t="shared" si="53"/>
        <v>89.333333333333329</v>
      </c>
      <c r="DT22" s="55" t="str">
        <f t="shared" si="54"/>
        <v>menelaah keberagaman sosial budaya masyarakat</v>
      </c>
      <c r="DU22" s="58"/>
      <c r="DV22" s="59" t="str">
        <f>IF(DE22&gt;100,"",IF(DE22&gt;CD$1,"sangat baik dalam "&amp;DT22,IF(DE22&gt;=CD$2,"baik dalam "&amp;DT22,IF(DE22&gt;=CD$3,"cukup dalam "&amp;DT22,IF(DE22&lt;CD$3,"dengan bimbingan dapat meningkatkan dalam "&amp;DT22,IF(DE22&lt;1," ",””))))))</f>
        <v>baik dalam menelaah keberagaman sosial budaya masyarakat</v>
      </c>
      <c r="DW22" s="58"/>
      <c r="DX22" s="57" t="str">
        <f t="shared" si="55"/>
        <v/>
      </c>
      <c r="DY22" s="57" t="str">
        <f t="shared" si="56"/>
        <v/>
      </c>
      <c r="DZ22" s="57" t="str">
        <f t="shared" si="57"/>
        <v/>
      </c>
      <c r="EA22" s="57">
        <f t="shared" si="58"/>
        <v>81.666666666666671</v>
      </c>
      <c r="EB22" s="57" t="str">
        <f t="shared" si="59"/>
        <v/>
      </c>
      <c r="EC22" s="57" t="str">
        <f t="shared" si="60"/>
        <v/>
      </c>
      <c r="ED22" s="57"/>
      <c r="EE22" s="57"/>
      <c r="EF22" s="57"/>
      <c r="EG22" s="57"/>
      <c r="EH22" s="59" t="str">
        <f t="shared" si="61"/>
        <v>menggali manfaat persatuan dan kesatuan untuk membangun kerukunan hidup</v>
      </c>
      <c r="EI22" s="59" t="str">
        <f>IF(DF22&gt;100,"",IF(DF22&gt;CD$1,"sangat baik dalam "&amp;EH22,IF(DF22&gt;=CD$2,"baik dalam "&amp;EH22,IF(DF22&gt;=CD$3,"cukup dalam "&amp;EH22,IF(DF22&lt;CD$3,"dengan bimbingan dapat meningkatkan dalam "&amp;EH22,IF(DF22&lt;1," ",””))))))</f>
        <v>cukup dalam menggali manfaat persatuan dan kesatuan untuk membangun kerukunan hidup</v>
      </c>
      <c r="EJ22" s="61"/>
      <c r="EK22" s="62" t="str">
        <f t="shared" si="62"/>
        <v>Ananda Tegar  baik dalam menelaah keberagaman sosial budaya masyarakat, cukup dalam menggali manfaat persatuan dan kesatuan untuk membangun kerukunan hidup</v>
      </c>
      <c r="EL22" s="57" t="str">
        <f t="shared" si="63"/>
        <v/>
      </c>
      <c r="EM22" s="57">
        <f t="shared" si="64"/>
        <v>0</v>
      </c>
      <c r="EN22" s="57">
        <f t="shared" si="32"/>
        <v>0</v>
      </c>
      <c r="EO22" s="57"/>
      <c r="EP22" s="57"/>
      <c r="EQ22" s="57"/>
      <c r="ER22" s="59">
        <f t="shared" si="33"/>
        <v>0</v>
      </c>
      <c r="ES22" s="60"/>
      <c r="ET22" s="61"/>
      <c r="EU22" s="62" t="str">
        <f t="shared" si="65"/>
        <v>, 0</v>
      </c>
      <c r="EV22" s="4" t="str">
        <f t="shared" si="66"/>
        <v xml:space="preserve">Cukup pandai mengidentifikasi nilai-nilai Pancasila dalam kehidupan sehari-hari Pandai memahami hak, kewajiban dan tanggung jawab sebagai warga dalam kehidupan sehari-hari cukup pandai menelaah keberagaman sosial budaya masyarakat        </v>
      </c>
    </row>
    <row r="23" spans="1:152" ht="34.5" customHeight="1">
      <c r="A23" s="39">
        <v>16</v>
      </c>
      <c r="B23" s="269">
        <f>SISWA!B21</f>
        <v>0</v>
      </c>
      <c r="C23" s="123"/>
      <c r="D23" s="123"/>
      <c r="E23" s="123"/>
      <c r="F23" s="123"/>
      <c r="G23" s="123"/>
      <c r="H23" s="123"/>
      <c r="I23" s="256"/>
      <c r="J23" s="256"/>
      <c r="K23" s="256"/>
      <c r="L23" s="256"/>
      <c r="M23" s="256"/>
      <c r="N23" s="256"/>
      <c r="O23" s="123"/>
      <c r="P23" s="123"/>
      <c r="Q23" s="123"/>
      <c r="R23" s="123"/>
      <c r="S23" s="123"/>
      <c r="T23" s="123"/>
      <c r="U23" s="256"/>
      <c r="V23" s="256"/>
      <c r="W23" s="256"/>
      <c r="X23" s="256"/>
      <c r="Y23" s="256"/>
      <c r="Z23" s="256"/>
      <c r="AA23" s="123"/>
      <c r="AB23" s="123"/>
      <c r="AC23" s="123"/>
      <c r="AD23" s="123"/>
      <c r="AE23" s="123"/>
      <c r="AF23" s="123"/>
      <c r="AG23" s="256"/>
      <c r="AH23" s="256"/>
      <c r="AI23" s="256"/>
      <c r="AJ23" s="256"/>
      <c r="AK23" s="256"/>
      <c r="AL23" s="256"/>
      <c r="AM23" s="123"/>
      <c r="AN23" s="123"/>
      <c r="AO23" s="123"/>
      <c r="AP23" s="123"/>
      <c r="AQ23" s="123"/>
      <c r="AR23" s="123"/>
      <c r="AS23" s="256"/>
      <c r="AT23" s="256"/>
      <c r="AU23" s="256"/>
      <c r="AV23" s="256"/>
      <c r="AW23" s="256"/>
      <c r="AX23" s="256"/>
      <c r="AY23" s="460"/>
      <c r="AZ23" s="460"/>
      <c r="BA23" s="460"/>
      <c r="BB23" s="460"/>
      <c r="BC23" s="460"/>
      <c r="BD23" s="460"/>
      <c r="BE23" s="346"/>
      <c r="BF23" s="346"/>
      <c r="BG23" s="346"/>
      <c r="BH23" s="346"/>
      <c r="BI23" s="346"/>
      <c r="BJ23" s="346"/>
      <c r="BK23" s="260" t="str">
        <f t="shared" si="16"/>
        <v xml:space="preserve"> </v>
      </c>
      <c r="BL23" s="260" t="str">
        <f t="shared" si="17"/>
        <v xml:space="preserve"> </v>
      </c>
      <c r="BM23" s="260" t="str">
        <f t="shared" si="18"/>
        <v xml:space="preserve"> </v>
      </c>
      <c r="BN23" s="260" t="str">
        <f t="shared" si="19"/>
        <v xml:space="preserve"> </v>
      </c>
      <c r="BO23" s="260" t="str">
        <f t="shared" si="20"/>
        <v xml:space="preserve"> </v>
      </c>
      <c r="BP23" s="260" t="str">
        <f t="shared" si="21"/>
        <v xml:space="preserve"> </v>
      </c>
      <c r="BQ23" s="547"/>
      <c r="BR23" s="547"/>
      <c r="BS23" s="547"/>
      <c r="BT23" s="547"/>
      <c r="BU23" s="547"/>
      <c r="BV23" s="547"/>
      <c r="BW23" s="548"/>
      <c r="BX23" s="548"/>
      <c r="BY23" s="548"/>
      <c r="BZ23" s="548"/>
      <c r="CA23" s="548"/>
      <c r="CB23" s="548"/>
      <c r="CC23" s="550" t="str">
        <f t="shared" si="34"/>
        <v xml:space="preserve"> </v>
      </c>
      <c r="CD23" s="291" t="str">
        <f t="shared" si="35"/>
        <v xml:space="preserve">  </v>
      </c>
      <c r="CE23" s="50" t="str">
        <f t="shared" si="36"/>
        <v xml:space="preserve"> </v>
      </c>
      <c r="CF23" s="282"/>
      <c r="CG23" s="51"/>
      <c r="CH23" s="46" t="str">
        <f t="shared" si="37"/>
        <v xml:space="preserve"> </v>
      </c>
      <c r="CI23" s="46" t="str">
        <f t="shared" si="38"/>
        <v xml:space="preserve"> </v>
      </c>
      <c r="CJ23" s="46" t="str">
        <f t="shared" si="39"/>
        <v xml:space="preserve"> </v>
      </c>
      <c r="CK23" s="46" t="str">
        <f t="shared" si="40"/>
        <v xml:space="preserve"> </v>
      </c>
      <c r="CL23" s="46" t="str">
        <f t="shared" si="41"/>
        <v xml:space="preserve"> </v>
      </c>
      <c r="CM23" s="46" t="str">
        <f t="shared" si="42"/>
        <v xml:space="preserve"> </v>
      </c>
      <c r="CN23" s="46"/>
      <c r="CO23" s="46"/>
      <c r="CP23" s="46"/>
      <c r="CQ23" s="46"/>
      <c r="CR23" s="52"/>
      <c r="CS23" s="51"/>
      <c r="CT23" s="53" t="str">
        <f t="shared" si="23"/>
        <v xml:space="preserve">  </v>
      </c>
      <c r="CU23" s="53" t="str">
        <f t="shared" si="24"/>
        <v xml:space="preserve">  </v>
      </c>
      <c r="CV23" s="53" t="str">
        <f t="shared" si="25"/>
        <v xml:space="preserve">  </v>
      </c>
      <c r="CW23" s="53" t="str">
        <f t="shared" si="26"/>
        <v xml:space="preserve">  </v>
      </c>
      <c r="CX23" s="53" t="str">
        <f t="shared" si="27"/>
        <v xml:space="preserve">  </v>
      </c>
      <c r="CY23" s="53" t="str">
        <f t="shared" si="28"/>
        <v xml:space="preserve">  </v>
      </c>
      <c r="CZ23" s="53"/>
      <c r="DA23" s="53"/>
      <c r="DB23" s="53"/>
      <c r="DC23" s="53"/>
      <c r="DD23" s="54" t="str">
        <f t="shared" si="43"/>
        <v xml:space="preserve"> </v>
      </c>
      <c r="DE23" s="55">
        <f t="shared" si="44"/>
        <v>0</v>
      </c>
      <c r="DF23" s="55">
        <f t="shared" si="45"/>
        <v>0</v>
      </c>
      <c r="DG23" s="51">
        <f>SISWA!E21</f>
        <v>0</v>
      </c>
      <c r="DH23" s="51" t="str">
        <f t="shared" si="46"/>
        <v/>
      </c>
      <c r="DI23" s="56" t="str">
        <f t="shared" si="47"/>
        <v/>
      </c>
      <c r="DJ23" s="57" t="str">
        <f t="shared" si="48"/>
        <v/>
      </c>
      <c r="DK23" s="57" t="str">
        <f t="shared" si="49"/>
        <v/>
      </c>
      <c r="DL23" s="57" t="str">
        <f t="shared" si="50"/>
        <v/>
      </c>
      <c r="DM23" s="57" t="str">
        <f t="shared" si="51"/>
        <v/>
      </c>
      <c r="DN23" s="57" t="str">
        <f t="shared" si="52"/>
        <v/>
      </c>
      <c r="DO23" s="57"/>
      <c r="DP23" s="57"/>
      <c r="DQ23" s="57"/>
      <c r="DR23" s="57"/>
      <c r="DS23" s="58">
        <f t="shared" si="53"/>
        <v>0</v>
      </c>
      <c r="DT23" s="55" t="e">
        <f t="shared" si="54"/>
        <v>#N/A</v>
      </c>
      <c r="DU23" s="58"/>
      <c r="DV23" s="59" t="e">
        <f>IF(DE23&gt;100,"",IF(DE23&gt;CD$1,"sangat baik dalam "&amp;DT23,IF(DE23&gt;=CD$2,"baik dalam "&amp;DT23,IF(DE23&gt;=CD$3,"cukup dalam "&amp;DT23,IF(DE23&lt;CD$3,"dengan bimbingan dapat meningkatkan dalam "&amp;DT23,IF(DE23&lt;1," ",””))))))</f>
        <v>#N/A</v>
      </c>
      <c r="DW23" s="58"/>
      <c r="DX23" s="57" t="str">
        <f t="shared" si="55"/>
        <v/>
      </c>
      <c r="DY23" s="57" t="str">
        <f t="shared" si="56"/>
        <v/>
      </c>
      <c r="DZ23" s="57" t="str">
        <f t="shared" si="57"/>
        <v/>
      </c>
      <c r="EA23" s="57" t="str">
        <f t="shared" si="58"/>
        <v/>
      </c>
      <c r="EB23" s="57" t="str">
        <f t="shared" si="59"/>
        <v/>
      </c>
      <c r="EC23" s="57" t="str">
        <f t="shared" si="60"/>
        <v/>
      </c>
      <c r="ED23" s="57"/>
      <c r="EE23" s="57"/>
      <c r="EF23" s="57"/>
      <c r="EG23" s="57"/>
      <c r="EH23" s="59" t="e">
        <f t="shared" si="61"/>
        <v>#N/A</v>
      </c>
      <c r="EI23" s="59" t="e">
        <f>IF(DF23&gt;100,"",IF(DF23&gt;CD$1,"sangat baik dalam "&amp;EH23,IF(DF23&gt;=CD$2,"baik dalam "&amp;EH23,IF(DF23&gt;=CD$3,"cukup dalam "&amp;EH23,IF(DF23&lt;CD$3,"dengan bimbingan dapat meningkatkan dalam "&amp;EH23,IF(DF23&lt;1," ",””))))))</f>
        <v>#N/A</v>
      </c>
      <c r="EJ23" s="61"/>
      <c r="EK23" s="62" t="e">
        <f t="shared" si="62"/>
        <v>#N/A</v>
      </c>
      <c r="EL23" s="57">
        <f t="shared" si="63"/>
        <v>0</v>
      </c>
      <c r="EM23" s="57">
        <f t="shared" si="64"/>
        <v>0</v>
      </c>
      <c r="EN23" s="57">
        <f t="shared" si="32"/>
        <v>0</v>
      </c>
      <c r="EO23" s="57"/>
      <c r="EP23" s="57"/>
      <c r="EQ23" s="57"/>
      <c r="ER23" s="59">
        <f t="shared" si="33"/>
        <v>0</v>
      </c>
      <c r="ES23" s="60"/>
      <c r="ET23" s="61"/>
      <c r="EU23" s="62" t="str">
        <f t="shared" si="65"/>
        <v>, 0</v>
      </c>
      <c r="EV23" s="4" t="str">
        <f t="shared" si="66"/>
        <v xml:space="preserve">  FALSEFALSEFALSE      </v>
      </c>
    </row>
    <row r="24" spans="1:152" ht="34.5" customHeight="1">
      <c r="A24" s="39">
        <v>17</v>
      </c>
      <c r="B24" s="269">
        <f>SISWA!B22</f>
        <v>0</v>
      </c>
      <c r="C24" s="123"/>
      <c r="D24" s="123"/>
      <c r="E24" s="123"/>
      <c r="F24" s="123"/>
      <c r="G24" s="123"/>
      <c r="H24" s="123"/>
      <c r="I24" s="256"/>
      <c r="J24" s="256"/>
      <c r="K24" s="256"/>
      <c r="L24" s="256"/>
      <c r="M24" s="256"/>
      <c r="N24" s="256"/>
      <c r="O24" s="123"/>
      <c r="P24" s="123"/>
      <c r="Q24" s="123"/>
      <c r="R24" s="123"/>
      <c r="S24" s="123"/>
      <c r="T24" s="123"/>
      <c r="U24" s="256"/>
      <c r="V24" s="256"/>
      <c r="W24" s="256"/>
      <c r="X24" s="256"/>
      <c r="Y24" s="256"/>
      <c r="Z24" s="256"/>
      <c r="AA24" s="123"/>
      <c r="AB24" s="123"/>
      <c r="AC24" s="123"/>
      <c r="AD24" s="123"/>
      <c r="AE24" s="123"/>
      <c r="AF24" s="123"/>
      <c r="AG24" s="256"/>
      <c r="AH24" s="256"/>
      <c r="AI24" s="256"/>
      <c r="AJ24" s="256"/>
      <c r="AK24" s="256"/>
      <c r="AL24" s="256"/>
      <c r="AM24" s="123"/>
      <c r="AN24" s="123"/>
      <c r="AO24" s="123"/>
      <c r="AP24" s="123"/>
      <c r="AQ24" s="123"/>
      <c r="AR24" s="123"/>
      <c r="AS24" s="256"/>
      <c r="AT24" s="256"/>
      <c r="AU24" s="256"/>
      <c r="AV24" s="256"/>
      <c r="AW24" s="256"/>
      <c r="AX24" s="256"/>
      <c r="AY24" s="460"/>
      <c r="AZ24" s="460"/>
      <c r="BA24" s="460"/>
      <c r="BB24" s="460"/>
      <c r="BC24" s="460"/>
      <c r="BD24" s="460"/>
      <c r="BE24" s="346"/>
      <c r="BF24" s="346"/>
      <c r="BG24" s="346"/>
      <c r="BH24" s="346"/>
      <c r="BI24" s="346"/>
      <c r="BJ24" s="346"/>
      <c r="BK24" s="260" t="str">
        <f t="shared" si="16"/>
        <v xml:space="preserve"> </v>
      </c>
      <c r="BL24" s="260" t="str">
        <f t="shared" si="17"/>
        <v xml:space="preserve"> </v>
      </c>
      <c r="BM24" s="260" t="str">
        <f t="shared" si="18"/>
        <v xml:space="preserve"> </v>
      </c>
      <c r="BN24" s="260" t="str">
        <f t="shared" si="19"/>
        <v xml:space="preserve"> </v>
      </c>
      <c r="BO24" s="260" t="str">
        <f t="shared" si="20"/>
        <v xml:space="preserve"> </v>
      </c>
      <c r="BP24" s="260" t="str">
        <f t="shared" si="21"/>
        <v xml:space="preserve"> </v>
      </c>
      <c r="BQ24" s="547"/>
      <c r="BR24" s="547"/>
      <c r="BS24" s="547"/>
      <c r="BT24" s="547"/>
      <c r="BU24" s="547"/>
      <c r="BV24" s="547"/>
      <c r="BW24" s="548"/>
      <c r="BX24" s="548"/>
      <c r="BY24" s="548"/>
      <c r="BZ24" s="548"/>
      <c r="CA24" s="548"/>
      <c r="CB24" s="548"/>
      <c r="CC24" s="550" t="str">
        <f t="shared" si="34"/>
        <v xml:space="preserve"> </v>
      </c>
      <c r="CD24" s="291" t="str">
        <f t="shared" si="35"/>
        <v xml:space="preserve">  </v>
      </c>
      <c r="CE24" s="50" t="str">
        <f t="shared" si="36"/>
        <v xml:space="preserve"> </v>
      </c>
      <c r="CF24" s="282"/>
      <c r="CG24" s="51"/>
      <c r="CH24" s="46" t="str">
        <f t="shared" si="37"/>
        <v xml:space="preserve"> </v>
      </c>
      <c r="CI24" s="46" t="str">
        <f t="shared" si="38"/>
        <v xml:space="preserve"> </v>
      </c>
      <c r="CJ24" s="46" t="str">
        <f t="shared" si="39"/>
        <v xml:space="preserve"> </v>
      </c>
      <c r="CK24" s="46" t="str">
        <f t="shared" si="40"/>
        <v xml:space="preserve"> </v>
      </c>
      <c r="CL24" s="46" t="str">
        <f t="shared" si="41"/>
        <v xml:space="preserve"> </v>
      </c>
      <c r="CM24" s="46" t="str">
        <f t="shared" si="42"/>
        <v xml:space="preserve"> </v>
      </c>
      <c r="CN24" s="46"/>
      <c r="CO24" s="46"/>
      <c r="CP24" s="46"/>
      <c r="CQ24" s="46"/>
      <c r="CR24" s="52"/>
      <c r="CS24" s="51"/>
      <c r="CT24" s="53" t="str">
        <f t="shared" si="23"/>
        <v xml:space="preserve">  </v>
      </c>
      <c r="CU24" s="53" t="str">
        <f t="shared" si="24"/>
        <v xml:space="preserve">  </v>
      </c>
      <c r="CV24" s="53" t="str">
        <f t="shared" si="25"/>
        <v xml:space="preserve">  </v>
      </c>
      <c r="CW24" s="53" t="str">
        <f t="shared" si="26"/>
        <v xml:space="preserve">  </v>
      </c>
      <c r="CX24" s="53" t="str">
        <f t="shared" si="27"/>
        <v xml:space="preserve">  </v>
      </c>
      <c r="CY24" s="53" t="str">
        <f t="shared" si="28"/>
        <v xml:space="preserve">  </v>
      </c>
      <c r="CZ24" s="53"/>
      <c r="DA24" s="53"/>
      <c r="DB24" s="53"/>
      <c r="DC24" s="53"/>
      <c r="DD24" s="54" t="str">
        <f t="shared" si="43"/>
        <v xml:space="preserve"> </v>
      </c>
      <c r="DE24" s="55">
        <f t="shared" si="44"/>
        <v>0</v>
      </c>
      <c r="DF24" s="55">
        <f t="shared" si="45"/>
        <v>0</v>
      </c>
      <c r="DG24" s="51">
        <f>SISWA!E22</f>
        <v>0</v>
      </c>
      <c r="DH24" s="51" t="str">
        <f t="shared" si="46"/>
        <v/>
      </c>
      <c r="DI24" s="56" t="str">
        <f t="shared" si="47"/>
        <v/>
      </c>
      <c r="DJ24" s="57" t="str">
        <f t="shared" si="48"/>
        <v/>
      </c>
      <c r="DK24" s="57" t="str">
        <f t="shared" si="49"/>
        <v/>
      </c>
      <c r="DL24" s="57" t="str">
        <f t="shared" si="50"/>
        <v/>
      </c>
      <c r="DM24" s="57" t="str">
        <f t="shared" si="51"/>
        <v/>
      </c>
      <c r="DN24" s="57" t="str">
        <f t="shared" si="52"/>
        <v/>
      </c>
      <c r="DO24" s="57"/>
      <c r="DP24" s="57"/>
      <c r="DQ24" s="57"/>
      <c r="DR24" s="57"/>
      <c r="DS24" s="58">
        <f t="shared" si="53"/>
        <v>0</v>
      </c>
      <c r="DT24" s="55" t="e">
        <f t="shared" si="54"/>
        <v>#N/A</v>
      </c>
      <c r="DU24" s="58"/>
      <c r="DV24" s="59" t="e">
        <f>IF(DE24&gt;100,"",IF(DE24&gt;CD$1,"sangat baik dalam "&amp;DT24,IF(DE24&gt;=CD$2,"baik dalam "&amp;DT24,IF(DE24&gt;=CD$3,"cukup dalam "&amp;DT24,IF(DE24&lt;CD$3,"dengan bimbingan dapat meningkatkan dalam "&amp;DT24,IF(DE24&lt;1," ",””))))))</f>
        <v>#N/A</v>
      </c>
      <c r="DW24" s="58"/>
      <c r="DX24" s="57" t="str">
        <f t="shared" si="55"/>
        <v/>
      </c>
      <c r="DY24" s="57" t="str">
        <f t="shared" si="56"/>
        <v/>
      </c>
      <c r="DZ24" s="57" t="str">
        <f t="shared" si="57"/>
        <v/>
      </c>
      <c r="EA24" s="57" t="str">
        <f t="shared" si="58"/>
        <v/>
      </c>
      <c r="EB24" s="57" t="str">
        <f t="shared" si="59"/>
        <v/>
      </c>
      <c r="EC24" s="57" t="str">
        <f t="shared" si="60"/>
        <v/>
      </c>
      <c r="ED24" s="57"/>
      <c r="EE24" s="57"/>
      <c r="EF24" s="57"/>
      <c r="EG24" s="57"/>
      <c r="EH24" s="59" t="e">
        <f t="shared" si="61"/>
        <v>#N/A</v>
      </c>
      <c r="EI24" s="59" t="e">
        <f>IF(DF24&gt;100,"",IF(DF24&gt;CD$1,"sangat baik dalam "&amp;EH24,IF(DF24&gt;=CD$2,"baik dalam "&amp;EH24,IF(DF24&gt;=CD$3,"cukup dalam "&amp;EH24,IF(DF24&lt;CD$3,"dengan bimbingan dapat meningkatkan dalam "&amp;EH24,IF(DF24&lt;1," ",””))))))</f>
        <v>#N/A</v>
      </c>
      <c r="EJ24" s="61"/>
      <c r="EK24" s="62" t="e">
        <f t="shared" si="62"/>
        <v>#N/A</v>
      </c>
      <c r="EL24" s="57">
        <f t="shared" si="63"/>
        <v>0</v>
      </c>
      <c r="EM24" s="57">
        <f t="shared" si="64"/>
        <v>0</v>
      </c>
      <c r="EN24" s="57">
        <f t="shared" si="32"/>
        <v>0</v>
      </c>
      <c r="EO24" s="57"/>
      <c r="EP24" s="57"/>
      <c r="EQ24" s="57"/>
      <c r="ER24" s="59">
        <f t="shared" si="33"/>
        <v>0</v>
      </c>
      <c r="ES24" s="60"/>
      <c r="ET24" s="61"/>
      <c r="EU24" s="62" t="str">
        <f t="shared" si="65"/>
        <v>, 0</v>
      </c>
      <c r="EV24" s="4" t="str">
        <f t="shared" si="66"/>
        <v xml:space="preserve">  FALSEFALSEFALSE      </v>
      </c>
    </row>
    <row r="25" spans="1:152" ht="34.5" customHeight="1">
      <c r="A25" s="39">
        <v>18</v>
      </c>
      <c r="B25" s="269">
        <f>SISWA!B23</f>
        <v>0</v>
      </c>
      <c r="C25" s="123"/>
      <c r="D25" s="123"/>
      <c r="E25" s="123"/>
      <c r="F25" s="123"/>
      <c r="G25" s="123"/>
      <c r="H25" s="123"/>
      <c r="I25" s="256"/>
      <c r="J25" s="256"/>
      <c r="K25" s="256"/>
      <c r="L25" s="256"/>
      <c r="M25" s="256"/>
      <c r="N25" s="256"/>
      <c r="O25" s="123"/>
      <c r="P25" s="123"/>
      <c r="Q25" s="123"/>
      <c r="R25" s="123"/>
      <c r="S25" s="123"/>
      <c r="T25" s="123"/>
      <c r="U25" s="256"/>
      <c r="V25" s="256"/>
      <c r="W25" s="256"/>
      <c r="X25" s="256"/>
      <c r="Y25" s="256"/>
      <c r="Z25" s="256"/>
      <c r="AA25" s="123"/>
      <c r="AB25" s="123"/>
      <c r="AC25" s="123"/>
      <c r="AD25" s="123"/>
      <c r="AE25" s="123"/>
      <c r="AF25" s="123"/>
      <c r="AG25" s="256"/>
      <c r="AH25" s="256"/>
      <c r="AI25" s="256"/>
      <c r="AJ25" s="256"/>
      <c r="AK25" s="256"/>
      <c r="AL25" s="256"/>
      <c r="AM25" s="123"/>
      <c r="AN25" s="123"/>
      <c r="AO25" s="123"/>
      <c r="AP25" s="123"/>
      <c r="AQ25" s="123"/>
      <c r="AR25" s="123"/>
      <c r="AS25" s="256"/>
      <c r="AT25" s="256"/>
      <c r="AU25" s="256"/>
      <c r="AV25" s="256"/>
      <c r="AW25" s="256"/>
      <c r="AX25" s="256"/>
      <c r="AY25" s="460"/>
      <c r="AZ25" s="460"/>
      <c r="BA25" s="460"/>
      <c r="BB25" s="460"/>
      <c r="BC25" s="460"/>
      <c r="BD25" s="460"/>
      <c r="BE25" s="346"/>
      <c r="BF25" s="346"/>
      <c r="BG25" s="346"/>
      <c r="BH25" s="346"/>
      <c r="BI25" s="346"/>
      <c r="BJ25" s="346"/>
      <c r="BK25" s="260" t="str">
        <f t="shared" si="16"/>
        <v xml:space="preserve"> </v>
      </c>
      <c r="BL25" s="260" t="str">
        <f t="shared" si="17"/>
        <v xml:space="preserve"> </v>
      </c>
      <c r="BM25" s="260" t="str">
        <f t="shared" si="18"/>
        <v xml:space="preserve"> </v>
      </c>
      <c r="BN25" s="260" t="str">
        <f t="shared" si="19"/>
        <v xml:space="preserve"> </v>
      </c>
      <c r="BO25" s="260" t="str">
        <f t="shared" si="20"/>
        <v xml:space="preserve"> </v>
      </c>
      <c r="BP25" s="260" t="str">
        <f t="shared" si="21"/>
        <v xml:space="preserve"> </v>
      </c>
      <c r="BQ25" s="547"/>
      <c r="BR25" s="547"/>
      <c r="BS25" s="547"/>
      <c r="BT25" s="547"/>
      <c r="BU25" s="547"/>
      <c r="BV25" s="547"/>
      <c r="BW25" s="548"/>
      <c r="BX25" s="548"/>
      <c r="BY25" s="548"/>
      <c r="BZ25" s="548"/>
      <c r="CA25" s="548"/>
      <c r="CB25" s="548"/>
      <c r="CC25" s="550" t="str">
        <f t="shared" si="34"/>
        <v xml:space="preserve"> </v>
      </c>
      <c r="CD25" s="291" t="str">
        <f t="shared" si="35"/>
        <v xml:space="preserve">  </v>
      </c>
      <c r="CE25" s="50" t="str">
        <f t="shared" si="36"/>
        <v xml:space="preserve"> </v>
      </c>
      <c r="CF25" s="282"/>
      <c r="CG25" s="51"/>
      <c r="CH25" s="46" t="str">
        <f t="shared" si="37"/>
        <v xml:space="preserve"> </v>
      </c>
      <c r="CI25" s="46" t="str">
        <f t="shared" si="38"/>
        <v xml:space="preserve"> </v>
      </c>
      <c r="CJ25" s="46" t="str">
        <f t="shared" si="39"/>
        <v xml:space="preserve"> </v>
      </c>
      <c r="CK25" s="46" t="str">
        <f t="shared" si="40"/>
        <v xml:space="preserve"> </v>
      </c>
      <c r="CL25" s="46" t="str">
        <f t="shared" si="41"/>
        <v xml:space="preserve"> </v>
      </c>
      <c r="CM25" s="46" t="str">
        <f t="shared" si="42"/>
        <v xml:space="preserve"> </v>
      </c>
      <c r="CN25" s="46"/>
      <c r="CO25" s="46"/>
      <c r="CP25" s="46"/>
      <c r="CQ25" s="46"/>
      <c r="CR25" s="52"/>
      <c r="CS25" s="51"/>
      <c r="CT25" s="53" t="str">
        <f t="shared" si="23"/>
        <v xml:space="preserve">  </v>
      </c>
      <c r="CU25" s="53" t="str">
        <f t="shared" si="24"/>
        <v xml:space="preserve">  </v>
      </c>
      <c r="CV25" s="53" t="str">
        <f t="shared" si="25"/>
        <v xml:space="preserve">  </v>
      </c>
      <c r="CW25" s="53" t="str">
        <f t="shared" si="26"/>
        <v xml:space="preserve">  </v>
      </c>
      <c r="CX25" s="53" t="str">
        <f t="shared" si="27"/>
        <v xml:space="preserve">  </v>
      </c>
      <c r="CY25" s="53" t="str">
        <f t="shared" si="28"/>
        <v xml:space="preserve">  </v>
      </c>
      <c r="CZ25" s="53"/>
      <c r="DA25" s="53"/>
      <c r="DB25" s="53"/>
      <c r="DC25" s="53"/>
      <c r="DD25" s="54" t="str">
        <f t="shared" si="43"/>
        <v xml:space="preserve"> </v>
      </c>
      <c r="DE25" s="55">
        <f t="shared" si="44"/>
        <v>0</v>
      </c>
      <c r="DF25" s="55">
        <f t="shared" si="45"/>
        <v>0</v>
      </c>
      <c r="DG25" s="51">
        <f>SISWA!E23</f>
        <v>0</v>
      </c>
      <c r="DH25" s="51" t="str">
        <f t="shared" si="46"/>
        <v/>
      </c>
      <c r="DI25" s="56" t="str">
        <f t="shared" si="47"/>
        <v/>
      </c>
      <c r="DJ25" s="57" t="str">
        <f t="shared" si="48"/>
        <v/>
      </c>
      <c r="DK25" s="57" t="str">
        <f t="shared" si="49"/>
        <v/>
      </c>
      <c r="DL25" s="57" t="str">
        <f t="shared" si="50"/>
        <v/>
      </c>
      <c r="DM25" s="57" t="str">
        <f t="shared" si="51"/>
        <v/>
      </c>
      <c r="DN25" s="57" t="str">
        <f t="shared" si="52"/>
        <v/>
      </c>
      <c r="DO25" s="57"/>
      <c r="DP25" s="57"/>
      <c r="DQ25" s="57"/>
      <c r="DR25" s="57"/>
      <c r="DS25" s="58">
        <f t="shared" si="53"/>
        <v>0</v>
      </c>
      <c r="DT25" s="55" t="e">
        <f t="shared" si="54"/>
        <v>#N/A</v>
      </c>
      <c r="DU25" s="58"/>
      <c r="DV25" s="59" t="e">
        <f>IF(DE25&gt;100,"",IF(DE25&gt;CD$1,"sangat baik dalam "&amp;DT25,IF(DE25&gt;=CD$2,"baik dalam "&amp;DT25,IF(DE25&gt;=CD$3,"cukup dalam "&amp;DT25,IF(DE25&lt;CD$3,"dengan bimbingan dapat meningkatkan dalam "&amp;DT25,IF(DE25&lt;1," ",””))))))</f>
        <v>#N/A</v>
      </c>
      <c r="DW25" s="58"/>
      <c r="DX25" s="57" t="str">
        <f t="shared" si="55"/>
        <v/>
      </c>
      <c r="DY25" s="57" t="str">
        <f t="shared" si="56"/>
        <v/>
      </c>
      <c r="DZ25" s="57" t="str">
        <f t="shared" si="57"/>
        <v/>
      </c>
      <c r="EA25" s="57" t="str">
        <f t="shared" si="58"/>
        <v/>
      </c>
      <c r="EB25" s="57" t="str">
        <f t="shared" si="59"/>
        <v/>
      </c>
      <c r="EC25" s="57" t="str">
        <f t="shared" si="60"/>
        <v/>
      </c>
      <c r="ED25" s="57"/>
      <c r="EE25" s="57"/>
      <c r="EF25" s="57"/>
      <c r="EG25" s="57"/>
      <c r="EH25" s="59" t="e">
        <f t="shared" si="61"/>
        <v>#N/A</v>
      </c>
      <c r="EI25" s="59" t="e">
        <f>IF(DF25&gt;100,"",IF(DF25&gt;CD$1,"sangat baik dalam "&amp;EH25,IF(DF25&gt;=CD$2,"baik dalam "&amp;EH25,IF(DF25&gt;=CD$3,"cukup dalam "&amp;EH25,IF(DF25&lt;CD$3,"dengan bimbingan dapat meningkatkan dalam "&amp;EH25,IF(DF25&lt;1," ",””))))))</f>
        <v>#N/A</v>
      </c>
      <c r="EJ25" s="61"/>
      <c r="EK25" s="62" t="e">
        <f t="shared" si="62"/>
        <v>#N/A</v>
      </c>
      <c r="EL25" s="57">
        <f t="shared" si="63"/>
        <v>0</v>
      </c>
      <c r="EM25" s="57">
        <f t="shared" si="64"/>
        <v>0</v>
      </c>
      <c r="EN25" s="57">
        <f t="shared" si="32"/>
        <v>0</v>
      </c>
      <c r="EO25" s="57"/>
      <c r="EP25" s="57"/>
      <c r="EQ25" s="57"/>
      <c r="ER25" s="59">
        <f t="shared" si="33"/>
        <v>0</v>
      </c>
      <c r="ES25" s="60"/>
      <c r="ET25" s="61"/>
      <c r="EU25" s="62" t="str">
        <f t="shared" si="65"/>
        <v>, 0</v>
      </c>
      <c r="EV25" s="4" t="str">
        <f t="shared" si="66"/>
        <v xml:space="preserve">  FALSEFALSEFALSE      </v>
      </c>
    </row>
    <row r="26" spans="1:152" ht="34.5" customHeight="1">
      <c r="A26" s="39">
        <v>19</v>
      </c>
      <c r="B26" s="269">
        <f>SISWA!B24</f>
        <v>0</v>
      </c>
      <c r="C26" s="123"/>
      <c r="D26" s="123"/>
      <c r="E26" s="123"/>
      <c r="F26" s="123"/>
      <c r="G26" s="123"/>
      <c r="H26" s="123"/>
      <c r="I26" s="256"/>
      <c r="J26" s="256"/>
      <c r="K26" s="256"/>
      <c r="L26" s="256"/>
      <c r="M26" s="256"/>
      <c r="N26" s="256"/>
      <c r="O26" s="123"/>
      <c r="P26" s="123"/>
      <c r="Q26" s="123"/>
      <c r="R26" s="123"/>
      <c r="S26" s="123"/>
      <c r="T26" s="123"/>
      <c r="U26" s="256"/>
      <c r="V26" s="256"/>
      <c r="W26" s="256"/>
      <c r="X26" s="256"/>
      <c r="Y26" s="256"/>
      <c r="Z26" s="256"/>
      <c r="AA26" s="123"/>
      <c r="AB26" s="123"/>
      <c r="AC26" s="123"/>
      <c r="AD26" s="123"/>
      <c r="AE26" s="123"/>
      <c r="AF26" s="123"/>
      <c r="AG26" s="256"/>
      <c r="AH26" s="256"/>
      <c r="AI26" s="256"/>
      <c r="AJ26" s="256"/>
      <c r="AK26" s="256"/>
      <c r="AL26" s="256"/>
      <c r="AM26" s="123"/>
      <c r="AN26" s="123"/>
      <c r="AO26" s="123"/>
      <c r="AP26" s="123"/>
      <c r="AQ26" s="123"/>
      <c r="AR26" s="123"/>
      <c r="AS26" s="256"/>
      <c r="AT26" s="256"/>
      <c r="AU26" s="256"/>
      <c r="AV26" s="256"/>
      <c r="AW26" s="256"/>
      <c r="AX26" s="256"/>
      <c r="AY26" s="460"/>
      <c r="AZ26" s="460"/>
      <c r="BA26" s="460"/>
      <c r="BB26" s="460"/>
      <c r="BC26" s="460"/>
      <c r="BD26" s="460"/>
      <c r="BE26" s="346"/>
      <c r="BF26" s="346"/>
      <c r="BG26" s="346"/>
      <c r="BH26" s="346"/>
      <c r="BI26" s="346"/>
      <c r="BJ26" s="346"/>
      <c r="BK26" s="260" t="str">
        <f t="shared" si="16"/>
        <v xml:space="preserve"> </v>
      </c>
      <c r="BL26" s="260" t="str">
        <f t="shared" si="17"/>
        <v xml:space="preserve"> </v>
      </c>
      <c r="BM26" s="260" t="str">
        <f t="shared" si="18"/>
        <v xml:space="preserve"> </v>
      </c>
      <c r="BN26" s="260" t="str">
        <f t="shared" si="19"/>
        <v xml:space="preserve"> </v>
      </c>
      <c r="BO26" s="260" t="str">
        <f t="shared" si="20"/>
        <v xml:space="preserve"> </v>
      </c>
      <c r="BP26" s="260" t="str">
        <f t="shared" si="21"/>
        <v xml:space="preserve"> </v>
      </c>
      <c r="BQ26" s="547"/>
      <c r="BR26" s="547"/>
      <c r="BS26" s="547"/>
      <c r="BT26" s="547"/>
      <c r="BU26" s="547"/>
      <c r="BV26" s="547"/>
      <c r="BW26" s="548"/>
      <c r="BX26" s="548"/>
      <c r="BY26" s="548"/>
      <c r="BZ26" s="548"/>
      <c r="CA26" s="548"/>
      <c r="CB26" s="548"/>
      <c r="CC26" s="550" t="str">
        <f t="shared" si="34"/>
        <v xml:space="preserve"> </v>
      </c>
      <c r="CD26" s="291" t="str">
        <f t="shared" si="35"/>
        <v xml:space="preserve">  </v>
      </c>
      <c r="CE26" s="50" t="str">
        <f t="shared" si="36"/>
        <v xml:space="preserve"> </v>
      </c>
      <c r="CF26" s="282"/>
      <c r="CG26" s="51"/>
      <c r="CH26" s="46" t="str">
        <f t="shared" si="37"/>
        <v xml:space="preserve"> </v>
      </c>
      <c r="CI26" s="46" t="str">
        <f t="shared" si="38"/>
        <v xml:space="preserve"> </v>
      </c>
      <c r="CJ26" s="46" t="str">
        <f t="shared" si="39"/>
        <v xml:space="preserve"> </v>
      </c>
      <c r="CK26" s="46" t="str">
        <f t="shared" si="40"/>
        <v xml:space="preserve"> </v>
      </c>
      <c r="CL26" s="46" t="str">
        <f t="shared" si="41"/>
        <v xml:space="preserve"> </v>
      </c>
      <c r="CM26" s="46" t="str">
        <f t="shared" si="42"/>
        <v xml:space="preserve"> </v>
      </c>
      <c r="CN26" s="46"/>
      <c r="CO26" s="46"/>
      <c r="CP26" s="46"/>
      <c r="CQ26" s="46"/>
      <c r="CR26" s="52"/>
      <c r="CS26" s="51"/>
      <c r="CT26" s="53" t="str">
        <f t="shared" si="23"/>
        <v xml:space="preserve">  </v>
      </c>
      <c r="CU26" s="53" t="str">
        <f t="shared" si="24"/>
        <v xml:space="preserve">  </v>
      </c>
      <c r="CV26" s="53" t="str">
        <f t="shared" si="25"/>
        <v xml:space="preserve">  </v>
      </c>
      <c r="CW26" s="53" t="str">
        <f t="shared" si="26"/>
        <v xml:space="preserve">  </v>
      </c>
      <c r="CX26" s="53" t="str">
        <f t="shared" si="27"/>
        <v xml:space="preserve">  </v>
      </c>
      <c r="CY26" s="53" t="str">
        <f t="shared" si="28"/>
        <v xml:space="preserve">  </v>
      </c>
      <c r="CZ26" s="53"/>
      <c r="DA26" s="53"/>
      <c r="DB26" s="53"/>
      <c r="DC26" s="53"/>
      <c r="DD26" s="54" t="str">
        <f t="shared" si="43"/>
        <v xml:space="preserve"> </v>
      </c>
      <c r="DE26" s="55">
        <f t="shared" si="44"/>
        <v>0</v>
      </c>
      <c r="DF26" s="55">
        <f t="shared" si="45"/>
        <v>0</v>
      </c>
      <c r="DG26" s="51">
        <f>SISWA!E24</f>
        <v>0</v>
      </c>
      <c r="DH26" s="51" t="str">
        <f t="shared" si="46"/>
        <v/>
      </c>
      <c r="DI26" s="56" t="str">
        <f t="shared" si="47"/>
        <v/>
      </c>
      <c r="DJ26" s="57" t="str">
        <f t="shared" si="48"/>
        <v/>
      </c>
      <c r="DK26" s="57" t="str">
        <f t="shared" si="49"/>
        <v/>
      </c>
      <c r="DL26" s="57" t="str">
        <f t="shared" si="50"/>
        <v/>
      </c>
      <c r="DM26" s="57" t="str">
        <f t="shared" si="51"/>
        <v/>
      </c>
      <c r="DN26" s="57" t="str">
        <f t="shared" si="52"/>
        <v/>
      </c>
      <c r="DO26" s="57"/>
      <c r="DP26" s="57"/>
      <c r="DQ26" s="57"/>
      <c r="DR26" s="57"/>
      <c r="DS26" s="58">
        <f t="shared" si="53"/>
        <v>0</v>
      </c>
      <c r="DT26" s="55" t="e">
        <f t="shared" si="54"/>
        <v>#N/A</v>
      </c>
      <c r="DU26" s="58"/>
      <c r="DV26" s="59" t="e">
        <f>IF(DE26&gt;100,"",IF(DE26&gt;CD$1,"sangat baik dalam "&amp;DT26,IF(DE26&gt;=CD$2,"baik dalam "&amp;DT26,IF(DE26&gt;=CD$3,"cukup dalam "&amp;DT26,IF(DE26&lt;CD$3,"dengan bimbingan dapat meningkatkan dalam "&amp;DT26,IF(DE26&lt;1," ",””))))))</f>
        <v>#N/A</v>
      </c>
      <c r="DW26" s="58"/>
      <c r="DX26" s="57" t="str">
        <f t="shared" si="55"/>
        <v/>
      </c>
      <c r="DY26" s="57" t="str">
        <f t="shared" si="56"/>
        <v/>
      </c>
      <c r="DZ26" s="57" t="str">
        <f t="shared" si="57"/>
        <v/>
      </c>
      <c r="EA26" s="57" t="str">
        <f t="shared" si="58"/>
        <v/>
      </c>
      <c r="EB26" s="57" t="str">
        <f t="shared" si="59"/>
        <v/>
      </c>
      <c r="EC26" s="57" t="str">
        <f t="shared" si="60"/>
        <v/>
      </c>
      <c r="ED26" s="57"/>
      <c r="EE26" s="57"/>
      <c r="EF26" s="57"/>
      <c r="EG26" s="57"/>
      <c r="EH26" s="59" t="e">
        <f t="shared" si="61"/>
        <v>#N/A</v>
      </c>
      <c r="EI26" s="59" t="e">
        <f>IF(DF26&gt;100,"",IF(DF26&gt;CD$1,"sangat baik dalam "&amp;EH26,IF(DF26&gt;=CD$2,"baik dalam "&amp;EH26,IF(DF26&gt;=CD$3,"cukup dalam "&amp;EH26,IF(DF26&lt;CD$3,"dengan bimbingan dapat meningkatkan dalam "&amp;EH26,IF(DF26&lt;1," ",””))))))</f>
        <v>#N/A</v>
      </c>
      <c r="EJ26" s="61"/>
      <c r="EK26" s="62" t="e">
        <f t="shared" si="62"/>
        <v>#N/A</v>
      </c>
      <c r="EL26" s="57">
        <f t="shared" si="63"/>
        <v>0</v>
      </c>
      <c r="EM26" s="57">
        <f t="shared" si="64"/>
        <v>0</v>
      </c>
      <c r="EN26" s="57">
        <f t="shared" si="32"/>
        <v>0</v>
      </c>
      <c r="EO26" s="57"/>
      <c r="EP26" s="57"/>
      <c r="EQ26" s="57"/>
      <c r="ER26" s="59">
        <f t="shared" si="33"/>
        <v>0</v>
      </c>
      <c r="ES26" s="60"/>
      <c r="ET26" s="61"/>
      <c r="EU26" s="62" t="str">
        <f t="shared" si="65"/>
        <v>, 0</v>
      </c>
      <c r="EV26" s="4" t="str">
        <f t="shared" si="66"/>
        <v xml:space="preserve">  FALSEFALSEFALSE      </v>
      </c>
    </row>
    <row r="27" spans="1:152" ht="34.5" customHeight="1">
      <c r="A27" s="39">
        <v>20</v>
      </c>
      <c r="B27" s="269">
        <f>SISWA!B25</f>
        <v>0</v>
      </c>
      <c r="C27" s="123"/>
      <c r="D27" s="123"/>
      <c r="E27" s="123"/>
      <c r="F27" s="123"/>
      <c r="G27" s="123"/>
      <c r="H27" s="123"/>
      <c r="I27" s="256"/>
      <c r="J27" s="256"/>
      <c r="K27" s="256"/>
      <c r="L27" s="256"/>
      <c r="M27" s="256"/>
      <c r="N27" s="256"/>
      <c r="O27" s="123"/>
      <c r="P27" s="123"/>
      <c r="Q27" s="123"/>
      <c r="R27" s="123"/>
      <c r="S27" s="123"/>
      <c r="T27" s="123"/>
      <c r="U27" s="256"/>
      <c r="V27" s="256"/>
      <c r="W27" s="256"/>
      <c r="X27" s="256"/>
      <c r="Y27" s="256"/>
      <c r="Z27" s="256"/>
      <c r="AA27" s="123"/>
      <c r="AB27" s="123"/>
      <c r="AC27" s="123"/>
      <c r="AD27" s="123"/>
      <c r="AE27" s="123"/>
      <c r="AF27" s="123"/>
      <c r="AG27" s="256"/>
      <c r="AH27" s="256"/>
      <c r="AI27" s="256"/>
      <c r="AJ27" s="256"/>
      <c r="AK27" s="256"/>
      <c r="AL27" s="256"/>
      <c r="AM27" s="123"/>
      <c r="AN27" s="123"/>
      <c r="AO27" s="123"/>
      <c r="AP27" s="123"/>
      <c r="AQ27" s="123"/>
      <c r="AR27" s="123"/>
      <c r="AS27" s="256"/>
      <c r="AT27" s="256"/>
      <c r="AU27" s="256"/>
      <c r="AV27" s="256"/>
      <c r="AW27" s="256"/>
      <c r="AX27" s="256"/>
      <c r="AY27" s="460"/>
      <c r="AZ27" s="460"/>
      <c r="BA27" s="460"/>
      <c r="BB27" s="460"/>
      <c r="BC27" s="460"/>
      <c r="BD27" s="460"/>
      <c r="BE27" s="346"/>
      <c r="BF27" s="346"/>
      <c r="BG27" s="346"/>
      <c r="BH27" s="346"/>
      <c r="BI27" s="346"/>
      <c r="BJ27" s="346"/>
      <c r="BK27" s="260" t="str">
        <f t="shared" si="16"/>
        <v xml:space="preserve"> </v>
      </c>
      <c r="BL27" s="260" t="str">
        <f t="shared" si="17"/>
        <v xml:space="preserve"> </v>
      </c>
      <c r="BM27" s="260" t="str">
        <f t="shared" si="18"/>
        <v xml:space="preserve"> </v>
      </c>
      <c r="BN27" s="260" t="str">
        <f t="shared" si="19"/>
        <v xml:space="preserve"> </v>
      </c>
      <c r="BO27" s="260" t="str">
        <f t="shared" si="20"/>
        <v xml:space="preserve"> </v>
      </c>
      <c r="BP27" s="260" t="str">
        <f t="shared" si="21"/>
        <v xml:space="preserve"> </v>
      </c>
      <c r="BQ27" s="547"/>
      <c r="BR27" s="547"/>
      <c r="BS27" s="547"/>
      <c r="BT27" s="547"/>
      <c r="BU27" s="547"/>
      <c r="BV27" s="547"/>
      <c r="BW27" s="548"/>
      <c r="BX27" s="548"/>
      <c r="BY27" s="548"/>
      <c r="BZ27" s="548"/>
      <c r="CA27" s="548"/>
      <c r="CB27" s="548"/>
      <c r="CC27" s="550" t="str">
        <f t="shared" si="34"/>
        <v xml:space="preserve"> </v>
      </c>
      <c r="CD27" s="291" t="str">
        <f t="shared" si="35"/>
        <v xml:space="preserve">  </v>
      </c>
      <c r="CE27" s="50" t="str">
        <f t="shared" si="36"/>
        <v xml:space="preserve"> </v>
      </c>
      <c r="CF27" s="282"/>
      <c r="CG27" s="51"/>
      <c r="CH27" s="46" t="str">
        <f t="shared" si="37"/>
        <v xml:space="preserve"> </v>
      </c>
      <c r="CI27" s="46" t="str">
        <f t="shared" si="38"/>
        <v xml:space="preserve"> </v>
      </c>
      <c r="CJ27" s="46" t="str">
        <f t="shared" si="39"/>
        <v xml:space="preserve"> </v>
      </c>
      <c r="CK27" s="46" t="str">
        <f t="shared" si="40"/>
        <v xml:space="preserve"> </v>
      </c>
      <c r="CL27" s="46" t="str">
        <f t="shared" si="41"/>
        <v xml:space="preserve"> </v>
      </c>
      <c r="CM27" s="46" t="str">
        <f t="shared" si="42"/>
        <v xml:space="preserve"> </v>
      </c>
      <c r="CN27" s="46"/>
      <c r="CO27" s="46"/>
      <c r="CP27" s="46"/>
      <c r="CQ27" s="46"/>
      <c r="CR27" s="52"/>
      <c r="CS27" s="51"/>
      <c r="CT27" s="53" t="str">
        <f t="shared" si="23"/>
        <v xml:space="preserve">  </v>
      </c>
      <c r="CU27" s="53" t="str">
        <f t="shared" si="24"/>
        <v xml:space="preserve">  </v>
      </c>
      <c r="CV27" s="53" t="str">
        <f t="shared" si="25"/>
        <v xml:space="preserve">  </v>
      </c>
      <c r="CW27" s="53" t="str">
        <f t="shared" si="26"/>
        <v xml:space="preserve">  </v>
      </c>
      <c r="CX27" s="53" t="str">
        <f t="shared" si="27"/>
        <v xml:space="preserve">  </v>
      </c>
      <c r="CY27" s="53" t="str">
        <f t="shared" si="28"/>
        <v xml:space="preserve">  </v>
      </c>
      <c r="CZ27" s="53"/>
      <c r="DA27" s="53"/>
      <c r="DB27" s="53"/>
      <c r="DC27" s="53"/>
      <c r="DD27" s="54" t="str">
        <f t="shared" si="43"/>
        <v xml:space="preserve"> </v>
      </c>
      <c r="DE27" s="55">
        <f t="shared" si="44"/>
        <v>0</v>
      </c>
      <c r="DF27" s="55">
        <f t="shared" si="45"/>
        <v>0</v>
      </c>
      <c r="DG27" s="51">
        <f>SISWA!E25</f>
        <v>0</v>
      </c>
      <c r="DH27" s="51" t="str">
        <f t="shared" si="46"/>
        <v/>
      </c>
      <c r="DI27" s="56" t="str">
        <f t="shared" si="47"/>
        <v/>
      </c>
      <c r="DJ27" s="57" t="str">
        <f t="shared" si="48"/>
        <v/>
      </c>
      <c r="DK27" s="57" t="str">
        <f t="shared" si="49"/>
        <v/>
      </c>
      <c r="DL27" s="57" t="str">
        <f t="shared" si="50"/>
        <v/>
      </c>
      <c r="DM27" s="57" t="str">
        <f t="shared" si="51"/>
        <v/>
      </c>
      <c r="DN27" s="57" t="str">
        <f t="shared" si="52"/>
        <v/>
      </c>
      <c r="DO27" s="57"/>
      <c r="DP27" s="57"/>
      <c r="DQ27" s="57"/>
      <c r="DR27" s="57"/>
      <c r="DS27" s="58">
        <f t="shared" si="53"/>
        <v>0</v>
      </c>
      <c r="DT27" s="55" t="e">
        <f t="shared" si="54"/>
        <v>#N/A</v>
      </c>
      <c r="DU27" s="58"/>
      <c r="DV27" s="59" t="e">
        <f>IF(DE27&gt;100,"",IF(DE27&gt;CD$1,"sangat baik dalam "&amp;DT27,IF(DE27&gt;=CD$2,"baik dalam "&amp;DT27,IF(DE27&gt;=CD$3,"cukup dalam "&amp;DT27,IF(DE27&lt;CD$3,"dengan bimbingan dapat meningkatkan dalam "&amp;DT27,IF(DE27&lt;1," ",””))))))</f>
        <v>#N/A</v>
      </c>
      <c r="DW27" s="58"/>
      <c r="DX27" s="57" t="str">
        <f t="shared" si="55"/>
        <v/>
      </c>
      <c r="DY27" s="57" t="str">
        <f t="shared" si="56"/>
        <v/>
      </c>
      <c r="DZ27" s="57" t="str">
        <f t="shared" si="57"/>
        <v/>
      </c>
      <c r="EA27" s="57" t="str">
        <f t="shared" si="58"/>
        <v/>
      </c>
      <c r="EB27" s="57" t="str">
        <f t="shared" si="59"/>
        <v/>
      </c>
      <c r="EC27" s="57" t="str">
        <f t="shared" si="60"/>
        <v/>
      </c>
      <c r="ED27" s="57"/>
      <c r="EE27" s="57"/>
      <c r="EF27" s="57"/>
      <c r="EG27" s="57"/>
      <c r="EH27" s="59" t="e">
        <f t="shared" si="61"/>
        <v>#N/A</v>
      </c>
      <c r="EI27" s="59" t="e">
        <f>IF(DF27&gt;100,"",IF(DF27&gt;CD$1,"sangat baik dalam "&amp;EH27,IF(DF27&gt;=CD$2,"baik dalam "&amp;EH27,IF(DF27&gt;=CD$3,"cukup dalam "&amp;EH27,IF(DF27&lt;CD$3,"dengan bimbingan dapat meningkatkan dalam "&amp;EH27,IF(DF27&lt;1," ",””))))))</f>
        <v>#N/A</v>
      </c>
      <c r="EJ27" s="61"/>
      <c r="EK27" s="62" t="e">
        <f t="shared" si="62"/>
        <v>#N/A</v>
      </c>
      <c r="EL27" s="57">
        <f t="shared" si="63"/>
        <v>0</v>
      </c>
      <c r="EM27" s="57">
        <f t="shared" si="64"/>
        <v>0</v>
      </c>
      <c r="EN27" s="57">
        <f t="shared" si="32"/>
        <v>0</v>
      </c>
      <c r="EO27" s="57"/>
      <c r="EP27" s="57"/>
      <c r="EQ27" s="57"/>
      <c r="ER27" s="59">
        <f t="shared" si="33"/>
        <v>0</v>
      </c>
      <c r="ES27" s="60"/>
      <c r="ET27" s="61"/>
      <c r="EU27" s="62" t="str">
        <f t="shared" si="65"/>
        <v>, 0</v>
      </c>
      <c r="EV27" s="4" t="str">
        <f t="shared" si="66"/>
        <v xml:space="preserve">  FALSEFALSEFALSE      </v>
      </c>
    </row>
    <row r="28" spans="1:152" ht="34.5" customHeight="1">
      <c r="A28" s="39">
        <v>21</v>
      </c>
      <c r="B28" s="269">
        <f>SISWA!B26</f>
        <v>0</v>
      </c>
      <c r="C28" s="123"/>
      <c r="D28" s="123"/>
      <c r="E28" s="123"/>
      <c r="F28" s="123"/>
      <c r="G28" s="123"/>
      <c r="H28" s="123"/>
      <c r="I28" s="256"/>
      <c r="J28" s="256"/>
      <c r="K28" s="256"/>
      <c r="L28" s="256"/>
      <c r="M28" s="256"/>
      <c r="N28" s="256"/>
      <c r="O28" s="123"/>
      <c r="P28" s="123"/>
      <c r="Q28" s="123"/>
      <c r="R28" s="123"/>
      <c r="S28" s="123"/>
      <c r="T28" s="123"/>
      <c r="U28" s="256"/>
      <c r="V28" s="256"/>
      <c r="W28" s="256"/>
      <c r="X28" s="256"/>
      <c r="Y28" s="256"/>
      <c r="Z28" s="256"/>
      <c r="AA28" s="123"/>
      <c r="AB28" s="123"/>
      <c r="AC28" s="123"/>
      <c r="AD28" s="123"/>
      <c r="AE28" s="123"/>
      <c r="AF28" s="123"/>
      <c r="AG28" s="256"/>
      <c r="AH28" s="256"/>
      <c r="AI28" s="256"/>
      <c r="AJ28" s="256"/>
      <c r="AK28" s="256"/>
      <c r="AL28" s="256"/>
      <c r="AM28" s="123"/>
      <c r="AN28" s="123"/>
      <c r="AO28" s="123"/>
      <c r="AP28" s="123"/>
      <c r="AQ28" s="123"/>
      <c r="AR28" s="123"/>
      <c r="AS28" s="256"/>
      <c r="AT28" s="256"/>
      <c r="AU28" s="256"/>
      <c r="AV28" s="256"/>
      <c r="AW28" s="256"/>
      <c r="AX28" s="256"/>
      <c r="AY28" s="460"/>
      <c r="AZ28" s="460"/>
      <c r="BA28" s="460"/>
      <c r="BB28" s="460"/>
      <c r="BC28" s="460"/>
      <c r="BD28" s="460"/>
      <c r="BE28" s="346"/>
      <c r="BF28" s="346"/>
      <c r="BG28" s="346"/>
      <c r="BH28" s="346"/>
      <c r="BI28" s="346"/>
      <c r="BJ28" s="346"/>
      <c r="BK28" s="260" t="str">
        <f t="shared" si="16"/>
        <v xml:space="preserve"> </v>
      </c>
      <c r="BL28" s="260" t="str">
        <f t="shared" si="17"/>
        <v xml:space="preserve"> </v>
      </c>
      <c r="BM28" s="260" t="str">
        <f t="shared" si="18"/>
        <v xml:space="preserve"> </v>
      </c>
      <c r="BN28" s="260" t="str">
        <f t="shared" si="19"/>
        <v xml:space="preserve"> </v>
      </c>
      <c r="BO28" s="260" t="str">
        <f t="shared" si="20"/>
        <v xml:space="preserve"> </v>
      </c>
      <c r="BP28" s="260" t="str">
        <f t="shared" si="21"/>
        <v xml:space="preserve"> </v>
      </c>
      <c r="BQ28" s="547"/>
      <c r="BR28" s="547"/>
      <c r="BS28" s="547"/>
      <c r="BT28" s="547"/>
      <c r="BU28" s="547"/>
      <c r="BV28" s="547"/>
      <c r="BW28" s="548"/>
      <c r="BX28" s="548"/>
      <c r="BY28" s="548"/>
      <c r="BZ28" s="548"/>
      <c r="CA28" s="548"/>
      <c r="CB28" s="548"/>
      <c r="CC28" s="550" t="str">
        <f t="shared" si="34"/>
        <v xml:space="preserve"> </v>
      </c>
      <c r="CD28" s="291" t="str">
        <f t="shared" si="35"/>
        <v xml:space="preserve">  </v>
      </c>
      <c r="CE28" s="50" t="str">
        <f t="shared" si="36"/>
        <v xml:space="preserve"> </v>
      </c>
      <c r="CF28" s="282"/>
      <c r="CG28" s="51"/>
      <c r="CH28" s="46" t="str">
        <f t="shared" si="37"/>
        <v xml:space="preserve"> </v>
      </c>
      <c r="CI28" s="46" t="str">
        <f t="shared" si="38"/>
        <v xml:space="preserve"> </v>
      </c>
      <c r="CJ28" s="46" t="str">
        <f t="shared" si="39"/>
        <v xml:space="preserve"> </v>
      </c>
      <c r="CK28" s="46" t="str">
        <f t="shared" si="40"/>
        <v xml:space="preserve"> </v>
      </c>
      <c r="CL28" s="46" t="str">
        <f t="shared" si="41"/>
        <v xml:space="preserve"> </v>
      </c>
      <c r="CM28" s="46" t="str">
        <f t="shared" si="42"/>
        <v xml:space="preserve"> </v>
      </c>
      <c r="CN28" s="46"/>
      <c r="CO28" s="46"/>
      <c r="CP28" s="46"/>
      <c r="CQ28" s="46"/>
      <c r="CR28" s="52"/>
      <c r="CS28" s="51"/>
      <c r="CT28" s="53" t="str">
        <f t="shared" si="23"/>
        <v xml:space="preserve">  </v>
      </c>
      <c r="CU28" s="53" t="str">
        <f t="shared" si="24"/>
        <v xml:space="preserve">  </v>
      </c>
      <c r="CV28" s="53" t="str">
        <f t="shared" si="25"/>
        <v xml:space="preserve">  </v>
      </c>
      <c r="CW28" s="53" t="str">
        <f t="shared" si="26"/>
        <v xml:space="preserve">  </v>
      </c>
      <c r="CX28" s="53" t="str">
        <f t="shared" si="27"/>
        <v xml:space="preserve">  </v>
      </c>
      <c r="CY28" s="53" t="str">
        <f t="shared" si="28"/>
        <v xml:space="preserve">  </v>
      </c>
      <c r="CZ28" s="53"/>
      <c r="DA28" s="53"/>
      <c r="DB28" s="53"/>
      <c r="DC28" s="53"/>
      <c r="DD28" s="54" t="str">
        <f t="shared" si="43"/>
        <v xml:space="preserve"> </v>
      </c>
      <c r="DE28" s="55">
        <f t="shared" si="44"/>
        <v>0</v>
      </c>
      <c r="DF28" s="55">
        <f t="shared" si="45"/>
        <v>0</v>
      </c>
      <c r="DG28" s="51">
        <f>SISWA!E26</f>
        <v>0</v>
      </c>
      <c r="DH28" s="51" t="str">
        <f t="shared" si="46"/>
        <v/>
      </c>
      <c r="DI28" s="56" t="str">
        <f t="shared" si="47"/>
        <v/>
      </c>
      <c r="DJ28" s="57" t="str">
        <f t="shared" si="48"/>
        <v/>
      </c>
      <c r="DK28" s="57" t="str">
        <f t="shared" si="49"/>
        <v/>
      </c>
      <c r="DL28" s="57" t="str">
        <f t="shared" si="50"/>
        <v/>
      </c>
      <c r="DM28" s="57" t="str">
        <f t="shared" si="51"/>
        <v/>
      </c>
      <c r="DN28" s="57" t="str">
        <f t="shared" si="52"/>
        <v/>
      </c>
      <c r="DO28" s="57"/>
      <c r="DP28" s="57"/>
      <c r="DQ28" s="57"/>
      <c r="DR28" s="57"/>
      <c r="DS28" s="58">
        <f t="shared" si="53"/>
        <v>0</v>
      </c>
      <c r="DT28" s="55" t="e">
        <f t="shared" si="54"/>
        <v>#N/A</v>
      </c>
      <c r="DU28" s="58"/>
      <c r="DV28" s="59" t="e">
        <f>IF(DE28&gt;100,"",IF(DE28&gt;CD$1,"sangat baik dalam "&amp;DT28,IF(DE28&gt;=CD$2,"baik dalam "&amp;DT28,IF(DE28&gt;=CD$3,"cukup dalam "&amp;DT28,IF(DE28&lt;CD$3,"dengan bimbingan dapat meningkatkan dalam "&amp;DT28,IF(DE28&lt;1," ",””))))))</f>
        <v>#N/A</v>
      </c>
      <c r="DW28" s="58"/>
      <c r="DX28" s="57" t="str">
        <f t="shared" si="55"/>
        <v/>
      </c>
      <c r="DY28" s="57" t="str">
        <f t="shared" si="56"/>
        <v/>
      </c>
      <c r="DZ28" s="57" t="str">
        <f t="shared" si="57"/>
        <v/>
      </c>
      <c r="EA28" s="57" t="str">
        <f t="shared" si="58"/>
        <v/>
      </c>
      <c r="EB28" s="57" t="str">
        <f t="shared" si="59"/>
        <v/>
      </c>
      <c r="EC28" s="57" t="str">
        <f t="shared" si="60"/>
        <v/>
      </c>
      <c r="ED28" s="57"/>
      <c r="EE28" s="57"/>
      <c r="EF28" s="57"/>
      <c r="EG28" s="57"/>
      <c r="EH28" s="59" t="e">
        <f t="shared" si="61"/>
        <v>#N/A</v>
      </c>
      <c r="EI28" s="59" t="e">
        <f>IF(DF28&gt;100,"",IF(DF28&gt;CD$1,"sangat baik dalam "&amp;EH28,IF(DF28&gt;=CD$2,"baik dalam "&amp;EH28,IF(DF28&gt;=CD$3,"cukup dalam "&amp;EH28,IF(DF28&lt;CD$3,"dengan bimbingan dapat meningkatkan dalam "&amp;EH28,IF(DF28&lt;1," ",””))))))</f>
        <v>#N/A</v>
      </c>
      <c r="EJ28" s="61"/>
      <c r="EK28" s="62" t="e">
        <f t="shared" si="62"/>
        <v>#N/A</v>
      </c>
      <c r="EL28" s="57">
        <f t="shared" si="63"/>
        <v>0</v>
      </c>
      <c r="EM28" s="57">
        <f t="shared" si="64"/>
        <v>0</v>
      </c>
      <c r="EN28" s="57">
        <f t="shared" si="32"/>
        <v>0</v>
      </c>
      <c r="EO28" s="57"/>
      <c r="EP28" s="57"/>
      <c r="EQ28" s="57"/>
      <c r="ER28" s="59">
        <f t="shared" si="33"/>
        <v>0</v>
      </c>
      <c r="ES28" s="60"/>
      <c r="ET28" s="61"/>
      <c r="EU28" s="62" t="str">
        <f t="shared" si="65"/>
        <v>, 0</v>
      </c>
    </row>
    <row r="29" spans="1:152" ht="34.5" customHeight="1">
      <c r="A29" s="39">
        <v>22</v>
      </c>
      <c r="B29" s="269">
        <f>SISWA!B27</f>
        <v>0</v>
      </c>
      <c r="C29" s="123"/>
      <c r="D29" s="123"/>
      <c r="E29" s="123"/>
      <c r="F29" s="123"/>
      <c r="G29" s="123"/>
      <c r="H29" s="123"/>
      <c r="I29" s="256"/>
      <c r="J29" s="256"/>
      <c r="K29" s="256"/>
      <c r="L29" s="256"/>
      <c r="M29" s="256"/>
      <c r="N29" s="256"/>
      <c r="O29" s="123"/>
      <c r="P29" s="123"/>
      <c r="Q29" s="123"/>
      <c r="R29" s="123"/>
      <c r="S29" s="123"/>
      <c r="T29" s="123"/>
      <c r="U29" s="256"/>
      <c r="V29" s="256"/>
      <c r="W29" s="256"/>
      <c r="X29" s="256"/>
      <c r="Y29" s="256"/>
      <c r="Z29" s="256"/>
      <c r="AA29" s="123"/>
      <c r="AB29" s="123"/>
      <c r="AC29" s="123"/>
      <c r="AD29" s="123"/>
      <c r="AE29" s="123"/>
      <c r="AF29" s="123"/>
      <c r="AG29" s="256"/>
      <c r="AH29" s="256"/>
      <c r="AI29" s="256"/>
      <c r="AJ29" s="256"/>
      <c r="AK29" s="256"/>
      <c r="AL29" s="256"/>
      <c r="AM29" s="123"/>
      <c r="AN29" s="123"/>
      <c r="AO29" s="123"/>
      <c r="AP29" s="123"/>
      <c r="AQ29" s="123"/>
      <c r="AR29" s="123"/>
      <c r="AS29" s="256"/>
      <c r="AT29" s="256"/>
      <c r="AU29" s="256"/>
      <c r="AV29" s="256"/>
      <c r="AW29" s="256"/>
      <c r="AX29" s="256"/>
      <c r="AY29" s="460"/>
      <c r="AZ29" s="460"/>
      <c r="BA29" s="460"/>
      <c r="BB29" s="460"/>
      <c r="BC29" s="460"/>
      <c r="BD29" s="460"/>
      <c r="BE29" s="346"/>
      <c r="BF29" s="346"/>
      <c r="BG29" s="346"/>
      <c r="BH29" s="346"/>
      <c r="BI29" s="346"/>
      <c r="BJ29" s="346"/>
      <c r="BK29" s="260" t="str">
        <f t="shared" si="16"/>
        <v xml:space="preserve"> </v>
      </c>
      <c r="BL29" s="260" t="str">
        <f t="shared" si="17"/>
        <v xml:space="preserve"> </v>
      </c>
      <c r="BM29" s="260" t="str">
        <f t="shared" si="18"/>
        <v xml:space="preserve"> </v>
      </c>
      <c r="BN29" s="260" t="str">
        <f t="shared" si="19"/>
        <v xml:space="preserve"> </v>
      </c>
      <c r="BO29" s="260" t="str">
        <f t="shared" si="20"/>
        <v xml:space="preserve"> </v>
      </c>
      <c r="BP29" s="260" t="str">
        <f t="shared" si="21"/>
        <v xml:space="preserve"> </v>
      </c>
      <c r="BQ29" s="547"/>
      <c r="BR29" s="547"/>
      <c r="BS29" s="547"/>
      <c r="BT29" s="547"/>
      <c r="BU29" s="547"/>
      <c r="BV29" s="547"/>
      <c r="BW29" s="548"/>
      <c r="BX29" s="548"/>
      <c r="BY29" s="548"/>
      <c r="BZ29" s="548"/>
      <c r="CA29" s="548"/>
      <c r="CB29" s="548"/>
      <c r="CC29" s="550" t="str">
        <f t="shared" si="34"/>
        <v xml:space="preserve"> </v>
      </c>
      <c r="CD29" s="291" t="str">
        <f t="shared" si="35"/>
        <v xml:space="preserve">  </v>
      </c>
      <c r="CE29" s="50" t="str">
        <f t="shared" si="36"/>
        <v xml:space="preserve"> </v>
      </c>
      <c r="CF29" s="282"/>
      <c r="CG29" s="51"/>
      <c r="CH29" s="46" t="str">
        <f t="shared" si="37"/>
        <v xml:space="preserve"> </v>
      </c>
      <c r="CI29" s="46" t="str">
        <f t="shared" si="38"/>
        <v xml:space="preserve"> </v>
      </c>
      <c r="CJ29" s="46" t="str">
        <f t="shared" si="39"/>
        <v xml:space="preserve"> </v>
      </c>
      <c r="CK29" s="46" t="str">
        <f t="shared" si="40"/>
        <v xml:space="preserve"> </v>
      </c>
      <c r="CL29" s="46" t="str">
        <f t="shared" si="41"/>
        <v xml:space="preserve"> </v>
      </c>
      <c r="CM29" s="46" t="str">
        <f t="shared" si="42"/>
        <v xml:space="preserve"> </v>
      </c>
      <c r="CN29" s="46"/>
      <c r="CO29" s="46"/>
      <c r="CP29" s="46"/>
      <c r="CQ29" s="46"/>
      <c r="CR29" s="52"/>
      <c r="CS29" s="51"/>
      <c r="CT29" s="53" t="str">
        <f t="shared" si="23"/>
        <v xml:space="preserve">  </v>
      </c>
      <c r="CU29" s="53" t="str">
        <f t="shared" si="24"/>
        <v xml:space="preserve">  </v>
      </c>
      <c r="CV29" s="53" t="str">
        <f t="shared" si="25"/>
        <v xml:space="preserve">  </v>
      </c>
      <c r="CW29" s="53" t="str">
        <f t="shared" si="26"/>
        <v xml:space="preserve">  </v>
      </c>
      <c r="CX29" s="53" t="str">
        <f t="shared" si="27"/>
        <v xml:space="preserve">  </v>
      </c>
      <c r="CY29" s="53" t="str">
        <f t="shared" si="28"/>
        <v xml:space="preserve">  </v>
      </c>
      <c r="CZ29" s="53"/>
      <c r="DA29" s="53"/>
      <c r="DB29" s="53"/>
      <c r="DC29" s="53"/>
      <c r="DD29" s="54" t="str">
        <f t="shared" si="43"/>
        <v xml:space="preserve"> </v>
      </c>
      <c r="DE29" s="55">
        <f t="shared" si="44"/>
        <v>0</v>
      </c>
      <c r="DF29" s="55">
        <f t="shared" si="45"/>
        <v>0</v>
      </c>
      <c r="DG29" s="51">
        <f>SISWA!E27</f>
        <v>0</v>
      </c>
      <c r="DH29" s="51" t="str">
        <f t="shared" si="46"/>
        <v/>
      </c>
      <c r="DI29" s="56" t="str">
        <f t="shared" si="47"/>
        <v/>
      </c>
      <c r="DJ29" s="57" t="str">
        <f t="shared" si="48"/>
        <v/>
      </c>
      <c r="DK29" s="57" t="str">
        <f t="shared" si="49"/>
        <v/>
      </c>
      <c r="DL29" s="57" t="str">
        <f t="shared" si="50"/>
        <v/>
      </c>
      <c r="DM29" s="57" t="str">
        <f t="shared" si="51"/>
        <v/>
      </c>
      <c r="DN29" s="57" t="str">
        <f t="shared" si="52"/>
        <v/>
      </c>
      <c r="DO29" s="57"/>
      <c r="DP29" s="57"/>
      <c r="DQ29" s="57"/>
      <c r="DR29" s="57"/>
      <c r="DS29" s="58">
        <f t="shared" si="53"/>
        <v>0</v>
      </c>
      <c r="DT29" s="55" t="e">
        <f t="shared" si="54"/>
        <v>#N/A</v>
      </c>
      <c r="DU29" s="58"/>
      <c r="DV29" s="59" t="e">
        <f>IF(DE29&gt;100,"",IF(DE29&gt;CD$1,"sangat baik dalam "&amp;DT29,IF(DE29&gt;=CD$2,"baik dalam "&amp;DT29,IF(DE29&gt;=CD$3,"cukup dalam "&amp;DT29,IF(DE29&lt;CD$3,"dengan bimbingan dapat meningkatkan dalam "&amp;DT29,IF(DE29&lt;1," ",””))))))</f>
        <v>#N/A</v>
      </c>
      <c r="DW29" s="58"/>
      <c r="DX29" s="57" t="str">
        <f t="shared" si="55"/>
        <v/>
      </c>
      <c r="DY29" s="57" t="str">
        <f t="shared" si="56"/>
        <v/>
      </c>
      <c r="DZ29" s="57" t="str">
        <f t="shared" si="57"/>
        <v/>
      </c>
      <c r="EA29" s="57" t="str">
        <f t="shared" si="58"/>
        <v/>
      </c>
      <c r="EB29" s="57" t="str">
        <f t="shared" si="59"/>
        <v/>
      </c>
      <c r="EC29" s="57" t="str">
        <f t="shared" si="60"/>
        <v/>
      </c>
      <c r="ED29" s="57"/>
      <c r="EE29" s="57"/>
      <c r="EF29" s="57"/>
      <c r="EG29" s="57"/>
      <c r="EH29" s="59" t="e">
        <f t="shared" si="61"/>
        <v>#N/A</v>
      </c>
      <c r="EI29" s="59" t="e">
        <f>IF(DF29&gt;100,"",IF(DF29&gt;CD$1,"sangat baik dalam "&amp;EH29,IF(DF29&gt;=CD$2,"baik dalam "&amp;EH29,IF(DF29&gt;=CD$3,"cukup dalam "&amp;EH29,IF(DF29&lt;CD$3,"dengan bimbingan dapat meningkatkan dalam "&amp;EH29,IF(DF29&lt;1," ",””))))))</f>
        <v>#N/A</v>
      </c>
      <c r="EJ29" s="61"/>
      <c r="EK29" s="62" t="e">
        <f t="shared" si="62"/>
        <v>#N/A</v>
      </c>
      <c r="EL29" s="57">
        <f t="shared" si="63"/>
        <v>0</v>
      </c>
      <c r="EM29" s="57">
        <f t="shared" si="64"/>
        <v>0</v>
      </c>
      <c r="EN29" s="57">
        <f t="shared" si="32"/>
        <v>0</v>
      </c>
      <c r="EO29" s="57"/>
      <c r="EP29" s="57"/>
      <c r="EQ29" s="57"/>
      <c r="ER29" s="59">
        <f t="shared" si="33"/>
        <v>0</v>
      </c>
      <c r="ES29" s="60"/>
      <c r="ET29" s="61"/>
      <c r="EU29" s="62" t="str">
        <f t="shared" si="65"/>
        <v>, 0</v>
      </c>
    </row>
    <row r="30" spans="1:152" ht="34.5" customHeight="1">
      <c r="A30" s="39">
        <v>23</v>
      </c>
      <c r="B30" s="269">
        <f>SISWA!B28</f>
        <v>0</v>
      </c>
      <c r="C30" s="123"/>
      <c r="D30" s="123"/>
      <c r="E30" s="123"/>
      <c r="F30" s="123"/>
      <c r="G30" s="123"/>
      <c r="H30" s="123"/>
      <c r="I30" s="256"/>
      <c r="J30" s="256"/>
      <c r="K30" s="256"/>
      <c r="L30" s="256"/>
      <c r="M30" s="256"/>
      <c r="N30" s="256"/>
      <c r="O30" s="123"/>
      <c r="P30" s="123"/>
      <c r="Q30" s="123"/>
      <c r="R30" s="123"/>
      <c r="S30" s="123"/>
      <c r="T30" s="123"/>
      <c r="U30" s="256"/>
      <c r="V30" s="256"/>
      <c r="W30" s="256"/>
      <c r="X30" s="256"/>
      <c r="Y30" s="256"/>
      <c r="Z30" s="256"/>
      <c r="AA30" s="123"/>
      <c r="AB30" s="123"/>
      <c r="AC30" s="123"/>
      <c r="AD30" s="123"/>
      <c r="AE30" s="123"/>
      <c r="AF30" s="123"/>
      <c r="AG30" s="256"/>
      <c r="AH30" s="256"/>
      <c r="AI30" s="256"/>
      <c r="AJ30" s="256"/>
      <c r="AK30" s="256"/>
      <c r="AL30" s="256"/>
      <c r="AM30" s="123"/>
      <c r="AN30" s="123"/>
      <c r="AO30" s="123"/>
      <c r="AP30" s="123"/>
      <c r="AQ30" s="123"/>
      <c r="AR30" s="123"/>
      <c r="AS30" s="256"/>
      <c r="AT30" s="256"/>
      <c r="AU30" s="256"/>
      <c r="AV30" s="256"/>
      <c r="AW30" s="256"/>
      <c r="AX30" s="256"/>
      <c r="AY30" s="460"/>
      <c r="AZ30" s="460"/>
      <c r="BA30" s="460"/>
      <c r="BB30" s="460"/>
      <c r="BC30" s="460"/>
      <c r="BD30" s="460"/>
      <c r="BE30" s="346"/>
      <c r="BF30" s="346"/>
      <c r="BG30" s="346"/>
      <c r="BH30" s="346"/>
      <c r="BI30" s="346"/>
      <c r="BJ30" s="346"/>
      <c r="BK30" s="260" t="str">
        <f t="shared" si="16"/>
        <v xml:space="preserve"> </v>
      </c>
      <c r="BL30" s="260" t="str">
        <f t="shared" si="17"/>
        <v xml:space="preserve"> </v>
      </c>
      <c r="BM30" s="260" t="str">
        <f t="shared" si="18"/>
        <v xml:space="preserve"> </v>
      </c>
      <c r="BN30" s="260" t="str">
        <f t="shared" si="19"/>
        <v xml:space="preserve"> </v>
      </c>
      <c r="BO30" s="260" t="str">
        <f t="shared" si="20"/>
        <v xml:space="preserve"> </v>
      </c>
      <c r="BP30" s="260" t="str">
        <f t="shared" si="21"/>
        <v xml:space="preserve"> </v>
      </c>
      <c r="BQ30" s="547"/>
      <c r="BR30" s="547"/>
      <c r="BS30" s="547"/>
      <c r="BT30" s="547"/>
      <c r="BU30" s="547"/>
      <c r="BV30" s="547"/>
      <c r="BW30" s="548"/>
      <c r="BX30" s="548"/>
      <c r="BY30" s="548"/>
      <c r="BZ30" s="548"/>
      <c r="CA30" s="548"/>
      <c r="CB30" s="548"/>
      <c r="CC30" s="550" t="str">
        <f t="shared" si="34"/>
        <v xml:space="preserve"> </v>
      </c>
      <c r="CD30" s="291" t="str">
        <f t="shared" si="35"/>
        <v xml:space="preserve">  </v>
      </c>
      <c r="CE30" s="50" t="str">
        <f t="shared" si="36"/>
        <v xml:space="preserve"> </v>
      </c>
      <c r="CF30" s="282"/>
      <c r="CG30" s="51"/>
      <c r="CH30" s="46" t="str">
        <f t="shared" si="37"/>
        <v xml:space="preserve"> </v>
      </c>
      <c r="CI30" s="46" t="str">
        <f t="shared" si="38"/>
        <v xml:space="preserve"> </v>
      </c>
      <c r="CJ30" s="46" t="str">
        <f t="shared" si="39"/>
        <v xml:space="preserve"> </v>
      </c>
      <c r="CK30" s="46" t="str">
        <f t="shared" si="40"/>
        <v xml:space="preserve"> </v>
      </c>
      <c r="CL30" s="46" t="str">
        <f t="shared" si="41"/>
        <v xml:space="preserve"> </v>
      </c>
      <c r="CM30" s="46" t="str">
        <f t="shared" si="42"/>
        <v xml:space="preserve"> </v>
      </c>
      <c r="CN30" s="46"/>
      <c r="CO30" s="46"/>
      <c r="CP30" s="46"/>
      <c r="CQ30" s="46"/>
      <c r="CR30" s="52"/>
      <c r="CS30" s="51"/>
      <c r="CT30" s="53" t="str">
        <f t="shared" si="23"/>
        <v xml:space="preserve">  </v>
      </c>
      <c r="CU30" s="53" t="str">
        <f t="shared" si="24"/>
        <v xml:space="preserve">  </v>
      </c>
      <c r="CV30" s="53" t="str">
        <f t="shared" si="25"/>
        <v xml:space="preserve">  </v>
      </c>
      <c r="CW30" s="53" t="str">
        <f t="shared" si="26"/>
        <v xml:space="preserve">  </v>
      </c>
      <c r="CX30" s="53" t="str">
        <f t="shared" si="27"/>
        <v xml:space="preserve">  </v>
      </c>
      <c r="CY30" s="53" t="str">
        <f t="shared" si="28"/>
        <v xml:space="preserve">  </v>
      </c>
      <c r="CZ30" s="53"/>
      <c r="DA30" s="53"/>
      <c r="DB30" s="53"/>
      <c r="DC30" s="53"/>
      <c r="DD30" s="54" t="str">
        <f t="shared" si="43"/>
        <v xml:space="preserve"> </v>
      </c>
      <c r="DE30" s="55">
        <f t="shared" si="44"/>
        <v>0</v>
      </c>
      <c r="DF30" s="55">
        <f t="shared" si="45"/>
        <v>0</v>
      </c>
      <c r="DG30" s="51">
        <f>SISWA!E28</f>
        <v>0</v>
      </c>
      <c r="DH30" s="51" t="str">
        <f t="shared" si="46"/>
        <v/>
      </c>
      <c r="DI30" s="56" t="str">
        <f t="shared" si="47"/>
        <v/>
      </c>
      <c r="DJ30" s="57" t="str">
        <f t="shared" si="48"/>
        <v/>
      </c>
      <c r="DK30" s="57" t="str">
        <f t="shared" si="49"/>
        <v/>
      </c>
      <c r="DL30" s="57" t="str">
        <f t="shared" si="50"/>
        <v/>
      </c>
      <c r="DM30" s="57" t="str">
        <f t="shared" si="51"/>
        <v/>
      </c>
      <c r="DN30" s="57" t="str">
        <f t="shared" si="52"/>
        <v/>
      </c>
      <c r="DO30" s="57"/>
      <c r="DP30" s="57"/>
      <c r="DQ30" s="57"/>
      <c r="DR30" s="57"/>
      <c r="DS30" s="58">
        <f t="shared" si="53"/>
        <v>0</v>
      </c>
      <c r="DT30" s="55" t="e">
        <f t="shared" si="54"/>
        <v>#N/A</v>
      </c>
      <c r="DU30" s="58"/>
      <c r="DV30" s="59" t="e">
        <f>IF(DE30&gt;100,"",IF(DE30&gt;CD$1,"sangat baik dalam "&amp;DT30,IF(DE30&gt;=CD$2,"baik dalam "&amp;DT30,IF(DE30&gt;=CD$3,"cukup dalam "&amp;DT30,IF(DE30&lt;CD$3,"dengan bimbingan dapat meningkatkan dalam "&amp;DT30,IF(DE30&lt;1," ",””))))))</f>
        <v>#N/A</v>
      </c>
      <c r="DW30" s="58"/>
      <c r="DX30" s="57" t="str">
        <f t="shared" si="55"/>
        <v/>
      </c>
      <c r="DY30" s="57" t="str">
        <f t="shared" si="56"/>
        <v/>
      </c>
      <c r="DZ30" s="57" t="str">
        <f t="shared" si="57"/>
        <v/>
      </c>
      <c r="EA30" s="57" t="str">
        <f t="shared" si="58"/>
        <v/>
      </c>
      <c r="EB30" s="57" t="str">
        <f t="shared" si="59"/>
        <v/>
      </c>
      <c r="EC30" s="57" t="str">
        <f t="shared" si="60"/>
        <v/>
      </c>
      <c r="ED30" s="57"/>
      <c r="EE30" s="57"/>
      <c r="EF30" s="57"/>
      <c r="EG30" s="57"/>
      <c r="EH30" s="59" t="e">
        <f t="shared" si="61"/>
        <v>#N/A</v>
      </c>
      <c r="EI30" s="59" t="e">
        <f>IF(DF30&gt;100,"",IF(DF30&gt;CD$1,"sangat baik dalam "&amp;EH30,IF(DF30&gt;=CD$2,"baik dalam "&amp;EH30,IF(DF30&gt;=CD$3,"cukup dalam "&amp;EH30,IF(DF30&lt;CD$3,"dengan bimbingan dapat meningkatkan dalam "&amp;EH30,IF(DF30&lt;1," ",””))))))</f>
        <v>#N/A</v>
      </c>
      <c r="EJ30" s="61"/>
      <c r="EK30" s="62" t="e">
        <f t="shared" si="62"/>
        <v>#N/A</v>
      </c>
      <c r="EL30" s="57">
        <f t="shared" si="63"/>
        <v>0</v>
      </c>
      <c r="EM30" s="57">
        <f t="shared" si="64"/>
        <v>0</v>
      </c>
      <c r="EN30" s="57">
        <f t="shared" si="32"/>
        <v>0</v>
      </c>
      <c r="EO30" s="57"/>
      <c r="EP30" s="57"/>
      <c r="EQ30" s="57"/>
      <c r="ER30" s="59">
        <f t="shared" si="33"/>
        <v>0</v>
      </c>
      <c r="ES30" s="60"/>
      <c r="ET30" s="61"/>
      <c r="EU30" s="62" t="str">
        <f t="shared" si="65"/>
        <v>, 0</v>
      </c>
    </row>
    <row r="31" spans="1:152" ht="34.5" customHeight="1">
      <c r="A31" s="39">
        <v>24</v>
      </c>
      <c r="B31" s="269">
        <f>SISWA!B29</f>
        <v>0</v>
      </c>
      <c r="C31" s="123"/>
      <c r="D31" s="123"/>
      <c r="E31" s="123"/>
      <c r="F31" s="123"/>
      <c r="G31" s="123"/>
      <c r="H31" s="123"/>
      <c r="I31" s="256"/>
      <c r="J31" s="256"/>
      <c r="K31" s="256"/>
      <c r="L31" s="256"/>
      <c r="M31" s="256"/>
      <c r="N31" s="256"/>
      <c r="O31" s="123"/>
      <c r="P31" s="123"/>
      <c r="Q31" s="123"/>
      <c r="R31" s="123"/>
      <c r="S31" s="123"/>
      <c r="T31" s="123"/>
      <c r="U31" s="256"/>
      <c r="V31" s="256"/>
      <c r="W31" s="256"/>
      <c r="X31" s="256"/>
      <c r="Y31" s="256"/>
      <c r="Z31" s="256"/>
      <c r="AA31" s="123"/>
      <c r="AB31" s="123"/>
      <c r="AC31" s="123"/>
      <c r="AD31" s="123"/>
      <c r="AE31" s="123"/>
      <c r="AF31" s="123"/>
      <c r="AG31" s="256"/>
      <c r="AH31" s="256"/>
      <c r="AI31" s="256"/>
      <c r="AJ31" s="256"/>
      <c r="AK31" s="256"/>
      <c r="AL31" s="256"/>
      <c r="AM31" s="123"/>
      <c r="AN31" s="123"/>
      <c r="AO31" s="123"/>
      <c r="AP31" s="123"/>
      <c r="AQ31" s="123"/>
      <c r="AR31" s="123"/>
      <c r="AS31" s="256"/>
      <c r="AT31" s="256"/>
      <c r="AU31" s="256"/>
      <c r="AV31" s="256"/>
      <c r="AW31" s="256"/>
      <c r="AX31" s="256"/>
      <c r="AY31" s="460"/>
      <c r="AZ31" s="460"/>
      <c r="BA31" s="460"/>
      <c r="BB31" s="460"/>
      <c r="BC31" s="460"/>
      <c r="BD31" s="460"/>
      <c r="BE31" s="346"/>
      <c r="BF31" s="346"/>
      <c r="BG31" s="346"/>
      <c r="BH31" s="346"/>
      <c r="BI31" s="346"/>
      <c r="BJ31" s="346"/>
      <c r="BK31" s="260" t="str">
        <f t="shared" si="16"/>
        <v xml:space="preserve"> </v>
      </c>
      <c r="BL31" s="260" t="str">
        <f t="shared" si="17"/>
        <v xml:space="preserve"> </v>
      </c>
      <c r="BM31" s="260" t="str">
        <f t="shared" si="18"/>
        <v xml:space="preserve"> </v>
      </c>
      <c r="BN31" s="260" t="str">
        <f t="shared" si="19"/>
        <v xml:space="preserve"> </v>
      </c>
      <c r="BO31" s="260" t="str">
        <f t="shared" si="20"/>
        <v xml:space="preserve"> </v>
      </c>
      <c r="BP31" s="260" t="str">
        <f t="shared" si="21"/>
        <v xml:space="preserve"> </v>
      </c>
      <c r="BQ31" s="547"/>
      <c r="BR31" s="547"/>
      <c r="BS31" s="547"/>
      <c r="BT31" s="547"/>
      <c r="BU31" s="547"/>
      <c r="BV31" s="547"/>
      <c r="BW31" s="548"/>
      <c r="BX31" s="548"/>
      <c r="BY31" s="548"/>
      <c r="BZ31" s="548"/>
      <c r="CA31" s="548"/>
      <c r="CB31" s="548"/>
      <c r="CC31" s="550" t="str">
        <f t="shared" si="34"/>
        <v xml:space="preserve"> </v>
      </c>
      <c r="CD31" s="291" t="str">
        <f t="shared" si="35"/>
        <v xml:space="preserve">  </v>
      </c>
      <c r="CE31" s="50" t="str">
        <f t="shared" si="36"/>
        <v xml:space="preserve"> </v>
      </c>
      <c r="CF31" s="282"/>
      <c r="CG31" s="51"/>
      <c r="CH31" s="46" t="str">
        <f t="shared" si="37"/>
        <v xml:space="preserve"> </v>
      </c>
      <c r="CI31" s="46" t="str">
        <f t="shared" si="38"/>
        <v xml:space="preserve"> </v>
      </c>
      <c r="CJ31" s="46" t="str">
        <f t="shared" si="39"/>
        <v xml:space="preserve"> </v>
      </c>
      <c r="CK31" s="46" t="str">
        <f t="shared" si="40"/>
        <v xml:space="preserve"> </v>
      </c>
      <c r="CL31" s="46" t="str">
        <f t="shared" si="41"/>
        <v xml:space="preserve"> </v>
      </c>
      <c r="CM31" s="46" t="str">
        <f t="shared" si="42"/>
        <v xml:space="preserve"> </v>
      </c>
      <c r="CN31" s="46"/>
      <c r="CO31" s="46"/>
      <c r="CP31" s="46"/>
      <c r="CQ31" s="46"/>
      <c r="CR31" s="52"/>
      <c r="CS31" s="51"/>
      <c r="CT31" s="53" t="str">
        <f t="shared" si="23"/>
        <v xml:space="preserve">  </v>
      </c>
      <c r="CU31" s="53" t="str">
        <f t="shared" si="24"/>
        <v xml:space="preserve">  </v>
      </c>
      <c r="CV31" s="53" t="str">
        <f t="shared" si="25"/>
        <v xml:space="preserve">  </v>
      </c>
      <c r="CW31" s="53" t="str">
        <f t="shared" si="26"/>
        <v xml:space="preserve">  </v>
      </c>
      <c r="CX31" s="53" t="str">
        <f t="shared" si="27"/>
        <v xml:space="preserve">  </v>
      </c>
      <c r="CY31" s="53" t="str">
        <f t="shared" si="28"/>
        <v xml:space="preserve">  </v>
      </c>
      <c r="CZ31" s="53"/>
      <c r="DA31" s="53"/>
      <c r="DB31" s="53"/>
      <c r="DC31" s="53"/>
      <c r="DD31" s="54" t="str">
        <f t="shared" si="43"/>
        <v xml:space="preserve"> </v>
      </c>
      <c r="DE31" s="55">
        <f t="shared" si="44"/>
        <v>0</v>
      </c>
      <c r="DF31" s="55">
        <f t="shared" si="45"/>
        <v>0</v>
      </c>
      <c r="DG31" s="51">
        <f>SISWA!E29</f>
        <v>0</v>
      </c>
      <c r="DH31" s="51" t="str">
        <f t="shared" si="46"/>
        <v/>
      </c>
      <c r="DI31" s="56" t="str">
        <f t="shared" si="47"/>
        <v/>
      </c>
      <c r="DJ31" s="57" t="str">
        <f t="shared" si="48"/>
        <v/>
      </c>
      <c r="DK31" s="57" t="str">
        <f t="shared" si="49"/>
        <v/>
      </c>
      <c r="DL31" s="57" t="str">
        <f t="shared" si="50"/>
        <v/>
      </c>
      <c r="DM31" s="57" t="str">
        <f t="shared" si="51"/>
        <v/>
      </c>
      <c r="DN31" s="57" t="str">
        <f t="shared" si="52"/>
        <v/>
      </c>
      <c r="DO31" s="57"/>
      <c r="DP31" s="57"/>
      <c r="DQ31" s="57"/>
      <c r="DR31" s="57"/>
      <c r="DS31" s="58">
        <f t="shared" si="53"/>
        <v>0</v>
      </c>
      <c r="DT31" s="55" t="e">
        <f t="shared" si="54"/>
        <v>#N/A</v>
      </c>
      <c r="DU31" s="58"/>
      <c r="DV31" s="59" t="e">
        <f>IF(DE31&gt;100,"",IF(DE31&gt;CD$1,"sangat baik dalam "&amp;DT31,IF(DE31&gt;=CD$2,"baik dalam "&amp;DT31,IF(DE31&gt;=CD$3,"cukup dalam "&amp;DT31,IF(DE31&lt;CD$3,"dengan bimbingan dapat meningkatkan dalam "&amp;DT31,IF(DE31&lt;1," ",””))))))</f>
        <v>#N/A</v>
      </c>
      <c r="DW31" s="58"/>
      <c r="DX31" s="57" t="str">
        <f t="shared" si="55"/>
        <v/>
      </c>
      <c r="DY31" s="57" t="str">
        <f t="shared" si="56"/>
        <v/>
      </c>
      <c r="DZ31" s="57" t="str">
        <f t="shared" si="57"/>
        <v/>
      </c>
      <c r="EA31" s="57" t="str">
        <f t="shared" si="58"/>
        <v/>
      </c>
      <c r="EB31" s="57" t="str">
        <f t="shared" si="59"/>
        <v/>
      </c>
      <c r="EC31" s="57" t="str">
        <f t="shared" si="60"/>
        <v/>
      </c>
      <c r="ED31" s="57"/>
      <c r="EE31" s="57"/>
      <c r="EF31" s="57"/>
      <c r="EG31" s="57"/>
      <c r="EH31" s="59" t="e">
        <f t="shared" si="61"/>
        <v>#N/A</v>
      </c>
      <c r="EI31" s="59" t="e">
        <f>IF(DF31&gt;100,"",IF(DF31&gt;CD$1,"sangat baik dalam "&amp;EH31,IF(DF31&gt;=CD$2,"baik dalam "&amp;EH31,IF(DF31&gt;=CD$3,"cukup dalam "&amp;EH31,IF(DF31&lt;CD$3,"dengan bimbingan dapat meningkatkan dalam "&amp;EH31,IF(DF31&lt;1," ",””))))))</f>
        <v>#N/A</v>
      </c>
      <c r="EJ31" s="61"/>
      <c r="EK31" s="62" t="e">
        <f t="shared" si="62"/>
        <v>#N/A</v>
      </c>
      <c r="EL31" s="57">
        <f t="shared" si="63"/>
        <v>0</v>
      </c>
      <c r="EM31" s="57">
        <f t="shared" si="64"/>
        <v>0</v>
      </c>
      <c r="EN31" s="57">
        <f t="shared" si="32"/>
        <v>0</v>
      </c>
      <c r="EO31" s="57"/>
      <c r="EP31" s="57"/>
      <c r="EQ31" s="57"/>
      <c r="ER31" s="59">
        <f t="shared" si="33"/>
        <v>0</v>
      </c>
      <c r="ES31" s="60"/>
      <c r="ET31" s="61"/>
      <c r="EU31" s="62" t="str">
        <f t="shared" si="65"/>
        <v>, 0</v>
      </c>
    </row>
    <row r="32" spans="1:152" ht="34.5" customHeight="1">
      <c r="A32" s="39">
        <v>25</v>
      </c>
      <c r="B32" s="269">
        <f>SISWA!B30</f>
        <v>0</v>
      </c>
      <c r="C32" s="123"/>
      <c r="D32" s="123"/>
      <c r="E32" s="123"/>
      <c r="F32" s="123"/>
      <c r="G32" s="123"/>
      <c r="H32" s="123"/>
      <c r="I32" s="256"/>
      <c r="J32" s="256"/>
      <c r="K32" s="256"/>
      <c r="L32" s="256"/>
      <c r="M32" s="256"/>
      <c r="N32" s="256"/>
      <c r="O32" s="123"/>
      <c r="P32" s="123"/>
      <c r="Q32" s="123"/>
      <c r="R32" s="123"/>
      <c r="S32" s="123"/>
      <c r="T32" s="123"/>
      <c r="U32" s="256"/>
      <c r="V32" s="256"/>
      <c r="W32" s="256"/>
      <c r="X32" s="256"/>
      <c r="Y32" s="256"/>
      <c r="Z32" s="256"/>
      <c r="AA32" s="123"/>
      <c r="AB32" s="123"/>
      <c r="AC32" s="123"/>
      <c r="AD32" s="123"/>
      <c r="AE32" s="123"/>
      <c r="AF32" s="123"/>
      <c r="AG32" s="256"/>
      <c r="AH32" s="256"/>
      <c r="AI32" s="256"/>
      <c r="AJ32" s="256"/>
      <c r="AK32" s="256"/>
      <c r="AL32" s="256"/>
      <c r="AM32" s="123"/>
      <c r="AN32" s="123"/>
      <c r="AO32" s="123"/>
      <c r="AP32" s="123"/>
      <c r="AQ32" s="123"/>
      <c r="AR32" s="123"/>
      <c r="AS32" s="256"/>
      <c r="AT32" s="256"/>
      <c r="AU32" s="256"/>
      <c r="AV32" s="256"/>
      <c r="AW32" s="256"/>
      <c r="AX32" s="256"/>
      <c r="AY32" s="460"/>
      <c r="AZ32" s="460"/>
      <c r="BA32" s="460"/>
      <c r="BB32" s="460"/>
      <c r="BC32" s="460"/>
      <c r="BD32" s="460"/>
      <c r="BE32" s="346"/>
      <c r="BF32" s="346"/>
      <c r="BG32" s="346"/>
      <c r="BH32" s="346"/>
      <c r="BI32" s="346"/>
      <c r="BJ32" s="346"/>
      <c r="BK32" s="260" t="str">
        <f t="shared" si="16"/>
        <v xml:space="preserve"> </v>
      </c>
      <c r="BL32" s="260" t="str">
        <f t="shared" si="17"/>
        <v xml:space="preserve"> </v>
      </c>
      <c r="BM32" s="260" t="str">
        <f t="shared" si="18"/>
        <v xml:space="preserve"> </v>
      </c>
      <c r="BN32" s="260" t="str">
        <f t="shared" si="19"/>
        <v xml:space="preserve"> </v>
      </c>
      <c r="BO32" s="260" t="str">
        <f t="shared" si="20"/>
        <v xml:space="preserve"> </v>
      </c>
      <c r="BP32" s="260" t="str">
        <f t="shared" si="21"/>
        <v xml:space="preserve"> </v>
      </c>
      <c r="BQ32" s="547"/>
      <c r="BR32" s="547"/>
      <c r="BS32" s="547"/>
      <c r="BT32" s="547"/>
      <c r="BU32" s="547"/>
      <c r="BV32" s="547"/>
      <c r="BW32" s="548"/>
      <c r="BX32" s="548"/>
      <c r="BY32" s="548"/>
      <c r="BZ32" s="548"/>
      <c r="CA32" s="548"/>
      <c r="CB32" s="548"/>
      <c r="CC32" s="550" t="str">
        <f t="shared" si="34"/>
        <v xml:space="preserve"> </v>
      </c>
      <c r="CD32" s="291" t="str">
        <f t="shared" si="35"/>
        <v xml:space="preserve">  </v>
      </c>
      <c r="CE32" s="50" t="str">
        <f t="shared" si="36"/>
        <v xml:space="preserve"> </v>
      </c>
      <c r="CF32" s="282"/>
      <c r="CG32" s="51"/>
      <c r="CH32" s="46" t="str">
        <f t="shared" si="37"/>
        <v xml:space="preserve"> </v>
      </c>
      <c r="CI32" s="46" t="str">
        <f t="shared" si="38"/>
        <v xml:space="preserve"> </v>
      </c>
      <c r="CJ32" s="46" t="str">
        <f t="shared" si="39"/>
        <v xml:space="preserve"> </v>
      </c>
      <c r="CK32" s="46" t="str">
        <f t="shared" si="40"/>
        <v xml:space="preserve"> </v>
      </c>
      <c r="CL32" s="46" t="str">
        <f t="shared" si="41"/>
        <v xml:space="preserve"> </v>
      </c>
      <c r="CM32" s="46" t="str">
        <f t="shared" si="42"/>
        <v xml:space="preserve"> </v>
      </c>
      <c r="CN32" s="46"/>
      <c r="CO32" s="46"/>
      <c r="CP32" s="46"/>
      <c r="CQ32" s="46"/>
      <c r="CR32" s="52"/>
      <c r="CS32" s="51"/>
      <c r="CT32" s="53" t="str">
        <f t="shared" si="23"/>
        <v xml:space="preserve">  </v>
      </c>
      <c r="CU32" s="53" t="str">
        <f t="shared" si="24"/>
        <v xml:space="preserve">  </v>
      </c>
      <c r="CV32" s="53" t="str">
        <f t="shared" si="25"/>
        <v xml:space="preserve">  </v>
      </c>
      <c r="CW32" s="53" t="str">
        <f t="shared" si="26"/>
        <v xml:space="preserve">  </v>
      </c>
      <c r="CX32" s="53" t="str">
        <f t="shared" si="27"/>
        <v xml:space="preserve">  </v>
      </c>
      <c r="CY32" s="53" t="str">
        <f t="shared" si="28"/>
        <v xml:space="preserve">  </v>
      </c>
      <c r="CZ32" s="53"/>
      <c r="DA32" s="53"/>
      <c r="DB32" s="53"/>
      <c r="DC32" s="53"/>
      <c r="DD32" s="54" t="str">
        <f t="shared" si="43"/>
        <v xml:space="preserve"> </v>
      </c>
      <c r="DE32" s="55">
        <f t="shared" si="44"/>
        <v>0</v>
      </c>
      <c r="DF32" s="55">
        <f t="shared" si="45"/>
        <v>0</v>
      </c>
      <c r="DG32" s="51">
        <f>SISWA!E30</f>
        <v>0</v>
      </c>
      <c r="DH32" s="51" t="str">
        <f t="shared" si="46"/>
        <v/>
      </c>
      <c r="DI32" s="56" t="str">
        <f t="shared" si="47"/>
        <v/>
      </c>
      <c r="DJ32" s="57" t="str">
        <f t="shared" si="48"/>
        <v/>
      </c>
      <c r="DK32" s="57" t="str">
        <f t="shared" si="49"/>
        <v/>
      </c>
      <c r="DL32" s="57" t="str">
        <f t="shared" si="50"/>
        <v/>
      </c>
      <c r="DM32" s="57" t="str">
        <f t="shared" si="51"/>
        <v/>
      </c>
      <c r="DN32" s="57" t="str">
        <f t="shared" si="52"/>
        <v/>
      </c>
      <c r="DO32" s="57"/>
      <c r="DP32" s="57"/>
      <c r="DQ32" s="57"/>
      <c r="DR32" s="57"/>
      <c r="DS32" s="58">
        <f t="shared" si="53"/>
        <v>0</v>
      </c>
      <c r="DT32" s="55" t="e">
        <f t="shared" si="54"/>
        <v>#N/A</v>
      </c>
      <c r="DU32" s="58"/>
      <c r="DV32" s="59" t="e">
        <f>IF(DE32&gt;100,"",IF(DE32&gt;CD$1,"sangat baik dalam "&amp;DT32,IF(DE32&gt;=CD$2,"baik dalam "&amp;DT32,IF(DE32&gt;=CD$3,"cukup dalam "&amp;DT32,IF(DE32&lt;CD$3,"dengan bimbingan dapat meningkatkan dalam "&amp;DT32,IF(DE32&lt;1," ",””))))))</f>
        <v>#N/A</v>
      </c>
      <c r="DW32" s="58"/>
      <c r="DX32" s="57" t="str">
        <f t="shared" si="55"/>
        <v/>
      </c>
      <c r="DY32" s="57" t="str">
        <f t="shared" si="56"/>
        <v/>
      </c>
      <c r="DZ32" s="57" t="str">
        <f t="shared" si="57"/>
        <v/>
      </c>
      <c r="EA32" s="57" t="str">
        <f t="shared" si="58"/>
        <v/>
      </c>
      <c r="EB32" s="57" t="str">
        <f t="shared" si="59"/>
        <v/>
      </c>
      <c r="EC32" s="57" t="str">
        <f t="shared" si="60"/>
        <v/>
      </c>
      <c r="ED32" s="57"/>
      <c r="EE32" s="57"/>
      <c r="EF32" s="57"/>
      <c r="EG32" s="57"/>
      <c r="EH32" s="59" t="e">
        <f t="shared" si="61"/>
        <v>#N/A</v>
      </c>
      <c r="EI32" s="59" t="e">
        <f>IF(DF32&gt;100,"",IF(DF32&gt;CD$1,"sangat baik dalam "&amp;EH32,IF(DF32&gt;=CD$2,"baik dalam "&amp;EH32,IF(DF32&gt;=CD$3,"cukup dalam "&amp;EH32,IF(DF32&lt;CD$3,"dengan bimbingan dapat meningkatkan dalam "&amp;EH32,IF(DF32&lt;1," ",””))))))</f>
        <v>#N/A</v>
      </c>
      <c r="EJ32" s="61"/>
      <c r="EK32" s="62" t="e">
        <f t="shared" si="62"/>
        <v>#N/A</v>
      </c>
      <c r="EL32" s="57">
        <f t="shared" si="63"/>
        <v>0</v>
      </c>
      <c r="EM32" s="57">
        <f t="shared" si="64"/>
        <v>0</v>
      </c>
      <c r="EN32" s="57">
        <f t="shared" si="32"/>
        <v>0</v>
      </c>
      <c r="EO32" s="57"/>
      <c r="EP32" s="57"/>
      <c r="EQ32" s="57"/>
      <c r="ER32" s="59">
        <f t="shared" si="33"/>
        <v>0</v>
      </c>
      <c r="ES32" s="60"/>
      <c r="ET32" s="61"/>
      <c r="EU32" s="62" t="str">
        <f t="shared" si="65"/>
        <v>, 0</v>
      </c>
    </row>
    <row r="33" spans="1:151" ht="34.5" customHeight="1">
      <c r="A33" s="39">
        <v>26</v>
      </c>
      <c r="B33" s="269">
        <f>SISWA!B31</f>
        <v>0</v>
      </c>
      <c r="C33" s="123"/>
      <c r="D33" s="123"/>
      <c r="E33" s="123"/>
      <c r="F33" s="123"/>
      <c r="G33" s="123"/>
      <c r="H33" s="123"/>
      <c r="I33" s="256"/>
      <c r="J33" s="256"/>
      <c r="K33" s="256"/>
      <c r="L33" s="256"/>
      <c r="M33" s="256"/>
      <c r="N33" s="256"/>
      <c r="O33" s="123"/>
      <c r="P33" s="123"/>
      <c r="Q33" s="123"/>
      <c r="R33" s="123"/>
      <c r="S33" s="123"/>
      <c r="T33" s="123"/>
      <c r="U33" s="256"/>
      <c r="V33" s="256"/>
      <c r="W33" s="256"/>
      <c r="X33" s="256"/>
      <c r="Y33" s="256"/>
      <c r="Z33" s="256"/>
      <c r="AA33" s="123"/>
      <c r="AB33" s="123"/>
      <c r="AC33" s="123"/>
      <c r="AD33" s="123"/>
      <c r="AE33" s="123"/>
      <c r="AF33" s="123"/>
      <c r="AG33" s="256"/>
      <c r="AH33" s="256"/>
      <c r="AI33" s="256"/>
      <c r="AJ33" s="256"/>
      <c r="AK33" s="256"/>
      <c r="AL33" s="256"/>
      <c r="AM33" s="123"/>
      <c r="AN33" s="123"/>
      <c r="AO33" s="123"/>
      <c r="AP33" s="123"/>
      <c r="AQ33" s="123"/>
      <c r="AR33" s="123"/>
      <c r="AS33" s="256"/>
      <c r="AT33" s="256"/>
      <c r="AU33" s="256"/>
      <c r="AV33" s="256"/>
      <c r="AW33" s="256"/>
      <c r="AX33" s="256"/>
      <c r="AY33" s="460"/>
      <c r="AZ33" s="460"/>
      <c r="BA33" s="460"/>
      <c r="BB33" s="460"/>
      <c r="BC33" s="460"/>
      <c r="BD33" s="460"/>
      <c r="BE33" s="346"/>
      <c r="BF33" s="346"/>
      <c r="BG33" s="346"/>
      <c r="BH33" s="346"/>
      <c r="BI33" s="346"/>
      <c r="BJ33" s="346"/>
      <c r="BK33" s="260" t="str">
        <f t="shared" si="16"/>
        <v xml:space="preserve"> </v>
      </c>
      <c r="BL33" s="260" t="str">
        <f t="shared" si="17"/>
        <v xml:space="preserve"> </v>
      </c>
      <c r="BM33" s="260" t="str">
        <f t="shared" si="18"/>
        <v xml:space="preserve"> </v>
      </c>
      <c r="BN33" s="260" t="str">
        <f t="shared" si="19"/>
        <v xml:space="preserve"> </v>
      </c>
      <c r="BO33" s="260" t="str">
        <f t="shared" si="20"/>
        <v xml:space="preserve"> </v>
      </c>
      <c r="BP33" s="260" t="str">
        <f t="shared" si="21"/>
        <v xml:space="preserve"> </v>
      </c>
      <c r="BQ33" s="547"/>
      <c r="BR33" s="547"/>
      <c r="BS33" s="547"/>
      <c r="BT33" s="547"/>
      <c r="BU33" s="547"/>
      <c r="BV33" s="547"/>
      <c r="BW33" s="548"/>
      <c r="BX33" s="548"/>
      <c r="BY33" s="548"/>
      <c r="BZ33" s="548"/>
      <c r="CA33" s="548"/>
      <c r="CB33" s="548"/>
      <c r="CC33" s="550" t="str">
        <f t="shared" si="34"/>
        <v xml:space="preserve"> </v>
      </c>
      <c r="CD33" s="291" t="str">
        <f t="shared" si="35"/>
        <v xml:space="preserve">  </v>
      </c>
      <c r="CE33" s="50" t="str">
        <f t="shared" si="36"/>
        <v xml:space="preserve"> </v>
      </c>
      <c r="CF33" s="282"/>
      <c r="CG33" s="51"/>
      <c r="CH33" s="46" t="str">
        <f t="shared" si="37"/>
        <v xml:space="preserve"> </v>
      </c>
      <c r="CI33" s="46" t="str">
        <f t="shared" si="38"/>
        <v xml:space="preserve"> </v>
      </c>
      <c r="CJ33" s="46" t="str">
        <f t="shared" si="39"/>
        <v xml:space="preserve"> </v>
      </c>
      <c r="CK33" s="46" t="str">
        <f t="shared" si="40"/>
        <v xml:space="preserve"> </v>
      </c>
      <c r="CL33" s="46" t="str">
        <f t="shared" si="41"/>
        <v xml:space="preserve"> </v>
      </c>
      <c r="CM33" s="46" t="str">
        <f t="shared" si="42"/>
        <v xml:space="preserve"> </v>
      </c>
      <c r="CN33" s="46"/>
      <c r="CO33" s="46"/>
      <c r="CP33" s="46"/>
      <c r="CQ33" s="46"/>
      <c r="CR33" s="52"/>
      <c r="CS33" s="51"/>
      <c r="CT33" s="53" t="str">
        <f t="shared" si="23"/>
        <v xml:space="preserve">  </v>
      </c>
      <c r="CU33" s="53" t="str">
        <f t="shared" si="24"/>
        <v xml:space="preserve">  </v>
      </c>
      <c r="CV33" s="53" t="str">
        <f t="shared" si="25"/>
        <v xml:space="preserve">  </v>
      </c>
      <c r="CW33" s="53" t="str">
        <f t="shared" si="26"/>
        <v xml:space="preserve">  </v>
      </c>
      <c r="CX33" s="53" t="str">
        <f t="shared" si="27"/>
        <v xml:space="preserve">  </v>
      </c>
      <c r="CY33" s="53" t="str">
        <f t="shared" si="28"/>
        <v xml:space="preserve">  </v>
      </c>
      <c r="CZ33" s="53"/>
      <c r="DA33" s="53"/>
      <c r="DB33" s="53"/>
      <c r="DC33" s="53"/>
      <c r="DD33" s="54" t="str">
        <f t="shared" si="43"/>
        <v xml:space="preserve"> </v>
      </c>
      <c r="DE33" s="55">
        <f t="shared" si="44"/>
        <v>0</v>
      </c>
      <c r="DF33" s="55">
        <f t="shared" si="45"/>
        <v>0</v>
      </c>
      <c r="DG33" s="51">
        <f>SISWA!E31</f>
        <v>0</v>
      </c>
      <c r="DH33" s="51" t="str">
        <f t="shared" si="46"/>
        <v/>
      </c>
      <c r="DI33" s="56" t="str">
        <f t="shared" si="47"/>
        <v/>
      </c>
      <c r="DJ33" s="57" t="str">
        <f t="shared" si="48"/>
        <v/>
      </c>
      <c r="DK33" s="57" t="str">
        <f t="shared" si="49"/>
        <v/>
      </c>
      <c r="DL33" s="57" t="str">
        <f t="shared" si="50"/>
        <v/>
      </c>
      <c r="DM33" s="57" t="str">
        <f t="shared" si="51"/>
        <v/>
      </c>
      <c r="DN33" s="57" t="str">
        <f t="shared" si="52"/>
        <v/>
      </c>
      <c r="DO33" s="57"/>
      <c r="DP33" s="57"/>
      <c r="DQ33" s="57"/>
      <c r="DR33" s="57"/>
      <c r="DS33" s="58">
        <f t="shared" si="53"/>
        <v>0</v>
      </c>
      <c r="DT33" s="55" t="e">
        <f t="shared" si="54"/>
        <v>#N/A</v>
      </c>
      <c r="DU33" s="58"/>
      <c r="DV33" s="59" t="e">
        <f>IF(DE33&gt;100,"",IF(DE33&gt;CD$1,"sangat baik dalam "&amp;DT33,IF(DE33&gt;=CD$2,"baik dalam "&amp;DT33,IF(DE33&gt;=CD$3,"cukup dalam "&amp;DT33,IF(DE33&lt;CD$3,"dengan bimbingan dapat meningkatkan dalam "&amp;DT33,IF(DE33&lt;1," ",””))))))</f>
        <v>#N/A</v>
      </c>
      <c r="DW33" s="58"/>
      <c r="DX33" s="57" t="str">
        <f t="shared" si="55"/>
        <v/>
      </c>
      <c r="DY33" s="57" t="str">
        <f t="shared" si="56"/>
        <v/>
      </c>
      <c r="DZ33" s="57" t="str">
        <f t="shared" si="57"/>
        <v/>
      </c>
      <c r="EA33" s="57" t="str">
        <f t="shared" si="58"/>
        <v/>
      </c>
      <c r="EB33" s="57" t="str">
        <f t="shared" si="59"/>
        <v/>
      </c>
      <c r="EC33" s="57" t="str">
        <f t="shared" si="60"/>
        <v/>
      </c>
      <c r="ED33" s="57"/>
      <c r="EE33" s="57"/>
      <c r="EF33" s="57"/>
      <c r="EG33" s="57"/>
      <c r="EH33" s="59" t="e">
        <f t="shared" si="61"/>
        <v>#N/A</v>
      </c>
      <c r="EI33" s="59" t="e">
        <f>IF(DF33&gt;100,"",IF(DF33&gt;CD$1,"sangat baik dalam "&amp;EH33,IF(DF33&gt;=CD$2,"baik dalam "&amp;EH33,IF(DF33&gt;=CD$3,"cukup dalam "&amp;EH33,IF(DF33&lt;CD$3,"dengan bimbingan dapat meningkatkan dalam "&amp;EH33,IF(DF33&lt;1," ",””))))))</f>
        <v>#N/A</v>
      </c>
      <c r="EJ33" s="61"/>
      <c r="EK33" s="62" t="e">
        <f t="shared" si="62"/>
        <v>#N/A</v>
      </c>
      <c r="EL33" s="57">
        <f t="shared" si="63"/>
        <v>0</v>
      </c>
      <c r="EM33" s="57">
        <f t="shared" si="64"/>
        <v>0</v>
      </c>
      <c r="EN33" s="57">
        <f t="shared" si="32"/>
        <v>0</v>
      </c>
      <c r="EO33" s="57"/>
      <c r="EP33" s="57"/>
      <c r="EQ33" s="57"/>
      <c r="ER33" s="59">
        <f t="shared" si="33"/>
        <v>0</v>
      </c>
      <c r="ES33" s="60"/>
      <c r="ET33" s="61"/>
      <c r="EU33" s="62" t="str">
        <f t="shared" si="65"/>
        <v>, 0</v>
      </c>
    </row>
    <row r="34" spans="1:151" ht="34.5" customHeight="1">
      <c r="A34" s="39">
        <v>27</v>
      </c>
      <c r="B34" s="269">
        <f>SISWA!B32</f>
        <v>0</v>
      </c>
      <c r="C34" s="123"/>
      <c r="D34" s="123"/>
      <c r="E34" s="123"/>
      <c r="F34" s="123"/>
      <c r="G34" s="123"/>
      <c r="H34" s="123"/>
      <c r="I34" s="256"/>
      <c r="J34" s="256"/>
      <c r="K34" s="256"/>
      <c r="L34" s="256"/>
      <c r="M34" s="256"/>
      <c r="N34" s="256"/>
      <c r="O34" s="123"/>
      <c r="P34" s="123"/>
      <c r="Q34" s="123"/>
      <c r="R34" s="123"/>
      <c r="S34" s="123"/>
      <c r="T34" s="123"/>
      <c r="U34" s="256"/>
      <c r="V34" s="256"/>
      <c r="W34" s="256"/>
      <c r="X34" s="256"/>
      <c r="Y34" s="256"/>
      <c r="Z34" s="256"/>
      <c r="AA34" s="123"/>
      <c r="AB34" s="123"/>
      <c r="AC34" s="123"/>
      <c r="AD34" s="123"/>
      <c r="AE34" s="123"/>
      <c r="AF34" s="123"/>
      <c r="AG34" s="256"/>
      <c r="AH34" s="256"/>
      <c r="AI34" s="256"/>
      <c r="AJ34" s="256"/>
      <c r="AK34" s="256"/>
      <c r="AL34" s="256"/>
      <c r="AM34" s="123"/>
      <c r="AN34" s="123"/>
      <c r="AO34" s="123"/>
      <c r="AP34" s="123"/>
      <c r="AQ34" s="123"/>
      <c r="AR34" s="123"/>
      <c r="AS34" s="256"/>
      <c r="AT34" s="256"/>
      <c r="AU34" s="256"/>
      <c r="AV34" s="256"/>
      <c r="AW34" s="256"/>
      <c r="AX34" s="256"/>
      <c r="AY34" s="460"/>
      <c r="AZ34" s="460"/>
      <c r="BA34" s="460"/>
      <c r="BB34" s="460"/>
      <c r="BC34" s="460"/>
      <c r="BD34" s="460"/>
      <c r="BE34" s="346"/>
      <c r="BF34" s="346"/>
      <c r="BG34" s="346"/>
      <c r="BH34" s="346"/>
      <c r="BI34" s="346"/>
      <c r="BJ34" s="346"/>
      <c r="BK34" s="260" t="str">
        <f t="shared" si="16"/>
        <v xml:space="preserve"> </v>
      </c>
      <c r="BL34" s="260" t="str">
        <f t="shared" si="17"/>
        <v xml:space="preserve"> </v>
      </c>
      <c r="BM34" s="260" t="str">
        <f t="shared" si="18"/>
        <v xml:space="preserve"> </v>
      </c>
      <c r="BN34" s="260" t="str">
        <f t="shared" si="19"/>
        <v xml:space="preserve"> </v>
      </c>
      <c r="BO34" s="260" t="str">
        <f t="shared" si="20"/>
        <v xml:space="preserve"> </v>
      </c>
      <c r="BP34" s="260" t="str">
        <f t="shared" si="21"/>
        <v xml:space="preserve"> </v>
      </c>
      <c r="BQ34" s="547"/>
      <c r="BR34" s="547"/>
      <c r="BS34" s="547"/>
      <c r="BT34" s="547"/>
      <c r="BU34" s="547"/>
      <c r="BV34" s="547"/>
      <c r="BW34" s="548"/>
      <c r="BX34" s="548"/>
      <c r="BY34" s="548"/>
      <c r="BZ34" s="548"/>
      <c r="CA34" s="548"/>
      <c r="CB34" s="548"/>
      <c r="CC34" s="550" t="str">
        <f t="shared" si="34"/>
        <v xml:space="preserve"> </v>
      </c>
      <c r="CD34" s="291" t="str">
        <f t="shared" si="35"/>
        <v xml:space="preserve">  </v>
      </c>
      <c r="CE34" s="50" t="str">
        <f t="shared" si="36"/>
        <v xml:space="preserve"> </v>
      </c>
      <c r="CF34" s="282"/>
      <c r="CG34" s="51"/>
      <c r="CH34" s="46" t="str">
        <f t="shared" si="37"/>
        <v xml:space="preserve"> </v>
      </c>
      <c r="CI34" s="46" t="str">
        <f t="shared" si="38"/>
        <v xml:space="preserve"> </v>
      </c>
      <c r="CJ34" s="46" t="str">
        <f t="shared" si="39"/>
        <v xml:space="preserve"> </v>
      </c>
      <c r="CK34" s="46" t="str">
        <f t="shared" si="40"/>
        <v xml:space="preserve"> </v>
      </c>
      <c r="CL34" s="46" t="str">
        <f t="shared" si="41"/>
        <v xml:space="preserve"> </v>
      </c>
      <c r="CM34" s="46" t="str">
        <f t="shared" si="42"/>
        <v xml:space="preserve"> </v>
      </c>
      <c r="CN34" s="46"/>
      <c r="CO34" s="46"/>
      <c r="CP34" s="46"/>
      <c r="CQ34" s="46"/>
      <c r="CR34" s="52"/>
      <c r="CS34" s="51"/>
      <c r="CT34" s="53" t="str">
        <f t="shared" si="23"/>
        <v xml:space="preserve">  </v>
      </c>
      <c r="CU34" s="53" t="str">
        <f t="shared" si="24"/>
        <v xml:space="preserve">  </v>
      </c>
      <c r="CV34" s="53" t="str">
        <f t="shared" si="25"/>
        <v xml:space="preserve">  </v>
      </c>
      <c r="CW34" s="53" t="str">
        <f t="shared" si="26"/>
        <v xml:space="preserve">  </v>
      </c>
      <c r="CX34" s="53" t="str">
        <f t="shared" si="27"/>
        <v xml:space="preserve">  </v>
      </c>
      <c r="CY34" s="53" t="str">
        <f t="shared" si="28"/>
        <v xml:space="preserve">  </v>
      </c>
      <c r="CZ34" s="53"/>
      <c r="DA34" s="53"/>
      <c r="DB34" s="53"/>
      <c r="DC34" s="53"/>
      <c r="DD34" s="54" t="str">
        <f t="shared" si="43"/>
        <v xml:space="preserve"> </v>
      </c>
      <c r="DE34" s="55">
        <f t="shared" si="44"/>
        <v>0</v>
      </c>
      <c r="DF34" s="55">
        <f t="shared" si="45"/>
        <v>0</v>
      </c>
      <c r="DG34" s="51">
        <f>SISWA!E32</f>
        <v>0</v>
      </c>
      <c r="DH34" s="51" t="str">
        <f t="shared" si="46"/>
        <v/>
      </c>
      <c r="DI34" s="56" t="str">
        <f t="shared" si="47"/>
        <v/>
      </c>
      <c r="DJ34" s="57" t="str">
        <f t="shared" si="48"/>
        <v/>
      </c>
      <c r="DK34" s="57" t="str">
        <f t="shared" si="49"/>
        <v/>
      </c>
      <c r="DL34" s="57" t="str">
        <f t="shared" si="50"/>
        <v/>
      </c>
      <c r="DM34" s="57" t="str">
        <f t="shared" si="51"/>
        <v/>
      </c>
      <c r="DN34" s="57" t="str">
        <f t="shared" si="52"/>
        <v/>
      </c>
      <c r="DO34" s="57"/>
      <c r="DP34" s="57"/>
      <c r="DQ34" s="57"/>
      <c r="DR34" s="57"/>
      <c r="DS34" s="58">
        <f t="shared" si="53"/>
        <v>0</v>
      </c>
      <c r="DT34" s="55" t="e">
        <f t="shared" si="54"/>
        <v>#N/A</v>
      </c>
      <c r="DU34" s="58"/>
      <c r="DV34" s="59" t="e">
        <f>IF(DE34&gt;100,"",IF(DE34&gt;CD$1,"sangat baik dalam "&amp;DT34,IF(DE34&gt;=CD$2,"baik dalam "&amp;DT34,IF(DE34&gt;=CD$3,"cukup dalam "&amp;DT34,IF(DE34&lt;CD$3,"dengan bimbingan dapat meningkatkan dalam "&amp;DT34,IF(DE34&lt;1," ",””))))))</f>
        <v>#N/A</v>
      </c>
      <c r="DW34" s="58"/>
      <c r="DX34" s="57" t="str">
        <f t="shared" si="55"/>
        <v/>
      </c>
      <c r="DY34" s="57" t="str">
        <f t="shared" si="56"/>
        <v/>
      </c>
      <c r="DZ34" s="57" t="str">
        <f t="shared" si="57"/>
        <v/>
      </c>
      <c r="EA34" s="57" t="str">
        <f t="shared" si="58"/>
        <v/>
      </c>
      <c r="EB34" s="57" t="str">
        <f t="shared" si="59"/>
        <v/>
      </c>
      <c r="EC34" s="57" t="str">
        <f t="shared" si="60"/>
        <v/>
      </c>
      <c r="ED34" s="57"/>
      <c r="EE34" s="57"/>
      <c r="EF34" s="57"/>
      <c r="EG34" s="57"/>
      <c r="EH34" s="59" t="e">
        <f t="shared" si="61"/>
        <v>#N/A</v>
      </c>
      <c r="EI34" s="59" t="e">
        <f>IF(DF34&gt;100,"",IF(DF34&gt;CD$1,"sangat baik dalam "&amp;EH34,IF(DF34&gt;=CD$2,"baik dalam "&amp;EH34,IF(DF34&gt;=CD$3,"cukup dalam "&amp;EH34,IF(DF34&lt;CD$3,"dengan bimbingan dapat meningkatkan dalam "&amp;EH34,IF(DF34&lt;1," ",””))))))</f>
        <v>#N/A</v>
      </c>
      <c r="EJ34" s="61"/>
      <c r="EK34" s="62" t="e">
        <f t="shared" si="62"/>
        <v>#N/A</v>
      </c>
      <c r="EL34" s="57">
        <f t="shared" si="63"/>
        <v>0</v>
      </c>
      <c r="EM34" s="57">
        <f t="shared" si="64"/>
        <v>0</v>
      </c>
      <c r="EN34" s="57">
        <f t="shared" si="32"/>
        <v>0</v>
      </c>
      <c r="EO34" s="57"/>
      <c r="EP34" s="57"/>
      <c r="EQ34" s="57"/>
      <c r="ER34" s="59">
        <f t="shared" si="33"/>
        <v>0</v>
      </c>
      <c r="ES34" s="60"/>
      <c r="ET34" s="61"/>
      <c r="EU34" s="62" t="str">
        <f t="shared" si="65"/>
        <v>, 0</v>
      </c>
    </row>
    <row r="35" spans="1:151" ht="34.5" customHeight="1">
      <c r="A35" s="39">
        <v>28</v>
      </c>
      <c r="B35" s="269">
        <f>SISWA!B33</f>
        <v>0</v>
      </c>
      <c r="C35" s="123"/>
      <c r="D35" s="123"/>
      <c r="E35" s="123"/>
      <c r="F35" s="123"/>
      <c r="G35" s="123"/>
      <c r="H35" s="123"/>
      <c r="I35" s="256"/>
      <c r="J35" s="256"/>
      <c r="K35" s="256"/>
      <c r="L35" s="256"/>
      <c r="M35" s="256"/>
      <c r="N35" s="256"/>
      <c r="O35" s="123"/>
      <c r="P35" s="123"/>
      <c r="Q35" s="123"/>
      <c r="R35" s="123"/>
      <c r="S35" s="123"/>
      <c r="T35" s="123"/>
      <c r="U35" s="256"/>
      <c r="V35" s="256"/>
      <c r="W35" s="256"/>
      <c r="X35" s="256"/>
      <c r="Y35" s="256"/>
      <c r="Z35" s="256"/>
      <c r="AA35" s="123"/>
      <c r="AB35" s="123"/>
      <c r="AC35" s="123"/>
      <c r="AD35" s="123"/>
      <c r="AE35" s="123"/>
      <c r="AF35" s="123"/>
      <c r="AG35" s="256"/>
      <c r="AH35" s="256"/>
      <c r="AI35" s="256"/>
      <c r="AJ35" s="256"/>
      <c r="AK35" s="256"/>
      <c r="AL35" s="256"/>
      <c r="AM35" s="123"/>
      <c r="AN35" s="123"/>
      <c r="AO35" s="123"/>
      <c r="AP35" s="123"/>
      <c r="AQ35" s="123"/>
      <c r="AR35" s="123"/>
      <c r="AS35" s="256"/>
      <c r="AT35" s="256"/>
      <c r="AU35" s="256"/>
      <c r="AV35" s="256"/>
      <c r="AW35" s="256"/>
      <c r="AX35" s="256"/>
      <c r="AY35" s="460"/>
      <c r="AZ35" s="460"/>
      <c r="BA35" s="460"/>
      <c r="BB35" s="460"/>
      <c r="BC35" s="460"/>
      <c r="BD35" s="460"/>
      <c r="BE35" s="346"/>
      <c r="BF35" s="346"/>
      <c r="BG35" s="346"/>
      <c r="BH35" s="346"/>
      <c r="BI35" s="346"/>
      <c r="BJ35" s="346"/>
      <c r="BK35" s="260" t="str">
        <f t="shared" si="16"/>
        <v xml:space="preserve"> </v>
      </c>
      <c r="BL35" s="260" t="str">
        <f t="shared" si="17"/>
        <v xml:space="preserve"> </v>
      </c>
      <c r="BM35" s="260" t="str">
        <f t="shared" si="18"/>
        <v xml:space="preserve"> </v>
      </c>
      <c r="BN35" s="260" t="str">
        <f t="shared" si="19"/>
        <v xml:space="preserve"> </v>
      </c>
      <c r="BO35" s="260" t="str">
        <f t="shared" si="20"/>
        <v xml:space="preserve"> </v>
      </c>
      <c r="BP35" s="260" t="str">
        <f t="shared" si="21"/>
        <v xml:space="preserve"> </v>
      </c>
      <c r="BQ35" s="547"/>
      <c r="BR35" s="547"/>
      <c r="BS35" s="547"/>
      <c r="BT35" s="547"/>
      <c r="BU35" s="547"/>
      <c r="BV35" s="547"/>
      <c r="BW35" s="548"/>
      <c r="BX35" s="548"/>
      <c r="BY35" s="548"/>
      <c r="BZ35" s="548"/>
      <c r="CA35" s="548"/>
      <c r="CB35" s="548"/>
      <c r="CC35" s="550" t="str">
        <f t="shared" si="34"/>
        <v xml:space="preserve"> </v>
      </c>
      <c r="CD35" s="291" t="str">
        <f t="shared" si="35"/>
        <v xml:space="preserve">  </v>
      </c>
      <c r="CE35" s="50" t="str">
        <f t="shared" si="36"/>
        <v xml:space="preserve"> </v>
      </c>
      <c r="CF35" s="282"/>
      <c r="CG35" s="51"/>
      <c r="CH35" s="46" t="str">
        <f t="shared" si="37"/>
        <v xml:space="preserve"> </v>
      </c>
      <c r="CI35" s="46" t="str">
        <f t="shared" si="38"/>
        <v xml:space="preserve"> </v>
      </c>
      <c r="CJ35" s="46" t="str">
        <f t="shared" si="39"/>
        <v xml:space="preserve"> </v>
      </c>
      <c r="CK35" s="46" t="str">
        <f t="shared" si="40"/>
        <v xml:space="preserve"> </v>
      </c>
      <c r="CL35" s="46" t="str">
        <f t="shared" si="41"/>
        <v xml:space="preserve"> </v>
      </c>
      <c r="CM35" s="46" t="str">
        <f t="shared" si="42"/>
        <v xml:space="preserve"> </v>
      </c>
      <c r="CN35" s="46"/>
      <c r="CO35" s="46"/>
      <c r="CP35" s="46"/>
      <c r="CQ35" s="46"/>
      <c r="CR35" s="52"/>
      <c r="CS35" s="51"/>
      <c r="CT35" s="53" t="str">
        <f t="shared" si="23"/>
        <v xml:space="preserve">  </v>
      </c>
      <c r="CU35" s="53" t="str">
        <f t="shared" si="24"/>
        <v xml:space="preserve">  </v>
      </c>
      <c r="CV35" s="53" t="str">
        <f t="shared" si="25"/>
        <v xml:space="preserve">  </v>
      </c>
      <c r="CW35" s="53" t="str">
        <f t="shared" si="26"/>
        <v xml:space="preserve">  </v>
      </c>
      <c r="CX35" s="53" t="str">
        <f t="shared" si="27"/>
        <v xml:space="preserve">  </v>
      </c>
      <c r="CY35" s="53" t="str">
        <f t="shared" si="28"/>
        <v xml:space="preserve">  </v>
      </c>
      <c r="CZ35" s="53"/>
      <c r="DA35" s="53"/>
      <c r="DB35" s="53"/>
      <c r="DC35" s="53"/>
      <c r="DD35" s="54" t="str">
        <f t="shared" si="43"/>
        <v xml:space="preserve"> </v>
      </c>
      <c r="DE35" s="55">
        <f t="shared" si="44"/>
        <v>0</v>
      </c>
      <c r="DF35" s="55">
        <f t="shared" si="45"/>
        <v>0</v>
      </c>
      <c r="DG35" s="51">
        <f>SISWA!E33</f>
        <v>0</v>
      </c>
      <c r="DH35" s="51" t="str">
        <f t="shared" si="46"/>
        <v/>
      </c>
      <c r="DI35" s="56" t="str">
        <f t="shared" si="47"/>
        <v/>
      </c>
      <c r="DJ35" s="57" t="str">
        <f t="shared" si="48"/>
        <v/>
      </c>
      <c r="DK35" s="57" t="str">
        <f t="shared" si="49"/>
        <v/>
      </c>
      <c r="DL35" s="57" t="str">
        <f t="shared" si="50"/>
        <v/>
      </c>
      <c r="DM35" s="57" t="str">
        <f t="shared" si="51"/>
        <v/>
      </c>
      <c r="DN35" s="57" t="str">
        <f t="shared" si="52"/>
        <v/>
      </c>
      <c r="DO35" s="57"/>
      <c r="DP35" s="57"/>
      <c r="DQ35" s="57"/>
      <c r="DR35" s="57"/>
      <c r="DS35" s="58">
        <f t="shared" si="53"/>
        <v>0</v>
      </c>
      <c r="DT35" s="55" t="e">
        <f t="shared" si="54"/>
        <v>#N/A</v>
      </c>
      <c r="DU35" s="58"/>
      <c r="DV35" s="59" t="e">
        <f>IF(DE35&gt;100,"",IF(DE35&gt;CD$1,"sangat baik dalam "&amp;DT35,IF(DE35&gt;=CD$2,"baik dalam "&amp;DT35,IF(DE35&gt;=CD$3,"cukup dalam "&amp;DT35,IF(DE35&lt;CD$3,"dengan bimbingan dapat meningkatkan dalam "&amp;DT35,IF(DE35&lt;1," ",””))))))</f>
        <v>#N/A</v>
      </c>
      <c r="DW35" s="58"/>
      <c r="DX35" s="57" t="str">
        <f t="shared" si="55"/>
        <v/>
      </c>
      <c r="DY35" s="57" t="str">
        <f t="shared" si="56"/>
        <v/>
      </c>
      <c r="DZ35" s="57" t="str">
        <f t="shared" si="57"/>
        <v/>
      </c>
      <c r="EA35" s="57" t="str">
        <f t="shared" si="58"/>
        <v/>
      </c>
      <c r="EB35" s="57" t="str">
        <f t="shared" si="59"/>
        <v/>
      </c>
      <c r="EC35" s="57" t="str">
        <f t="shared" si="60"/>
        <v/>
      </c>
      <c r="ED35" s="57"/>
      <c r="EE35" s="57"/>
      <c r="EF35" s="57"/>
      <c r="EG35" s="57"/>
      <c r="EH35" s="59" t="e">
        <f t="shared" si="61"/>
        <v>#N/A</v>
      </c>
      <c r="EI35" s="59" t="e">
        <f>IF(DF35&gt;100,"",IF(DF35&gt;CD$1,"sangat baik dalam "&amp;EH35,IF(DF35&gt;=CD$2,"baik dalam "&amp;EH35,IF(DF35&gt;=CD$3,"cukup dalam "&amp;EH35,IF(DF35&lt;CD$3,"dengan bimbingan dapat meningkatkan dalam "&amp;EH35,IF(DF35&lt;1," ",””))))))</f>
        <v>#N/A</v>
      </c>
      <c r="EJ35" s="61"/>
      <c r="EK35" s="62" t="e">
        <f t="shared" si="62"/>
        <v>#N/A</v>
      </c>
      <c r="EL35" s="57">
        <f t="shared" si="63"/>
        <v>0</v>
      </c>
      <c r="EM35" s="57">
        <f t="shared" si="64"/>
        <v>0</v>
      </c>
      <c r="EN35" s="57">
        <f t="shared" si="32"/>
        <v>0</v>
      </c>
      <c r="EO35" s="57"/>
      <c r="EP35" s="57"/>
      <c r="EQ35" s="57"/>
      <c r="ER35" s="59">
        <f t="shared" si="33"/>
        <v>0</v>
      </c>
      <c r="ES35" s="60"/>
      <c r="ET35" s="61"/>
      <c r="EU35" s="62" t="str">
        <f t="shared" si="65"/>
        <v>, 0</v>
      </c>
    </row>
    <row r="36" spans="1:151" ht="34.5" customHeight="1">
      <c r="A36" s="39">
        <v>29</v>
      </c>
      <c r="B36" s="269">
        <f>SISWA!B34</f>
        <v>0</v>
      </c>
      <c r="C36" s="123"/>
      <c r="D36" s="123"/>
      <c r="E36" s="123"/>
      <c r="F36" s="123"/>
      <c r="G36" s="123"/>
      <c r="H36" s="123"/>
      <c r="I36" s="256"/>
      <c r="J36" s="256"/>
      <c r="K36" s="256"/>
      <c r="L36" s="256"/>
      <c r="M36" s="256"/>
      <c r="N36" s="256"/>
      <c r="O36" s="123"/>
      <c r="P36" s="123"/>
      <c r="Q36" s="123"/>
      <c r="R36" s="123"/>
      <c r="S36" s="123"/>
      <c r="T36" s="123"/>
      <c r="U36" s="256"/>
      <c r="V36" s="256"/>
      <c r="W36" s="256"/>
      <c r="X36" s="256"/>
      <c r="Y36" s="256"/>
      <c r="Z36" s="256"/>
      <c r="AA36" s="123"/>
      <c r="AB36" s="123"/>
      <c r="AC36" s="123"/>
      <c r="AD36" s="123"/>
      <c r="AE36" s="123"/>
      <c r="AF36" s="123"/>
      <c r="AG36" s="256"/>
      <c r="AH36" s="256"/>
      <c r="AI36" s="256"/>
      <c r="AJ36" s="256"/>
      <c r="AK36" s="256"/>
      <c r="AL36" s="256"/>
      <c r="AM36" s="123"/>
      <c r="AN36" s="123"/>
      <c r="AO36" s="123"/>
      <c r="AP36" s="123"/>
      <c r="AQ36" s="123"/>
      <c r="AR36" s="123"/>
      <c r="AS36" s="256"/>
      <c r="AT36" s="256"/>
      <c r="AU36" s="256"/>
      <c r="AV36" s="256"/>
      <c r="AW36" s="256"/>
      <c r="AX36" s="256"/>
      <c r="AY36" s="460"/>
      <c r="AZ36" s="460"/>
      <c r="BA36" s="460"/>
      <c r="BB36" s="460"/>
      <c r="BC36" s="460"/>
      <c r="BD36" s="460"/>
      <c r="BE36" s="346"/>
      <c r="BF36" s="346"/>
      <c r="BG36" s="346"/>
      <c r="BH36" s="346"/>
      <c r="BI36" s="346"/>
      <c r="BJ36" s="346"/>
      <c r="BK36" s="260" t="str">
        <f t="shared" si="16"/>
        <v xml:space="preserve"> </v>
      </c>
      <c r="BL36" s="260" t="str">
        <f t="shared" si="17"/>
        <v xml:space="preserve"> </v>
      </c>
      <c r="BM36" s="260" t="str">
        <f t="shared" si="18"/>
        <v xml:space="preserve"> </v>
      </c>
      <c r="BN36" s="260" t="str">
        <f t="shared" si="19"/>
        <v xml:space="preserve"> </v>
      </c>
      <c r="BO36" s="260" t="str">
        <f t="shared" si="20"/>
        <v xml:space="preserve"> </v>
      </c>
      <c r="BP36" s="260" t="str">
        <f t="shared" si="21"/>
        <v xml:space="preserve"> </v>
      </c>
      <c r="BQ36" s="547"/>
      <c r="BR36" s="547"/>
      <c r="BS36" s="547"/>
      <c r="BT36" s="547"/>
      <c r="BU36" s="547"/>
      <c r="BV36" s="547"/>
      <c r="BW36" s="548"/>
      <c r="BX36" s="548"/>
      <c r="BY36" s="548"/>
      <c r="BZ36" s="548"/>
      <c r="CA36" s="548"/>
      <c r="CB36" s="548"/>
      <c r="CC36" s="550" t="str">
        <f t="shared" si="34"/>
        <v xml:space="preserve"> </v>
      </c>
      <c r="CD36" s="291" t="str">
        <f t="shared" si="35"/>
        <v xml:space="preserve">  </v>
      </c>
      <c r="CE36" s="50" t="str">
        <f t="shared" si="36"/>
        <v xml:space="preserve"> </v>
      </c>
      <c r="CF36" s="282"/>
      <c r="CG36" s="51"/>
      <c r="CH36" s="46" t="str">
        <f t="shared" si="37"/>
        <v xml:space="preserve"> </v>
      </c>
      <c r="CI36" s="46" t="str">
        <f t="shared" si="38"/>
        <v xml:space="preserve"> </v>
      </c>
      <c r="CJ36" s="46" t="str">
        <f t="shared" si="39"/>
        <v xml:space="preserve"> </v>
      </c>
      <c r="CK36" s="46" t="str">
        <f t="shared" si="40"/>
        <v xml:space="preserve"> </v>
      </c>
      <c r="CL36" s="46" t="str">
        <f t="shared" si="41"/>
        <v xml:space="preserve"> </v>
      </c>
      <c r="CM36" s="46" t="str">
        <f t="shared" si="42"/>
        <v xml:space="preserve"> </v>
      </c>
      <c r="CN36" s="46"/>
      <c r="CO36" s="46"/>
      <c r="CP36" s="46"/>
      <c r="CQ36" s="46"/>
      <c r="CR36" s="52"/>
      <c r="CS36" s="51"/>
      <c r="CT36" s="53" t="str">
        <f t="shared" si="23"/>
        <v xml:space="preserve">  </v>
      </c>
      <c r="CU36" s="53" t="str">
        <f t="shared" si="24"/>
        <v xml:space="preserve">  </v>
      </c>
      <c r="CV36" s="53" t="str">
        <f t="shared" si="25"/>
        <v xml:space="preserve">  </v>
      </c>
      <c r="CW36" s="53" t="str">
        <f t="shared" si="26"/>
        <v xml:space="preserve">  </v>
      </c>
      <c r="CX36" s="53" t="str">
        <f t="shared" si="27"/>
        <v xml:space="preserve">  </v>
      </c>
      <c r="CY36" s="53" t="str">
        <f t="shared" si="28"/>
        <v xml:space="preserve">  </v>
      </c>
      <c r="CZ36" s="53"/>
      <c r="DA36" s="53"/>
      <c r="DB36" s="53"/>
      <c r="DC36" s="53"/>
      <c r="DD36" s="54" t="str">
        <f t="shared" si="43"/>
        <v xml:space="preserve"> </v>
      </c>
      <c r="DE36" s="55">
        <f t="shared" si="44"/>
        <v>0</v>
      </c>
      <c r="DF36" s="55">
        <f t="shared" si="45"/>
        <v>0</v>
      </c>
      <c r="DG36" s="51">
        <f>SISWA!E34</f>
        <v>0</v>
      </c>
      <c r="DH36" s="51" t="str">
        <f t="shared" si="46"/>
        <v/>
      </c>
      <c r="DI36" s="56" t="str">
        <f t="shared" si="47"/>
        <v/>
      </c>
      <c r="DJ36" s="57" t="str">
        <f t="shared" si="48"/>
        <v/>
      </c>
      <c r="DK36" s="57" t="str">
        <f t="shared" si="49"/>
        <v/>
      </c>
      <c r="DL36" s="57" t="str">
        <f t="shared" si="50"/>
        <v/>
      </c>
      <c r="DM36" s="57" t="str">
        <f t="shared" si="51"/>
        <v/>
      </c>
      <c r="DN36" s="57" t="str">
        <f t="shared" si="52"/>
        <v/>
      </c>
      <c r="DO36" s="57"/>
      <c r="DP36" s="57"/>
      <c r="DQ36" s="57"/>
      <c r="DR36" s="57"/>
      <c r="DS36" s="58">
        <f t="shared" si="53"/>
        <v>0</v>
      </c>
      <c r="DT36" s="55" t="e">
        <f t="shared" si="54"/>
        <v>#N/A</v>
      </c>
      <c r="DU36" s="58"/>
      <c r="DV36" s="59" t="e">
        <f>IF(DE36&gt;100,"",IF(DE36&gt;CD$1,"sangat baik dalam "&amp;DT36,IF(DE36&gt;=CD$2,"baik dalam "&amp;DT36,IF(DE36&gt;=CD$3,"cukup dalam "&amp;DT36,IF(DE36&lt;CD$3,"dengan bimbingan dapat meningkatkan dalam "&amp;DT36,IF(DE36&lt;1," ",””))))))</f>
        <v>#N/A</v>
      </c>
      <c r="DW36" s="58"/>
      <c r="DX36" s="57" t="str">
        <f t="shared" si="55"/>
        <v/>
      </c>
      <c r="DY36" s="57" t="str">
        <f t="shared" si="56"/>
        <v/>
      </c>
      <c r="DZ36" s="57" t="str">
        <f t="shared" si="57"/>
        <v/>
      </c>
      <c r="EA36" s="57" t="str">
        <f t="shared" si="58"/>
        <v/>
      </c>
      <c r="EB36" s="57" t="str">
        <f t="shared" si="59"/>
        <v/>
      </c>
      <c r="EC36" s="57" t="str">
        <f t="shared" si="60"/>
        <v/>
      </c>
      <c r="ED36" s="57"/>
      <c r="EE36" s="57"/>
      <c r="EF36" s="57"/>
      <c r="EG36" s="57"/>
      <c r="EH36" s="59" t="e">
        <f t="shared" si="61"/>
        <v>#N/A</v>
      </c>
      <c r="EI36" s="59" t="e">
        <f>IF(DF36&gt;100,"",IF(DF36&gt;CD$1,"sangat baik dalam "&amp;EH36,IF(DF36&gt;=CD$2,"baik dalam "&amp;EH36,IF(DF36&gt;=CD$3,"cukup dalam "&amp;EH36,IF(DF36&lt;CD$3,"dengan bimbingan dapat meningkatkan dalam "&amp;EH36,IF(DF36&lt;1," ",””))))))</f>
        <v>#N/A</v>
      </c>
      <c r="EJ36" s="61"/>
      <c r="EK36" s="62" t="e">
        <f t="shared" si="62"/>
        <v>#N/A</v>
      </c>
      <c r="EL36" s="57">
        <f t="shared" si="63"/>
        <v>0</v>
      </c>
      <c r="EM36" s="57">
        <f t="shared" si="64"/>
        <v>0</v>
      </c>
      <c r="EN36" s="57">
        <f t="shared" si="32"/>
        <v>0</v>
      </c>
      <c r="EO36" s="57"/>
      <c r="EP36" s="57"/>
      <c r="EQ36" s="57"/>
      <c r="ER36" s="59">
        <f t="shared" si="33"/>
        <v>0</v>
      </c>
      <c r="ES36" s="60"/>
      <c r="ET36" s="61"/>
      <c r="EU36" s="62" t="str">
        <f t="shared" si="65"/>
        <v>, 0</v>
      </c>
    </row>
    <row r="37" spans="1:151" ht="34.5" customHeight="1">
      <c r="A37" s="39">
        <v>30</v>
      </c>
      <c r="B37" s="269">
        <f>SISWA!B35</f>
        <v>0</v>
      </c>
      <c r="C37" s="123"/>
      <c r="D37" s="123"/>
      <c r="E37" s="123"/>
      <c r="F37" s="123"/>
      <c r="G37" s="123"/>
      <c r="H37" s="123"/>
      <c r="I37" s="256"/>
      <c r="J37" s="256"/>
      <c r="K37" s="256"/>
      <c r="L37" s="256"/>
      <c r="M37" s="256"/>
      <c r="N37" s="256"/>
      <c r="O37" s="123"/>
      <c r="P37" s="123"/>
      <c r="Q37" s="123"/>
      <c r="R37" s="123"/>
      <c r="S37" s="123"/>
      <c r="T37" s="123"/>
      <c r="U37" s="256"/>
      <c r="V37" s="256"/>
      <c r="W37" s="256"/>
      <c r="X37" s="256"/>
      <c r="Y37" s="256"/>
      <c r="Z37" s="256"/>
      <c r="AA37" s="123"/>
      <c r="AB37" s="123"/>
      <c r="AC37" s="123"/>
      <c r="AD37" s="123"/>
      <c r="AE37" s="123"/>
      <c r="AF37" s="123"/>
      <c r="AG37" s="256"/>
      <c r="AH37" s="256"/>
      <c r="AI37" s="256"/>
      <c r="AJ37" s="256"/>
      <c r="AK37" s="256"/>
      <c r="AL37" s="256"/>
      <c r="AM37" s="123"/>
      <c r="AN37" s="123"/>
      <c r="AO37" s="123"/>
      <c r="AP37" s="123"/>
      <c r="AQ37" s="123"/>
      <c r="AR37" s="123"/>
      <c r="AS37" s="256"/>
      <c r="AT37" s="256"/>
      <c r="AU37" s="256"/>
      <c r="AV37" s="256"/>
      <c r="AW37" s="256"/>
      <c r="AX37" s="256"/>
      <c r="AY37" s="460"/>
      <c r="AZ37" s="460"/>
      <c r="BA37" s="460"/>
      <c r="BB37" s="460"/>
      <c r="BC37" s="460"/>
      <c r="BD37" s="460"/>
      <c r="BE37" s="346"/>
      <c r="BF37" s="346"/>
      <c r="BG37" s="346"/>
      <c r="BH37" s="346"/>
      <c r="BI37" s="346"/>
      <c r="BJ37" s="346"/>
      <c r="BK37" s="260" t="str">
        <f t="shared" si="16"/>
        <v xml:space="preserve"> </v>
      </c>
      <c r="BL37" s="260" t="str">
        <f t="shared" si="17"/>
        <v xml:space="preserve"> </v>
      </c>
      <c r="BM37" s="260" t="str">
        <f t="shared" si="18"/>
        <v xml:space="preserve"> </v>
      </c>
      <c r="BN37" s="260" t="str">
        <f t="shared" si="19"/>
        <v xml:space="preserve"> </v>
      </c>
      <c r="BO37" s="260" t="str">
        <f t="shared" si="20"/>
        <v xml:space="preserve"> </v>
      </c>
      <c r="BP37" s="260" t="str">
        <f t="shared" si="21"/>
        <v xml:space="preserve"> </v>
      </c>
      <c r="BQ37" s="547"/>
      <c r="BR37" s="547"/>
      <c r="BS37" s="547"/>
      <c r="BT37" s="547"/>
      <c r="BU37" s="547"/>
      <c r="BV37" s="547"/>
      <c r="BW37" s="548"/>
      <c r="BX37" s="548"/>
      <c r="BY37" s="548"/>
      <c r="BZ37" s="548"/>
      <c r="CA37" s="548"/>
      <c r="CB37" s="548"/>
      <c r="CC37" s="550" t="str">
        <f t="shared" si="34"/>
        <v xml:space="preserve"> </v>
      </c>
      <c r="CD37" s="291" t="str">
        <f t="shared" si="35"/>
        <v xml:space="preserve">  </v>
      </c>
      <c r="CE37" s="50" t="str">
        <f t="shared" si="36"/>
        <v xml:space="preserve"> </v>
      </c>
      <c r="CF37" s="282"/>
      <c r="CG37" s="51"/>
      <c r="CH37" s="46" t="str">
        <f t="shared" si="37"/>
        <v xml:space="preserve"> </v>
      </c>
      <c r="CI37" s="46" t="str">
        <f t="shared" si="38"/>
        <v xml:space="preserve"> </v>
      </c>
      <c r="CJ37" s="46" t="str">
        <f t="shared" si="39"/>
        <v xml:space="preserve"> </v>
      </c>
      <c r="CK37" s="46" t="str">
        <f t="shared" si="40"/>
        <v xml:space="preserve"> </v>
      </c>
      <c r="CL37" s="46" t="str">
        <f t="shared" si="41"/>
        <v xml:space="preserve"> </v>
      </c>
      <c r="CM37" s="46" t="str">
        <f t="shared" si="42"/>
        <v xml:space="preserve"> </v>
      </c>
      <c r="CN37" s="46"/>
      <c r="CO37" s="46"/>
      <c r="CP37" s="46"/>
      <c r="CQ37" s="46"/>
      <c r="CR37" s="52"/>
      <c r="CS37" s="51"/>
      <c r="CT37" s="53" t="str">
        <f t="shared" si="23"/>
        <v xml:space="preserve">  </v>
      </c>
      <c r="CU37" s="53" t="str">
        <f t="shared" si="24"/>
        <v xml:space="preserve">  </v>
      </c>
      <c r="CV37" s="53" t="str">
        <f t="shared" si="25"/>
        <v xml:space="preserve">  </v>
      </c>
      <c r="CW37" s="53" t="str">
        <f t="shared" si="26"/>
        <v xml:space="preserve">  </v>
      </c>
      <c r="CX37" s="53" t="str">
        <f t="shared" si="27"/>
        <v xml:space="preserve">  </v>
      </c>
      <c r="CY37" s="53" t="str">
        <f t="shared" si="28"/>
        <v xml:space="preserve">  </v>
      </c>
      <c r="CZ37" s="53"/>
      <c r="DA37" s="53"/>
      <c r="DB37" s="53"/>
      <c r="DC37" s="53"/>
      <c r="DD37" s="54" t="str">
        <f t="shared" si="43"/>
        <v xml:space="preserve"> </v>
      </c>
      <c r="DE37" s="55">
        <f t="shared" si="44"/>
        <v>0</v>
      </c>
      <c r="DF37" s="55">
        <f t="shared" si="45"/>
        <v>0</v>
      </c>
      <c r="DG37" s="51">
        <f>SISWA!E35</f>
        <v>0</v>
      </c>
      <c r="DH37" s="51" t="str">
        <f t="shared" si="46"/>
        <v/>
      </c>
      <c r="DI37" s="56" t="str">
        <f t="shared" si="47"/>
        <v/>
      </c>
      <c r="DJ37" s="57" t="str">
        <f t="shared" si="48"/>
        <v/>
      </c>
      <c r="DK37" s="57" t="str">
        <f t="shared" si="49"/>
        <v/>
      </c>
      <c r="DL37" s="57" t="str">
        <f t="shared" si="50"/>
        <v/>
      </c>
      <c r="DM37" s="57" t="str">
        <f t="shared" si="51"/>
        <v/>
      </c>
      <c r="DN37" s="57" t="str">
        <f t="shared" si="52"/>
        <v/>
      </c>
      <c r="DO37" s="57"/>
      <c r="DP37" s="57"/>
      <c r="DQ37" s="57"/>
      <c r="DR37" s="57"/>
      <c r="DS37" s="58">
        <f t="shared" si="53"/>
        <v>0</v>
      </c>
      <c r="DT37" s="55" t="e">
        <f t="shared" si="54"/>
        <v>#N/A</v>
      </c>
      <c r="DU37" s="58"/>
      <c r="DV37" s="59" t="e">
        <f>IF(DE37&gt;100,"",IF(DE37&gt;CD$1,"sangat baik dalam "&amp;DT37,IF(DE37&gt;=CD$2,"baik dalam "&amp;DT37,IF(DE37&gt;=CD$3,"cukup dalam "&amp;DT37,IF(DE37&lt;CD$3,"dengan bimbingan dapat meningkatkan dalam "&amp;DT37,IF(DE37&lt;1," ",””))))))</f>
        <v>#N/A</v>
      </c>
      <c r="DW37" s="58"/>
      <c r="DX37" s="57" t="str">
        <f t="shared" si="55"/>
        <v/>
      </c>
      <c r="DY37" s="57" t="str">
        <f t="shared" si="56"/>
        <v/>
      </c>
      <c r="DZ37" s="57" t="str">
        <f t="shared" si="57"/>
        <v/>
      </c>
      <c r="EA37" s="57" t="str">
        <f t="shared" si="58"/>
        <v/>
      </c>
      <c r="EB37" s="57" t="str">
        <f t="shared" si="59"/>
        <v/>
      </c>
      <c r="EC37" s="57" t="str">
        <f t="shared" si="60"/>
        <v/>
      </c>
      <c r="ED37" s="57"/>
      <c r="EE37" s="57"/>
      <c r="EF37" s="57"/>
      <c r="EG37" s="57"/>
      <c r="EH37" s="59" t="e">
        <f t="shared" si="61"/>
        <v>#N/A</v>
      </c>
      <c r="EI37" s="59" t="e">
        <f>IF(DF37&gt;100,"",IF(DF37&gt;CD$1,"sangat baik dalam "&amp;EH37,IF(DF37&gt;=CD$2,"baik dalam "&amp;EH37,IF(DF37&gt;=CD$3,"cukup dalam "&amp;EH37,IF(DF37&lt;CD$3,"dengan bimbingan dapat meningkatkan dalam "&amp;EH37,IF(DF37&lt;1," ",””))))))</f>
        <v>#N/A</v>
      </c>
      <c r="EJ37" s="61"/>
      <c r="EK37" s="62" t="e">
        <f t="shared" si="62"/>
        <v>#N/A</v>
      </c>
      <c r="EL37" s="57">
        <f t="shared" si="63"/>
        <v>0</v>
      </c>
      <c r="EM37" s="57">
        <f t="shared" si="64"/>
        <v>0</v>
      </c>
      <c r="EN37" s="57">
        <f t="shared" si="32"/>
        <v>0</v>
      </c>
      <c r="EO37" s="57"/>
      <c r="EP37" s="57"/>
      <c r="EQ37" s="57"/>
      <c r="ER37" s="59">
        <f t="shared" si="33"/>
        <v>0</v>
      </c>
      <c r="ES37" s="60"/>
      <c r="ET37" s="61"/>
      <c r="EU37" s="62" t="str">
        <f t="shared" si="65"/>
        <v>, 0</v>
      </c>
    </row>
    <row r="38" spans="1:151" ht="34.5" customHeight="1">
      <c r="A38" s="39">
        <v>31</v>
      </c>
      <c r="B38" s="269">
        <f>SISWA!B36</f>
        <v>0</v>
      </c>
      <c r="C38" s="123"/>
      <c r="D38" s="123"/>
      <c r="E38" s="123"/>
      <c r="F38" s="123"/>
      <c r="G38" s="123"/>
      <c r="H38" s="123"/>
      <c r="I38" s="256"/>
      <c r="J38" s="256"/>
      <c r="K38" s="256"/>
      <c r="L38" s="256"/>
      <c r="M38" s="256"/>
      <c r="N38" s="256"/>
      <c r="O38" s="123"/>
      <c r="P38" s="123"/>
      <c r="Q38" s="123"/>
      <c r="R38" s="123"/>
      <c r="S38" s="123"/>
      <c r="T38" s="123"/>
      <c r="U38" s="256"/>
      <c r="V38" s="256"/>
      <c r="W38" s="256"/>
      <c r="X38" s="256"/>
      <c r="Y38" s="256"/>
      <c r="Z38" s="256"/>
      <c r="AA38" s="123"/>
      <c r="AB38" s="123"/>
      <c r="AC38" s="123"/>
      <c r="AD38" s="123"/>
      <c r="AE38" s="123"/>
      <c r="AF38" s="123"/>
      <c r="AG38" s="256"/>
      <c r="AH38" s="256"/>
      <c r="AI38" s="256"/>
      <c r="AJ38" s="256"/>
      <c r="AK38" s="256"/>
      <c r="AL38" s="256"/>
      <c r="AM38" s="123"/>
      <c r="AN38" s="123"/>
      <c r="AO38" s="123"/>
      <c r="AP38" s="123"/>
      <c r="AQ38" s="123"/>
      <c r="AR38" s="123"/>
      <c r="AS38" s="256"/>
      <c r="AT38" s="256"/>
      <c r="AU38" s="256"/>
      <c r="AV38" s="256"/>
      <c r="AW38" s="256"/>
      <c r="AX38" s="256"/>
      <c r="AY38" s="460"/>
      <c r="AZ38" s="460"/>
      <c r="BA38" s="460"/>
      <c r="BB38" s="460"/>
      <c r="BC38" s="460"/>
      <c r="BD38" s="460"/>
      <c r="BE38" s="346"/>
      <c r="BF38" s="346"/>
      <c r="BG38" s="346"/>
      <c r="BH38" s="346"/>
      <c r="BI38" s="346"/>
      <c r="BJ38" s="346"/>
      <c r="BK38" s="260" t="str">
        <f t="shared" si="16"/>
        <v xml:space="preserve"> </v>
      </c>
      <c r="BL38" s="260" t="str">
        <f t="shared" si="17"/>
        <v xml:space="preserve"> </v>
      </c>
      <c r="BM38" s="260" t="str">
        <f t="shared" si="18"/>
        <v xml:space="preserve"> </v>
      </c>
      <c r="BN38" s="260" t="str">
        <f t="shared" si="19"/>
        <v xml:space="preserve"> </v>
      </c>
      <c r="BO38" s="260" t="str">
        <f t="shared" si="20"/>
        <v xml:space="preserve"> </v>
      </c>
      <c r="BP38" s="260" t="str">
        <f t="shared" si="21"/>
        <v xml:space="preserve"> </v>
      </c>
      <c r="BQ38" s="547"/>
      <c r="BR38" s="547"/>
      <c r="BS38" s="547"/>
      <c r="BT38" s="547"/>
      <c r="BU38" s="547"/>
      <c r="BV38" s="547"/>
      <c r="BW38" s="548"/>
      <c r="BX38" s="548"/>
      <c r="BY38" s="548"/>
      <c r="BZ38" s="548"/>
      <c r="CA38" s="548"/>
      <c r="CB38" s="548"/>
      <c r="CC38" s="550" t="str">
        <f t="shared" si="34"/>
        <v xml:space="preserve"> </v>
      </c>
      <c r="CD38" s="291" t="str">
        <f t="shared" si="35"/>
        <v xml:space="preserve">  </v>
      </c>
      <c r="CE38" s="50" t="str">
        <f t="shared" si="36"/>
        <v xml:space="preserve"> </v>
      </c>
      <c r="CF38" s="282"/>
      <c r="CG38" s="51"/>
      <c r="CH38" s="46" t="str">
        <f t="shared" si="37"/>
        <v xml:space="preserve"> </v>
      </c>
      <c r="CI38" s="46" t="str">
        <f t="shared" si="38"/>
        <v xml:space="preserve"> </v>
      </c>
      <c r="CJ38" s="46" t="str">
        <f t="shared" si="39"/>
        <v xml:space="preserve"> </v>
      </c>
      <c r="CK38" s="46" t="str">
        <f t="shared" si="40"/>
        <v xml:space="preserve"> </v>
      </c>
      <c r="CL38" s="46" t="str">
        <f t="shared" si="41"/>
        <v xml:space="preserve"> </v>
      </c>
      <c r="CM38" s="46" t="str">
        <f t="shared" si="42"/>
        <v xml:space="preserve"> </v>
      </c>
      <c r="CN38" s="46"/>
      <c r="CO38" s="46"/>
      <c r="CP38" s="46"/>
      <c r="CQ38" s="46"/>
      <c r="CR38" s="52"/>
      <c r="CS38" s="51"/>
      <c r="CT38" s="53" t="str">
        <f t="shared" si="23"/>
        <v xml:space="preserve">  </v>
      </c>
      <c r="CU38" s="53" t="str">
        <f t="shared" si="24"/>
        <v xml:space="preserve">  </v>
      </c>
      <c r="CV38" s="53" t="str">
        <f t="shared" si="25"/>
        <v xml:space="preserve">  </v>
      </c>
      <c r="CW38" s="53" t="str">
        <f t="shared" si="26"/>
        <v xml:space="preserve">  </v>
      </c>
      <c r="CX38" s="53" t="str">
        <f t="shared" si="27"/>
        <v xml:space="preserve">  </v>
      </c>
      <c r="CY38" s="53" t="str">
        <f t="shared" si="28"/>
        <v xml:space="preserve">  </v>
      </c>
      <c r="CZ38" s="53"/>
      <c r="DA38" s="53"/>
      <c r="DB38" s="53"/>
      <c r="DC38" s="53"/>
      <c r="DD38" s="54" t="str">
        <f t="shared" si="43"/>
        <v xml:space="preserve"> </v>
      </c>
      <c r="DE38" s="55">
        <f t="shared" si="44"/>
        <v>0</v>
      </c>
      <c r="DF38" s="55">
        <f t="shared" si="45"/>
        <v>0</v>
      </c>
      <c r="DG38" s="51">
        <f>SISWA!E36</f>
        <v>0</v>
      </c>
      <c r="DH38" s="51" t="str">
        <f t="shared" si="46"/>
        <v/>
      </c>
      <c r="DI38" s="56" t="str">
        <f t="shared" si="47"/>
        <v/>
      </c>
      <c r="DJ38" s="57" t="str">
        <f t="shared" si="48"/>
        <v/>
      </c>
      <c r="DK38" s="57" t="str">
        <f t="shared" si="49"/>
        <v/>
      </c>
      <c r="DL38" s="57" t="str">
        <f t="shared" si="50"/>
        <v/>
      </c>
      <c r="DM38" s="57" t="str">
        <f t="shared" si="51"/>
        <v/>
      </c>
      <c r="DN38" s="57" t="str">
        <f t="shared" si="52"/>
        <v/>
      </c>
      <c r="DO38" s="57"/>
      <c r="DP38" s="57"/>
      <c r="DQ38" s="57"/>
      <c r="DR38" s="57"/>
      <c r="DS38" s="58">
        <f t="shared" si="53"/>
        <v>0</v>
      </c>
      <c r="DT38" s="55" t="e">
        <f t="shared" si="54"/>
        <v>#N/A</v>
      </c>
      <c r="DU38" s="58"/>
      <c r="DV38" s="59" t="e">
        <f>IF(DE38&gt;100,"",IF(DE38&gt;CD$1,"sangat baik dalam "&amp;DT38,IF(DE38&gt;=CD$2,"baik dalam "&amp;DT38,IF(DE38&gt;=CD$3,"cukup dalam "&amp;DT38,IF(DE38&lt;CD$3,"dengan bimbingan dapat meningkatkan dalam "&amp;DT38,IF(DE38&lt;1," ",””))))))</f>
        <v>#N/A</v>
      </c>
      <c r="DW38" s="58"/>
      <c r="DX38" s="57" t="str">
        <f t="shared" si="55"/>
        <v/>
      </c>
      <c r="DY38" s="57" t="str">
        <f t="shared" si="56"/>
        <v/>
      </c>
      <c r="DZ38" s="57" t="str">
        <f t="shared" si="57"/>
        <v/>
      </c>
      <c r="EA38" s="57" t="str">
        <f t="shared" si="58"/>
        <v/>
      </c>
      <c r="EB38" s="57" t="str">
        <f t="shared" si="59"/>
        <v/>
      </c>
      <c r="EC38" s="57" t="str">
        <f t="shared" si="60"/>
        <v/>
      </c>
      <c r="ED38" s="57"/>
      <c r="EE38" s="57"/>
      <c r="EF38" s="57"/>
      <c r="EG38" s="57"/>
      <c r="EH38" s="59" t="e">
        <f t="shared" si="61"/>
        <v>#N/A</v>
      </c>
      <c r="EI38" s="59" t="e">
        <f>IF(DF38&gt;100,"",IF(DF38&gt;CD$1,"sangat baik dalam "&amp;EH38,IF(DF38&gt;=CD$2,"baik dalam "&amp;EH38,IF(DF38&gt;=CD$3,"cukup dalam "&amp;EH38,IF(DF38&lt;CD$3,"dengan bimbingan dapat meningkatkan dalam "&amp;EH38,IF(DF38&lt;1," ",””))))))</f>
        <v>#N/A</v>
      </c>
      <c r="EJ38" s="61"/>
      <c r="EK38" s="62" t="e">
        <f t="shared" si="62"/>
        <v>#N/A</v>
      </c>
      <c r="EL38" s="57">
        <f t="shared" si="63"/>
        <v>0</v>
      </c>
      <c r="EM38" s="57">
        <f t="shared" si="64"/>
        <v>0</v>
      </c>
      <c r="EN38" s="57">
        <f t="shared" si="32"/>
        <v>0</v>
      </c>
      <c r="EO38" s="57"/>
      <c r="EP38" s="57"/>
      <c r="EQ38" s="57"/>
      <c r="ER38" s="59">
        <f t="shared" si="33"/>
        <v>0</v>
      </c>
      <c r="ES38" s="60"/>
      <c r="ET38" s="61"/>
      <c r="EU38" s="62" t="str">
        <f t="shared" si="65"/>
        <v>, 0</v>
      </c>
    </row>
    <row r="39" spans="1:151" ht="34.5" customHeight="1">
      <c r="A39" s="39">
        <v>32</v>
      </c>
      <c r="B39" s="269">
        <f>SISWA!B37</f>
        <v>0</v>
      </c>
      <c r="C39" s="123"/>
      <c r="D39" s="123"/>
      <c r="E39" s="123"/>
      <c r="F39" s="123"/>
      <c r="G39" s="123"/>
      <c r="H39" s="123"/>
      <c r="I39" s="256"/>
      <c r="J39" s="256"/>
      <c r="K39" s="256"/>
      <c r="L39" s="256"/>
      <c r="M39" s="256"/>
      <c r="N39" s="256"/>
      <c r="O39" s="123"/>
      <c r="P39" s="123"/>
      <c r="Q39" s="123"/>
      <c r="R39" s="123"/>
      <c r="S39" s="123"/>
      <c r="T39" s="123"/>
      <c r="U39" s="256"/>
      <c r="V39" s="256"/>
      <c r="W39" s="256"/>
      <c r="X39" s="256"/>
      <c r="Y39" s="256"/>
      <c r="Z39" s="256"/>
      <c r="AA39" s="123"/>
      <c r="AB39" s="123"/>
      <c r="AC39" s="123"/>
      <c r="AD39" s="123"/>
      <c r="AE39" s="123"/>
      <c r="AF39" s="123"/>
      <c r="AG39" s="256"/>
      <c r="AH39" s="256"/>
      <c r="AI39" s="256"/>
      <c r="AJ39" s="256"/>
      <c r="AK39" s="256"/>
      <c r="AL39" s="256"/>
      <c r="AM39" s="123"/>
      <c r="AN39" s="123"/>
      <c r="AO39" s="123"/>
      <c r="AP39" s="123"/>
      <c r="AQ39" s="123"/>
      <c r="AR39" s="123"/>
      <c r="AS39" s="256"/>
      <c r="AT39" s="256"/>
      <c r="AU39" s="256"/>
      <c r="AV39" s="256"/>
      <c r="AW39" s="256"/>
      <c r="AX39" s="256"/>
      <c r="AY39" s="460"/>
      <c r="AZ39" s="460"/>
      <c r="BA39" s="460"/>
      <c r="BB39" s="460"/>
      <c r="BC39" s="460"/>
      <c r="BD39" s="460"/>
      <c r="BE39" s="346"/>
      <c r="BF39" s="346"/>
      <c r="BG39" s="346"/>
      <c r="BH39" s="346"/>
      <c r="BI39" s="346"/>
      <c r="BJ39" s="346"/>
      <c r="BK39" s="260" t="str">
        <f t="shared" si="16"/>
        <v xml:space="preserve"> </v>
      </c>
      <c r="BL39" s="260" t="str">
        <f t="shared" si="17"/>
        <v xml:space="preserve"> </v>
      </c>
      <c r="BM39" s="260" t="str">
        <f t="shared" si="18"/>
        <v xml:space="preserve"> </v>
      </c>
      <c r="BN39" s="260" t="str">
        <f t="shared" si="19"/>
        <v xml:space="preserve"> </v>
      </c>
      <c r="BO39" s="260" t="str">
        <f t="shared" si="20"/>
        <v xml:space="preserve"> </v>
      </c>
      <c r="BP39" s="260" t="str">
        <f t="shared" si="21"/>
        <v xml:space="preserve"> </v>
      </c>
      <c r="BQ39" s="547"/>
      <c r="BR39" s="547"/>
      <c r="BS39" s="547"/>
      <c r="BT39" s="547"/>
      <c r="BU39" s="547"/>
      <c r="BV39" s="547"/>
      <c r="BW39" s="548"/>
      <c r="BX39" s="548"/>
      <c r="BY39" s="548"/>
      <c r="BZ39" s="548"/>
      <c r="CA39" s="548"/>
      <c r="CB39" s="548"/>
      <c r="CC39" s="550" t="str">
        <f t="shared" si="34"/>
        <v xml:space="preserve"> </v>
      </c>
      <c r="CD39" s="291" t="str">
        <f t="shared" si="35"/>
        <v xml:space="preserve">  </v>
      </c>
      <c r="CE39" s="50" t="str">
        <f t="shared" si="36"/>
        <v xml:space="preserve"> </v>
      </c>
      <c r="CF39" s="282"/>
      <c r="CG39" s="51"/>
      <c r="CH39" s="46" t="str">
        <f t="shared" si="37"/>
        <v xml:space="preserve"> </v>
      </c>
      <c r="CI39" s="46" t="str">
        <f t="shared" si="38"/>
        <v xml:space="preserve"> </v>
      </c>
      <c r="CJ39" s="46" t="str">
        <f t="shared" si="39"/>
        <v xml:space="preserve"> </v>
      </c>
      <c r="CK39" s="46" t="str">
        <f t="shared" si="40"/>
        <v xml:space="preserve"> </v>
      </c>
      <c r="CL39" s="46" t="str">
        <f t="shared" si="41"/>
        <v xml:space="preserve"> </v>
      </c>
      <c r="CM39" s="46" t="str">
        <f t="shared" si="42"/>
        <v xml:space="preserve"> </v>
      </c>
      <c r="CN39" s="46"/>
      <c r="CO39" s="46"/>
      <c r="CP39" s="46"/>
      <c r="CQ39" s="46"/>
      <c r="CR39" s="52"/>
      <c r="CS39" s="51"/>
      <c r="CT39" s="53" t="str">
        <f t="shared" si="23"/>
        <v xml:space="preserve">  </v>
      </c>
      <c r="CU39" s="53" t="str">
        <f t="shared" si="24"/>
        <v xml:space="preserve">  </v>
      </c>
      <c r="CV39" s="53" t="str">
        <f t="shared" si="25"/>
        <v xml:space="preserve">  </v>
      </c>
      <c r="CW39" s="53" t="str">
        <f t="shared" si="26"/>
        <v xml:space="preserve">  </v>
      </c>
      <c r="CX39" s="53" t="str">
        <f t="shared" si="27"/>
        <v xml:space="preserve">  </v>
      </c>
      <c r="CY39" s="53" t="str">
        <f t="shared" si="28"/>
        <v xml:space="preserve">  </v>
      </c>
      <c r="CZ39" s="53"/>
      <c r="DA39" s="53"/>
      <c r="DB39" s="53"/>
      <c r="DC39" s="53"/>
      <c r="DD39" s="54" t="str">
        <f t="shared" si="43"/>
        <v xml:space="preserve"> </v>
      </c>
      <c r="DE39" s="55">
        <f t="shared" si="44"/>
        <v>0</v>
      </c>
      <c r="DF39" s="55">
        <f t="shared" si="45"/>
        <v>0</v>
      </c>
      <c r="DG39" s="51">
        <f>SISWA!E37</f>
        <v>0</v>
      </c>
      <c r="DH39" s="51" t="str">
        <f t="shared" si="46"/>
        <v/>
      </c>
      <c r="DI39" s="56" t="str">
        <f t="shared" si="47"/>
        <v/>
      </c>
      <c r="DJ39" s="57" t="str">
        <f t="shared" si="48"/>
        <v/>
      </c>
      <c r="DK39" s="57" t="str">
        <f t="shared" si="49"/>
        <v/>
      </c>
      <c r="DL39" s="57" t="str">
        <f t="shared" si="50"/>
        <v/>
      </c>
      <c r="DM39" s="57" t="str">
        <f t="shared" si="51"/>
        <v/>
      </c>
      <c r="DN39" s="57" t="str">
        <f t="shared" si="52"/>
        <v/>
      </c>
      <c r="DO39" s="57"/>
      <c r="DP39" s="57"/>
      <c r="DQ39" s="57"/>
      <c r="DR39" s="57"/>
      <c r="DS39" s="58">
        <f t="shared" si="53"/>
        <v>0</v>
      </c>
      <c r="DT39" s="55" t="e">
        <f t="shared" si="54"/>
        <v>#N/A</v>
      </c>
      <c r="DU39" s="58"/>
      <c r="DV39" s="59" t="e">
        <f>IF(DE39&gt;100,"",IF(DE39&gt;CD$1,"sangat baik dalam "&amp;DT39,IF(DE39&gt;=CD$2,"baik dalam "&amp;DT39,IF(DE39&gt;=CD$3,"cukup dalam "&amp;DT39,IF(DE39&lt;CD$3,"dengan bimbingan dapat meningkatkan dalam "&amp;DT39,IF(DE39&lt;1," ",””))))))</f>
        <v>#N/A</v>
      </c>
      <c r="DW39" s="58"/>
      <c r="DX39" s="57" t="str">
        <f t="shared" si="55"/>
        <v/>
      </c>
      <c r="DY39" s="57" t="str">
        <f t="shared" si="56"/>
        <v/>
      </c>
      <c r="DZ39" s="57" t="str">
        <f t="shared" si="57"/>
        <v/>
      </c>
      <c r="EA39" s="57" t="str">
        <f t="shared" si="58"/>
        <v/>
      </c>
      <c r="EB39" s="57" t="str">
        <f t="shared" si="59"/>
        <v/>
      </c>
      <c r="EC39" s="57" t="str">
        <f t="shared" si="60"/>
        <v/>
      </c>
      <c r="ED39" s="57"/>
      <c r="EE39" s="57"/>
      <c r="EF39" s="57"/>
      <c r="EG39" s="57"/>
      <c r="EH39" s="59" t="e">
        <f t="shared" si="61"/>
        <v>#N/A</v>
      </c>
      <c r="EI39" s="59" t="e">
        <f>IF(DF39&gt;100,"",IF(DF39&gt;CD$1,"sangat baik dalam "&amp;EH39,IF(DF39&gt;=CD$2,"baik dalam "&amp;EH39,IF(DF39&gt;=CD$3,"cukup dalam "&amp;EH39,IF(DF39&lt;CD$3,"dengan bimbingan dapat meningkatkan dalam "&amp;EH39,IF(DF39&lt;1," ",””))))))</f>
        <v>#N/A</v>
      </c>
      <c r="EJ39" s="61"/>
      <c r="EK39" s="62" t="e">
        <f t="shared" si="62"/>
        <v>#N/A</v>
      </c>
      <c r="EL39" s="57">
        <f t="shared" si="63"/>
        <v>0</v>
      </c>
      <c r="EM39" s="57">
        <f t="shared" si="64"/>
        <v>0</v>
      </c>
      <c r="EN39" s="57">
        <f t="shared" si="32"/>
        <v>0</v>
      </c>
      <c r="EO39" s="57"/>
      <c r="EP39" s="57"/>
      <c r="EQ39" s="57"/>
      <c r="ER39" s="59">
        <f t="shared" si="33"/>
        <v>0</v>
      </c>
      <c r="ES39" s="60"/>
      <c r="ET39" s="61"/>
      <c r="EU39" s="62" t="str">
        <f t="shared" si="65"/>
        <v>, 0</v>
      </c>
    </row>
    <row r="40" spans="1:151" ht="34.5" customHeight="1">
      <c r="A40" s="39">
        <v>33</v>
      </c>
      <c r="B40" s="269">
        <f>SISWA!B38</f>
        <v>0</v>
      </c>
      <c r="C40" s="123"/>
      <c r="D40" s="123"/>
      <c r="E40" s="123"/>
      <c r="F40" s="123"/>
      <c r="G40" s="123"/>
      <c r="H40" s="123"/>
      <c r="I40" s="256"/>
      <c r="J40" s="256"/>
      <c r="K40" s="256"/>
      <c r="L40" s="256"/>
      <c r="M40" s="256"/>
      <c r="N40" s="256"/>
      <c r="O40" s="123"/>
      <c r="P40" s="123"/>
      <c r="Q40" s="123"/>
      <c r="R40" s="123"/>
      <c r="S40" s="123"/>
      <c r="T40" s="123"/>
      <c r="U40" s="256"/>
      <c r="V40" s="256"/>
      <c r="W40" s="256"/>
      <c r="X40" s="256"/>
      <c r="Y40" s="256"/>
      <c r="Z40" s="256"/>
      <c r="AA40" s="123"/>
      <c r="AB40" s="123"/>
      <c r="AC40" s="123"/>
      <c r="AD40" s="123"/>
      <c r="AE40" s="123"/>
      <c r="AF40" s="123"/>
      <c r="AG40" s="256"/>
      <c r="AH40" s="256"/>
      <c r="AI40" s="256"/>
      <c r="AJ40" s="256"/>
      <c r="AK40" s="256"/>
      <c r="AL40" s="256"/>
      <c r="AM40" s="123"/>
      <c r="AN40" s="123"/>
      <c r="AO40" s="123"/>
      <c r="AP40" s="123"/>
      <c r="AQ40" s="123"/>
      <c r="AR40" s="123"/>
      <c r="AS40" s="256"/>
      <c r="AT40" s="256"/>
      <c r="AU40" s="256"/>
      <c r="AV40" s="256"/>
      <c r="AW40" s="256"/>
      <c r="AX40" s="256"/>
      <c r="AY40" s="460"/>
      <c r="AZ40" s="460"/>
      <c r="BA40" s="460"/>
      <c r="BB40" s="460"/>
      <c r="BC40" s="460"/>
      <c r="BD40" s="460"/>
      <c r="BE40" s="346"/>
      <c r="BF40" s="346"/>
      <c r="BG40" s="346"/>
      <c r="BH40" s="346"/>
      <c r="BI40" s="346"/>
      <c r="BJ40" s="346"/>
      <c r="BK40" s="260" t="str">
        <f t="shared" si="16"/>
        <v xml:space="preserve"> </v>
      </c>
      <c r="BL40" s="260" t="str">
        <f t="shared" si="17"/>
        <v xml:space="preserve"> </v>
      </c>
      <c r="BM40" s="260" t="str">
        <f t="shared" si="18"/>
        <v xml:space="preserve"> </v>
      </c>
      <c r="BN40" s="260" t="str">
        <f t="shared" si="19"/>
        <v xml:space="preserve"> </v>
      </c>
      <c r="BO40" s="260" t="str">
        <f t="shared" si="20"/>
        <v xml:space="preserve"> </v>
      </c>
      <c r="BP40" s="260" t="str">
        <f t="shared" si="21"/>
        <v xml:space="preserve"> </v>
      </c>
      <c r="BQ40" s="547"/>
      <c r="BR40" s="547"/>
      <c r="BS40" s="547"/>
      <c r="BT40" s="547"/>
      <c r="BU40" s="547"/>
      <c r="BV40" s="547"/>
      <c r="BW40" s="548"/>
      <c r="BX40" s="548"/>
      <c r="BY40" s="548"/>
      <c r="BZ40" s="548"/>
      <c r="CA40" s="548"/>
      <c r="CB40" s="548"/>
      <c r="CC40" s="550" t="str">
        <f t="shared" si="34"/>
        <v xml:space="preserve"> </v>
      </c>
      <c r="CD40" s="291" t="str">
        <f t="shared" si="35"/>
        <v xml:space="preserve">  </v>
      </c>
      <c r="CE40" s="50" t="str">
        <f t="shared" si="36"/>
        <v xml:space="preserve"> </v>
      </c>
      <c r="CF40" s="282"/>
      <c r="CG40" s="51"/>
      <c r="CH40" s="46" t="str">
        <f t="shared" si="37"/>
        <v xml:space="preserve"> </v>
      </c>
      <c r="CI40" s="46" t="str">
        <f t="shared" si="38"/>
        <v xml:space="preserve"> </v>
      </c>
      <c r="CJ40" s="46" t="str">
        <f t="shared" si="39"/>
        <v xml:space="preserve"> </v>
      </c>
      <c r="CK40" s="46" t="str">
        <f t="shared" si="40"/>
        <v xml:space="preserve"> </v>
      </c>
      <c r="CL40" s="46" t="str">
        <f t="shared" si="41"/>
        <v xml:space="preserve"> </v>
      </c>
      <c r="CM40" s="46" t="str">
        <f t="shared" si="42"/>
        <v xml:space="preserve"> </v>
      </c>
      <c r="CN40" s="46"/>
      <c r="CO40" s="46"/>
      <c r="CP40" s="46"/>
      <c r="CQ40" s="46"/>
      <c r="CR40" s="52"/>
      <c r="CS40" s="51"/>
      <c r="CT40" s="53" t="str">
        <f t="shared" si="23"/>
        <v xml:space="preserve">  </v>
      </c>
      <c r="CU40" s="53" t="str">
        <f t="shared" si="24"/>
        <v xml:space="preserve">  </v>
      </c>
      <c r="CV40" s="53" t="str">
        <f t="shared" si="25"/>
        <v xml:space="preserve">  </v>
      </c>
      <c r="CW40" s="53" t="str">
        <f t="shared" si="26"/>
        <v xml:space="preserve">  </v>
      </c>
      <c r="CX40" s="53" t="str">
        <f t="shared" si="27"/>
        <v xml:space="preserve">  </v>
      </c>
      <c r="CY40" s="53" t="str">
        <f t="shared" si="28"/>
        <v xml:space="preserve">  </v>
      </c>
      <c r="CZ40" s="53"/>
      <c r="DA40" s="53"/>
      <c r="DB40" s="53"/>
      <c r="DC40" s="53"/>
      <c r="DD40" s="54" t="str">
        <f t="shared" si="43"/>
        <v xml:space="preserve"> </v>
      </c>
      <c r="DE40" s="55">
        <f t="shared" si="44"/>
        <v>0</v>
      </c>
      <c r="DF40" s="55">
        <f t="shared" si="45"/>
        <v>0</v>
      </c>
      <c r="DG40" s="51">
        <f>SISWA!E38</f>
        <v>0</v>
      </c>
      <c r="DH40" s="51" t="str">
        <f t="shared" si="46"/>
        <v/>
      </c>
      <c r="DI40" s="56" t="str">
        <f t="shared" si="47"/>
        <v/>
      </c>
      <c r="DJ40" s="57" t="str">
        <f t="shared" si="48"/>
        <v/>
      </c>
      <c r="DK40" s="57" t="str">
        <f t="shared" si="49"/>
        <v/>
      </c>
      <c r="DL40" s="57" t="str">
        <f t="shared" si="50"/>
        <v/>
      </c>
      <c r="DM40" s="57" t="str">
        <f t="shared" si="51"/>
        <v/>
      </c>
      <c r="DN40" s="57" t="str">
        <f t="shared" si="52"/>
        <v/>
      </c>
      <c r="DO40" s="57"/>
      <c r="DP40" s="57"/>
      <c r="DQ40" s="57"/>
      <c r="DR40" s="57"/>
      <c r="DS40" s="58">
        <f t="shared" si="53"/>
        <v>0</v>
      </c>
      <c r="DT40" s="55" t="e">
        <f t="shared" si="54"/>
        <v>#N/A</v>
      </c>
      <c r="DU40" s="58"/>
      <c r="DV40" s="59" t="e">
        <f>IF(DE40&gt;100,"",IF(DE40&gt;CD$1,"sangat baik dalam "&amp;DT40,IF(DE40&gt;=CD$2,"baik dalam "&amp;DT40,IF(DE40&gt;=CD$3,"cukup dalam "&amp;DT40,IF(DE40&lt;CD$3,"dengan bimbingan dapat meningkatkan dalam "&amp;DT40,IF(DE40&lt;1," ",””))))))</f>
        <v>#N/A</v>
      </c>
      <c r="DW40" s="58"/>
      <c r="DX40" s="57" t="str">
        <f t="shared" si="55"/>
        <v/>
      </c>
      <c r="DY40" s="57" t="str">
        <f t="shared" si="56"/>
        <v/>
      </c>
      <c r="DZ40" s="57" t="str">
        <f t="shared" si="57"/>
        <v/>
      </c>
      <c r="EA40" s="57" t="str">
        <f t="shared" si="58"/>
        <v/>
      </c>
      <c r="EB40" s="57" t="str">
        <f t="shared" si="59"/>
        <v/>
      </c>
      <c r="EC40" s="57" t="str">
        <f t="shared" si="60"/>
        <v/>
      </c>
      <c r="ED40" s="57"/>
      <c r="EE40" s="57"/>
      <c r="EF40" s="57"/>
      <c r="EG40" s="57"/>
      <c r="EH40" s="59" t="e">
        <f t="shared" si="61"/>
        <v>#N/A</v>
      </c>
      <c r="EI40" s="59" t="e">
        <f>IF(DF40&gt;100,"",IF(DF40&gt;CD$1,"sangat baik dalam "&amp;EH40,IF(DF40&gt;=CD$2,"baik dalam "&amp;EH40,IF(DF40&gt;=CD$3,"cukup dalam "&amp;EH40,IF(DF40&lt;CD$3,"dengan bimbingan dapat meningkatkan dalam "&amp;EH40,IF(DF40&lt;1," ",””))))))</f>
        <v>#N/A</v>
      </c>
      <c r="EJ40" s="61"/>
      <c r="EK40" s="62" t="e">
        <f t="shared" si="62"/>
        <v>#N/A</v>
      </c>
      <c r="EL40" s="57">
        <f t="shared" si="63"/>
        <v>0</v>
      </c>
      <c r="EM40" s="57">
        <f t="shared" si="64"/>
        <v>0</v>
      </c>
      <c r="EN40" s="57">
        <f t="shared" si="32"/>
        <v>0</v>
      </c>
      <c r="EO40" s="57"/>
      <c r="EP40" s="57"/>
      <c r="EQ40" s="57"/>
      <c r="ER40" s="59">
        <f t="shared" si="33"/>
        <v>0</v>
      </c>
      <c r="ES40" s="60"/>
      <c r="ET40" s="61"/>
      <c r="EU40" s="62" t="str">
        <f t="shared" si="65"/>
        <v>, 0</v>
      </c>
    </row>
    <row r="41" spans="1:151" ht="34.5" customHeight="1">
      <c r="A41" s="39">
        <v>34</v>
      </c>
      <c r="B41" s="269">
        <f>SISWA!B39</f>
        <v>0</v>
      </c>
      <c r="C41" s="123"/>
      <c r="D41" s="123"/>
      <c r="E41" s="123"/>
      <c r="F41" s="123"/>
      <c r="G41" s="123"/>
      <c r="H41" s="123"/>
      <c r="I41" s="256"/>
      <c r="J41" s="256"/>
      <c r="K41" s="256"/>
      <c r="L41" s="256"/>
      <c r="M41" s="256"/>
      <c r="N41" s="256"/>
      <c r="O41" s="123"/>
      <c r="P41" s="123"/>
      <c r="Q41" s="123"/>
      <c r="R41" s="123"/>
      <c r="S41" s="123"/>
      <c r="T41" s="123"/>
      <c r="U41" s="256"/>
      <c r="V41" s="256"/>
      <c r="W41" s="256"/>
      <c r="X41" s="256"/>
      <c r="Y41" s="256"/>
      <c r="Z41" s="256"/>
      <c r="AA41" s="123"/>
      <c r="AB41" s="123"/>
      <c r="AC41" s="123"/>
      <c r="AD41" s="123"/>
      <c r="AE41" s="123"/>
      <c r="AF41" s="123"/>
      <c r="AG41" s="256"/>
      <c r="AH41" s="256"/>
      <c r="AI41" s="256"/>
      <c r="AJ41" s="256"/>
      <c r="AK41" s="256"/>
      <c r="AL41" s="256"/>
      <c r="AM41" s="123"/>
      <c r="AN41" s="123"/>
      <c r="AO41" s="123"/>
      <c r="AP41" s="123"/>
      <c r="AQ41" s="123"/>
      <c r="AR41" s="123"/>
      <c r="AS41" s="256"/>
      <c r="AT41" s="256"/>
      <c r="AU41" s="256"/>
      <c r="AV41" s="256"/>
      <c r="AW41" s="256"/>
      <c r="AX41" s="256"/>
      <c r="AY41" s="460"/>
      <c r="AZ41" s="460"/>
      <c r="BA41" s="460"/>
      <c r="BB41" s="460"/>
      <c r="BC41" s="460"/>
      <c r="BD41" s="460"/>
      <c r="BE41" s="346"/>
      <c r="BF41" s="346"/>
      <c r="BG41" s="346"/>
      <c r="BH41" s="346"/>
      <c r="BI41" s="346"/>
      <c r="BJ41" s="346"/>
      <c r="BK41" s="260" t="str">
        <f t="shared" si="16"/>
        <v xml:space="preserve"> </v>
      </c>
      <c r="BL41" s="260" t="str">
        <f t="shared" si="17"/>
        <v xml:space="preserve"> </v>
      </c>
      <c r="BM41" s="260" t="str">
        <f t="shared" si="18"/>
        <v xml:space="preserve"> </v>
      </c>
      <c r="BN41" s="260" t="str">
        <f t="shared" si="19"/>
        <v xml:space="preserve"> </v>
      </c>
      <c r="BO41" s="260" t="str">
        <f t="shared" si="20"/>
        <v xml:space="preserve"> </v>
      </c>
      <c r="BP41" s="260" t="str">
        <f t="shared" si="21"/>
        <v xml:space="preserve"> </v>
      </c>
      <c r="BQ41" s="547"/>
      <c r="BR41" s="547"/>
      <c r="BS41" s="547"/>
      <c r="BT41" s="547"/>
      <c r="BU41" s="547"/>
      <c r="BV41" s="547"/>
      <c r="BW41" s="548"/>
      <c r="BX41" s="548"/>
      <c r="BY41" s="548"/>
      <c r="BZ41" s="548"/>
      <c r="CA41" s="548"/>
      <c r="CB41" s="548"/>
      <c r="CC41" s="550" t="str">
        <f t="shared" si="34"/>
        <v xml:space="preserve"> </v>
      </c>
      <c r="CD41" s="291" t="str">
        <f t="shared" si="35"/>
        <v xml:space="preserve">  </v>
      </c>
      <c r="CE41" s="50" t="str">
        <f t="shared" si="36"/>
        <v xml:space="preserve"> </v>
      </c>
      <c r="CF41" s="282"/>
      <c r="CG41" s="51"/>
      <c r="CH41" s="46" t="str">
        <f t="shared" si="37"/>
        <v xml:space="preserve"> </v>
      </c>
      <c r="CI41" s="46" t="str">
        <f t="shared" si="38"/>
        <v xml:space="preserve"> </v>
      </c>
      <c r="CJ41" s="46" t="str">
        <f t="shared" si="39"/>
        <v xml:space="preserve"> </v>
      </c>
      <c r="CK41" s="46" t="str">
        <f t="shared" si="40"/>
        <v xml:space="preserve"> </v>
      </c>
      <c r="CL41" s="46" t="str">
        <f t="shared" si="41"/>
        <v xml:space="preserve"> </v>
      </c>
      <c r="CM41" s="46" t="str">
        <f t="shared" si="42"/>
        <v xml:space="preserve"> </v>
      </c>
      <c r="CN41" s="46"/>
      <c r="CO41" s="46"/>
      <c r="CP41" s="46"/>
      <c r="CQ41" s="46"/>
      <c r="CR41" s="52" t="str">
        <f>[2]uts!J40</f>
        <v/>
      </c>
      <c r="CS41" s="51"/>
      <c r="CT41" s="53" t="str">
        <f t="shared" si="23"/>
        <v xml:space="preserve">  </v>
      </c>
      <c r="CU41" s="53" t="str">
        <f t="shared" si="24"/>
        <v xml:space="preserve">  </v>
      </c>
      <c r="CV41" s="53" t="str">
        <f t="shared" si="25"/>
        <v xml:space="preserve">  </v>
      </c>
      <c r="CW41" s="53" t="str">
        <f t="shared" si="26"/>
        <v xml:space="preserve">  </v>
      </c>
      <c r="CX41" s="53" t="str">
        <f t="shared" si="27"/>
        <v xml:space="preserve">  </v>
      </c>
      <c r="CY41" s="53" t="str">
        <f t="shared" si="28"/>
        <v xml:space="preserve">  </v>
      </c>
      <c r="CZ41" s="53"/>
      <c r="DA41" s="53"/>
      <c r="DB41" s="53"/>
      <c r="DC41" s="53"/>
      <c r="DD41" s="54" t="str">
        <f t="shared" si="43"/>
        <v xml:space="preserve"> </v>
      </c>
      <c r="DE41" s="55">
        <f t="shared" si="44"/>
        <v>0</v>
      </c>
      <c r="DF41" s="55">
        <f t="shared" si="45"/>
        <v>0</v>
      </c>
      <c r="DG41" s="51">
        <f>SISWA!E39</f>
        <v>0</v>
      </c>
      <c r="DH41" s="51" t="str">
        <f t="shared" si="46"/>
        <v/>
      </c>
      <c r="DI41" s="56" t="str">
        <f t="shared" si="47"/>
        <v/>
      </c>
      <c r="DJ41" s="57" t="str">
        <f t="shared" si="48"/>
        <v/>
      </c>
      <c r="DK41" s="57" t="str">
        <f t="shared" si="49"/>
        <v/>
      </c>
      <c r="DL41" s="57" t="str">
        <f t="shared" si="50"/>
        <v/>
      </c>
      <c r="DM41" s="57" t="str">
        <f t="shared" si="51"/>
        <v/>
      </c>
      <c r="DN41" s="57" t="str">
        <f t="shared" si="52"/>
        <v/>
      </c>
      <c r="DO41" s="57"/>
      <c r="DP41" s="57"/>
      <c r="DQ41" s="57"/>
      <c r="DR41" s="57"/>
      <c r="DS41" s="58">
        <f t="shared" si="53"/>
        <v>0</v>
      </c>
      <c r="DT41" s="55" t="e">
        <f t="shared" si="54"/>
        <v>#N/A</v>
      </c>
      <c r="DU41" s="58"/>
      <c r="DV41" s="59" t="e">
        <f>IF(DE41&gt;100,"",IF(DE41&gt;CD$1,"sangat baik dalam "&amp;DT41,IF(DE41&gt;=CD$2,"baik dalam "&amp;DT41,IF(DE41&gt;=CD$3,"cukup dalam "&amp;DT41,IF(DE41&lt;CD$3,"dengan bimbingan dapat meningkatkan dalam "&amp;DT41,IF(DE41&lt;1," ",””))))))</f>
        <v>#N/A</v>
      </c>
      <c r="DW41" s="58"/>
      <c r="DX41" s="57" t="str">
        <f t="shared" si="55"/>
        <v/>
      </c>
      <c r="DY41" s="57" t="str">
        <f t="shared" si="56"/>
        <v/>
      </c>
      <c r="DZ41" s="57" t="str">
        <f t="shared" si="57"/>
        <v/>
      </c>
      <c r="EA41" s="57" t="str">
        <f t="shared" si="58"/>
        <v/>
      </c>
      <c r="EB41" s="57" t="str">
        <f t="shared" si="59"/>
        <v/>
      </c>
      <c r="EC41" s="57" t="str">
        <f t="shared" si="60"/>
        <v/>
      </c>
      <c r="ED41" s="57"/>
      <c r="EE41" s="57"/>
      <c r="EF41" s="57"/>
      <c r="EG41" s="57"/>
      <c r="EH41" s="59" t="e">
        <f t="shared" si="61"/>
        <v>#N/A</v>
      </c>
      <c r="EI41" s="59" t="e">
        <f>IF(DF41&gt;100,"",IF(DF41&gt;CD$1,"sangat baik dalam "&amp;EH41,IF(DF41&gt;=CD$2,"baik dalam "&amp;EH41,IF(DF41&gt;=CD$3,"cukup dalam "&amp;EH41,IF(DF41&lt;CD$3,"dengan bimbingan dapat meningkatkan dalam "&amp;EH41,IF(DF41&lt;1," ",””))))))</f>
        <v>#N/A</v>
      </c>
      <c r="EJ41" s="61"/>
      <c r="EK41" s="62" t="e">
        <f t="shared" si="62"/>
        <v>#N/A</v>
      </c>
      <c r="EL41" s="57">
        <f t="shared" si="63"/>
        <v>0</v>
      </c>
      <c r="EM41" s="57">
        <f t="shared" si="64"/>
        <v>0</v>
      </c>
      <c r="EN41" s="57">
        <f t="shared" si="32"/>
        <v>0</v>
      </c>
      <c r="EO41" s="57"/>
      <c r="EP41" s="57"/>
      <c r="EQ41" s="57"/>
      <c r="ER41" s="59">
        <f t="shared" si="33"/>
        <v>0</v>
      </c>
      <c r="ES41" s="60"/>
      <c r="ET41" s="61"/>
      <c r="EU41" s="62" t="str">
        <f t="shared" si="65"/>
        <v>, 0</v>
      </c>
    </row>
    <row r="42" spans="1:151" ht="34.5" customHeight="1">
      <c r="A42" s="39">
        <v>35</v>
      </c>
      <c r="B42" s="269">
        <f>SISWA!B40</f>
        <v>0</v>
      </c>
      <c r="C42" s="123"/>
      <c r="D42" s="123"/>
      <c r="E42" s="123"/>
      <c r="F42" s="123"/>
      <c r="G42" s="123"/>
      <c r="H42" s="123"/>
      <c r="I42" s="256"/>
      <c r="J42" s="256"/>
      <c r="K42" s="256"/>
      <c r="L42" s="256"/>
      <c r="M42" s="256"/>
      <c r="N42" s="256"/>
      <c r="O42" s="123"/>
      <c r="P42" s="123"/>
      <c r="Q42" s="123"/>
      <c r="R42" s="123"/>
      <c r="S42" s="123"/>
      <c r="T42" s="123"/>
      <c r="U42" s="256"/>
      <c r="V42" s="256"/>
      <c r="W42" s="256"/>
      <c r="X42" s="256"/>
      <c r="Y42" s="256"/>
      <c r="Z42" s="256"/>
      <c r="AA42" s="123"/>
      <c r="AB42" s="123"/>
      <c r="AC42" s="123"/>
      <c r="AD42" s="123"/>
      <c r="AE42" s="123"/>
      <c r="AF42" s="123"/>
      <c r="AG42" s="256"/>
      <c r="AH42" s="256"/>
      <c r="AI42" s="256"/>
      <c r="AJ42" s="256"/>
      <c r="AK42" s="256"/>
      <c r="AL42" s="256"/>
      <c r="AM42" s="123"/>
      <c r="AN42" s="123"/>
      <c r="AO42" s="123"/>
      <c r="AP42" s="123"/>
      <c r="AQ42" s="123"/>
      <c r="AR42" s="123"/>
      <c r="AS42" s="256"/>
      <c r="AT42" s="256"/>
      <c r="AU42" s="256"/>
      <c r="AV42" s="256"/>
      <c r="AW42" s="256"/>
      <c r="AX42" s="256"/>
      <c r="AY42" s="460"/>
      <c r="AZ42" s="460"/>
      <c r="BA42" s="460"/>
      <c r="BB42" s="460"/>
      <c r="BC42" s="460"/>
      <c r="BD42" s="460"/>
      <c r="BE42" s="346"/>
      <c r="BF42" s="346"/>
      <c r="BG42" s="346"/>
      <c r="BH42" s="346"/>
      <c r="BI42" s="346"/>
      <c r="BJ42" s="346"/>
      <c r="BK42" s="260" t="str">
        <f t="shared" si="16"/>
        <v xml:space="preserve"> </v>
      </c>
      <c r="BL42" s="260" t="str">
        <f t="shared" si="17"/>
        <v xml:space="preserve"> </v>
      </c>
      <c r="BM42" s="260" t="str">
        <f t="shared" si="18"/>
        <v xml:space="preserve"> </v>
      </c>
      <c r="BN42" s="260" t="str">
        <f t="shared" si="19"/>
        <v xml:space="preserve"> </v>
      </c>
      <c r="BO42" s="260" t="str">
        <f t="shared" si="20"/>
        <v xml:space="preserve"> </v>
      </c>
      <c r="BP42" s="260" t="str">
        <f t="shared" si="21"/>
        <v xml:space="preserve"> </v>
      </c>
      <c r="BQ42" s="547"/>
      <c r="BR42" s="547"/>
      <c r="BS42" s="547"/>
      <c r="BT42" s="547"/>
      <c r="BU42" s="547"/>
      <c r="BV42" s="547"/>
      <c r="BW42" s="548"/>
      <c r="BX42" s="548"/>
      <c r="BY42" s="548"/>
      <c r="BZ42" s="548"/>
      <c r="CA42" s="548"/>
      <c r="CB42" s="548"/>
      <c r="CC42" s="550" t="str">
        <f t="shared" si="34"/>
        <v xml:space="preserve"> </v>
      </c>
      <c r="CD42" s="291" t="str">
        <f t="shared" si="35"/>
        <v xml:space="preserve">  </v>
      </c>
      <c r="CE42" s="50" t="str">
        <f t="shared" si="36"/>
        <v xml:space="preserve"> </v>
      </c>
      <c r="CF42" s="282"/>
      <c r="CG42" s="51"/>
      <c r="CH42" s="46" t="str">
        <f t="shared" si="37"/>
        <v xml:space="preserve"> </v>
      </c>
      <c r="CI42" s="46" t="str">
        <f t="shared" si="38"/>
        <v xml:space="preserve"> </v>
      </c>
      <c r="CJ42" s="46" t="str">
        <f t="shared" si="39"/>
        <v xml:space="preserve"> </v>
      </c>
      <c r="CK42" s="46" t="str">
        <f t="shared" si="40"/>
        <v xml:space="preserve"> </v>
      </c>
      <c r="CL42" s="46" t="str">
        <f t="shared" si="41"/>
        <v xml:space="preserve"> </v>
      </c>
      <c r="CM42" s="46" t="str">
        <f t="shared" si="42"/>
        <v xml:space="preserve"> </v>
      </c>
      <c r="CN42" s="46"/>
      <c r="CO42" s="46"/>
      <c r="CP42" s="46"/>
      <c r="CQ42" s="46"/>
      <c r="CR42" s="52" t="str">
        <f>[2]uts!J41</f>
        <v/>
      </c>
      <c r="CS42" s="51"/>
      <c r="CT42" s="53" t="str">
        <f t="shared" si="23"/>
        <v xml:space="preserve">  </v>
      </c>
      <c r="CU42" s="53" t="str">
        <f t="shared" si="24"/>
        <v xml:space="preserve">  </v>
      </c>
      <c r="CV42" s="53" t="str">
        <f t="shared" si="25"/>
        <v xml:space="preserve">  </v>
      </c>
      <c r="CW42" s="53" t="str">
        <f t="shared" si="26"/>
        <v xml:space="preserve">  </v>
      </c>
      <c r="CX42" s="53" t="str">
        <f t="shared" si="27"/>
        <v xml:space="preserve">  </v>
      </c>
      <c r="CY42" s="53" t="str">
        <f t="shared" si="28"/>
        <v xml:space="preserve">  </v>
      </c>
      <c r="CZ42" s="53"/>
      <c r="DA42" s="53"/>
      <c r="DB42" s="53"/>
      <c r="DC42" s="53"/>
      <c r="DD42" s="54" t="str">
        <f t="shared" si="43"/>
        <v xml:space="preserve"> </v>
      </c>
      <c r="DE42" s="55">
        <f t="shared" si="44"/>
        <v>0</v>
      </c>
      <c r="DF42" s="55">
        <f t="shared" si="45"/>
        <v>0</v>
      </c>
      <c r="DG42" s="51">
        <f>SISWA!E40</f>
        <v>0</v>
      </c>
      <c r="DH42" s="51" t="str">
        <f t="shared" si="46"/>
        <v/>
      </c>
      <c r="DI42" s="56" t="str">
        <f t="shared" si="47"/>
        <v/>
      </c>
      <c r="DJ42" s="57" t="str">
        <f t="shared" si="48"/>
        <v/>
      </c>
      <c r="DK42" s="57" t="str">
        <f t="shared" si="49"/>
        <v/>
      </c>
      <c r="DL42" s="57" t="str">
        <f t="shared" si="50"/>
        <v/>
      </c>
      <c r="DM42" s="57" t="str">
        <f t="shared" si="51"/>
        <v/>
      </c>
      <c r="DN42" s="57" t="str">
        <f t="shared" si="52"/>
        <v/>
      </c>
      <c r="DO42" s="57"/>
      <c r="DP42" s="57"/>
      <c r="DQ42" s="57"/>
      <c r="DR42" s="57"/>
      <c r="DS42" s="58">
        <f t="shared" si="53"/>
        <v>0</v>
      </c>
      <c r="DT42" s="55" t="e">
        <f t="shared" si="54"/>
        <v>#N/A</v>
      </c>
      <c r="DU42" s="58"/>
      <c r="DV42" s="59" t="e">
        <f>IF(DE42&gt;100,"",IF(DE42&gt;CD$1,"sangat baik dalam "&amp;DT42,IF(DE42&gt;=CD$2,"baik dalam "&amp;DT42,IF(DE42&gt;=CD$3,"cukup dalam "&amp;DT42,IF(DE42&lt;CD$3,"dengan bimbingan dapat meningkatkan dalam "&amp;DT42,IF(DE42&lt;1," ",””))))))</f>
        <v>#N/A</v>
      </c>
      <c r="DW42" s="58"/>
      <c r="DX42" s="57" t="str">
        <f t="shared" si="55"/>
        <v/>
      </c>
      <c r="DY42" s="57" t="str">
        <f t="shared" si="56"/>
        <v/>
      </c>
      <c r="DZ42" s="57" t="str">
        <f t="shared" si="57"/>
        <v/>
      </c>
      <c r="EA42" s="57" t="str">
        <f t="shared" si="58"/>
        <v/>
      </c>
      <c r="EB42" s="57" t="str">
        <f t="shared" si="59"/>
        <v/>
      </c>
      <c r="EC42" s="57" t="str">
        <f t="shared" si="60"/>
        <v/>
      </c>
      <c r="ED42" s="57"/>
      <c r="EE42" s="57"/>
      <c r="EF42" s="57"/>
      <c r="EG42" s="57"/>
      <c r="EH42" s="59" t="e">
        <f t="shared" si="61"/>
        <v>#N/A</v>
      </c>
      <c r="EI42" s="59" t="e">
        <f>IF(DF42&gt;100,"",IF(DF42&gt;CD$1,"sangat baik dalam "&amp;EH42,IF(DF42&gt;=CD$2,"baik dalam "&amp;EH42,IF(DF42&gt;=CD$3,"cukup dalam "&amp;EH42,IF(DF42&lt;CD$3,"dengan bimbingan dapat meningkatkan dalam "&amp;EH42,IF(DF42&lt;1," ",””))))))</f>
        <v>#N/A</v>
      </c>
      <c r="EJ42" s="61"/>
      <c r="EK42" s="62" t="e">
        <f t="shared" si="62"/>
        <v>#N/A</v>
      </c>
      <c r="EL42" s="57">
        <f t="shared" si="63"/>
        <v>0</v>
      </c>
      <c r="EM42" s="57">
        <f t="shared" si="64"/>
        <v>0</v>
      </c>
      <c r="EN42" s="57">
        <f t="shared" si="32"/>
        <v>0</v>
      </c>
      <c r="EO42" s="57"/>
      <c r="EP42" s="57"/>
      <c r="EQ42" s="57"/>
      <c r="ER42" s="59">
        <f t="shared" si="33"/>
        <v>0</v>
      </c>
      <c r="ES42" s="60"/>
      <c r="ET42" s="61"/>
      <c r="EU42" s="62" t="str">
        <f t="shared" si="65"/>
        <v>, 0</v>
      </c>
    </row>
    <row r="43" spans="1:151"/>
    <row r="44" spans="1:151">
      <c r="B44" s="1010" t="str">
        <f>"Kompetensi Dasar "&amp;C2&amp;" :"</f>
        <v>Kompetensi Dasar PPKn :</v>
      </c>
      <c r="C44" s="1011"/>
      <c r="D44" s="1011"/>
      <c r="E44" s="1011"/>
      <c r="F44" s="1011"/>
      <c r="G44" s="1011"/>
      <c r="H44" s="1011"/>
      <c r="I44" s="1011"/>
      <c r="J44" s="1011"/>
      <c r="K44" s="1011"/>
      <c r="L44" s="1011"/>
      <c r="M44" s="1011"/>
      <c r="N44" s="1011"/>
      <c r="O44" s="1011"/>
      <c r="P44" s="1011"/>
      <c r="Q44" s="1011"/>
      <c r="R44" s="1011"/>
      <c r="S44" s="1011"/>
      <c r="T44" s="1011"/>
      <c r="U44" s="1011"/>
      <c r="V44" s="1011"/>
      <c r="W44" s="1011"/>
    </row>
    <row r="45" spans="1:151">
      <c r="A45" s="357" t="str">
        <f>'KDKI-3'!A15</f>
        <v>3.1</v>
      </c>
      <c r="B45" s="357" t="str">
        <f>'KDKI-3'!B15</f>
        <v>mengidentifikasi nilai-nilai Pancasila dalam kehidupan sehari-hari</v>
      </c>
      <c r="C45" s="70"/>
      <c r="D45" s="70"/>
      <c r="E45" s="70"/>
      <c r="F45" s="70"/>
      <c r="G45" s="70"/>
      <c r="H45" s="70"/>
      <c r="I45" s="70"/>
      <c r="J45" s="70"/>
      <c r="K45" s="70"/>
      <c r="L45" s="70"/>
      <c r="M45" s="70"/>
      <c r="N45" s="70"/>
      <c r="O45" s="70"/>
      <c r="P45" s="70"/>
      <c r="Q45" s="70"/>
      <c r="R45" s="70"/>
      <c r="S45" s="70"/>
      <c r="T45" s="70"/>
      <c r="U45" s="70"/>
      <c r="V45" s="70"/>
      <c r="W45" s="70"/>
      <c r="X45" s="70"/>
      <c r="Y45" s="70"/>
      <c r="Z45" s="70"/>
      <c r="AA45" s="70"/>
      <c r="AB45" s="70"/>
      <c r="AC45" s="70"/>
      <c r="AD45" s="70"/>
      <c r="AE45" s="70"/>
      <c r="AF45" s="70"/>
    </row>
    <row r="46" spans="1:151">
      <c r="A46" s="357" t="str">
        <f>'KDKI-3'!A16</f>
        <v>3.2</v>
      </c>
      <c r="B46" s="357" t="str">
        <f>'KDKI-3'!B16</f>
        <v>memahami hak, kewajiban dan tanggung jawab sebagai warga dalam kehidupan sehari-hari</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74"/>
    </row>
    <row r="47" spans="1:151">
      <c r="A47" s="357" t="str">
        <f>'KDKI-3'!A17</f>
        <v>3.3</v>
      </c>
      <c r="B47" s="357" t="str">
        <f>'KDKI-3'!B17</f>
        <v>menelaah keberagaman sosial budaya masyarakat</v>
      </c>
      <c r="C47" s="72"/>
      <c r="D47" s="72"/>
      <c r="E47" s="72"/>
      <c r="F47" s="72"/>
      <c r="G47" s="72"/>
      <c r="H47" s="72"/>
      <c r="I47" s="72"/>
      <c r="J47" s="72"/>
      <c r="K47" s="72"/>
      <c r="L47" s="72"/>
      <c r="M47" s="72"/>
      <c r="N47" s="72"/>
      <c r="O47" s="72"/>
      <c r="P47" s="72"/>
      <c r="Q47" s="72"/>
      <c r="R47" s="72"/>
      <c r="S47" s="72"/>
      <c r="T47" s="72"/>
      <c r="U47" s="72"/>
      <c r="V47" s="72"/>
      <c r="W47" s="72"/>
      <c r="X47" s="72"/>
      <c r="Y47" s="72"/>
      <c r="Z47" s="72"/>
      <c r="AA47" s="72"/>
      <c r="AB47" s="72"/>
      <c r="AC47" s="72"/>
      <c r="AD47" s="72"/>
      <c r="AE47" s="72"/>
      <c r="AF47" s="72"/>
    </row>
    <row r="48" spans="1:151">
      <c r="A48" s="357" t="str">
        <f>'KDKI-3'!A18</f>
        <v>3.4</v>
      </c>
      <c r="B48" s="357" t="str">
        <f>'KDKI-3'!B18</f>
        <v>menggali manfaat persatuan dan kesatuan untuk membangun kerukunan hidup</v>
      </c>
      <c r="C48" s="74"/>
      <c r="D48" s="74"/>
      <c r="E48" s="74"/>
      <c r="F48" s="74"/>
      <c r="G48" s="74"/>
      <c r="H48" s="74"/>
      <c r="I48" s="74"/>
      <c r="J48" s="74"/>
      <c r="K48" s="74"/>
      <c r="L48" s="74"/>
      <c r="M48" s="74"/>
      <c r="N48" s="74"/>
      <c r="O48" s="74"/>
      <c r="P48" s="74"/>
      <c r="Q48" s="74"/>
      <c r="R48" s="74"/>
      <c r="S48" s="74"/>
      <c r="T48" s="74"/>
      <c r="U48" s="74"/>
      <c r="V48" s="74"/>
      <c r="W48" s="74"/>
      <c r="X48" s="74"/>
      <c r="Y48" s="74"/>
      <c r="Z48" s="74"/>
      <c r="AA48" s="74"/>
      <c r="AB48" s="74"/>
      <c r="AC48" s="74"/>
      <c r="AD48" s="74"/>
      <c r="AE48" s="74"/>
      <c r="AF48" s="74"/>
    </row>
    <row r="49" spans="1:32">
      <c r="A49" s="357">
        <f>'KDKI-3'!A19</f>
        <v>0</v>
      </c>
      <c r="B49" s="357">
        <f>'KDKI-3'!B19</f>
        <v>0</v>
      </c>
      <c r="C49" s="74"/>
      <c r="D49" s="74"/>
      <c r="E49" s="74"/>
      <c r="F49" s="74"/>
      <c r="G49" s="74"/>
      <c r="H49" s="74"/>
      <c r="I49" s="74"/>
      <c r="J49" s="74"/>
      <c r="K49" s="74"/>
      <c r="L49" s="74"/>
      <c r="M49" s="74"/>
      <c r="N49" s="74"/>
      <c r="O49" s="74"/>
      <c r="P49" s="74"/>
      <c r="Q49" s="74"/>
      <c r="R49" s="74"/>
      <c r="S49" s="74"/>
      <c r="T49" s="74"/>
      <c r="U49" s="74"/>
      <c r="V49" s="74"/>
      <c r="W49" s="74"/>
      <c r="X49" s="74"/>
      <c r="Y49" s="74"/>
      <c r="Z49" s="74"/>
      <c r="AA49" s="74"/>
      <c r="AB49" s="74"/>
      <c r="AC49" s="74"/>
      <c r="AD49" s="74"/>
      <c r="AE49" s="74"/>
      <c r="AF49" s="74"/>
    </row>
    <row r="50" spans="1:32">
      <c r="A50" s="357">
        <f>'KDKI-3'!A20</f>
        <v>0</v>
      </c>
      <c r="B50" s="357">
        <f>'KDKI-3'!B20</f>
        <v>0</v>
      </c>
      <c r="C50" s="72"/>
      <c r="D50" s="72"/>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row>
    <row r="51" spans="1:32">
      <c r="A51" s="357">
        <f>'KDKI-3'!A21</f>
        <v>0</v>
      </c>
      <c r="B51" s="357">
        <f>'KDKI-3'!B21</f>
        <v>0</v>
      </c>
      <c r="C51" s="74"/>
      <c r="D51" s="74"/>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c r="AE51" s="74"/>
      <c r="AF51" s="74"/>
    </row>
    <row r="52" spans="1:32">
      <c r="A52" s="360"/>
      <c r="B52" s="371"/>
      <c r="C52" s="72"/>
      <c r="D52" s="72"/>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row>
    <row r="53" spans="1:32">
      <c r="A53" s="360"/>
      <c r="B53" s="370"/>
      <c r="C53" s="74"/>
      <c r="D53" s="74"/>
      <c r="E53" s="74"/>
      <c r="F53" s="74"/>
      <c r="G53" s="74"/>
      <c r="H53" s="74"/>
      <c r="I53" s="74"/>
      <c r="J53" s="74"/>
      <c r="K53" s="74"/>
      <c r="L53" s="74"/>
      <c r="M53" s="74"/>
      <c r="N53" s="74"/>
      <c r="O53" s="74"/>
      <c r="P53" s="74"/>
      <c r="Q53" s="74"/>
      <c r="R53" s="74"/>
      <c r="S53" s="74"/>
      <c r="T53" s="74"/>
      <c r="U53" s="74"/>
      <c r="V53" s="74"/>
      <c r="W53" s="74"/>
      <c r="X53" s="74"/>
      <c r="Y53" s="74"/>
      <c r="Z53" s="74"/>
      <c r="AA53" s="74"/>
      <c r="AB53" s="74"/>
      <c r="AC53" s="74"/>
      <c r="AD53" s="74"/>
      <c r="AE53" s="74"/>
      <c r="AF53" s="74"/>
    </row>
    <row r="54" spans="1:32">
      <c r="A54" s="360"/>
      <c r="B54" s="361"/>
      <c r="C54" s="84"/>
      <c r="D54" s="84"/>
      <c r="E54" s="84"/>
      <c r="F54" s="84"/>
      <c r="G54" s="84"/>
      <c r="H54" s="84"/>
      <c r="I54" s="84"/>
      <c r="J54" s="84"/>
      <c r="K54" s="84"/>
      <c r="L54" s="84"/>
      <c r="M54" s="84"/>
      <c r="N54" s="84"/>
      <c r="O54" s="84"/>
      <c r="P54" s="84"/>
      <c r="Q54" s="84"/>
      <c r="R54" s="84"/>
      <c r="S54" s="84"/>
      <c r="T54" s="84"/>
      <c r="U54" s="84"/>
      <c r="V54" s="84"/>
      <c r="W54" s="84"/>
      <c r="X54" s="84"/>
      <c r="Y54" s="84"/>
      <c r="Z54" s="84"/>
      <c r="AA54" s="84"/>
      <c r="AB54" s="84"/>
      <c r="AC54" s="84"/>
      <c r="AD54" s="84"/>
      <c r="AE54" s="84"/>
      <c r="AF54" s="84"/>
    </row>
    <row r="55" spans="1:32">
      <c r="A55" s="124"/>
      <c r="B55" s="124"/>
    </row>
    <row r="56" spans="1:32"/>
    <row r="57" spans="1:32"/>
    <row r="58" spans="1:32"/>
    <row r="59" spans="1:32"/>
    <row r="60" spans="1:32"/>
  </sheetData>
  <sheetProtection password="CA9C" sheet="1" objects="1" scenarios="1" formatCells="0" formatRows="0"/>
  <mergeCells count="57">
    <mergeCell ref="EK4:EK7"/>
    <mergeCell ref="B44:W44"/>
    <mergeCell ref="EH6:EH7"/>
    <mergeCell ref="EI6:EI7"/>
    <mergeCell ref="DT6:DT7"/>
    <mergeCell ref="DV6:DV7"/>
    <mergeCell ref="DX6:DX7"/>
    <mergeCell ref="CD5:CD7"/>
    <mergeCell ref="CE5:CE7"/>
    <mergeCell ref="CR5:CR7"/>
    <mergeCell ref="AY6:BD6"/>
    <mergeCell ref="BE6:BJ6"/>
    <mergeCell ref="AY5:BJ5"/>
    <mergeCell ref="DY6:DY7"/>
    <mergeCell ref="DZ6:DZ7"/>
    <mergeCell ref="CH5:CQ5"/>
    <mergeCell ref="DG3:DQ3"/>
    <mergeCell ref="A5:A7"/>
    <mergeCell ref="B5:B7"/>
    <mergeCell ref="C5:N5"/>
    <mergeCell ref="O5:Z5"/>
    <mergeCell ref="AA5:AL5"/>
    <mergeCell ref="AM5:AX5"/>
    <mergeCell ref="C6:H6"/>
    <mergeCell ref="I6:N6"/>
    <mergeCell ref="O6:T6"/>
    <mergeCell ref="U6:Z6"/>
    <mergeCell ref="AA6:AF6"/>
    <mergeCell ref="AG6:AL6"/>
    <mergeCell ref="AM6:AR6"/>
    <mergeCell ref="AS6:AX6"/>
    <mergeCell ref="BK5:BP5"/>
    <mergeCell ref="C3:P3"/>
    <mergeCell ref="C4:N4"/>
    <mergeCell ref="BQ5:BV5"/>
    <mergeCell ref="BW5:CB5"/>
    <mergeCell ref="B1:W1"/>
    <mergeCell ref="C2:I2"/>
    <mergeCell ref="X3:AB3"/>
    <mergeCell ref="CT5:DB5"/>
    <mergeCell ref="DI6:DI7"/>
    <mergeCell ref="DJ6:DJ7"/>
    <mergeCell ref="DK6:DK7"/>
    <mergeCell ref="EC6:EC7"/>
    <mergeCell ref="EE6:EE7"/>
    <mergeCell ref="EG6:EG7"/>
    <mergeCell ref="DL6:DL7"/>
    <mergeCell ref="DM6:DM7"/>
    <mergeCell ref="DN6:DN7"/>
    <mergeCell ref="DO6:DO7"/>
    <mergeCell ref="DP6:DP7"/>
    <mergeCell ref="DQ6:DQ7"/>
    <mergeCell ref="DR6:DR7"/>
    <mergeCell ref="EA6:EA7"/>
    <mergeCell ref="EB6:EB7"/>
    <mergeCell ref="ED6:ED7"/>
    <mergeCell ref="EF6:EF7"/>
  </mergeCells>
  <pageMargins left="0.7" right="0.7" top="0.75" bottom="0.75" header="0.3" footer="0.3"/>
  <pageSetup paperSize="256" orientation="portrait" horizontalDpi="4294967294" verticalDpi="4294967294" r:id="rId1"/>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1:M254"/>
  <sheetViews>
    <sheetView showRowColHeaders="0" showZeros="0" zoomScaleSheetLayoutView="100" workbookViewId="0">
      <pane ySplit="5" topLeftCell="A156" activePane="bottomLeft" state="frozen"/>
      <selection pane="bottomLeft"/>
    </sheetView>
  </sheetViews>
  <sheetFormatPr defaultRowHeight="15"/>
  <cols>
    <col min="1" max="1" width="5.7109375" style="4" customWidth="1"/>
    <col min="2" max="2" width="10.28515625" style="4" customWidth="1"/>
    <col min="3" max="3" width="1.42578125" style="4" customWidth="1"/>
    <col min="4" max="4" width="8" style="4" customWidth="1"/>
    <col min="5" max="5" width="1.7109375" style="4" customWidth="1"/>
    <col min="6" max="6" width="16.140625" style="4" customWidth="1"/>
    <col min="7" max="7" width="15.28515625" style="4" customWidth="1"/>
    <col min="8" max="8" width="15.7109375" style="4" customWidth="1"/>
    <col min="9" max="9" width="1.5703125" style="4" customWidth="1"/>
    <col min="10" max="10" width="7.42578125" style="4" customWidth="1"/>
    <col min="11" max="11" width="5.140625" style="4" customWidth="1"/>
    <col min="12" max="16384" width="9.140625" style="4"/>
  </cols>
  <sheetData>
    <row r="1" spans="1:13" ht="5.25" customHeight="1" thickBot="1">
      <c r="L1" s="4" t="s">
        <v>255</v>
      </c>
    </row>
    <row r="2" spans="1:13" ht="15" customHeight="1">
      <c r="A2" s="158" t="s">
        <v>10</v>
      </c>
      <c r="B2" s="158"/>
      <c r="C2" s="158" t="s">
        <v>35</v>
      </c>
      <c r="D2" s="404" t="str">
        <f>VLOOKUP(M2,siswa,2,FALSE)</f>
        <v>Afif Rafiudin</v>
      </c>
      <c r="E2" s="158"/>
      <c r="F2" s="158"/>
      <c r="G2" s="158"/>
      <c r="H2" s="408" t="s">
        <v>36</v>
      </c>
      <c r="I2" s="405" t="s">
        <v>35</v>
      </c>
      <c r="J2" s="1030" t="str">
        <f>MENU!N20</f>
        <v>V ( Lima )</v>
      </c>
      <c r="K2" s="1030"/>
      <c r="M2" s="1056">
        <v>1</v>
      </c>
    </row>
    <row r="3" spans="1:13" ht="15" customHeight="1" thickBot="1">
      <c r="A3" s="1058" t="s">
        <v>66</v>
      </c>
      <c r="B3" s="1058"/>
      <c r="C3" s="406" t="s">
        <v>35</v>
      </c>
      <c r="D3" s="407">
        <f>VLOOKUP(M2,siswa,3,FALSE)</f>
        <v>1279</v>
      </c>
      <c r="E3" s="407" t="s">
        <v>67</v>
      </c>
      <c r="F3" s="158" t="str">
        <f>VLOOKUP($M$2,siswa,4,FALSE)</f>
        <v>0153278170</v>
      </c>
      <c r="G3" s="158"/>
      <c r="H3" s="408" t="s">
        <v>37</v>
      </c>
      <c r="I3" s="405" t="s">
        <v>35</v>
      </c>
      <c r="J3" s="1030" t="str">
        <f>MENU!N21</f>
        <v>1 ( satu )</v>
      </c>
      <c r="K3" s="1030"/>
      <c r="M3" s="1057"/>
    </row>
    <row r="4" spans="1:13" ht="15" customHeight="1">
      <c r="A4" s="1030" t="s">
        <v>34</v>
      </c>
      <c r="B4" s="1030"/>
      <c r="C4" s="406" t="s">
        <v>35</v>
      </c>
      <c r="D4" s="408" t="str">
        <f>MENU!M7</f>
        <v>SD MUHAMMADIYAH BENDO</v>
      </c>
      <c r="E4" s="408"/>
      <c r="F4" s="409"/>
      <c r="G4" s="158"/>
      <c r="H4" s="158" t="s">
        <v>38</v>
      </c>
      <c r="I4" s="405" t="s">
        <v>35</v>
      </c>
      <c r="J4" s="1030" t="str">
        <f>MENU!N22</f>
        <v>2019/2020</v>
      </c>
      <c r="K4" s="1030"/>
    </row>
    <row r="5" spans="1:13" ht="15" customHeight="1">
      <c r="A5" s="1030" t="s">
        <v>68</v>
      </c>
      <c r="B5" s="1030"/>
      <c r="C5" s="406" t="s">
        <v>35</v>
      </c>
      <c r="D5" s="408" t="str">
        <f>MENU!M8</f>
        <v>Pranan, Banjaroyo, Kalibawang, Kulon Progo</v>
      </c>
      <c r="E5" s="408"/>
      <c r="F5" s="409"/>
      <c r="G5" s="410"/>
      <c r="H5" s="409"/>
      <c r="I5" s="409"/>
      <c r="J5" s="409"/>
      <c r="K5" s="409"/>
    </row>
    <row r="6" spans="1:13" ht="15" customHeight="1"/>
    <row r="7" spans="1:13" ht="15.75">
      <c r="A7" s="1031" t="s">
        <v>69</v>
      </c>
      <c r="B7" s="1031"/>
      <c r="C7" s="1031"/>
      <c r="D7" s="1031"/>
      <c r="E7" s="1031"/>
      <c r="F7" s="1031"/>
      <c r="G7" s="1031"/>
      <c r="H7" s="1031"/>
      <c r="I7" s="1031"/>
      <c r="J7" s="1031"/>
      <c r="K7" s="1031"/>
    </row>
    <row r="8" spans="1:13">
      <c r="A8" s="1032" t="s">
        <v>70</v>
      </c>
      <c r="B8" s="1033"/>
      <c r="C8" s="1033"/>
      <c r="D8" s="1034"/>
      <c r="E8" s="1035" t="s">
        <v>71</v>
      </c>
      <c r="F8" s="1036"/>
      <c r="G8" s="1036"/>
      <c r="H8" s="1036"/>
      <c r="I8" s="1036"/>
      <c r="J8" s="1036"/>
      <c r="K8" s="1037"/>
    </row>
    <row r="9" spans="1:13">
      <c r="A9" s="1038" t="s">
        <v>72</v>
      </c>
      <c r="B9" s="1039"/>
      <c r="C9" s="1039"/>
      <c r="D9" s="1040"/>
      <c r="E9" s="1047" t="str">
        <f>VLOOKUP(M2,N,5,FALSE)</f>
        <v xml:space="preserve">Ananda Afif baik dalam ketaatan beribadah, perilaku bersyukur, berdoa sebelum dan sesudah melakukan kegiatan, toleransi dalam beribadah, </v>
      </c>
      <c r="F9" s="1048"/>
      <c r="G9" s="1048"/>
      <c r="H9" s="1048"/>
      <c r="I9" s="1048"/>
      <c r="J9" s="1048"/>
      <c r="K9" s="1049"/>
    </row>
    <row r="10" spans="1:13">
      <c r="A10" s="1041"/>
      <c r="B10" s="1042"/>
      <c r="C10" s="1042"/>
      <c r="D10" s="1043"/>
      <c r="E10" s="1050"/>
      <c r="F10" s="1051"/>
      <c r="G10" s="1051"/>
      <c r="H10" s="1051"/>
      <c r="I10" s="1051"/>
      <c r="J10" s="1051"/>
      <c r="K10" s="1052"/>
    </row>
    <row r="11" spans="1:13">
      <c r="A11" s="1041"/>
      <c r="B11" s="1042"/>
      <c r="C11" s="1042"/>
      <c r="D11" s="1043"/>
      <c r="E11" s="1050"/>
      <c r="F11" s="1051"/>
      <c r="G11" s="1051"/>
      <c r="H11" s="1051"/>
      <c r="I11" s="1051"/>
      <c r="J11" s="1051"/>
      <c r="K11" s="1052"/>
    </row>
    <row r="12" spans="1:13">
      <c r="A12" s="1044"/>
      <c r="B12" s="1045"/>
      <c r="C12" s="1045"/>
      <c r="D12" s="1046"/>
      <c r="E12" s="1053"/>
      <c r="F12" s="1054"/>
      <c r="G12" s="1054"/>
      <c r="H12" s="1054"/>
      <c r="I12" s="1054"/>
      <c r="J12" s="1054"/>
      <c r="K12" s="1055"/>
    </row>
    <row r="13" spans="1:13" ht="15" customHeight="1">
      <c r="A13" s="1038" t="s">
        <v>73</v>
      </c>
      <c r="B13" s="1039"/>
      <c r="C13" s="1039"/>
      <c r="D13" s="1040"/>
      <c r="E13" s="1047" t="str">
        <f>VLOOKUP($M$2,N,6,FALSE)</f>
        <v xml:space="preserve">Ananda Afif baik dalam sikap jujur, disiplin, tanggung jawab, sopan santun, kerja sama, </v>
      </c>
      <c r="F13" s="1048"/>
      <c r="G13" s="1048"/>
      <c r="H13" s="1048"/>
      <c r="I13" s="1048"/>
      <c r="J13" s="1048"/>
      <c r="K13" s="1049"/>
    </row>
    <row r="14" spans="1:13">
      <c r="A14" s="1041"/>
      <c r="B14" s="1042"/>
      <c r="C14" s="1042"/>
      <c r="D14" s="1043"/>
      <c r="E14" s="1050"/>
      <c r="F14" s="1051"/>
      <c r="G14" s="1051"/>
      <c r="H14" s="1051"/>
      <c r="I14" s="1051"/>
      <c r="J14" s="1051"/>
      <c r="K14" s="1052"/>
    </row>
    <row r="15" spans="1:13">
      <c r="A15" s="1041"/>
      <c r="B15" s="1042"/>
      <c r="C15" s="1042"/>
      <c r="D15" s="1043"/>
      <c r="E15" s="1050"/>
      <c r="F15" s="1051"/>
      <c r="G15" s="1051"/>
      <c r="H15" s="1051"/>
      <c r="I15" s="1051"/>
      <c r="J15" s="1051"/>
      <c r="K15" s="1052"/>
    </row>
    <row r="16" spans="1:13">
      <c r="A16" s="1041"/>
      <c r="B16" s="1042"/>
      <c r="C16" s="1042"/>
      <c r="D16" s="1043"/>
      <c r="E16" s="1050"/>
      <c r="F16" s="1051"/>
      <c r="G16" s="1051"/>
      <c r="H16" s="1051"/>
      <c r="I16" s="1051"/>
      <c r="J16" s="1051"/>
      <c r="K16" s="1052"/>
    </row>
    <row r="17" spans="1:11">
      <c r="A17" s="1044"/>
      <c r="B17" s="1045"/>
      <c r="C17" s="1045"/>
      <c r="D17" s="1046"/>
      <c r="E17" s="1053"/>
      <c r="F17" s="1054"/>
      <c r="G17" s="1054"/>
      <c r="H17" s="1054"/>
      <c r="I17" s="1054"/>
      <c r="J17" s="1054"/>
      <c r="K17" s="1055"/>
    </row>
    <row r="18" spans="1:11">
      <c r="A18" s="176"/>
      <c r="B18" s="176"/>
      <c r="C18" s="176"/>
      <c r="D18" s="176"/>
      <c r="E18" s="176"/>
      <c r="F18" s="176"/>
      <c r="G18" s="176"/>
      <c r="H18" s="176"/>
      <c r="I18" s="176"/>
      <c r="J18" s="176"/>
      <c r="K18" s="176"/>
    </row>
    <row r="19" spans="1:11" ht="15.75">
      <c r="A19" s="1031" t="s">
        <v>74</v>
      </c>
      <c r="B19" s="1031"/>
      <c r="C19" s="1031"/>
      <c r="D19" s="1031"/>
      <c r="E19" s="1031"/>
      <c r="F19" s="1031"/>
      <c r="G19" s="1031"/>
      <c r="H19" s="1031"/>
      <c r="I19" s="1031"/>
      <c r="J19" s="1031"/>
      <c r="K19" s="1031"/>
    </row>
    <row r="20" spans="1:11">
      <c r="A20" s="1032" t="s">
        <v>70</v>
      </c>
      <c r="B20" s="1033"/>
      <c r="C20" s="1033"/>
      <c r="D20" s="1034"/>
      <c r="E20" s="1065" t="s">
        <v>71</v>
      </c>
      <c r="F20" s="1066"/>
      <c r="G20" s="1066"/>
      <c r="H20" s="1066"/>
      <c r="I20" s="1066"/>
      <c r="J20" s="1066"/>
      <c r="K20" s="1067"/>
    </row>
    <row r="21" spans="1:11" ht="15" customHeight="1">
      <c r="A21" s="1041" t="s">
        <v>75</v>
      </c>
      <c r="B21" s="1042"/>
      <c r="C21" s="1042"/>
      <c r="D21" s="1043"/>
      <c r="E21" s="413" t="s">
        <v>76</v>
      </c>
      <c r="F21" s="1059" t="e">
        <f>VLOOKUP($M$2,N,7,FALSE)</f>
        <v>#REF!</v>
      </c>
      <c r="G21" s="1059"/>
      <c r="H21" s="1059"/>
      <c r="I21" s="1059"/>
      <c r="J21" s="1059"/>
      <c r="K21" s="1060"/>
    </row>
    <row r="22" spans="1:11">
      <c r="A22" s="1041"/>
      <c r="B22" s="1042"/>
      <c r="C22" s="1042"/>
      <c r="D22" s="1043"/>
      <c r="E22" s="389"/>
      <c r="F22" s="1061"/>
      <c r="G22" s="1061"/>
      <c r="H22" s="1061"/>
      <c r="I22" s="1061"/>
      <c r="J22" s="1061"/>
      <c r="K22" s="1062"/>
    </row>
    <row r="23" spans="1:11">
      <c r="A23" s="1041"/>
      <c r="B23" s="1042"/>
      <c r="C23" s="1042"/>
      <c r="D23" s="1043"/>
      <c r="E23" s="389"/>
      <c r="F23" s="1061"/>
      <c r="G23" s="1061"/>
      <c r="H23" s="1061"/>
      <c r="I23" s="1061"/>
      <c r="J23" s="1061"/>
      <c r="K23" s="1062"/>
    </row>
    <row r="24" spans="1:11">
      <c r="A24" s="1041"/>
      <c r="B24" s="1042"/>
      <c r="C24" s="1042"/>
      <c r="D24" s="1043"/>
      <c r="E24" s="414"/>
      <c r="F24" s="1061"/>
      <c r="G24" s="1061"/>
      <c r="H24" s="1061"/>
      <c r="I24" s="1061"/>
      <c r="J24" s="1061"/>
      <c r="K24" s="1062"/>
    </row>
    <row r="25" spans="1:11">
      <c r="A25" s="1041"/>
      <c r="B25" s="1042"/>
      <c r="C25" s="1042"/>
      <c r="D25" s="1043"/>
      <c r="E25" s="389"/>
      <c r="F25" s="1061"/>
      <c r="G25" s="1061"/>
      <c r="H25" s="1061"/>
      <c r="I25" s="1061"/>
      <c r="J25" s="1061"/>
      <c r="K25" s="1062"/>
    </row>
    <row r="26" spans="1:11">
      <c r="A26" s="1041"/>
      <c r="B26" s="1042"/>
      <c r="C26" s="1042"/>
      <c r="D26" s="1043"/>
      <c r="E26" s="389"/>
      <c r="F26" s="1061"/>
      <c r="G26" s="1061"/>
      <c r="H26" s="1061"/>
      <c r="I26" s="1061"/>
      <c r="J26" s="1061"/>
      <c r="K26" s="1062"/>
    </row>
    <row r="27" spans="1:11" ht="16.5" customHeight="1">
      <c r="A27" s="1041"/>
      <c r="B27" s="1042"/>
      <c r="C27" s="1042"/>
      <c r="D27" s="1043"/>
      <c r="E27" s="412" t="s">
        <v>76</v>
      </c>
      <c r="F27" s="1059" t="e">
        <f>VLOOKUP($M$2,N,8,FALSE)</f>
        <v>#REF!</v>
      </c>
      <c r="G27" s="1068"/>
      <c r="H27" s="1068"/>
      <c r="I27" s="1068"/>
      <c r="J27" s="1068"/>
      <c r="K27" s="1069"/>
    </row>
    <row r="28" spans="1:11">
      <c r="A28" s="1041"/>
      <c r="B28" s="1042"/>
      <c r="C28" s="1042"/>
      <c r="D28" s="1043"/>
      <c r="E28" s="414"/>
      <c r="F28" s="1070"/>
      <c r="G28" s="1070"/>
      <c r="H28" s="1070"/>
      <c r="I28" s="1070"/>
      <c r="J28" s="1070"/>
      <c r="K28" s="1071"/>
    </row>
    <row r="29" spans="1:11">
      <c r="A29" s="1041"/>
      <c r="B29" s="1042"/>
      <c r="C29" s="1042"/>
      <c r="D29" s="1043"/>
      <c r="E29" s="389"/>
      <c r="F29" s="1070"/>
      <c r="G29" s="1070"/>
      <c r="H29" s="1070"/>
      <c r="I29" s="1070"/>
      <c r="J29" s="1070"/>
      <c r="K29" s="1071"/>
    </row>
    <row r="30" spans="1:11">
      <c r="A30" s="1041"/>
      <c r="B30" s="1042"/>
      <c r="C30" s="1042"/>
      <c r="D30" s="1043"/>
      <c r="E30" s="389"/>
      <c r="F30" s="1070"/>
      <c r="G30" s="1070"/>
      <c r="H30" s="1070"/>
      <c r="I30" s="1070"/>
      <c r="J30" s="1070"/>
      <c r="K30" s="1071"/>
    </row>
    <row r="31" spans="1:11">
      <c r="A31" s="1041"/>
      <c r="B31" s="1042"/>
      <c r="C31" s="1042"/>
      <c r="D31" s="1043"/>
      <c r="E31" s="392"/>
      <c r="F31" s="1072"/>
      <c r="G31" s="1072"/>
      <c r="H31" s="1072"/>
      <c r="I31" s="1072"/>
      <c r="J31" s="1072"/>
      <c r="K31" s="1073"/>
    </row>
    <row r="32" spans="1:11">
      <c r="A32" s="1041"/>
      <c r="B32" s="1042"/>
      <c r="C32" s="1042"/>
      <c r="D32" s="1043"/>
      <c r="E32" s="414" t="s">
        <v>76</v>
      </c>
      <c r="F32" s="1059" t="e">
        <f>VLOOKUP($M$2,N,9,FALSE)</f>
        <v>#REF!</v>
      </c>
      <c r="G32" s="1059"/>
      <c r="H32" s="1059"/>
      <c r="I32" s="1059"/>
      <c r="J32" s="1059"/>
      <c r="K32" s="1060"/>
    </row>
    <row r="33" spans="1:11">
      <c r="A33" s="1041"/>
      <c r="B33" s="1042"/>
      <c r="C33" s="1042"/>
      <c r="D33" s="1043"/>
      <c r="E33" s="389"/>
      <c r="F33" s="1061"/>
      <c r="G33" s="1061"/>
      <c r="H33" s="1061"/>
      <c r="I33" s="1061"/>
      <c r="J33" s="1061"/>
      <c r="K33" s="1062"/>
    </row>
    <row r="34" spans="1:11">
      <c r="A34" s="1041"/>
      <c r="B34" s="1042"/>
      <c r="C34" s="1042"/>
      <c r="D34" s="1043"/>
      <c r="E34" s="389"/>
      <c r="F34" s="1061"/>
      <c r="G34" s="1061"/>
      <c r="H34" s="1061"/>
      <c r="I34" s="1061"/>
      <c r="J34" s="1061"/>
      <c r="K34" s="1062"/>
    </row>
    <row r="35" spans="1:11">
      <c r="A35" s="1041"/>
      <c r="B35" s="1042"/>
      <c r="C35" s="1042"/>
      <c r="D35" s="1043"/>
      <c r="E35" s="389"/>
      <c r="F35" s="1061"/>
      <c r="G35" s="1061"/>
      <c r="H35" s="1061"/>
      <c r="I35" s="1061"/>
      <c r="J35" s="1061"/>
      <c r="K35" s="1062"/>
    </row>
    <row r="36" spans="1:11">
      <c r="A36" s="1041"/>
      <c r="B36" s="1042"/>
      <c r="C36" s="1042"/>
      <c r="D36" s="1043"/>
      <c r="E36" s="389"/>
      <c r="F36" s="1061"/>
      <c r="G36" s="1061"/>
      <c r="H36" s="1061"/>
      <c r="I36" s="1061"/>
      <c r="J36" s="1061"/>
      <c r="K36" s="1062"/>
    </row>
    <row r="37" spans="1:11">
      <c r="A37" s="1041"/>
      <c r="B37" s="1042"/>
      <c r="C37" s="1042"/>
      <c r="D37" s="1043"/>
      <c r="E37" s="389"/>
      <c r="F37" s="1061"/>
      <c r="G37" s="1061"/>
      <c r="H37" s="1061"/>
      <c r="I37" s="1061"/>
      <c r="J37" s="1061"/>
      <c r="K37" s="1062"/>
    </row>
    <row r="38" spans="1:11">
      <c r="A38" s="1041"/>
      <c r="B38" s="1042"/>
      <c r="C38" s="1042"/>
      <c r="D38" s="1043"/>
      <c r="E38" s="389"/>
      <c r="F38" s="1061"/>
      <c r="G38" s="1061"/>
      <c r="H38" s="1061"/>
      <c r="I38" s="1061"/>
      <c r="J38" s="1061"/>
      <c r="K38" s="1062"/>
    </row>
    <row r="39" spans="1:11">
      <c r="A39" s="1041"/>
      <c r="B39" s="1042"/>
      <c r="C39" s="1042"/>
      <c r="D39" s="1043"/>
      <c r="E39" s="389"/>
      <c r="F39" s="1061"/>
      <c r="G39" s="1061"/>
      <c r="H39" s="1061"/>
      <c r="I39" s="1061"/>
      <c r="J39" s="1061"/>
      <c r="K39" s="1062"/>
    </row>
    <row r="40" spans="1:11">
      <c r="A40" s="1041"/>
      <c r="B40" s="1042"/>
      <c r="C40" s="1042"/>
      <c r="D40" s="1043"/>
      <c r="E40" s="389"/>
      <c r="F40" s="1061"/>
      <c r="G40" s="1061"/>
      <c r="H40" s="1061"/>
      <c r="I40" s="1061"/>
      <c r="J40" s="1061"/>
      <c r="K40" s="1062"/>
    </row>
    <row r="41" spans="1:11">
      <c r="A41" s="1041"/>
      <c r="B41" s="1042"/>
      <c r="C41" s="1042"/>
      <c r="D41" s="1043"/>
      <c r="E41" s="392"/>
      <c r="F41" s="1063"/>
      <c r="G41" s="1063"/>
      <c r="H41" s="1063"/>
      <c r="I41" s="1063"/>
      <c r="J41" s="1063"/>
      <c r="K41" s="1064"/>
    </row>
    <row r="42" spans="1:11">
      <c r="A42" s="180"/>
      <c r="B42" s="181"/>
      <c r="C42" s="181"/>
      <c r="D42" s="182"/>
      <c r="E42" s="412" t="s">
        <v>76</v>
      </c>
      <c r="F42" s="1059" t="e">
        <f>VLOOKUP($M$2,N,10,FALSE)</f>
        <v>#REF!</v>
      </c>
      <c r="G42" s="1059"/>
      <c r="H42" s="1059"/>
      <c r="I42" s="1059"/>
      <c r="J42" s="1059"/>
      <c r="K42" s="1060"/>
    </row>
    <row r="43" spans="1:11">
      <c r="A43" s="180"/>
      <c r="B43" s="181"/>
      <c r="C43" s="181"/>
      <c r="D43" s="182"/>
      <c r="E43" s="148"/>
      <c r="F43" s="1061"/>
      <c r="G43" s="1061"/>
      <c r="H43" s="1061"/>
      <c r="I43" s="1061"/>
      <c r="J43" s="1061"/>
      <c r="K43" s="1062"/>
    </row>
    <row r="44" spans="1:11">
      <c r="A44" s="180"/>
      <c r="B44" s="181"/>
      <c r="C44" s="181"/>
      <c r="D44" s="182"/>
      <c r="E44" s="148"/>
      <c r="F44" s="1061"/>
      <c r="G44" s="1061"/>
      <c r="H44" s="1061"/>
      <c r="I44" s="1061"/>
      <c r="J44" s="1061"/>
      <c r="K44" s="1062"/>
    </row>
    <row r="45" spans="1:11">
      <c r="A45" s="180"/>
      <c r="B45" s="181"/>
      <c r="C45" s="181"/>
      <c r="D45" s="182"/>
      <c r="E45" s="148"/>
      <c r="F45" s="1061"/>
      <c r="G45" s="1061"/>
      <c r="H45" s="1061"/>
      <c r="I45" s="1061"/>
      <c r="J45" s="1061"/>
      <c r="K45" s="1062"/>
    </row>
    <row r="46" spans="1:11">
      <c r="A46" s="180"/>
      <c r="B46" s="181"/>
      <c r="C46" s="181"/>
      <c r="D46" s="182"/>
      <c r="E46" s="148"/>
      <c r="F46" s="1061"/>
      <c r="G46" s="1061"/>
      <c r="H46" s="1061"/>
      <c r="I46" s="1061"/>
      <c r="J46" s="1061"/>
      <c r="K46" s="1062"/>
    </row>
    <row r="47" spans="1:11">
      <c r="A47" s="180"/>
      <c r="B47" s="181"/>
      <c r="C47" s="181"/>
      <c r="D47" s="182"/>
      <c r="E47" s="149"/>
      <c r="F47" s="1063"/>
      <c r="G47" s="1063"/>
      <c r="H47" s="1063"/>
      <c r="I47" s="1063"/>
      <c r="J47" s="1063"/>
      <c r="K47" s="1064"/>
    </row>
    <row r="48" spans="1:11">
      <c r="A48" s="180"/>
      <c r="B48" s="181"/>
      <c r="C48" s="181"/>
      <c r="D48" s="182"/>
      <c r="E48" s="293" t="s">
        <v>76</v>
      </c>
      <c r="F48" s="1059" t="e">
        <f>VLOOKUP($M$2,N,11,FALSE)</f>
        <v>#REF!</v>
      </c>
      <c r="G48" s="1059"/>
      <c r="H48" s="1059"/>
      <c r="I48" s="1059"/>
      <c r="J48" s="1059"/>
      <c r="K48" s="1060"/>
    </row>
    <row r="49" spans="1:11">
      <c r="A49" s="180"/>
      <c r="B49" s="181"/>
      <c r="C49" s="181"/>
      <c r="D49" s="182"/>
      <c r="E49" s="390"/>
      <c r="F49" s="1061"/>
      <c r="G49" s="1061"/>
      <c r="H49" s="1061"/>
      <c r="I49" s="1061"/>
      <c r="J49" s="1061"/>
      <c r="K49" s="1062"/>
    </row>
    <row r="50" spans="1:11">
      <c r="A50" s="180"/>
      <c r="B50" s="181"/>
      <c r="C50" s="181"/>
      <c r="D50" s="182"/>
      <c r="E50" s="390"/>
      <c r="F50" s="1061"/>
      <c r="G50" s="1061"/>
      <c r="H50" s="1061"/>
      <c r="I50" s="1061"/>
      <c r="J50" s="1061"/>
      <c r="K50" s="1062"/>
    </row>
    <row r="51" spans="1:11">
      <c r="A51" s="180"/>
      <c r="B51" s="181"/>
      <c r="C51" s="181"/>
      <c r="D51" s="182"/>
      <c r="E51" s="390"/>
      <c r="F51" s="1061"/>
      <c r="G51" s="1061"/>
      <c r="H51" s="1061"/>
      <c r="I51" s="1061"/>
      <c r="J51" s="1061"/>
      <c r="K51" s="1062"/>
    </row>
    <row r="52" spans="1:11">
      <c r="A52" s="183"/>
      <c r="B52" s="184"/>
      <c r="C52" s="184"/>
      <c r="D52" s="185"/>
      <c r="E52" s="391"/>
      <c r="F52" s="1063"/>
      <c r="G52" s="1063"/>
      <c r="H52" s="1063"/>
      <c r="I52" s="1063"/>
      <c r="J52" s="1063"/>
      <c r="K52" s="1064"/>
    </row>
    <row r="53" spans="1:11">
      <c r="A53" s="177"/>
      <c r="B53" s="178"/>
      <c r="C53" s="178"/>
      <c r="D53" s="179"/>
      <c r="E53" s="293" t="s">
        <v>76</v>
      </c>
      <c r="F53" s="1059" t="e">
        <f>VLOOKUP($M$2,N,12,FALSE)</f>
        <v>#REF!</v>
      </c>
      <c r="G53" s="1059"/>
      <c r="H53" s="1059"/>
      <c r="I53" s="1059"/>
      <c r="J53" s="1059"/>
      <c r="K53" s="1060"/>
    </row>
    <row r="54" spans="1:11">
      <c r="A54" s="180"/>
      <c r="B54" s="181"/>
      <c r="C54" s="181"/>
      <c r="D54" s="182"/>
      <c r="E54" s="390"/>
      <c r="F54" s="1061"/>
      <c r="G54" s="1061"/>
      <c r="H54" s="1061"/>
      <c r="I54" s="1061"/>
      <c r="J54" s="1061"/>
      <c r="K54" s="1062"/>
    </row>
    <row r="55" spans="1:11">
      <c r="A55" s="180"/>
      <c r="B55" s="181"/>
      <c r="C55" s="181"/>
      <c r="D55" s="182"/>
      <c r="E55" s="390"/>
      <c r="F55" s="1061"/>
      <c r="G55" s="1061"/>
      <c r="H55" s="1061"/>
      <c r="I55" s="1061"/>
      <c r="J55" s="1061"/>
      <c r="K55" s="1062"/>
    </row>
    <row r="56" spans="1:11">
      <c r="A56" s="180"/>
      <c r="B56" s="181"/>
      <c r="C56" s="181"/>
      <c r="D56" s="182"/>
      <c r="E56" s="390"/>
      <c r="F56" s="1061"/>
      <c r="G56" s="1061"/>
      <c r="H56" s="1061"/>
      <c r="I56" s="1061"/>
      <c r="J56" s="1061"/>
      <c r="K56" s="1062"/>
    </row>
    <row r="57" spans="1:11">
      <c r="A57" s="180"/>
      <c r="B57" s="181"/>
      <c r="C57" s="181"/>
      <c r="D57" s="182"/>
      <c r="E57" s="390"/>
      <c r="F57" s="1061"/>
      <c r="G57" s="1061"/>
      <c r="H57" s="1061"/>
      <c r="I57" s="1061"/>
      <c r="J57" s="1061"/>
      <c r="K57" s="1062"/>
    </row>
    <row r="58" spans="1:11">
      <c r="A58" s="180"/>
      <c r="B58" s="181"/>
      <c r="C58" s="181"/>
      <c r="D58" s="182"/>
      <c r="E58" s="390"/>
      <c r="F58" s="1061"/>
      <c r="G58" s="1061"/>
      <c r="H58" s="1061"/>
      <c r="I58" s="1061"/>
      <c r="J58" s="1061"/>
      <c r="K58" s="1062"/>
    </row>
    <row r="59" spans="1:11">
      <c r="A59" s="180"/>
      <c r="B59" s="181"/>
      <c r="C59" s="181"/>
      <c r="D59" s="182"/>
      <c r="E59" s="390"/>
      <c r="F59" s="1061"/>
      <c r="G59" s="1061"/>
      <c r="H59" s="1061"/>
      <c r="I59" s="1061"/>
      <c r="J59" s="1061"/>
      <c r="K59" s="1062"/>
    </row>
    <row r="60" spans="1:11">
      <c r="A60" s="180"/>
      <c r="B60" s="181"/>
      <c r="C60" s="181"/>
      <c r="D60" s="182"/>
      <c r="E60" s="391"/>
      <c r="F60" s="1063"/>
      <c r="G60" s="1063"/>
      <c r="H60" s="1063"/>
      <c r="I60" s="1063"/>
      <c r="J60" s="1063"/>
      <c r="K60" s="1064"/>
    </row>
    <row r="61" spans="1:11">
      <c r="A61" s="180"/>
      <c r="B61" s="181"/>
      <c r="C61" s="181"/>
      <c r="D61" s="182"/>
      <c r="E61" s="293" t="s">
        <v>76</v>
      </c>
      <c r="F61" s="1059" t="e">
        <f>VLOOKUP($M$2,N,13,FALSE)</f>
        <v>#REF!</v>
      </c>
      <c r="G61" s="1059"/>
      <c r="H61" s="1059"/>
      <c r="I61" s="1059"/>
      <c r="J61" s="1059"/>
      <c r="K61" s="1060"/>
    </row>
    <row r="62" spans="1:11">
      <c r="A62" s="180"/>
      <c r="B62" s="181"/>
      <c r="C62" s="181"/>
      <c r="D62" s="182"/>
      <c r="E62" s="148"/>
      <c r="F62" s="1061"/>
      <c r="G62" s="1061"/>
      <c r="H62" s="1061"/>
      <c r="I62" s="1061"/>
      <c r="J62" s="1061"/>
      <c r="K62" s="1062"/>
    </row>
    <row r="63" spans="1:11">
      <c r="A63" s="180"/>
      <c r="B63" s="181"/>
      <c r="C63" s="181"/>
      <c r="D63" s="182"/>
      <c r="E63" s="148"/>
      <c r="F63" s="1061"/>
      <c r="G63" s="1061"/>
      <c r="H63" s="1061"/>
      <c r="I63" s="1061"/>
      <c r="J63" s="1061"/>
      <c r="K63" s="1062"/>
    </row>
    <row r="64" spans="1:11">
      <c r="A64" s="180"/>
      <c r="B64" s="181"/>
      <c r="C64" s="181"/>
      <c r="D64" s="182"/>
      <c r="E64" s="148"/>
      <c r="F64" s="1061"/>
      <c r="G64" s="1061"/>
      <c r="H64" s="1061"/>
      <c r="I64" s="1061"/>
      <c r="J64" s="1061"/>
      <c r="K64" s="1062"/>
    </row>
    <row r="65" spans="1:11">
      <c r="A65" s="180"/>
      <c r="B65" s="181"/>
      <c r="C65" s="181"/>
      <c r="D65" s="182"/>
      <c r="E65" s="392"/>
      <c r="F65" s="1063"/>
      <c r="G65" s="1063"/>
      <c r="H65" s="1063"/>
      <c r="I65" s="1063"/>
      <c r="J65" s="1063"/>
      <c r="K65" s="1064"/>
    </row>
    <row r="66" spans="1:11">
      <c r="A66" s="180"/>
      <c r="B66" s="181"/>
      <c r="C66" s="181"/>
      <c r="D66" s="182"/>
      <c r="E66" s="412" t="s">
        <v>76</v>
      </c>
      <c r="F66" s="1059" t="str">
        <f>VLOOKUP($M$2,N,14,FALSE)</f>
        <v>Ananda Afif  baik dalam mengidentifikasi nilai-nilai Pancasila dalam kehidupan sehari-hari, cukup dalam memahami hak, kewajiban dan tanggung jawab sebagai warga dalam kehidupan sehari-hari</v>
      </c>
      <c r="G66" s="1059"/>
      <c r="H66" s="1059"/>
      <c r="I66" s="1059"/>
      <c r="J66" s="1059"/>
      <c r="K66" s="1060"/>
    </row>
    <row r="67" spans="1:11">
      <c r="A67" s="180"/>
      <c r="B67" s="181"/>
      <c r="C67" s="181"/>
      <c r="D67" s="182"/>
      <c r="E67" s="148"/>
      <c r="F67" s="1061"/>
      <c r="G67" s="1061"/>
      <c r="H67" s="1061"/>
      <c r="I67" s="1061"/>
      <c r="J67" s="1061"/>
      <c r="K67" s="1062"/>
    </row>
    <row r="68" spans="1:11">
      <c r="A68" s="180"/>
      <c r="B68" s="181"/>
      <c r="C68" s="181"/>
      <c r="D68" s="182"/>
      <c r="E68" s="148"/>
      <c r="F68" s="1061"/>
      <c r="G68" s="1061"/>
      <c r="H68" s="1061"/>
      <c r="I68" s="1061"/>
      <c r="J68" s="1061"/>
      <c r="K68" s="1062"/>
    </row>
    <row r="69" spans="1:11">
      <c r="A69" s="180"/>
      <c r="B69" s="181"/>
      <c r="C69" s="181"/>
      <c r="D69" s="182"/>
      <c r="E69" s="148"/>
      <c r="F69" s="1061"/>
      <c r="G69" s="1061"/>
      <c r="H69" s="1061"/>
      <c r="I69" s="1061"/>
      <c r="J69" s="1061"/>
      <c r="K69" s="1062"/>
    </row>
    <row r="70" spans="1:11">
      <c r="A70" s="180"/>
      <c r="B70" s="181"/>
      <c r="C70" s="181"/>
      <c r="D70" s="182"/>
      <c r="E70" s="148"/>
      <c r="F70" s="1061"/>
      <c r="G70" s="1061"/>
      <c r="H70" s="1061"/>
      <c r="I70" s="1061"/>
      <c r="J70" s="1061"/>
      <c r="K70" s="1062"/>
    </row>
    <row r="71" spans="1:11">
      <c r="A71" s="180"/>
      <c r="B71" s="181"/>
      <c r="C71" s="181"/>
      <c r="D71" s="182"/>
      <c r="E71" s="149"/>
      <c r="F71" s="1063"/>
      <c r="G71" s="1063"/>
      <c r="H71" s="1063"/>
      <c r="I71" s="1063"/>
      <c r="J71" s="1063"/>
      <c r="K71" s="1064"/>
    </row>
    <row r="72" spans="1:11">
      <c r="A72" s="180"/>
      <c r="B72" s="181"/>
      <c r="C72" s="181"/>
      <c r="D72" s="182"/>
      <c r="E72" s="293" t="s">
        <v>76</v>
      </c>
      <c r="F72" s="1059" t="str">
        <f>VLOOKUP($M$2,N,15,FALSE)</f>
        <v>Ananda Afif baik dalam menggali isi dan amanat pantun yang disajikan secara lisan dan tulis dengan tujuan untuk kesenangan, cukup dalam menentukan pokok pikiran dalam teks lisan dan tulis</v>
      </c>
      <c r="G72" s="1059"/>
      <c r="H72" s="1059"/>
      <c r="I72" s="1059"/>
      <c r="J72" s="1059"/>
      <c r="K72" s="1060"/>
    </row>
    <row r="73" spans="1:11">
      <c r="A73" s="180"/>
      <c r="B73" s="181"/>
      <c r="C73" s="181"/>
      <c r="D73" s="182"/>
      <c r="E73" s="148"/>
      <c r="F73" s="1061"/>
      <c r="G73" s="1061"/>
      <c r="H73" s="1061"/>
      <c r="I73" s="1061"/>
      <c r="J73" s="1061"/>
      <c r="K73" s="1062"/>
    </row>
    <row r="74" spans="1:11">
      <c r="A74" s="180"/>
      <c r="B74" s="181"/>
      <c r="C74" s="181"/>
      <c r="D74" s="182"/>
      <c r="E74" s="148"/>
      <c r="F74" s="1061"/>
      <c r="G74" s="1061"/>
      <c r="H74" s="1061"/>
      <c r="I74" s="1061"/>
      <c r="J74" s="1061"/>
      <c r="K74" s="1062"/>
    </row>
    <row r="75" spans="1:11">
      <c r="A75" s="180"/>
      <c r="B75" s="181"/>
      <c r="C75" s="181"/>
      <c r="D75" s="182"/>
      <c r="E75" s="148"/>
      <c r="F75" s="1061"/>
      <c r="G75" s="1061"/>
      <c r="H75" s="1061"/>
      <c r="I75" s="1061"/>
      <c r="J75" s="1061"/>
      <c r="K75" s="1062"/>
    </row>
    <row r="76" spans="1:11">
      <c r="A76" s="183"/>
      <c r="B76" s="184"/>
      <c r="C76" s="184"/>
      <c r="D76" s="185"/>
      <c r="E76" s="149"/>
      <c r="F76" s="1063"/>
      <c r="G76" s="1063"/>
      <c r="H76" s="1063"/>
      <c r="I76" s="1063"/>
      <c r="J76" s="1063"/>
      <c r="K76" s="1064"/>
    </row>
    <row r="77" spans="1:11">
      <c r="A77" s="186"/>
      <c r="B77" s="186"/>
      <c r="C77" s="186"/>
      <c r="D77" s="186"/>
      <c r="E77" s="150"/>
      <c r="F77" s="150"/>
      <c r="G77" s="150"/>
      <c r="H77" s="150"/>
      <c r="I77" s="150"/>
      <c r="J77" s="150"/>
      <c r="K77" s="150"/>
    </row>
    <row r="78" spans="1:11" ht="15.75">
      <c r="A78" s="1031" t="s">
        <v>77</v>
      </c>
      <c r="B78" s="1031"/>
      <c r="C78" s="1031"/>
      <c r="D78" s="1031"/>
      <c r="E78" s="1031"/>
      <c r="F78" s="1031"/>
      <c r="G78" s="1031"/>
      <c r="H78" s="1031"/>
      <c r="I78" s="1031"/>
      <c r="J78" s="1031"/>
      <c r="K78" s="1031"/>
    </row>
    <row r="79" spans="1:11">
      <c r="A79" s="1080" t="s">
        <v>70</v>
      </c>
      <c r="B79" s="1081"/>
      <c r="C79" s="1081"/>
      <c r="D79" s="1082"/>
      <c r="E79" s="1065" t="s">
        <v>71</v>
      </c>
      <c r="F79" s="1066"/>
      <c r="G79" s="1066"/>
      <c r="H79" s="1066"/>
      <c r="I79" s="1066"/>
      <c r="J79" s="1066"/>
      <c r="K79" s="1067"/>
    </row>
    <row r="80" spans="1:11" ht="15" customHeight="1">
      <c r="A80" s="1038" t="s">
        <v>78</v>
      </c>
      <c r="B80" s="1039"/>
      <c r="C80" s="1039"/>
      <c r="D80" s="1040"/>
      <c r="E80" s="1083" t="s">
        <v>76</v>
      </c>
      <c r="F80" s="1068" t="str">
        <f>VLOOKUP($M$2,N,16,FALSE)</f>
        <v>Ananda Afif cukup dalam menjelaskan dan melakukan penjumlahan dan pengurangan dua pecahan dengan penyebut berbeda, cukup dalam menjelaskan dan melakukan perkalian dan pembagian pecahan dan desimal.</v>
      </c>
      <c r="G80" s="1059"/>
      <c r="H80" s="1059"/>
      <c r="I80" s="1059"/>
      <c r="J80" s="1059"/>
      <c r="K80" s="1060"/>
    </row>
    <row r="81" spans="1:11">
      <c r="A81" s="1041"/>
      <c r="B81" s="1042"/>
      <c r="C81" s="1042"/>
      <c r="D81" s="1043"/>
      <c r="E81" s="1084"/>
      <c r="F81" s="1061"/>
      <c r="G81" s="1061"/>
      <c r="H81" s="1061"/>
      <c r="I81" s="1061"/>
      <c r="J81" s="1061"/>
      <c r="K81" s="1062"/>
    </row>
    <row r="82" spans="1:11">
      <c r="A82" s="1041"/>
      <c r="B82" s="1042"/>
      <c r="C82" s="1042"/>
      <c r="D82" s="1043"/>
      <c r="E82" s="1084"/>
      <c r="F82" s="1061"/>
      <c r="G82" s="1061"/>
      <c r="H82" s="1061"/>
      <c r="I82" s="1061"/>
      <c r="J82" s="1061"/>
      <c r="K82" s="1062"/>
    </row>
    <row r="83" spans="1:11">
      <c r="A83" s="1041"/>
      <c r="B83" s="1042"/>
      <c r="C83" s="1042"/>
      <c r="D83" s="1043"/>
      <c r="E83" s="1084"/>
      <c r="F83" s="1061"/>
      <c r="G83" s="1061"/>
      <c r="H83" s="1061"/>
      <c r="I83" s="1061"/>
      <c r="J83" s="1061"/>
      <c r="K83" s="1062"/>
    </row>
    <row r="84" spans="1:11">
      <c r="A84" s="1041"/>
      <c r="B84" s="1042"/>
      <c r="C84" s="1042"/>
      <c r="D84" s="1043"/>
      <c r="E84" s="1084"/>
      <c r="F84" s="1061"/>
      <c r="G84" s="1061"/>
      <c r="H84" s="1061"/>
      <c r="I84" s="1061"/>
      <c r="J84" s="1061"/>
      <c r="K84" s="1062"/>
    </row>
    <row r="85" spans="1:11">
      <c r="A85" s="1041"/>
      <c r="B85" s="1042"/>
      <c r="C85" s="1042"/>
      <c r="D85" s="1043"/>
      <c r="E85" s="1085"/>
      <c r="F85" s="1063"/>
      <c r="G85" s="1063"/>
      <c r="H85" s="1063"/>
      <c r="I85" s="1063"/>
      <c r="J85" s="1063"/>
      <c r="K85" s="1064"/>
    </row>
    <row r="86" spans="1:11">
      <c r="A86" s="1041"/>
      <c r="B86" s="1042"/>
      <c r="C86" s="1042"/>
      <c r="D86" s="1043"/>
      <c r="E86" s="1075" t="s">
        <v>76</v>
      </c>
      <c r="F86" s="1068" t="str">
        <f>VLOOKUP($M$2,N,17,FALSE)</f>
        <v>Ananda Afif baik dalam menganalisis hubungan antar komponen ekosistem dan jaring-jaring makanan di lingkungan sekitar, cukup dalam menjelaskan organ pernafasan dan fungsinya pada hewan dan manusia, serta cara memelihara kesehatan organ pernapasan manusia</v>
      </c>
      <c r="G86" s="1059"/>
      <c r="H86" s="1059"/>
      <c r="I86" s="1059"/>
      <c r="J86" s="1059"/>
      <c r="K86" s="1060"/>
    </row>
    <row r="87" spans="1:11">
      <c r="A87" s="1041"/>
      <c r="B87" s="1042"/>
      <c r="C87" s="1042"/>
      <c r="D87" s="1043"/>
      <c r="E87" s="1075"/>
      <c r="F87" s="1077"/>
      <c r="G87" s="1061"/>
      <c r="H87" s="1061"/>
      <c r="I87" s="1061"/>
      <c r="J87" s="1061"/>
      <c r="K87" s="1062"/>
    </row>
    <row r="88" spans="1:11">
      <c r="A88" s="1041"/>
      <c r="B88" s="1042"/>
      <c r="C88" s="1042"/>
      <c r="D88" s="1043"/>
      <c r="E88" s="1075"/>
      <c r="F88" s="1061"/>
      <c r="G88" s="1061"/>
      <c r="H88" s="1061"/>
      <c r="I88" s="1061"/>
      <c r="J88" s="1061"/>
      <c r="K88" s="1062"/>
    </row>
    <row r="89" spans="1:11">
      <c r="A89" s="1041"/>
      <c r="B89" s="1042"/>
      <c r="C89" s="1042"/>
      <c r="D89" s="1043"/>
      <c r="E89" s="1075"/>
      <c r="F89" s="1061"/>
      <c r="G89" s="1061"/>
      <c r="H89" s="1061"/>
      <c r="I89" s="1061"/>
      <c r="J89" s="1061"/>
      <c r="K89" s="1062"/>
    </row>
    <row r="90" spans="1:11">
      <c r="A90" s="1041"/>
      <c r="B90" s="1042"/>
      <c r="C90" s="1042"/>
      <c r="D90" s="1043"/>
      <c r="E90" s="1075"/>
      <c r="F90" s="1061"/>
      <c r="G90" s="1061"/>
      <c r="H90" s="1061"/>
      <c r="I90" s="1061"/>
      <c r="J90" s="1061"/>
      <c r="K90" s="1062"/>
    </row>
    <row r="91" spans="1:11">
      <c r="A91" s="1041"/>
      <c r="B91" s="1042"/>
      <c r="C91" s="1042"/>
      <c r="D91" s="1043"/>
      <c r="E91" s="1075"/>
      <c r="F91" s="1063"/>
      <c r="G91" s="1063"/>
      <c r="H91" s="1063"/>
      <c r="I91" s="1063"/>
      <c r="J91" s="1063"/>
      <c r="K91" s="1064"/>
    </row>
    <row r="92" spans="1:11">
      <c r="A92" s="187"/>
      <c r="B92" s="188"/>
      <c r="C92" s="188"/>
      <c r="D92" s="189"/>
      <c r="E92" s="1074" t="s">
        <v>76</v>
      </c>
      <c r="F92" s="1068" t="str">
        <f>VLOOKUP($M$2,N,18,FALSE)</f>
        <v>Ananda Afif cukup dalam menganalisis bentuk bentuk interaksi manusia dengan lingkungan dan pengaruhnya terhadap pembangunan sosial, budaya, dan ekonomi masyarakat Indonesia., cukup dalam menganalisis peran ekonomi dalam upaya menyejahterakan kehidupan masyarakat di bidang sosial dan budaya untuk memperkuat kesatuan dan persatuan bangsa.</v>
      </c>
      <c r="G92" s="1059"/>
      <c r="H92" s="1059"/>
      <c r="I92" s="1059"/>
      <c r="J92" s="1059"/>
      <c r="K92" s="1060"/>
    </row>
    <row r="93" spans="1:11">
      <c r="A93" s="187"/>
      <c r="B93" s="190"/>
      <c r="C93" s="188"/>
      <c r="D93" s="189"/>
      <c r="E93" s="1075"/>
      <c r="F93" s="1077"/>
      <c r="G93" s="1061"/>
      <c r="H93" s="1061"/>
      <c r="I93" s="1061"/>
      <c r="J93" s="1061"/>
      <c r="K93" s="1062"/>
    </row>
    <row r="94" spans="1:11">
      <c r="A94" s="187"/>
      <c r="B94" s="188"/>
      <c r="C94" s="188"/>
      <c r="D94" s="189"/>
      <c r="E94" s="1075"/>
      <c r="F94" s="1077"/>
      <c r="G94" s="1061"/>
      <c r="H94" s="1061"/>
      <c r="I94" s="1061"/>
      <c r="J94" s="1061"/>
      <c r="K94" s="1062"/>
    </row>
    <row r="95" spans="1:11">
      <c r="A95" s="187"/>
      <c r="B95" s="188"/>
      <c r="C95" s="188"/>
      <c r="D95" s="189"/>
      <c r="E95" s="1075"/>
      <c r="F95" s="1077"/>
      <c r="G95" s="1061"/>
      <c r="H95" s="1061"/>
      <c r="I95" s="1061"/>
      <c r="J95" s="1061"/>
      <c r="K95" s="1062"/>
    </row>
    <row r="96" spans="1:11">
      <c r="A96" s="187"/>
      <c r="B96" s="188"/>
      <c r="C96" s="188"/>
      <c r="D96" s="189"/>
      <c r="E96" s="1075"/>
      <c r="F96" s="1061"/>
      <c r="G96" s="1061"/>
      <c r="H96" s="1061"/>
      <c r="I96" s="1061"/>
      <c r="J96" s="1061"/>
      <c r="K96" s="1062"/>
    </row>
    <row r="97" spans="1:11">
      <c r="A97" s="191"/>
      <c r="B97" s="67"/>
      <c r="C97" s="67"/>
      <c r="D97" s="192"/>
      <c r="E97" s="1076"/>
      <c r="F97" s="1063"/>
      <c r="G97" s="1063"/>
      <c r="H97" s="1063"/>
      <c r="I97" s="1063"/>
      <c r="J97" s="1063"/>
      <c r="K97" s="1064"/>
    </row>
    <row r="98" spans="1:11">
      <c r="A98" s="191"/>
      <c r="B98" s="67"/>
      <c r="C98" s="67"/>
      <c r="D98" s="192"/>
      <c r="E98" s="1074" t="s">
        <v>76</v>
      </c>
      <c r="F98" s="1068" t="str">
        <f>VLOOKUP($M$2,N,19,FALSE)</f>
        <v>Ananda Afif baik dalam memahami pola lantai dalam tari kreasi daerah, cukup dalam memahami karya seni rupa daerah</v>
      </c>
      <c r="G98" s="1059"/>
      <c r="H98" s="1059"/>
      <c r="I98" s="1059"/>
      <c r="J98" s="1059"/>
      <c r="K98" s="1060"/>
    </row>
    <row r="99" spans="1:11">
      <c r="A99" s="191"/>
      <c r="B99" s="67"/>
      <c r="C99" s="67"/>
      <c r="D99" s="192"/>
      <c r="E99" s="1075"/>
      <c r="F99" s="1077"/>
      <c r="G99" s="1061"/>
      <c r="H99" s="1061"/>
      <c r="I99" s="1061"/>
      <c r="J99" s="1061"/>
      <c r="K99" s="1062"/>
    </row>
    <row r="100" spans="1:11">
      <c r="A100" s="191"/>
      <c r="B100" s="67"/>
      <c r="C100" s="67"/>
      <c r="D100" s="192"/>
      <c r="E100" s="1075"/>
      <c r="F100" s="1077"/>
      <c r="G100" s="1061"/>
      <c r="H100" s="1061"/>
      <c r="I100" s="1061"/>
      <c r="J100" s="1061"/>
      <c r="K100" s="1062"/>
    </row>
    <row r="101" spans="1:11">
      <c r="A101" s="191"/>
      <c r="B101" s="67"/>
      <c r="C101" s="67"/>
      <c r="D101" s="192"/>
      <c r="E101" s="1075"/>
      <c r="F101" s="1077"/>
      <c r="G101" s="1061"/>
      <c r="H101" s="1061"/>
      <c r="I101" s="1061"/>
      <c r="J101" s="1061"/>
      <c r="K101" s="1062"/>
    </row>
    <row r="102" spans="1:11">
      <c r="A102" s="191"/>
      <c r="B102" s="67"/>
      <c r="C102" s="67"/>
      <c r="D102" s="192"/>
      <c r="E102" s="1078"/>
      <c r="F102" s="1061"/>
      <c r="G102" s="1061"/>
      <c r="H102" s="1061"/>
      <c r="I102" s="1061"/>
      <c r="J102" s="1061"/>
      <c r="K102" s="1062"/>
    </row>
    <row r="103" spans="1:11">
      <c r="A103" s="193"/>
      <c r="B103" s="194"/>
      <c r="C103" s="194"/>
      <c r="D103" s="195"/>
      <c r="E103" s="1079"/>
      <c r="F103" s="1063"/>
      <c r="G103" s="1063"/>
      <c r="H103" s="1063"/>
      <c r="I103" s="1063"/>
      <c r="J103" s="1063"/>
      <c r="K103" s="1064"/>
    </row>
    <row r="104" spans="1:11">
      <c r="A104" s="308"/>
      <c r="B104" s="309"/>
      <c r="C104" s="309"/>
      <c r="D104" s="310"/>
      <c r="E104" s="386" t="s">
        <v>210</v>
      </c>
      <c r="F104" s="1059" t="str">
        <f>VLOOKUP($M$2,N,20,FALSE)</f>
        <v xml:space="preserve">Ananda Afif baik dalam memahami prosedur aktifitas latihan daya tahan jantung untuk pengembangan kebugaran jasmani, baik dalam memahami kombinasi gerak dasar lokomotor,nonlokomotor dan manipulatif. </v>
      </c>
      <c r="G104" s="1059"/>
      <c r="H104" s="1059"/>
      <c r="I104" s="1059"/>
      <c r="J104" s="1059"/>
      <c r="K104" s="1060"/>
    </row>
    <row r="105" spans="1:11">
      <c r="A105" s="191"/>
      <c r="B105" s="67"/>
      <c r="C105" s="67"/>
      <c r="D105" s="192"/>
      <c r="E105" s="387"/>
      <c r="F105" s="1061"/>
      <c r="G105" s="1061"/>
      <c r="H105" s="1061"/>
      <c r="I105" s="1061"/>
      <c r="J105" s="1061"/>
      <c r="K105" s="1062"/>
    </row>
    <row r="106" spans="1:11">
      <c r="A106" s="191"/>
      <c r="B106" s="67"/>
      <c r="C106" s="67"/>
      <c r="D106" s="192"/>
      <c r="E106" s="387"/>
      <c r="F106" s="1061"/>
      <c r="G106" s="1061"/>
      <c r="H106" s="1061"/>
      <c r="I106" s="1061"/>
      <c r="J106" s="1061"/>
      <c r="K106" s="1062"/>
    </row>
    <row r="107" spans="1:11">
      <c r="A107" s="191"/>
      <c r="B107" s="67"/>
      <c r="C107" s="67"/>
      <c r="D107" s="192"/>
      <c r="E107" s="387"/>
      <c r="F107" s="1061"/>
      <c r="G107" s="1061"/>
      <c r="H107" s="1061"/>
      <c r="I107" s="1061"/>
      <c r="J107" s="1061"/>
      <c r="K107" s="1062"/>
    </row>
    <row r="108" spans="1:11">
      <c r="A108" s="191"/>
      <c r="B108" s="67"/>
      <c r="C108" s="67"/>
      <c r="D108" s="192"/>
      <c r="E108" s="387"/>
      <c r="F108" s="1061"/>
      <c r="G108" s="1061"/>
      <c r="H108" s="1061"/>
      <c r="I108" s="1061"/>
      <c r="J108" s="1061"/>
      <c r="K108" s="1062"/>
    </row>
    <row r="109" spans="1:11">
      <c r="A109" s="191"/>
      <c r="B109" s="67"/>
      <c r="C109" s="67"/>
      <c r="D109" s="192"/>
      <c r="E109" s="387"/>
      <c r="F109" s="1061"/>
      <c r="G109" s="1061"/>
      <c r="H109" s="1061"/>
      <c r="I109" s="1061"/>
      <c r="J109" s="1061"/>
      <c r="K109" s="1062"/>
    </row>
    <row r="110" spans="1:11">
      <c r="A110" s="191"/>
      <c r="B110" s="67"/>
      <c r="C110" s="67"/>
      <c r="D110" s="192"/>
      <c r="E110" s="388"/>
      <c r="F110" s="1063"/>
      <c r="G110" s="1063"/>
      <c r="H110" s="1063"/>
      <c r="I110" s="1063"/>
      <c r="J110" s="1063"/>
      <c r="K110" s="1064"/>
    </row>
    <row r="111" spans="1:11">
      <c r="A111" s="191"/>
      <c r="B111" s="67"/>
      <c r="C111" s="67"/>
      <c r="D111" s="192"/>
      <c r="E111" s="386" t="s">
        <v>76</v>
      </c>
      <c r="F111" s="1059" t="str">
        <f>VLOOKUP($M$2,N,21,FALSE)</f>
        <v>Ananda Afif cukup dalam memahami tembang macapat Kinanthi, dan geguritan., cukup dalam memahami kata dan kalimat beraksara Jawa yang mengandung  pasangan.</v>
      </c>
      <c r="G111" s="1059"/>
      <c r="H111" s="1059"/>
      <c r="I111" s="1059"/>
      <c r="J111" s="1059"/>
      <c r="K111" s="1060"/>
    </row>
    <row r="112" spans="1:11">
      <c r="A112" s="191"/>
      <c r="B112" s="67"/>
      <c r="C112" s="67"/>
      <c r="D112" s="192"/>
      <c r="E112" s="387"/>
      <c r="F112" s="1061"/>
      <c r="G112" s="1061"/>
      <c r="H112" s="1061"/>
      <c r="I112" s="1061"/>
      <c r="J112" s="1061"/>
      <c r="K112" s="1062"/>
    </row>
    <row r="113" spans="1:11">
      <c r="A113" s="191"/>
      <c r="B113" s="67"/>
      <c r="C113" s="67"/>
      <c r="D113" s="192"/>
      <c r="E113" s="387"/>
      <c r="F113" s="1061"/>
      <c r="G113" s="1061"/>
      <c r="H113" s="1061"/>
      <c r="I113" s="1061"/>
      <c r="J113" s="1061"/>
      <c r="K113" s="1062"/>
    </row>
    <row r="114" spans="1:11">
      <c r="A114" s="191"/>
      <c r="B114" s="67"/>
      <c r="C114" s="67"/>
      <c r="D114" s="192"/>
      <c r="E114" s="387"/>
      <c r="F114" s="1061"/>
      <c r="G114" s="1061"/>
      <c r="H114" s="1061"/>
      <c r="I114" s="1061"/>
      <c r="J114" s="1061"/>
      <c r="K114" s="1062"/>
    </row>
    <row r="115" spans="1:11">
      <c r="A115" s="191"/>
      <c r="B115" s="67"/>
      <c r="C115" s="67"/>
      <c r="D115" s="192"/>
      <c r="E115" s="387"/>
      <c r="F115" s="1061"/>
      <c r="G115" s="1061"/>
      <c r="H115" s="1061"/>
      <c r="I115" s="1061"/>
      <c r="J115" s="1061"/>
      <c r="K115" s="1062"/>
    </row>
    <row r="116" spans="1:11">
      <c r="A116" s="191"/>
      <c r="B116" s="67"/>
      <c r="C116" s="67"/>
      <c r="D116" s="192"/>
      <c r="E116" s="387"/>
      <c r="F116" s="1061"/>
      <c r="G116" s="1061"/>
      <c r="H116" s="1061"/>
      <c r="I116" s="1061"/>
      <c r="J116" s="1061"/>
      <c r="K116" s="1062"/>
    </row>
    <row r="117" spans="1:11">
      <c r="A117" s="191"/>
      <c r="B117" s="67"/>
      <c r="C117" s="67"/>
      <c r="D117" s="192"/>
      <c r="E117" s="387"/>
      <c r="F117" s="1061"/>
      <c r="G117" s="1061"/>
      <c r="H117" s="1061"/>
      <c r="I117" s="1061"/>
      <c r="J117" s="1061"/>
      <c r="K117" s="1062"/>
    </row>
    <row r="118" spans="1:11">
      <c r="A118" s="191"/>
      <c r="B118" s="67"/>
      <c r="C118" s="67"/>
      <c r="D118" s="192"/>
      <c r="E118" s="388"/>
      <c r="F118" s="1063"/>
      <c r="G118" s="1063"/>
      <c r="H118" s="1063"/>
      <c r="I118" s="1063"/>
      <c r="J118" s="1063"/>
      <c r="K118" s="1064"/>
    </row>
    <row r="119" spans="1:11">
      <c r="A119" s="191"/>
      <c r="B119" s="67"/>
      <c r="C119" s="67"/>
      <c r="D119" s="192"/>
      <c r="E119" s="1074" t="s">
        <v>76</v>
      </c>
      <c r="F119" s="1068" t="e">
        <f>VLOOKUP($M$2,N,22,FALSE)</f>
        <v>#REF!</v>
      </c>
      <c r="G119" s="1059"/>
      <c r="H119" s="1059"/>
      <c r="I119" s="1059"/>
      <c r="J119" s="1059"/>
      <c r="K119" s="1060"/>
    </row>
    <row r="120" spans="1:11">
      <c r="A120" s="191"/>
      <c r="B120" s="67"/>
      <c r="C120" s="67"/>
      <c r="D120" s="192"/>
      <c r="E120" s="1078"/>
      <c r="F120" s="1077"/>
      <c r="G120" s="1061"/>
      <c r="H120" s="1061"/>
      <c r="I120" s="1061"/>
      <c r="J120" s="1061"/>
      <c r="K120" s="1062"/>
    </row>
    <row r="121" spans="1:11">
      <c r="A121" s="191"/>
      <c r="B121" s="67"/>
      <c r="C121" s="67"/>
      <c r="D121" s="192"/>
      <c r="E121" s="1078"/>
      <c r="F121" s="1077"/>
      <c r="G121" s="1061"/>
      <c r="H121" s="1061"/>
      <c r="I121" s="1061"/>
      <c r="J121" s="1061"/>
      <c r="K121" s="1062"/>
    </row>
    <row r="122" spans="1:11">
      <c r="A122" s="191"/>
      <c r="B122" s="67"/>
      <c r="C122" s="67"/>
      <c r="D122" s="192"/>
      <c r="E122" s="1078"/>
      <c r="F122" s="1077"/>
      <c r="G122" s="1061"/>
      <c r="H122" s="1061"/>
      <c r="I122" s="1061"/>
      <c r="J122" s="1061"/>
      <c r="K122" s="1062"/>
    </row>
    <row r="123" spans="1:11">
      <c r="A123" s="191"/>
      <c r="B123" s="67"/>
      <c r="C123" s="67"/>
      <c r="D123" s="192"/>
      <c r="E123" s="1078"/>
      <c r="F123" s="1077"/>
      <c r="G123" s="1061"/>
      <c r="H123" s="1061"/>
      <c r="I123" s="1061"/>
      <c r="J123" s="1061"/>
      <c r="K123" s="1062"/>
    </row>
    <row r="124" spans="1:11">
      <c r="A124" s="191"/>
      <c r="B124" s="67"/>
      <c r="C124" s="67"/>
      <c r="D124" s="192"/>
      <c r="E124" s="1079"/>
      <c r="F124" s="1063"/>
      <c r="G124" s="1063"/>
      <c r="H124" s="1063"/>
      <c r="I124" s="1063"/>
      <c r="J124" s="1063"/>
      <c r="K124" s="1064"/>
    </row>
    <row r="125" spans="1:11">
      <c r="A125" s="191"/>
      <c r="B125" s="67"/>
      <c r="C125" s="67"/>
      <c r="D125" s="192"/>
      <c r="E125" s="1074" t="s">
        <v>76</v>
      </c>
      <c r="F125" s="1068" t="e">
        <f>VLOOKUP($M$2,N,23,FALSE)</f>
        <v>#REF!</v>
      </c>
      <c r="G125" s="1059"/>
      <c r="H125" s="1059"/>
      <c r="I125" s="1059"/>
      <c r="J125" s="1059"/>
      <c r="K125" s="1060"/>
    </row>
    <row r="126" spans="1:11">
      <c r="A126" s="191"/>
      <c r="B126" s="67"/>
      <c r="C126" s="67"/>
      <c r="D126" s="192"/>
      <c r="E126" s="1078"/>
      <c r="F126" s="1077"/>
      <c r="G126" s="1061"/>
      <c r="H126" s="1061"/>
      <c r="I126" s="1061"/>
      <c r="J126" s="1061"/>
      <c r="K126" s="1062"/>
    </row>
    <row r="127" spans="1:11">
      <c r="A127" s="191"/>
      <c r="B127" s="67"/>
      <c r="C127" s="67"/>
      <c r="D127" s="192"/>
      <c r="E127" s="1078"/>
      <c r="F127" s="1077"/>
      <c r="G127" s="1061"/>
      <c r="H127" s="1061"/>
      <c r="I127" s="1061"/>
      <c r="J127" s="1061"/>
      <c r="K127" s="1062"/>
    </row>
    <row r="128" spans="1:11">
      <c r="A128" s="191"/>
      <c r="B128" s="67"/>
      <c r="C128" s="67"/>
      <c r="D128" s="192"/>
      <c r="E128" s="1078"/>
      <c r="F128" s="1077"/>
      <c r="G128" s="1061"/>
      <c r="H128" s="1061"/>
      <c r="I128" s="1061"/>
      <c r="J128" s="1061"/>
      <c r="K128" s="1062"/>
    </row>
    <row r="129" spans="1:11">
      <c r="A129" s="191"/>
      <c r="B129" s="67"/>
      <c r="C129" s="67"/>
      <c r="D129" s="192"/>
      <c r="E129" s="1078"/>
      <c r="F129" s="1061"/>
      <c r="G129" s="1061"/>
      <c r="H129" s="1061"/>
      <c r="I129" s="1061"/>
      <c r="J129" s="1061"/>
      <c r="K129" s="1062"/>
    </row>
    <row r="130" spans="1:11">
      <c r="A130" s="191"/>
      <c r="B130" s="67"/>
      <c r="C130" s="67"/>
      <c r="D130" s="192"/>
      <c r="E130" s="1098"/>
      <c r="F130" s="1063"/>
      <c r="G130" s="1063"/>
      <c r="H130" s="1063"/>
      <c r="I130" s="1063"/>
      <c r="J130" s="1063"/>
      <c r="K130" s="1064"/>
    </row>
    <row r="131" spans="1:11">
      <c r="A131" s="191"/>
      <c r="B131" s="67"/>
      <c r="C131" s="67"/>
      <c r="D131" s="192"/>
      <c r="E131" s="1099" t="s">
        <v>76</v>
      </c>
      <c r="F131" s="1068" t="e">
        <f>VLOOKUP($M$2,N,24,FALSE)</f>
        <v>#REF!</v>
      </c>
      <c r="G131" s="1059"/>
      <c r="H131" s="1059"/>
      <c r="I131" s="1059"/>
      <c r="J131" s="1059"/>
      <c r="K131" s="1060"/>
    </row>
    <row r="132" spans="1:11">
      <c r="A132" s="191"/>
      <c r="B132" s="67"/>
      <c r="C132" s="67"/>
      <c r="D132" s="192"/>
      <c r="E132" s="1078"/>
      <c r="F132" s="1077"/>
      <c r="G132" s="1061"/>
      <c r="H132" s="1061"/>
      <c r="I132" s="1061"/>
      <c r="J132" s="1061"/>
      <c r="K132" s="1062"/>
    </row>
    <row r="133" spans="1:11">
      <c r="A133" s="191"/>
      <c r="B133" s="67"/>
      <c r="C133" s="67"/>
      <c r="D133" s="192"/>
      <c r="E133" s="1078"/>
      <c r="F133" s="1077"/>
      <c r="G133" s="1061"/>
      <c r="H133" s="1061"/>
      <c r="I133" s="1061"/>
      <c r="J133" s="1061"/>
      <c r="K133" s="1062"/>
    </row>
    <row r="134" spans="1:11">
      <c r="A134" s="191"/>
      <c r="B134" s="67"/>
      <c r="C134" s="67"/>
      <c r="D134" s="192"/>
      <c r="E134" s="1078"/>
      <c r="F134" s="1077"/>
      <c r="G134" s="1061"/>
      <c r="H134" s="1061"/>
      <c r="I134" s="1061"/>
      <c r="J134" s="1061"/>
      <c r="K134" s="1062"/>
    </row>
    <row r="135" spans="1:11">
      <c r="A135" s="191"/>
      <c r="B135" s="67"/>
      <c r="C135" s="67"/>
      <c r="D135" s="192"/>
      <c r="E135" s="1078"/>
      <c r="F135" s="1061"/>
      <c r="G135" s="1061"/>
      <c r="H135" s="1061"/>
      <c r="I135" s="1061"/>
      <c r="J135" s="1061"/>
      <c r="K135" s="1062"/>
    </row>
    <row r="136" spans="1:11">
      <c r="A136" s="193"/>
      <c r="B136" s="194"/>
      <c r="C136" s="194"/>
      <c r="D136" s="195"/>
      <c r="E136" s="1079"/>
      <c r="F136" s="1063"/>
      <c r="G136" s="1063"/>
      <c r="H136" s="1063"/>
      <c r="I136" s="1063"/>
      <c r="J136" s="1063"/>
      <c r="K136" s="1064"/>
    </row>
    <row r="137" spans="1:11">
      <c r="A137" s="196"/>
      <c r="B137" s="1100"/>
      <c r="C137" s="1100"/>
      <c r="D137" s="1100"/>
      <c r="E137" s="150"/>
      <c r="F137" s="197"/>
      <c r="G137" s="197"/>
      <c r="H137" s="1101"/>
      <c r="I137" s="1101"/>
      <c r="J137" s="1101"/>
      <c r="K137" s="197"/>
    </row>
    <row r="138" spans="1:11" ht="15.75">
      <c r="A138" s="1031" t="s">
        <v>79</v>
      </c>
      <c r="B138" s="1031"/>
      <c r="C138" s="1031"/>
      <c r="D138" s="1031"/>
      <c r="E138" s="1031"/>
      <c r="F138" s="1031"/>
      <c r="G138" s="1031"/>
      <c r="H138" s="1031"/>
      <c r="I138" s="1031"/>
      <c r="J138" s="1031"/>
      <c r="K138" s="1031"/>
    </row>
    <row r="139" spans="1:11">
      <c r="A139" s="411" t="s">
        <v>55</v>
      </c>
      <c r="B139" s="1033" t="s">
        <v>80</v>
      </c>
      <c r="C139" s="1033"/>
      <c r="D139" s="1034"/>
      <c r="E139" s="1035" t="s">
        <v>81</v>
      </c>
      <c r="F139" s="1036"/>
      <c r="G139" s="1036"/>
      <c r="H139" s="1036"/>
      <c r="I139" s="1036"/>
      <c r="J139" s="1036"/>
      <c r="K139" s="1037"/>
    </row>
    <row r="140" spans="1:11">
      <c r="A140" s="1086">
        <v>1</v>
      </c>
      <c r="B140" s="1089" t="str">
        <f>VLOOKUP($M$2,kul,3,FALSE)</f>
        <v>HIZBUL WATHAN</v>
      </c>
      <c r="C140" s="1090"/>
      <c r="D140" s="1091"/>
      <c r="E140" s="1047" t="str">
        <f>VLOOKUP($M$2,kul,4,FALSE)</f>
        <v>B</v>
      </c>
      <c r="F140" s="1048"/>
      <c r="G140" s="1048"/>
      <c r="H140" s="1048"/>
      <c r="I140" s="1048"/>
      <c r="J140" s="1048"/>
      <c r="K140" s="1049"/>
    </row>
    <row r="141" spans="1:11">
      <c r="A141" s="1087"/>
      <c r="B141" s="1092"/>
      <c r="C141" s="1093"/>
      <c r="D141" s="1094"/>
      <c r="E141" s="1050"/>
      <c r="F141" s="1051"/>
      <c r="G141" s="1051"/>
      <c r="H141" s="1051"/>
      <c r="I141" s="1051"/>
      <c r="J141" s="1051"/>
      <c r="K141" s="1052"/>
    </row>
    <row r="142" spans="1:11">
      <c r="A142" s="1088"/>
      <c r="B142" s="1095"/>
      <c r="C142" s="1096"/>
      <c r="D142" s="1097"/>
      <c r="E142" s="1053"/>
      <c r="F142" s="1054"/>
      <c r="G142" s="1054"/>
      <c r="H142" s="1054"/>
      <c r="I142" s="1054"/>
      <c r="J142" s="1054"/>
      <c r="K142" s="1055"/>
    </row>
    <row r="143" spans="1:11">
      <c r="A143" s="1086">
        <v>2</v>
      </c>
      <c r="B143" s="1089" t="str">
        <f>VLOOKUP($M$2,kul,5,FALSE)</f>
        <v>Ananda Afif baik dalam membuat tali temali, sandi, morse serta mengikuti kegiatan gotong royong membersihkan lingkungan sekolah.</v>
      </c>
      <c r="C143" s="1090"/>
      <c r="D143" s="1091"/>
      <c r="E143" s="1047" t="str">
        <f>VLOOKUP($M$2,kul,6,FALSE)</f>
        <v>TAPAK SUCI</v>
      </c>
      <c r="F143" s="1048"/>
      <c r="G143" s="1048"/>
      <c r="H143" s="1048"/>
      <c r="I143" s="1048"/>
      <c r="J143" s="1048"/>
      <c r="K143" s="1049"/>
    </row>
    <row r="144" spans="1:11">
      <c r="A144" s="1087"/>
      <c r="B144" s="1092"/>
      <c r="C144" s="1093"/>
      <c r="D144" s="1094"/>
      <c r="E144" s="1050"/>
      <c r="F144" s="1051"/>
      <c r="G144" s="1051"/>
      <c r="H144" s="1051"/>
      <c r="I144" s="1051"/>
      <c r="J144" s="1051"/>
      <c r="K144" s="1052"/>
    </row>
    <row r="145" spans="1:11">
      <c r="A145" s="1088"/>
      <c r="B145" s="1095"/>
      <c r="C145" s="1096"/>
      <c r="D145" s="1097"/>
      <c r="E145" s="1053"/>
      <c r="F145" s="1054"/>
      <c r="G145" s="1054"/>
      <c r="H145" s="1054"/>
      <c r="I145" s="1054"/>
      <c r="J145" s="1054"/>
      <c r="K145" s="1055"/>
    </row>
    <row r="146" spans="1:11">
      <c r="A146" s="1109">
        <v>3</v>
      </c>
      <c r="B146" s="1089" t="str">
        <f>VLOOKUP($M$2,kul,7,FALSE)</f>
        <v>B</v>
      </c>
      <c r="C146" s="1090"/>
      <c r="D146" s="1091"/>
      <c r="E146" s="1047" t="str">
        <f>VLOOKUP($M$2,kul,8,FALSE)</f>
        <v>Ananda Afif baik dalam gerak, tangkisan, hindaran, maupun serangan. Siswa menguasai tata gerak kaki maupun tangan dengan benar.</v>
      </c>
      <c r="F146" s="1048"/>
      <c r="G146" s="1048"/>
      <c r="H146" s="1048"/>
      <c r="I146" s="1048"/>
      <c r="J146" s="1048"/>
      <c r="K146" s="1049"/>
    </row>
    <row r="147" spans="1:11">
      <c r="A147" s="1110"/>
      <c r="B147" s="1092"/>
      <c r="C147" s="1093"/>
      <c r="D147" s="1094"/>
      <c r="E147" s="1050"/>
      <c r="F147" s="1051"/>
      <c r="G147" s="1051"/>
      <c r="H147" s="1051"/>
      <c r="I147" s="1051"/>
      <c r="J147" s="1051"/>
      <c r="K147" s="1052"/>
    </row>
    <row r="148" spans="1:11">
      <c r="A148" s="1111"/>
      <c r="B148" s="1095"/>
      <c r="C148" s="1096"/>
      <c r="D148" s="1097"/>
      <c r="E148" s="1053"/>
      <c r="F148" s="1054"/>
      <c r="G148" s="1054"/>
      <c r="H148" s="1054"/>
      <c r="I148" s="1054"/>
      <c r="J148" s="1054"/>
      <c r="K148" s="1055"/>
    </row>
    <row r="149" spans="1:11">
      <c r="A149" s="1102">
        <v>4</v>
      </c>
      <c r="B149" s="1089" t="str">
        <f>VLOOKUP($M$2,kul,9,FALSE)</f>
        <v>SENI LUKIS</v>
      </c>
      <c r="C149" s="1090"/>
      <c r="D149" s="1091"/>
      <c r="E149" s="1047" t="str">
        <f>VLOOKUP($M$2,kul,10,FALSE)</f>
        <v>B</v>
      </c>
      <c r="F149" s="1048"/>
      <c r="G149" s="1048"/>
      <c r="H149" s="1048"/>
      <c r="I149" s="1048"/>
      <c r="J149" s="1048"/>
      <c r="K149" s="1049"/>
    </row>
    <row r="150" spans="1:11">
      <c r="A150" s="1102"/>
      <c r="B150" s="1092"/>
      <c r="C150" s="1093"/>
      <c r="D150" s="1094"/>
      <c r="E150" s="1050"/>
      <c r="F150" s="1051"/>
      <c r="G150" s="1051"/>
      <c r="H150" s="1051"/>
      <c r="I150" s="1051"/>
      <c r="J150" s="1051"/>
      <c r="K150" s="1052"/>
    </row>
    <row r="151" spans="1:11">
      <c r="A151" s="1102"/>
      <c r="B151" s="1092"/>
      <c r="C151" s="1093"/>
      <c r="D151" s="1094"/>
      <c r="E151" s="1050"/>
      <c r="F151" s="1051"/>
      <c r="G151" s="1051"/>
      <c r="H151" s="1051"/>
      <c r="I151" s="1051"/>
      <c r="J151" s="1051"/>
      <c r="K151" s="1052"/>
    </row>
    <row r="152" spans="1:11">
      <c r="A152" s="1102"/>
      <c r="B152" s="1095"/>
      <c r="C152" s="1096"/>
      <c r="D152" s="1097"/>
      <c r="E152" s="1053"/>
      <c r="F152" s="1054"/>
      <c r="G152" s="1054"/>
      <c r="H152" s="1054"/>
      <c r="I152" s="1054"/>
      <c r="J152" s="1054"/>
      <c r="K152" s="1055"/>
    </row>
    <row r="153" spans="1:11">
      <c r="A153" s="198"/>
      <c r="B153" s="151"/>
      <c r="C153" s="151"/>
      <c r="D153" s="151"/>
      <c r="E153" s="151"/>
      <c r="F153" s="151"/>
      <c r="G153" s="151"/>
      <c r="H153" s="151"/>
      <c r="I153" s="151"/>
      <c r="J153" s="151"/>
      <c r="K153" s="151"/>
    </row>
    <row r="154" spans="1:11">
      <c r="A154" s="198"/>
      <c r="B154" s="385"/>
      <c r="C154" s="385"/>
      <c r="D154" s="385"/>
      <c r="E154" s="385"/>
      <c r="F154" s="385"/>
      <c r="G154" s="385"/>
      <c r="H154" s="385"/>
      <c r="I154" s="385"/>
      <c r="J154" s="385"/>
      <c r="K154" s="385"/>
    </row>
    <row r="155" spans="1:11">
      <c r="A155" s="198"/>
      <c r="B155" s="385"/>
      <c r="C155" s="385"/>
      <c r="D155" s="385"/>
      <c r="E155" s="385"/>
      <c r="F155" s="385"/>
      <c r="G155" s="385"/>
      <c r="H155" s="385"/>
      <c r="I155" s="385"/>
      <c r="J155" s="385"/>
      <c r="K155" s="385"/>
    </row>
    <row r="156" spans="1:11" ht="15.75">
      <c r="A156" s="396" t="s">
        <v>83</v>
      </c>
      <c r="B156" s="158"/>
      <c r="C156" s="158"/>
      <c r="D156" s="158"/>
      <c r="E156" s="158"/>
      <c r="F156" s="158"/>
      <c r="G156" s="153"/>
      <c r="H156" s="153"/>
      <c r="I156" s="153"/>
      <c r="J156" s="153"/>
      <c r="K156" s="153"/>
    </row>
    <row r="157" spans="1:11">
      <c r="A157" s="153"/>
      <c r="B157" s="153"/>
      <c r="C157" s="153"/>
      <c r="D157" s="153"/>
      <c r="E157" s="153"/>
      <c r="F157" s="153"/>
      <c r="G157" s="153"/>
      <c r="H157" s="153"/>
      <c r="I157" s="153"/>
      <c r="J157" s="153"/>
      <c r="K157" s="153"/>
    </row>
    <row r="158" spans="1:11">
      <c r="A158" s="153"/>
      <c r="B158" s="1080" t="str">
        <f>VLOOKUP($M$2,N,33,FALSE)</f>
        <v>Ananda Afif baik dalam menyajikan hasil analisis tentang peran ekonomi dalam upaya menyejahterakan kehidupan masyarakat di bidang sosial dan budaya untuk memperkuat kesatuan dan persatuan bangsa., cukup dalam menyajikan hasil analisis tentang interaksi manusia dengan lingkungan dan pengaruhnya terhadap pembangunan sosial, budaya, dan ekonomi masyarakat Indonesia..</v>
      </c>
      <c r="C158" s="1081"/>
      <c r="D158" s="1081"/>
      <c r="E158" s="1081"/>
      <c r="F158" s="1081"/>
      <c r="G158" s="1081"/>
      <c r="H158" s="1081"/>
      <c r="I158" s="1081"/>
      <c r="J158" s="1081"/>
      <c r="K158" s="1082"/>
    </row>
    <row r="159" spans="1:11">
      <c r="A159" s="153"/>
      <c r="B159" s="1103"/>
      <c r="C159" s="1104"/>
      <c r="D159" s="1104"/>
      <c r="E159" s="1104"/>
      <c r="F159" s="1104"/>
      <c r="G159" s="1104"/>
      <c r="H159" s="1104"/>
      <c r="I159" s="1104"/>
      <c r="J159" s="1104"/>
      <c r="K159" s="1105"/>
    </row>
    <row r="160" spans="1:11">
      <c r="A160" s="153"/>
      <c r="B160" s="1103"/>
      <c r="C160" s="1104"/>
      <c r="D160" s="1104"/>
      <c r="E160" s="1104"/>
      <c r="F160" s="1104"/>
      <c r="G160" s="1104"/>
      <c r="H160" s="1104"/>
      <c r="I160" s="1104"/>
      <c r="J160" s="1104"/>
      <c r="K160" s="1105"/>
    </row>
    <row r="161" spans="1:13">
      <c r="A161" s="153"/>
      <c r="B161" s="1106"/>
      <c r="C161" s="1107"/>
      <c r="D161" s="1107"/>
      <c r="E161" s="1107"/>
      <c r="F161" s="1107"/>
      <c r="G161" s="1107"/>
      <c r="H161" s="1107"/>
      <c r="I161" s="1107"/>
      <c r="J161" s="1107"/>
      <c r="K161" s="1108"/>
    </row>
    <row r="162" spans="1:13">
      <c r="A162" s="153"/>
      <c r="B162" s="153"/>
      <c r="C162" s="153"/>
      <c r="D162" s="153"/>
      <c r="E162" s="153"/>
      <c r="F162" s="153"/>
      <c r="G162" s="153"/>
      <c r="H162" s="153"/>
      <c r="I162" s="153"/>
      <c r="J162" s="153"/>
      <c r="K162" s="153"/>
    </row>
    <row r="163" spans="1:13">
      <c r="A163" s="153"/>
      <c r="B163" s="153"/>
      <c r="C163" s="153"/>
      <c r="D163" s="153"/>
      <c r="E163" s="153"/>
      <c r="F163" s="153"/>
      <c r="G163" s="153"/>
      <c r="H163" s="153"/>
      <c r="I163" s="153"/>
      <c r="J163" s="153"/>
      <c r="K163" s="153"/>
    </row>
    <row r="164" spans="1:13" ht="20.100000000000001" customHeight="1">
      <c r="A164" s="153"/>
      <c r="B164" s="1112" t="s">
        <v>84</v>
      </c>
      <c r="C164" s="1113"/>
      <c r="D164" s="1113"/>
      <c r="E164" s="1113"/>
      <c r="F164" s="1113"/>
      <c r="G164" s="1113"/>
      <c r="H164" s="1113"/>
      <c r="I164" s="1113"/>
      <c r="J164" s="1113"/>
      <c r="K164" s="1114"/>
    </row>
    <row r="165" spans="1:13" ht="20.100000000000001" customHeight="1">
      <c r="A165" s="153"/>
      <c r="B165" s="191"/>
      <c r="C165" s="416"/>
      <c r="D165" s="416" t="s">
        <v>85</v>
      </c>
      <c r="E165" s="416"/>
      <c r="F165" s="397"/>
      <c r="G165" s="67" t="s">
        <v>35</v>
      </c>
      <c r="H165" s="398" t="str">
        <f>VLOOKUP($M$2,N,34,FALSE)</f>
        <v>Ananda Afif baik dalam mempraktikkan pola lantai pada gerak tari kreasi dearah, cukup dalam menyanyikan lagu-lagu dalam berbagai tangga nada dengan iringan musik.</v>
      </c>
      <c r="I165" s="417" t="s">
        <v>86</v>
      </c>
      <c r="J165" s="417"/>
      <c r="K165" s="399"/>
    </row>
    <row r="166" spans="1:13" ht="20.100000000000001" customHeight="1">
      <c r="A166" s="153"/>
      <c r="B166" s="191"/>
      <c r="C166" s="416"/>
      <c r="D166" s="416" t="s">
        <v>87</v>
      </c>
      <c r="E166" s="416"/>
      <c r="F166" s="397"/>
      <c r="G166" s="67" t="s">
        <v>35</v>
      </c>
      <c r="H166" s="398" t="str">
        <f>VLOOKUP($M$2,N,35,FALSE)</f>
        <v>Ananda Afif baik dalam mempraktikkan kombinasi gerak dasar lokomotor , nonlokomotor dan manipulatif serta baik dalam mempraktikkan aktifitas latihan daya jantung untuk pengembangan kebugaran jasmani.</v>
      </c>
      <c r="I166" s="417" t="s">
        <v>86</v>
      </c>
      <c r="J166" s="417"/>
      <c r="K166" s="399"/>
      <c r="M166" s="146"/>
    </row>
    <row r="167" spans="1:13" ht="20.100000000000001" customHeight="1">
      <c r="A167" s="153"/>
      <c r="B167" s="191"/>
      <c r="C167" s="416"/>
      <c r="D167" s="416" t="s">
        <v>88</v>
      </c>
      <c r="E167" s="416"/>
      <c r="F167" s="397"/>
      <c r="G167" s="67" t="s">
        <v>35</v>
      </c>
      <c r="H167" s="398" t="str">
        <f>VLOOKUP($M$2,N,36,FALSE)</f>
        <v>Ananda Afif baik dalam menyampaikan teks deskriptif tentang peristiwa alam dan adat istiadat., cukup dalam melantunkan tembang macapat Kinanthi, dan menjelaskan  geguritan..</v>
      </c>
      <c r="I167" s="417" t="s">
        <v>86</v>
      </c>
      <c r="J167" s="417"/>
      <c r="K167" s="399"/>
    </row>
    <row r="168" spans="1:13" ht="20.100000000000001" customHeight="1">
      <c r="A168" s="153"/>
      <c r="B168" s="400"/>
      <c r="C168" s="401"/>
      <c r="D168" s="401"/>
      <c r="E168" s="401"/>
      <c r="F168" s="401"/>
      <c r="G168" s="401"/>
      <c r="H168" s="401"/>
      <c r="I168" s="401"/>
      <c r="J168" s="401"/>
      <c r="K168" s="402"/>
    </row>
    <row r="169" spans="1:13">
      <c r="A169" s="153"/>
      <c r="B169" s="158"/>
      <c r="C169" s="158"/>
      <c r="D169" s="158"/>
      <c r="E169" s="158"/>
      <c r="F169" s="158"/>
      <c r="G169" s="158"/>
      <c r="H169" s="158"/>
      <c r="I169" s="158"/>
      <c r="J169" s="158"/>
      <c r="K169" s="158"/>
    </row>
    <row r="170" spans="1:13">
      <c r="A170" s="153"/>
      <c r="B170" s="158"/>
      <c r="C170" s="158"/>
      <c r="D170" s="158"/>
      <c r="E170" s="158"/>
      <c r="F170" s="158"/>
      <c r="G170" s="158"/>
      <c r="H170" s="158"/>
      <c r="I170" s="158"/>
      <c r="J170" s="158"/>
      <c r="K170" s="158"/>
    </row>
    <row r="171" spans="1:13">
      <c r="A171" s="153"/>
      <c r="B171" s="158"/>
      <c r="C171" s="158"/>
      <c r="D171" s="158"/>
      <c r="E171" s="158"/>
      <c r="F171" s="158"/>
      <c r="G171" s="158"/>
      <c r="H171" s="158"/>
      <c r="I171" s="158"/>
      <c r="J171" s="158"/>
      <c r="K171" s="158"/>
    </row>
    <row r="172" spans="1:13">
      <c r="A172" s="153"/>
      <c r="B172" s="158" t="s">
        <v>89</v>
      </c>
      <c r="C172" s="158"/>
      <c r="D172" s="158"/>
      <c r="E172" s="158"/>
      <c r="F172" s="1115" t="s">
        <v>89</v>
      </c>
      <c r="G172" s="1115"/>
      <c r="H172" s="1115" t="str">
        <f>MENU!M14 &amp;", " &amp; MENU!N30</f>
        <v>Kalibawang, Pranan, 20 Desember 2019</v>
      </c>
      <c r="I172" s="1115"/>
      <c r="J172" s="1115"/>
      <c r="K172" s="1115"/>
    </row>
    <row r="173" spans="1:13">
      <c r="A173" s="153"/>
      <c r="B173" s="158" t="s">
        <v>90</v>
      </c>
      <c r="C173" s="158"/>
      <c r="D173" s="158"/>
      <c r="E173" s="158"/>
      <c r="F173" s="1115" t="s">
        <v>91</v>
      </c>
      <c r="G173" s="1115"/>
      <c r="H173" s="1115" t="s">
        <v>63</v>
      </c>
      <c r="I173" s="1115"/>
      <c r="J173" s="1115"/>
      <c r="K173" s="1115"/>
    </row>
    <row r="174" spans="1:13">
      <c r="A174" s="153"/>
      <c r="B174" s="158"/>
      <c r="C174" s="158"/>
      <c r="D174" s="158"/>
      <c r="E174" s="158"/>
      <c r="F174" s="158"/>
      <c r="G174" s="158"/>
      <c r="H174" s="158"/>
      <c r="I174" s="158"/>
      <c r="J174" s="158"/>
      <c r="K174" s="158"/>
    </row>
    <row r="175" spans="1:13">
      <c r="A175" s="153"/>
      <c r="B175" s="158"/>
      <c r="C175" s="158"/>
      <c r="D175" s="158"/>
      <c r="E175" s="158"/>
      <c r="F175" s="158"/>
      <c r="G175" s="158"/>
      <c r="H175" s="158"/>
      <c r="I175" s="158"/>
      <c r="J175" s="158"/>
      <c r="K175" s="158"/>
    </row>
    <row r="176" spans="1:13">
      <c r="A176" s="153"/>
      <c r="B176" s="158"/>
      <c r="C176" s="158"/>
      <c r="D176" s="158"/>
      <c r="E176" s="158"/>
      <c r="F176" s="158"/>
      <c r="G176" s="158"/>
      <c r="H176" s="158"/>
      <c r="I176" s="158"/>
      <c r="J176" s="158"/>
      <c r="K176" s="158"/>
    </row>
    <row r="177" spans="1:11">
      <c r="A177" s="153"/>
      <c r="B177" s="158" t="s">
        <v>92</v>
      </c>
      <c r="C177" s="158"/>
      <c r="D177" s="158"/>
      <c r="E177" s="158"/>
      <c r="F177" s="1115" t="str">
        <f>MENU!N27</f>
        <v>SRILESTARI, S.PdI</v>
      </c>
      <c r="G177" s="1115"/>
      <c r="H177" s="1115" t="str">
        <f>MENU!N24</f>
        <v>TUTIK RAHAYU, S.Pd</v>
      </c>
      <c r="I177" s="1115"/>
      <c r="J177" s="1115"/>
      <c r="K177" s="1115"/>
    </row>
    <row r="178" spans="1:11">
      <c r="A178" s="153"/>
      <c r="B178" s="158"/>
      <c r="C178" s="158"/>
      <c r="D178" s="158"/>
      <c r="E178" s="158"/>
      <c r="F178" s="1115" t="str">
        <f>"NIP. "&amp;MENU!N28</f>
        <v>NIP. 954033</v>
      </c>
      <c r="G178" s="1115"/>
      <c r="H178" s="1115" t="str">
        <f>"NIP. "&amp;MENU!N25</f>
        <v>NIP. 1295423</v>
      </c>
      <c r="I178" s="1115"/>
      <c r="J178" s="1115"/>
      <c r="K178" s="1115"/>
    </row>
    <row r="179" spans="1:11">
      <c r="B179" s="158"/>
      <c r="C179" s="158"/>
      <c r="D179" s="158"/>
      <c r="E179" s="158"/>
      <c r="F179" s="158"/>
      <c r="G179" s="158"/>
      <c r="H179" s="158"/>
      <c r="I179" s="158"/>
      <c r="J179" s="158"/>
      <c r="K179" s="158"/>
    </row>
    <row r="180" spans="1:11">
      <c r="B180" s="158"/>
      <c r="C180" s="158"/>
      <c r="D180" s="158"/>
      <c r="E180" s="158"/>
      <c r="F180" s="158"/>
      <c r="G180" s="158"/>
      <c r="H180" s="158"/>
      <c r="I180" s="158"/>
      <c r="J180" s="158"/>
      <c r="K180" s="158"/>
    </row>
    <row r="181" spans="1:11">
      <c r="B181" s="158"/>
      <c r="C181" s="158"/>
      <c r="D181" s="158"/>
      <c r="E181" s="158"/>
      <c r="F181" s="158"/>
      <c r="G181" s="158"/>
      <c r="H181" s="158"/>
      <c r="I181" s="158"/>
      <c r="J181" s="158"/>
      <c r="K181" s="158"/>
    </row>
    <row r="182" spans="1:11">
      <c r="B182" s="158"/>
      <c r="C182" s="158"/>
      <c r="D182" s="158"/>
      <c r="E182" s="158"/>
      <c r="F182" s="158"/>
      <c r="G182" s="158"/>
      <c r="H182" s="158"/>
      <c r="I182" s="158"/>
      <c r="J182" s="158"/>
      <c r="K182" s="158"/>
    </row>
    <row r="183" spans="1:11">
      <c r="B183" s="158"/>
      <c r="C183" s="158"/>
      <c r="D183" s="158"/>
      <c r="E183" s="158"/>
      <c r="F183" s="158"/>
      <c r="G183" s="158"/>
      <c r="H183" s="158"/>
      <c r="I183" s="158"/>
      <c r="J183" s="158"/>
      <c r="K183" s="158"/>
    </row>
    <row r="184" spans="1:11">
      <c r="B184" s="158"/>
      <c r="C184" s="158"/>
      <c r="D184" s="158"/>
      <c r="E184" s="158"/>
      <c r="F184" s="158"/>
      <c r="G184" s="158"/>
      <c r="H184" s="158"/>
      <c r="I184" s="158"/>
      <c r="J184" s="158"/>
      <c r="K184" s="158"/>
    </row>
    <row r="185" spans="1:11">
      <c r="B185" s="158"/>
      <c r="C185" s="158"/>
      <c r="D185" s="158"/>
      <c r="E185" s="158"/>
      <c r="F185" s="158"/>
      <c r="G185" s="158"/>
      <c r="H185" s="158"/>
      <c r="I185" s="158"/>
      <c r="J185" s="158"/>
      <c r="K185" s="158"/>
    </row>
    <row r="186" spans="1:11">
      <c r="B186" s="158"/>
      <c r="C186" s="158"/>
      <c r="D186" s="158"/>
      <c r="E186" s="158"/>
      <c r="F186" s="158"/>
      <c r="G186" s="158"/>
      <c r="H186" s="158"/>
      <c r="I186" s="158"/>
      <c r="J186" s="158"/>
      <c r="K186" s="158"/>
    </row>
    <row r="187" spans="1:11">
      <c r="B187" s="158"/>
      <c r="C187" s="158"/>
      <c r="D187" s="158"/>
      <c r="E187" s="158"/>
      <c r="F187" s="158"/>
      <c r="G187" s="158"/>
      <c r="H187" s="158"/>
      <c r="I187" s="158"/>
      <c r="J187" s="158"/>
      <c r="K187" s="158"/>
    </row>
    <row r="188" spans="1:11">
      <c r="B188" s="158"/>
      <c r="C188" s="158"/>
      <c r="D188" s="158"/>
      <c r="E188" s="158"/>
      <c r="F188" s="158"/>
      <c r="G188" s="158"/>
      <c r="H188" s="158"/>
      <c r="I188" s="158"/>
      <c r="J188" s="158"/>
      <c r="K188" s="158"/>
    </row>
    <row r="189" spans="1:11">
      <c r="B189" s="158"/>
      <c r="C189" s="158"/>
      <c r="D189" s="158"/>
      <c r="E189" s="158"/>
      <c r="F189" s="158"/>
      <c r="G189" s="158"/>
      <c r="H189" s="158"/>
      <c r="I189" s="158"/>
      <c r="J189" s="158"/>
      <c r="K189" s="158"/>
    </row>
    <row r="190" spans="1:11">
      <c r="B190" s="158"/>
      <c r="C190" s="158"/>
      <c r="D190" s="158"/>
      <c r="E190" s="158"/>
      <c r="F190" s="158"/>
      <c r="G190" s="158"/>
      <c r="H190" s="158"/>
      <c r="I190" s="158"/>
      <c r="J190" s="158"/>
      <c r="K190" s="158"/>
    </row>
    <row r="191" spans="1:11">
      <c r="B191" s="158"/>
      <c r="C191" s="158"/>
      <c r="D191" s="158"/>
      <c r="E191" s="158"/>
      <c r="F191" s="158"/>
      <c r="G191" s="158"/>
      <c r="H191" s="158"/>
      <c r="I191" s="158"/>
      <c r="J191" s="158"/>
      <c r="K191" s="158"/>
    </row>
    <row r="192" spans="1:11">
      <c r="B192" s="158"/>
      <c r="C192" s="158"/>
      <c r="D192" s="158"/>
      <c r="E192" s="158"/>
      <c r="F192" s="158"/>
      <c r="G192" s="158"/>
      <c r="H192" s="158"/>
      <c r="I192" s="158"/>
      <c r="J192" s="158"/>
      <c r="K192" s="158"/>
    </row>
    <row r="193" spans="1:11">
      <c r="B193" s="158"/>
      <c r="C193" s="158"/>
      <c r="D193" s="158"/>
      <c r="E193" s="158"/>
      <c r="F193" s="158"/>
      <c r="G193" s="158"/>
      <c r="H193" s="158"/>
      <c r="I193" s="158"/>
      <c r="J193" s="158"/>
      <c r="K193" s="158"/>
    </row>
    <row r="194" spans="1:11">
      <c r="B194" s="158"/>
      <c r="C194" s="158"/>
      <c r="D194" s="158"/>
      <c r="E194" s="158"/>
      <c r="F194" s="158"/>
      <c r="G194" s="158"/>
      <c r="H194" s="158"/>
      <c r="I194" s="158"/>
      <c r="J194" s="158"/>
      <c r="K194" s="158"/>
    </row>
    <row r="195" spans="1:11">
      <c r="B195" s="158"/>
      <c r="C195" s="158"/>
      <c r="D195" s="158"/>
      <c r="E195" s="158"/>
      <c r="F195" s="158"/>
      <c r="G195" s="158"/>
      <c r="H195" s="158"/>
      <c r="I195" s="158"/>
      <c r="J195" s="158"/>
      <c r="K195" s="158"/>
    </row>
    <row r="196" spans="1:11">
      <c r="B196" s="158"/>
      <c r="C196" s="158"/>
      <c r="D196" s="158"/>
      <c r="E196" s="158"/>
      <c r="F196" s="158"/>
      <c r="G196" s="158"/>
      <c r="H196" s="158"/>
      <c r="I196" s="158"/>
      <c r="J196" s="158"/>
      <c r="K196" s="158"/>
    </row>
    <row r="197" spans="1:11">
      <c r="B197" s="158"/>
      <c r="C197" s="158"/>
      <c r="D197" s="158"/>
      <c r="E197" s="158"/>
      <c r="F197" s="158"/>
      <c r="G197" s="158"/>
      <c r="H197" s="158"/>
      <c r="I197" s="158"/>
      <c r="J197" s="158"/>
      <c r="K197" s="158"/>
    </row>
    <row r="198" spans="1:11">
      <c r="B198" s="158"/>
      <c r="C198" s="158"/>
      <c r="D198" s="158"/>
      <c r="E198" s="158"/>
      <c r="F198" s="158"/>
      <c r="G198" s="158"/>
      <c r="H198" s="158"/>
      <c r="I198" s="158"/>
      <c r="J198" s="158"/>
      <c r="K198" s="158"/>
    </row>
    <row r="199" spans="1:11">
      <c r="B199" s="158"/>
      <c r="C199" s="158"/>
      <c r="D199" s="158"/>
      <c r="E199" s="158"/>
      <c r="F199" s="158"/>
      <c r="G199" s="158"/>
      <c r="H199" s="158"/>
      <c r="I199" s="158"/>
      <c r="J199" s="158"/>
      <c r="K199" s="158"/>
    </row>
    <row r="200" spans="1:11">
      <c r="B200" s="158"/>
      <c r="C200" s="158"/>
      <c r="D200" s="158"/>
      <c r="E200" s="158"/>
      <c r="F200" s="158"/>
      <c r="G200" s="158"/>
      <c r="H200" s="158"/>
      <c r="I200" s="158"/>
      <c r="J200" s="158"/>
      <c r="K200" s="158"/>
    </row>
    <row r="201" spans="1:11">
      <c r="B201" s="158"/>
      <c r="C201" s="158"/>
      <c r="D201" s="158"/>
      <c r="E201" s="158"/>
      <c r="F201" s="158"/>
      <c r="G201" s="158"/>
      <c r="H201" s="158"/>
      <c r="I201" s="158"/>
      <c r="J201" s="158"/>
      <c r="K201" s="158"/>
    </row>
    <row r="202" spans="1:11">
      <c r="B202" s="158"/>
      <c r="C202" s="158"/>
      <c r="D202" s="158"/>
      <c r="E202" s="158"/>
      <c r="F202" s="158"/>
      <c r="G202" s="158"/>
      <c r="H202" s="158"/>
      <c r="I202" s="158"/>
      <c r="J202" s="158"/>
      <c r="K202" s="158"/>
    </row>
    <row r="203" spans="1:11">
      <c r="B203" s="158"/>
      <c r="C203" s="158"/>
      <c r="D203" s="158"/>
      <c r="E203" s="158"/>
      <c r="F203" s="158"/>
      <c r="G203" s="158"/>
      <c r="H203" s="158"/>
      <c r="I203" s="158"/>
      <c r="J203" s="158"/>
      <c r="K203" s="158"/>
    </row>
    <row r="204" spans="1:11">
      <c r="B204" s="158"/>
      <c r="C204" s="158"/>
      <c r="D204" s="158"/>
      <c r="E204" s="158"/>
      <c r="F204" s="158"/>
      <c r="G204" s="158"/>
      <c r="H204" s="158"/>
      <c r="I204" s="158"/>
      <c r="J204" s="158"/>
      <c r="K204" s="158"/>
    </row>
    <row r="205" spans="1:11" ht="15.75">
      <c r="A205" s="415" t="s">
        <v>93</v>
      </c>
      <c r="B205" s="158"/>
      <c r="C205" s="157"/>
      <c r="D205" s="158"/>
      <c r="E205" s="158"/>
      <c r="F205" s="158"/>
      <c r="G205" s="158"/>
      <c r="H205" s="158"/>
      <c r="I205" s="158"/>
      <c r="J205" s="157"/>
      <c r="K205" s="158"/>
    </row>
    <row r="206" spans="1:11">
      <c r="A206" s="154"/>
      <c r="B206" s="158"/>
      <c r="C206" s="157"/>
      <c r="D206" s="158"/>
      <c r="E206" s="158"/>
      <c r="F206" s="158"/>
      <c r="G206" s="158"/>
      <c r="H206" s="158"/>
      <c r="I206" s="158"/>
      <c r="J206" s="157"/>
      <c r="K206" s="158"/>
    </row>
    <row r="207" spans="1:11" ht="20.100000000000001" customHeight="1">
      <c r="A207" s="1116" t="s">
        <v>55</v>
      </c>
      <c r="B207" s="1116" t="s">
        <v>94</v>
      </c>
      <c r="C207" s="1116"/>
      <c r="D207" s="1116"/>
      <c r="E207" s="1116"/>
      <c r="F207" s="1116"/>
      <c r="G207" s="1117" t="s">
        <v>37</v>
      </c>
      <c r="H207" s="1118"/>
      <c r="I207" s="158"/>
      <c r="J207" s="157"/>
      <c r="K207" s="158"/>
    </row>
    <row r="208" spans="1:11">
      <c r="A208" s="1116"/>
      <c r="B208" s="1116"/>
      <c r="C208" s="1116"/>
      <c r="D208" s="1116"/>
      <c r="E208" s="1116"/>
      <c r="F208" s="1116"/>
      <c r="G208" s="174">
        <v>1</v>
      </c>
      <c r="H208" s="174">
        <v>2</v>
      </c>
      <c r="I208" s="158"/>
      <c r="J208" s="157"/>
      <c r="K208" s="158"/>
    </row>
    <row r="209" spans="1:11" ht="20.100000000000001" customHeight="1">
      <c r="A209" s="156">
        <v>1</v>
      </c>
      <c r="B209" s="1121" t="s">
        <v>95</v>
      </c>
      <c r="C209" s="1121"/>
      <c r="D209" s="1121"/>
      <c r="E209" s="1121"/>
      <c r="F209" s="1121"/>
      <c r="G209" s="155">
        <f>VLOOKUP($M$2,fisik,3,FALSE)</f>
        <v>129</v>
      </c>
      <c r="H209" s="384">
        <f>VLOOKUP($M$2,fisik,4,FALSE)</f>
        <v>0</v>
      </c>
      <c r="I209" s="158"/>
      <c r="J209" s="157"/>
      <c r="K209" s="158"/>
    </row>
    <row r="210" spans="1:11" ht="20.100000000000001" customHeight="1">
      <c r="A210" s="156">
        <v>2</v>
      </c>
      <c r="B210" s="1121" t="s">
        <v>96</v>
      </c>
      <c r="C210" s="1121"/>
      <c r="D210" s="1121"/>
      <c r="E210" s="1121"/>
      <c r="F210" s="1121"/>
      <c r="G210" s="384">
        <f>VLOOKUP($M$2,fisik,5,FALSE)</f>
        <v>30</v>
      </c>
      <c r="H210" s="384">
        <f>VLOOKUP($M$2,fisik,6,FALSE)</f>
        <v>0</v>
      </c>
      <c r="I210" s="158"/>
      <c r="J210" s="157"/>
      <c r="K210" s="158"/>
    </row>
    <row r="211" spans="1:11">
      <c r="A211" s="153"/>
      <c r="B211" s="158"/>
      <c r="C211" s="158"/>
      <c r="D211" s="158"/>
      <c r="E211" s="158"/>
      <c r="F211" s="158"/>
      <c r="G211" s="158"/>
      <c r="H211" s="158"/>
      <c r="I211" s="158"/>
      <c r="J211" s="158"/>
      <c r="K211" s="158"/>
    </row>
    <row r="212" spans="1:11" ht="15.75">
      <c r="A212" s="415" t="s">
        <v>97</v>
      </c>
      <c r="B212" s="158"/>
      <c r="C212" s="158"/>
      <c r="D212" s="158"/>
      <c r="E212" s="158"/>
      <c r="F212" s="158"/>
      <c r="G212" s="158"/>
      <c r="H212" s="158"/>
      <c r="I212" s="158"/>
      <c r="J212" s="158"/>
      <c r="K212" s="158"/>
    </row>
    <row r="213" spans="1:11">
      <c r="A213" s="153"/>
      <c r="B213" s="403"/>
      <c r="C213" s="158"/>
      <c r="D213" s="158"/>
      <c r="E213" s="158"/>
      <c r="F213" s="158"/>
      <c r="G213" s="158"/>
      <c r="H213" s="158"/>
      <c r="I213" s="158"/>
      <c r="J213" s="158"/>
      <c r="K213" s="158"/>
    </row>
    <row r="214" spans="1:11" ht="20.100000000000001" customHeight="1">
      <c r="A214" s="175" t="s">
        <v>55</v>
      </c>
      <c r="B214" s="1122" t="s">
        <v>98</v>
      </c>
      <c r="C214" s="1122"/>
      <c r="D214" s="1122"/>
      <c r="E214" s="1122" t="s">
        <v>99</v>
      </c>
      <c r="F214" s="1122"/>
      <c r="G214" s="1122"/>
      <c r="H214" s="1122"/>
      <c r="I214" s="1122"/>
      <c r="J214" s="1122"/>
      <c r="K214" s="1122"/>
    </row>
    <row r="215" spans="1:11" ht="15" customHeight="1">
      <c r="A215" s="1119">
        <v>1</v>
      </c>
      <c r="B215" s="1120" t="s">
        <v>100</v>
      </c>
      <c r="C215" s="1120"/>
      <c r="D215" s="1120"/>
      <c r="E215" s="1123" t="str">
        <f>VLOOKUP($M$2,fisik,7,FALSE)</f>
        <v>baik</v>
      </c>
      <c r="F215" s="1123"/>
      <c r="G215" s="1123"/>
      <c r="H215" s="1123"/>
      <c r="I215" s="1123"/>
      <c r="J215" s="1123"/>
      <c r="K215" s="1123"/>
    </row>
    <row r="216" spans="1:11">
      <c r="A216" s="1119"/>
      <c r="B216" s="1120"/>
      <c r="C216" s="1120"/>
      <c r="D216" s="1120"/>
      <c r="E216" s="1123"/>
      <c r="F216" s="1123"/>
      <c r="G216" s="1123"/>
      <c r="H216" s="1123"/>
      <c r="I216" s="1123"/>
      <c r="J216" s="1123"/>
      <c r="K216" s="1123"/>
    </row>
    <row r="217" spans="1:11">
      <c r="A217" s="1119"/>
      <c r="B217" s="1120"/>
      <c r="C217" s="1120"/>
      <c r="D217" s="1120"/>
      <c r="E217" s="1123"/>
      <c r="F217" s="1123"/>
      <c r="G217" s="1123"/>
      <c r="H217" s="1123"/>
      <c r="I217" s="1123"/>
      <c r="J217" s="1123"/>
      <c r="K217" s="1123"/>
    </row>
    <row r="218" spans="1:11" ht="15" customHeight="1">
      <c r="A218" s="1119">
        <v>2</v>
      </c>
      <c r="B218" s="1120" t="s">
        <v>102</v>
      </c>
      <c r="C218" s="1120"/>
      <c r="D218" s="1120"/>
      <c r="E218" s="1123" t="str">
        <f>VLOOKUP($M$2,fisik,8,FALSE)</f>
        <v>cukup</v>
      </c>
      <c r="F218" s="1123"/>
      <c r="G218" s="1123"/>
      <c r="H218" s="1123"/>
      <c r="I218" s="1123"/>
      <c r="J218" s="1123"/>
      <c r="K218" s="1123"/>
    </row>
    <row r="219" spans="1:11">
      <c r="A219" s="1119"/>
      <c r="B219" s="1120"/>
      <c r="C219" s="1120"/>
      <c r="D219" s="1120"/>
      <c r="E219" s="1123"/>
      <c r="F219" s="1123"/>
      <c r="G219" s="1123"/>
      <c r="H219" s="1123"/>
      <c r="I219" s="1123"/>
      <c r="J219" s="1123"/>
      <c r="K219" s="1123"/>
    </row>
    <row r="220" spans="1:11">
      <c r="A220" s="1119"/>
      <c r="B220" s="1120"/>
      <c r="C220" s="1120"/>
      <c r="D220" s="1120"/>
      <c r="E220" s="1123"/>
      <c r="F220" s="1123"/>
      <c r="G220" s="1123"/>
      <c r="H220" s="1123"/>
      <c r="I220" s="1123"/>
      <c r="J220" s="1123"/>
      <c r="K220" s="1123"/>
    </row>
    <row r="221" spans="1:11" ht="15" customHeight="1">
      <c r="A221" s="1119">
        <v>3</v>
      </c>
      <c r="B221" s="1120" t="s">
        <v>103</v>
      </c>
      <c r="C221" s="1120"/>
      <c r="D221" s="1120"/>
      <c r="E221" s="1123" t="str">
        <f>VLOOKUP($M$2,fisik,9,FALSE)</f>
        <v>bersih</v>
      </c>
      <c r="F221" s="1123"/>
      <c r="G221" s="1123"/>
      <c r="H221" s="1123"/>
      <c r="I221" s="1123"/>
      <c r="J221" s="1123"/>
      <c r="K221" s="1123"/>
    </row>
    <row r="222" spans="1:11">
      <c r="A222" s="1119"/>
      <c r="B222" s="1120"/>
      <c r="C222" s="1120"/>
      <c r="D222" s="1120"/>
      <c r="E222" s="1123"/>
      <c r="F222" s="1123"/>
      <c r="G222" s="1123"/>
      <c r="H222" s="1123"/>
      <c r="I222" s="1123"/>
      <c r="J222" s="1123"/>
      <c r="K222" s="1123"/>
    </row>
    <row r="223" spans="1:11">
      <c r="A223" s="1119"/>
      <c r="B223" s="1120"/>
      <c r="C223" s="1120"/>
      <c r="D223" s="1120"/>
      <c r="E223" s="1123"/>
      <c r="F223" s="1123"/>
      <c r="G223" s="1123"/>
      <c r="H223" s="1123"/>
      <c r="I223" s="1123"/>
      <c r="J223" s="1123"/>
      <c r="K223" s="1123"/>
    </row>
    <row r="224" spans="1:11">
      <c r="A224" s="1119">
        <v>4</v>
      </c>
      <c r="B224" s="1120" t="s">
        <v>104</v>
      </c>
      <c r="C224" s="1120"/>
      <c r="D224" s="1120"/>
      <c r="E224" s="1123">
        <f>VLOOKUP($M$2,fisik,10,FALSE)</f>
        <v>0</v>
      </c>
      <c r="F224" s="1123"/>
      <c r="G224" s="1123"/>
      <c r="H224" s="1123"/>
      <c r="I224" s="1123"/>
      <c r="J224" s="1123"/>
      <c r="K224" s="1123"/>
    </row>
    <row r="225" spans="1:11">
      <c r="A225" s="1119"/>
      <c r="B225" s="1120"/>
      <c r="C225" s="1120"/>
      <c r="D225" s="1120"/>
      <c r="E225" s="1123"/>
      <c r="F225" s="1123"/>
      <c r="G225" s="1123"/>
      <c r="H225" s="1123"/>
      <c r="I225" s="1123"/>
      <c r="J225" s="1123"/>
      <c r="K225" s="1123"/>
    </row>
    <row r="226" spans="1:11">
      <c r="A226" s="1119"/>
      <c r="B226" s="1120"/>
      <c r="C226" s="1120"/>
      <c r="D226" s="1120"/>
      <c r="E226" s="1123"/>
      <c r="F226" s="1123"/>
      <c r="G226" s="1123"/>
      <c r="H226" s="1123"/>
      <c r="I226" s="1123"/>
      <c r="J226" s="1123"/>
      <c r="K226" s="1123"/>
    </row>
    <row r="227" spans="1:11">
      <c r="A227" s="153"/>
      <c r="B227" s="158"/>
      <c r="C227" s="158"/>
      <c r="D227" s="158"/>
      <c r="E227" s="158"/>
      <c r="F227" s="158"/>
      <c r="G227" s="158"/>
      <c r="H227" s="158"/>
      <c r="I227" s="158"/>
      <c r="J227" s="158"/>
      <c r="K227" s="158"/>
    </row>
    <row r="228" spans="1:11" ht="15.75">
      <c r="A228" s="415" t="s">
        <v>105</v>
      </c>
      <c r="B228" s="158"/>
      <c r="C228" s="158"/>
      <c r="D228" s="158"/>
      <c r="E228" s="158"/>
      <c r="F228" s="158"/>
      <c r="G228" s="158"/>
      <c r="H228" s="158"/>
      <c r="I228" s="158"/>
      <c r="J228" s="158"/>
      <c r="K228" s="158"/>
    </row>
    <row r="229" spans="1:11">
      <c r="A229" s="153"/>
      <c r="B229" s="158"/>
      <c r="C229" s="158"/>
      <c r="D229" s="158"/>
      <c r="E229" s="158"/>
      <c r="F229" s="158"/>
      <c r="G229" s="158"/>
      <c r="H229" s="158"/>
      <c r="I229" s="158"/>
      <c r="J229" s="158"/>
      <c r="K229" s="158"/>
    </row>
    <row r="230" spans="1:11" ht="20.100000000000001" customHeight="1">
      <c r="A230" s="175" t="s">
        <v>55</v>
      </c>
      <c r="B230" s="1122" t="s">
        <v>106</v>
      </c>
      <c r="C230" s="1122"/>
      <c r="D230" s="1122"/>
      <c r="E230" s="1122"/>
      <c r="F230" s="1122" t="s">
        <v>99</v>
      </c>
      <c r="G230" s="1122"/>
      <c r="H230" s="1122"/>
      <c r="I230" s="1122"/>
      <c r="J230" s="1122"/>
      <c r="K230" s="1122"/>
    </row>
    <row r="231" spans="1:11">
      <c r="A231" s="1124">
        <v>1</v>
      </c>
      <c r="B231" s="1123">
        <f>VLOOKUP($M$2,fisik,11,FALSE)</f>
        <v>0</v>
      </c>
      <c r="C231" s="1123"/>
      <c r="D231" s="1123"/>
      <c r="E231" s="1123"/>
      <c r="F231" s="1123">
        <f>VLOOKUP($M$2,fisik,12,FALSE)</f>
        <v>0</v>
      </c>
      <c r="G231" s="1123"/>
      <c r="H231" s="1123"/>
      <c r="I231" s="1123"/>
      <c r="J231" s="1123"/>
      <c r="K231" s="1123"/>
    </row>
    <row r="232" spans="1:11">
      <c r="A232" s="1125"/>
      <c r="B232" s="1123"/>
      <c r="C232" s="1123"/>
      <c r="D232" s="1123"/>
      <c r="E232" s="1123"/>
      <c r="F232" s="1123"/>
      <c r="G232" s="1123"/>
      <c r="H232" s="1123"/>
      <c r="I232" s="1123"/>
      <c r="J232" s="1123"/>
      <c r="K232" s="1123"/>
    </row>
    <row r="233" spans="1:11">
      <c r="A233" s="1126"/>
      <c r="B233" s="1123"/>
      <c r="C233" s="1123"/>
      <c r="D233" s="1123"/>
      <c r="E233" s="1123"/>
      <c r="F233" s="1123"/>
      <c r="G233" s="1123"/>
      <c r="H233" s="1123"/>
      <c r="I233" s="1123"/>
      <c r="J233" s="1123"/>
      <c r="K233" s="1123"/>
    </row>
    <row r="234" spans="1:11">
      <c r="A234" s="1124">
        <v>2</v>
      </c>
      <c r="B234" s="1123">
        <f>VLOOKUP($M$2,fisik,13,FALSE)</f>
        <v>0</v>
      </c>
      <c r="C234" s="1123"/>
      <c r="D234" s="1123"/>
      <c r="E234" s="1123"/>
      <c r="F234" s="1123">
        <f>VLOOKUP($M$2,fisik,14,FALSE)</f>
        <v>0</v>
      </c>
      <c r="G234" s="1123"/>
      <c r="H234" s="1123"/>
      <c r="I234" s="1123"/>
      <c r="J234" s="1123"/>
      <c r="K234" s="1123"/>
    </row>
    <row r="235" spans="1:11">
      <c r="A235" s="1125"/>
      <c r="B235" s="1123"/>
      <c r="C235" s="1123"/>
      <c r="D235" s="1123"/>
      <c r="E235" s="1123"/>
      <c r="F235" s="1123"/>
      <c r="G235" s="1123"/>
      <c r="H235" s="1123"/>
      <c r="I235" s="1123"/>
      <c r="J235" s="1123"/>
      <c r="K235" s="1123"/>
    </row>
    <row r="236" spans="1:11">
      <c r="A236" s="1126"/>
      <c r="B236" s="1123"/>
      <c r="C236" s="1123"/>
      <c r="D236" s="1123"/>
      <c r="E236" s="1123"/>
      <c r="F236" s="1123"/>
      <c r="G236" s="1123"/>
      <c r="H236" s="1123"/>
      <c r="I236" s="1123"/>
      <c r="J236" s="1123"/>
      <c r="K236" s="1123"/>
    </row>
    <row r="237" spans="1:11">
      <c r="A237" s="1124">
        <v>3</v>
      </c>
      <c r="B237" s="1127">
        <f>VLOOKUP($M$2,fisik,15,FALSE)</f>
        <v>0</v>
      </c>
      <c r="C237" s="1128"/>
      <c r="D237" s="1128"/>
      <c r="E237" s="1129"/>
      <c r="F237" s="1123">
        <f>VLOOKUP($M$2,fisik,16,FALSE)</f>
        <v>0</v>
      </c>
      <c r="G237" s="1123"/>
      <c r="H237" s="1123"/>
      <c r="I237" s="1123"/>
      <c r="J237" s="1123"/>
      <c r="K237" s="1123"/>
    </row>
    <row r="238" spans="1:11">
      <c r="A238" s="1125"/>
      <c r="B238" s="1130"/>
      <c r="C238" s="1131"/>
      <c r="D238" s="1131"/>
      <c r="E238" s="1132"/>
      <c r="F238" s="1123"/>
      <c r="G238" s="1123"/>
      <c r="H238" s="1123"/>
      <c r="I238" s="1123"/>
      <c r="J238" s="1123"/>
      <c r="K238" s="1123"/>
    </row>
    <row r="239" spans="1:11">
      <c r="A239" s="1126"/>
      <c r="B239" s="1133"/>
      <c r="C239" s="1134"/>
      <c r="D239" s="1134"/>
      <c r="E239" s="1135"/>
      <c r="F239" s="1123"/>
      <c r="G239" s="1123"/>
      <c r="H239" s="1123"/>
      <c r="I239" s="1123"/>
      <c r="J239" s="1123"/>
      <c r="K239" s="1123"/>
    </row>
    <row r="240" spans="1:11">
      <c r="A240" s="1124">
        <v>4</v>
      </c>
      <c r="B240" s="1123">
        <f>VLOOKUP($M$2,fisik,17,FALSE)</f>
        <v>0</v>
      </c>
      <c r="C240" s="1123"/>
      <c r="D240" s="1123"/>
      <c r="E240" s="1123"/>
      <c r="F240" s="1123">
        <f>VLOOKUP($M$2,fisik,18,FALSE)</f>
        <v>0</v>
      </c>
      <c r="G240" s="1123"/>
      <c r="H240" s="1123"/>
      <c r="I240" s="1123"/>
      <c r="J240" s="1123"/>
      <c r="K240" s="1123"/>
    </row>
    <row r="241" spans="1:11">
      <c r="A241" s="1125"/>
      <c r="B241" s="1123"/>
      <c r="C241" s="1123"/>
      <c r="D241" s="1123"/>
      <c r="E241" s="1123"/>
      <c r="F241" s="1123"/>
      <c r="G241" s="1123"/>
      <c r="H241" s="1123"/>
      <c r="I241" s="1123"/>
      <c r="J241" s="1123"/>
      <c r="K241" s="1123"/>
    </row>
    <row r="242" spans="1:11">
      <c r="A242" s="1126"/>
      <c r="B242" s="1123"/>
      <c r="C242" s="1123"/>
      <c r="D242" s="1123"/>
      <c r="E242" s="1123"/>
      <c r="F242" s="1123"/>
      <c r="G242" s="1123"/>
      <c r="H242" s="1123"/>
      <c r="I242" s="1123"/>
      <c r="J242" s="1123"/>
      <c r="K242" s="1123"/>
    </row>
    <row r="243" spans="1:11">
      <c r="A243" s="153"/>
      <c r="B243" s="158"/>
      <c r="C243" s="158"/>
      <c r="D243" s="158"/>
      <c r="E243" s="158"/>
      <c r="F243" s="158"/>
      <c r="G243" s="158"/>
      <c r="H243" s="158"/>
      <c r="I243" s="158"/>
      <c r="J243" s="158"/>
      <c r="K243" s="158"/>
    </row>
    <row r="244" spans="1:11">
      <c r="A244" s="153"/>
      <c r="B244" s="157" t="s">
        <v>89</v>
      </c>
      <c r="C244" s="157"/>
      <c r="D244" s="157"/>
      <c r="E244" s="157"/>
      <c r="F244" s="1136" t="s">
        <v>89</v>
      </c>
      <c r="G244" s="1136"/>
      <c r="H244" s="1136" t="str">
        <f>H172</f>
        <v>Kalibawang, Pranan, 20 Desember 2019</v>
      </c>
      <c r="I244" s="1136"/>
      <c r="J244" s="1136"/>
      <c r="K244" s="1136"/>
    </row>
    <row r="245" spans="1:11">
      <c r="A245" s="153"/>
      <c r="B245" s="157" t="s">
        <v>107</v>
      </c>
      <c r="C245" s="157"/>
      <c r="D245" s="157"/>
      <c r="E245" s="157"/>
      <c r="F245" s="1136" t="s">
        <v>108</v>
      </c>
      <c r="G245" s="1136"/>
      <c r="H245" s="1136" t="s">
        <v>63</v>
      </c>
      <c r="I245" s="1136"/>
      <c r="J245" s="1136"/>
      <c r="K245" s="1136"/>
    </row>
    <row r="246" spans="1:11">
      <c r="A246" s="153"/>
      <c r="B246" s="157"/>
      <c r="C246" s="157"/>
      <c r="D246" s="157"/>
      <c r="E246" s="157"/>
      <c r="F246" s="157"/>
      <c r="G246" s="158"/>
      <c r="H246" s="157"/>
      <c r="I246" s="157"/>
      <c r="J246" s="158"/>
      <c r="K246" s="158"/>
    </row>
    <row r="247" spans="1:11">
      <c r="A247" s="153"/>
      <c r="B247" s="157"/>
      <c r="C247" s="157"/>
      <c r="D247" s="157"/>
      <c r="E247" s="157"/>
      <c r="F247" s="157"/>
      <c r="G247" s="158"/>
      <c r="H247" s="157"/>
      <c r="I247" s="157"/>
      <c r="J247" s="158"/>
      <c r="K247" s="158"/>
    </row>
    <row r="248" spans="1:11">
      <c r="A248" s="153"/>
      <c r="B248" s="157"/>
      <c r="C248" s="157"/>
      <c r="D248" s="157"/>
      <c r="E248" s="157"/>
      <c r="F248" s="157"/>
      <c r="G248" s="158"/>
      <c r="H248" s="157"/>
      <c r="I248" s="157"/>
      <c r="J248" s="158"/>
      <c r="K248" s="158"/>
    </row>
    <row r="249" spans="1:11">
      <c r="A249" s="153"/>
      <c r="B249" s="157"/>
      <c r="C249" s="157"/>
      <c r="D249" s="157"/>
      <c r="E249" s="157"/>
      <c r="F249" s="157"/>
      <c r="G249" s="158"/>
      <c r="H249" s="157"/>
      <c r="I249" s="157"/>
      <c r="J249" s="158"/>
      <c r="K249" s="158"/>
    </row>
    <row r="250" spans="1:11">
      <c r="A250" s="153"/>
      <c r="B250" s="157" t="s">
        <v>109</v>
      </c>
      <c r="C250" s="157"/>
      <c r="D250" s="157"/>
      <c r="E250" s="157"/>
      <c r="F250" s="1136" t="str">
        <f>F177</f>
        <v>SRILESTARI, S.PdI</v>
      </c>
      <c r="G250" s="1136"/>
      <c r="H250" s="1136" t="str">
        <f>H177</f>
        <v>TUTIK RAHAYU, S.Pd</v>
      </c>
      <c r="I250" s="1136"/>
      <c r="J250" s="1136"/>
      <c r="K250" s="1136"/>
    </row>
    <row r="251" spans="1:11">
      <c r="A251" s="153"/>
      <c r="B251" s="158"/>
      <c r="C251" s="158"/>
      <c r="D251" s="158"/>
      <c r="E251" s="158"/>
      <c r="F251" s="1115" t="str">
        <f>F178</f>
        <v>NIP. 954033</v>
      </c>
      <c r="G251" s="1115"/>
      <c r="H251" s="1136" t="str">
        <f>H178</f>
        <v>NIP. 1295423</v>
      </c>
      <c r="I251" s="1136"/>
      <c r="J251" s="1136"/>
      <c r="K251" s="1136"/>
    </row>
    <row r="252" spans="1:11">
      <c r="A252" s="153"/>
      <c r="B252" s="158"/>
      <c r="C252" s="158"/>
      <c r="D252" s="158"/>
      <c r="E252" s="158"/>
      <c r="F252" s="158"/>
      <c r="G252" s="158"/>
      <c r="H252" s="158"/>
      <c r="I252" s="158"/>
      <c r="J252" s="158"/>
      <c r="K252" s="158"/>
    </row>
    <row r="253" spans="1:11">
      <c r="A253" s="153"/>
      <c r="B253" s="158"/>
      <c r="C253" s="158"/>
      <c r="D253" s="158"/>
      <c r="E253" s="158"/>
      <c r="F253" s="158"/>
      <c r="G253" s="158"/>
      <c r="H253" s="158"/>
      <c r="I253" s="158"/>
      <c r="J253" s="158"/>
      <c r="K253" s="158"/>
    </row>
    <row r="254" spans="1:11">
      <c r="B254" s="158"/>
      <c r="C254" s="158"/>
      <c r="D254" s="158"/>
      <c r="E254" s="158"/>
      <c r="F254" s="158"/>
      <c r="G254" s="158"/>
      <c r="H254" s="158"/>
      <c r="I254" s="158"/>
      <c r="J254" s="158"/>
      <c r="K254" s="158"/>
    </row>
  </sheetData>
  <sheetProtection password="E86A" sheet="1" objects="1" scenarios="1" selectLockedCells="1" selectUnlockedCells="1"/>
  <mergeCells count="115">
    <mergeCell ref="F250:G250"/>
    <mergeCell ref="H250:K250"/>
    <mergeCell ref="F251:G251"/>
    <mergeCell ref="H251:K251"/>
    <mergeCell ref="A240:A242"/>
    <mergeCell ref="B240:E242"/>
    <mergeCell ref="F244:G244"/>
    <mergeCell ref="H244:K244"/>
    <mergeCell ref="F245:G245"/>
    <mergeCell ref="H245:K245"/>
    <mergeCell ref="F240:K242"/>
    <mergeCell ref="A234:A236"/>
    <mergeCell ref="B234:E236"/>
    <mergeCell ref="A237:A239"/>
    <mergeCell ref="B237:E239"/>
    <mergeCell ref="A224:A226"/>
    <mergeCell ref="B224:D226"/>
    <mergeCell ref="B230:E230"/>
    <mergeCell ref="A231:A233"/>
    <mergeCell ref="B231:E233"/>
    <mergeCell ref="E224:K226"/>
    <mergeCell ref="F230:K230"/>
    <mergeCell ref="F231:K233"/>
    <mergeCell ref="F234:K236"/>
    <mergeCell ref="F237:K239"/>
    <mergeCell ref="A218:A220"/>
    <mergeCell ref="B218:D220"/>
    <mergeCell ref="A221:A223"/>
    <mergeCell ref="B221:D223"/>
    <mergeCell ref="B209:F209"/>
    <mergeCell ref="B210:F210"/>
    <mergeCell ref="B214:D214"/>
    <mergeCell ref="A215:A217"/>
    <mergeCell ref="B215:D217"/>
    <mergeCell ref="E214:K214"/>
    <mergeCell ref="E215:K217"/>
    <mergeCell ref="E218:K220"/>
    <mergeCell ref="E221:K223"/>
    <mergeCell ref="B164:K164"/>
    <mergeCell ref="F177:G177"/>
    <mergeCell ref="H177:K177"/>
    <mergeCell ref="F178:G178"/>
    <mergeCell ref="H178:K178"/>
    <mergeCell ref="A207:A208"/>
    <mergeCell ref="B207:F208"/>
    <mergeCell ref="G207:H207"/>
    <mergeCell ref="F172:G172"/>
    <mergeCell ref="H172:K172"/>
    <mergeCell ref="F173:G173"/>
    <mergeCell ref="H173:K173"/>
    <mergeCell ref="A149:A152"/>
    <mergeCell ref="B149:D152"/>
    <mergeCell ref="E149:K152"/>
    <mergeCell ref="B158:K161"/>
    <mergeCell ref="A143:A145"/>
    <mergeCell ref="B143:D145"/>
    <mergeCell ref="E143:K145"/>
    <mergeCell ref="A146:A148"/>
    <mergeCell ref="B146:D148"/>
    <mergeCell ref="E146:K148"/>
    <mergeCell ref="A138:K138"/>
    <mergeCell ref="B139:D139"/>
    <mergeCell ref="E139:K139"/>
    <mergeCell ref="A140:A142"/>
    <mergeCell ref="B140:D142"/>
    <mergeCell ref="E140:K142"/>
    <mergeCell ref="E125:E130"/>
    <mergeCell ref="F125:K130"/>
    <mergeCell ref="E131:E136"/>
    <mergeCell ref="F131:K136"/>
    <mergeCell ref="B137:D137"/>
    <mergeCell ref="H137:J137"/>
    <mergeCell ref="E92:E97"/>
    <mergeCell ref="F92:K97"/>
    <mergeCell ref="E98:E103"/>
    <mergeCell ref="F98:K103"/>
    <mergeCell ref="E119:E124"/>
    <mergeCell ref="F119:K124"/>
    <mergeCell ref="A78:K78"/>
    <mergeCell ref="A79:D79"/>
    <mergeCell ref="E79:K79"/>
    <mergeCell ref="A80:D91"/>
    <mergeCell ref="E80:E85"/>
    <mergeCell ref="F80:K85"/>
    <mergeCell ref="E86:E91"/>
    <mergeCell ref="F86:K91"/>
    <mergeCell ref="F111:K118"/>
    <mergeCell ref="F104:K110"/>
    <mergeCell ref="F42:K47"/>
    <mergeCell ref="F61:K65"/>
    <mergeCell ref="F66:K71"/>
    <mergeCell ref="F72:K76"/>
    <mergeCell ref="A13:D17"/>
    <mergeCell ref="E13:K17"/>
    <mergeCell ref="A19:K19"/>
    <mergeCell ref="A20:D20"/>
    <mergeCell ref="E20:K20"/>
    <mergeCell ref="A21:D41"/>
    <mergeCell ref="F21:K26"/>
    <mergeCell ref="F27:K31"/>
    <mergeCell ref="F32:K41"/>
    <mergeCell ref="F48:K52"/>
    <mergeCell ref="F53:K60"/>
    <mergeCell ref="A5:B5"/>
    <mergeCell ref="A7:K7"/>
    <mergeCell ref="A8:D8"/>
    <mergeCell ref="E8:K8"/>
    <mergeCell ref="A9:D12"/>
    <mergeCell ref="E9:K12"/>
    <mergeCell ref="J2:K2"/>
    <mergeCell ref="M2:M3"/>
    <mergeCell ref="A3:B3"/>
    <mergeCell ref="J3:K3"/>
    <mergeCell ref="A4:B4"/>
    <mergeCell ref="J4:K4"/>
  </mergeCells>
  <pageMargins left="0.7" right="0.5" top="0.61" bottom="0.57999999999999996" header="0.3" footer="0.3"/>
  <pageSetup paperSize="9" orientation="portrait" horizontalDpi="4294967294" verticalDpi="4294967294"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Spinner 1">
              <controlPr defaultSize="0" autoPict="0">
                <anchor moveWithCells="1" sizeWithCells="1">
                  <from>
                    <xdr:col>13</xdr:col>
                    <xdr:colOff>114300</xdr:colOff>
                    <xdr:row>1</xdr:row>
                    <xdr:rowOff>0</xdr:rowOff>
                  </from>
                  <to>
                    <xdr:col>13</xdr:col>
                    <xdr:colOff>552450</xdr:colOff>
                    <xdr:row>4</xdr:row>
                    <xdr:rowOff>123825</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00B050"/>
  </sheetPr>
  <dimension ref="A1:S48"/>
  <sheetViews>
    <sheetView showZeros="0" workbookViewId="0">
      <pane xSplit="2" ySplit="5" topLeftCell="C6" activePane="bottomRight" state="frozen"/>
      <selection pane="topRight" activeCell="C1" sqref="C1"/>
      <selection pane="bottomLeft" activeCell="A6" sqref="A6"/>
      <selection pane="bottomRight" activeCell="E6" sqref="E6:E20"/>
    </sheetView>
  </sheetViews>
  <sheetFormatPr defaultColWidth="0" defaultRowHeight="15" zeroHeight="1"/>
  <cols>
    <col min="1" max="1" width="4" customWidth="1"/>
    <col min="2" max="2" width="31.7109375" customWidth="1"/>
    <col min="3" max="3" width="5.28515625" customWidth="1"/>
    <col min="4" max="4" width="5" customWidth="1"/>
    <col min="5" max="5" width="5.5703125" customWidth="1"/>
    <col min="6" max="6" width="5.28515625" customWidth="1"/>
    <col min="7" max="7" width="11" customWidth="1"/>
    <col min="8" max="8" width="12.140625" customWidth="1"/>
    <col min="9" max="9" width="14" customWidth="1"/>
    <col min="10" max="10" width="11.140625" customWidth="1"/>
    <col min="11" max="18" width="19.28515625" customWidth="1"/>
    <col min="19" max="19" width="9.140625" customWidth="1"/>
    <col min="20" max="16384" width="9.140625" hidden="1"/>
  </cols>
  <sheetData>
    <row r="1" spans="1:18">
      <c r="B1" s="171" t="s">
        <v>129</v>
      </c>
    </row>
    <row r="2" spans="1:18">
      <c r="B2" s="171" t="s">
        <v>130</v>
      </c>
    </row>
    <row r="3" spans="1:18">
      <c r="B3">
        <v>2</v>
      </c>
      <c r="C3">
        <v>3</v>
      </c>
      <c r="D3">
        <v>4</v>
      </c>
      <c r="E3">
        <v>5</v>
      </c>
      <c r="F3">
        <v>6</v>
      </c>
      <c r="G3">
        <v>7</v>
      </c>
      <c r="H3">
        <v>8</v>
      </c>
      <c r="I3">
        <v>9</v>
      </c>
      <c r="J3">
        <v>10</v>
      </c>
      <c r="K3">
        <v>11</v>
      </c>
      <c r="L3">
        <v>12</v>
      </c>
      <c r="M3">
        <v>13</v>
      </c>
      <c r="N3">
        <v>14</v>
      </c>
      <c r="O3">
        <v>15</v>
      </c>
      <c r="P3">
        <v>16</v>
      </c>
      <c r="Q3">
        <v>17</v>
      </c>
      <c r="R3">
        <v>18</v>
      </c>
    </row>
    <row r="4" spans="1:18">
      <c r="A4" s="961" t="s">
        <v>9</v>
      </c>
      <c r="B4" s="961" t="s">
        <v>131</v>
      </c>
      <c r="C4" s="1137" t="s">
        <v>95</v>
      </c>
      <c r="D4" s="1137"/>
      <c r="E4" s="1138" t="s">
        <v>96</v>
      </c>
      <c r="F4" s="1139"/>
      <c r="G4" s="1140" t="s">
        <v>129</v>
      </c>
      <c r="H4" s="1141"/>
      <c r="I4" s="1141"/>
      <c r="J4" s="1142"/>
      <c r="K4" s="900" t="s">
        <v>132</v>
      </c>
      <c r="L4" s="900"/>
      <c r="M4" s="900" t="s">
        <v>133</v>
      </c>
      <c r="N4" s="900"/>
      <c r="O4" s="900" t="s">
        <v>134</v>
      </c>
      <c r="P4" s="900"/>
      <c r="Q4" s="900" t="s">
        <v>135</v>
      </c>
      <c r="R4" s="900"/>
    </row>
    <row r="5" spans="1:18" ht="27.75" customHeight="1">
      <c r="A5" s="960"/>
      <c r="B5" s="960"/>
      <c r="C5" s="311" t="s">
        <v>197</v>
      </c>
      <c r="D5" s="311" t="s">
        <v>196</v>
      </c>
      <c r="E5" s="311" t="s">
        <v>195</v>
      </c>
      <c r="F5" s="311" t="s">
        <v>196</v>
      </c>
      <c r="G5" s="312" t="s">
        <v>100</v>
      </c>
      <c r="H5" s="312" t="s">
        <v>102</v>
      </c>
      <c r="I5" s="312" t="s">
        <v>103</v>
      </c>
      <c r="J5" s="312" t="s">
        <v>104</v>
      </c>
      <c r="K5" s="313" t="s">
        <v>136</v>
      </c>
      <c r="L5" s="313" t="s">
        <v>137</v>
      </c>
      <c r="M5" s="314" t="s">
        <v>136</v>
      </c>
      <c r="N5" s="314" t="s">
        <v>137</v>
      </c>
      <c r="O5" s="314" t="s">
        <v>136</v>
      </c>
      <c r="P5" s="314" t="s">
        <v>137</v>
      </c>
      <c r="Q5" s="314" t="s">
        <v>136</v>
      </c>
      <c r="R5" s="314" t="s">
        <v>137</v>
      </c>
    </row>
    <row r="6" spans="1:18">
      <c r="A6">
        <v>1</v>
      </c>
      <c r="B6" s="269" t="str">
        <f>SISWA!B6</f>
        <v>Afif Rafiudin</v>
      </c>
      <c r="C6" s="315">
        <v>129</v>
      </c>
      <c r="D6" s="315"/>
      <c r="E6" s="315">
        <v>30</v>
      </c>
      <c r="F6" s="316"/>
      <c r="G6" s="317" t="s">
        <v>101</v>
      </c>
      <c r="H6" s="317" t="s">
        <v>65</v>
      </c>
      <c r="I6" s="317" t="s">
        <v>774</v>
      </c>
      <c r="J6" s="317"/>
      <c r="K6" s="315"/>
      <c r="L6" s="315"/>
      <c r="M6" s="318"/>
      <c r="N6" s="318"/>
      <c r="O6" s="315"/>
      <c r="P6" s="315"/>
      <c r="Q6" s="318"/>
      <c r="R6" s="318"/>
    </row>
    <row r="7" spans="1:18" ht="30">
      <c r="A7">
        <v>2</v>
      </c>
      <c r="B7" s="269" t="str">
        <f>SISWA!B7</f>
        <v>Ahmad Faiq Athaya</v>
      </c>
      <c r="C7" s="315">
        <v>119</v>
      </c>
      <c r="D7" s="315"/>
      <c r="E7" s="315">
        <v>27</v>
      </c>
      <c r="F7" s="316"/>
      <c r="G7" s="317" t="s">
        <v>101</v>
      </c>
      <c r="H7" s="317" t="s">
        <v>101</v>
      </c>
      <c r="I7" s="317" t="s">
        <v>774</v>
      </c>
      <c r="J7" s="317"/>
      <c r="K7" s="315" t="s">
        <v>772</v>
      </c>
      <c r="L7" s="315" t="s">
        <v>773</v>
      </c>
      <c r="M7" s="318"/>
      <c r="N7" s="318"/>
      <c r="O7" s="315"/>
      <c r="P7" s="315"/>
      <c r="Q7" s="318"/>
      <c r="R7" s="318"/>
    </row>
    <row r="8" spans="1:18">
      <c r="A8">
        <v>3</v>
      </c>
      <c r="B8" s="269" t="str">
        <f>SISWA!B8</f>
        <v>Amira Zerlinda</v>
      </c>
      <c r="C8" s="315">
        <v>126</v>
      </c>
      <c r="D8" s="315"/>
      <c r="E8" s="315">
        <v>30</v>
      </c>
      <c r="F8" s="316"/>
      <c r="G8" s="317" t="s">
        <v>101</v>
      </c>
      <c r="H8" s="317" t="s">
        <v>101</v>
      </c>
      <c r="I8" s="317" t="s">
        <v>774</v>
      </c>
      <c r="J8" s="317"/>
      <c r="K8" s="315"/>
      <c r="L8" s="315"/>
      <c r="M8" s="318"/>
      <c r="N8" s="318"/>
      <c r="O8" s="315"/>
      <c r="P8" s="315"/>
      <c r="Q8" s="318"/>
      <c r="R8" s="318"/>
    </row>
    <row r="9" spans="1:18">
      <c r="A9">
        <v>4</v>
      </c>
      <c r="B9" s="269" t="str">
        <f>SISWA!B9</f>
        <v>Andrian Putra Pangestu</v>
      </c>
      <c r="C9" s="315">
        <v>127</v>
      </c>
      <c r="D9" s="315"/>
      <c r="E9" s="315">
        <v>27</v>
      </c>
      <c r="F9" s="316"/>
      <c r="G9" s="317" t="s">
        <v>101</v>
      </c>
      <c r="H9" s="317" t="s">
        <v>101</v>
      </c>
      <c r="I9" s="317" t="s">
        <v>774</v>
      </c>
      <c r="J9" s="317"/>
      <c r="K9" s="315"/>
      <c r="L9" s="315"/>
      <c r="M9" s="318"/>
      <c r="N9" s="318"/>
      <c r="O9" s="315"/>
      <c r="P9" s="315"/>
      <c r="Q9" s="318"/>
      <c r="R9" s="318"/>
    </row>
    <row r="10" spans="1:18">
      <c r="A10">
        <v>5</v>
      </c>
      <c r="B10" s="269" t="str">
        <f>SISWA!B10</f>
        <v>Gresiya Suma Safitri</v>
      </c>
      <c r="C10" s="315">
        <v>137</v>
      </c>
      <c r="D10" s="315"/>
      <c r="E10" s="315">
        <v>40</v>
      </c>
      <c r="F10" s="316"/>
      <c r="G10" s="317" t="s">
        <v>101</v>
      </c>
      <c r="H10" s="317" t="s">
        <v>65</v>
      </c>
      <c r="I10" s="317" t="s">
        <v>774</v>
      </c>
      <c r="J10" s="317"/>
      <c r="K10" s="315"/>
      <c r="L10" s="315"/>
      <c r="M10" s="318"/>
      <c r="N10" s="318"/>
      <c r="O10" s="315"/>
      <c r="P10" s="315"/>
      <c r="Q10" s="318"/>
      <c r="R10" s="318"/>
    </row>
    <row r="11" spans="1:18">
      <c r="A11">
        <v>6</v>
      </c>
      <c r="B11" s="269" t="str">
        <f>SISWA!B11</f>
        <v>Hasna Fathitya Sabrina</v>
      </c>
      <c r="C11" s="315">
        <v>124</v>
      </c>
      <c r="D11" s="315"/>
      <c r="E11" s="315">
        <v>23</v>
      </c>
      <c r="F11" s="316"/>
      <c r="G11" s="317" t="s">
        <v>101</v>
      </c>
      <c r="H11" s="317" t="s">
        <v>65</v>
      </c>
      <c r="I11" s="317" t="s">
        <v>774</v>
      </c>
      <c r="J11" s="317"/>
      <c r="K11" s="315"/>
      <c r="L11" s="315"/>
      <c r="M11" s="318"/>
      <c r="N11" s="318"/>
      <c r="O11" s="315"/>
      <c r="P11" s="315"/>
      <c r="Q11" s="318"/>
      <c r="R11" s="318"/>
    </row>
    <row r="12" spans="1:18">
      <c r="A12">
        <v>7</v>
      </c>
      <c r="B12" s="269" t="str">
        <f>SISWA!B12</f>
        <v>Indah Fitria Ningrum</v>
      </c>
      <c r="C12" s="315">
        <v>141</v>
      </c>
      <c r="D12" s="315"/>
      <c r="E12" s="315">
        <v>38</v>
      </c>
      <c r="F12" s="316"/>
      <c r="G12" s="317" t="s">
        <v>101</v>
      </c>
      <c r="H12" s="317" t="s">
        <v>65</v>
      </c>
      <c r="I12" s="317" t="s">
        <v>774</v>
      </c>
      <c r="J12" s="317"/>
      <c r="K12" s="315"/>
      <c r="L12" s="315"/>
      <c r="M12" s="318"/>
      <c r="N12" s="318"/>
      <c r="O12" s="315"/>
      <c r="P12" s="315"/>
      <c r="Q12" s="318"/>
      <c r="R12" s="318"/>
    </row>
    <row r="13" spans="1:18">
      <c r="A13">
        <v>8</v>
      </c>
      <c r="B13" s="269" t="str">
        <f>SISWA!B13</f>
        <v>Muhammad Ilham Sarifuddin</v>
      </c>
      <c r="C13" s="315">
        <v>130</v>
      </c>
      <c r="D13" s="315"/>
      <c r="E13" s="315">
        <v>26</v>
      </c>
      <c r="F13" s="316"/>
      <c r="G13" s="317" t="s">
        <v>101</v>
      </c>
      <c r="H13" s="317" t="s">
        <v>101</v>
      </c>
      <c r="I13" s="317" t="s">
        <v>774</v>
      </c>
      <c r="J13" s="317"/>
      <c r="K13" s="315"/>
      <c r="L13" s="315"/>
      <c r="M13" s="318"/>
      <c r="N13" s="318"/>
      <c r="O13" s="315"/>
      <c r="P13" s="315"/>
      <c r="Q13" s="318"/>
      <c r="R13" s="318"/>
    </row>
    <row r="14" spans="1:18">
      <c r="A14">
        <v>9</v>
      </c>
      <c r="B14" s="269" t="str">
        <f>SISWA!B14</f>
        <v>Muhammad Raditya Ainul Yaqin</v>
      </c>
      <c r="C14" s="315">
        <v>139</v>
      </c>
      <c r="D14" s="315"/>
      <c r="E14" s="315">
        <v>30</v>
      </c>
      <c r="F14" s="316"/>
      <c r="G14" s="317" t="s">
        <v>101</v>
      </c>
      <c r="H14" s="317" t="s">
        <v>101</v>
      </c>
      <c r="I14" s="317" t="s">
        <v>774</v>
      </c>
      <c r="J14" s="317"/>
      <c r="K14" s="315"/>
      <c r="L14" s="315"/>
      <c r="M14" s="318"/>
      <c r="N14" s="318"/>
      <c r="O14" s="315"/>
      <c r="P14" s="315"/>
      <c r="Q14" s="318"/>
      <c r="R14" s="318"/>
    </row>
    <row r="15" spans="1:18">
      <c r="A15">
        <v>10</v>
      </c>
      <c r="B15" s="269" t="str">
        <f>SISWA!B15</f>
        <v>Muhammad Shulhan Al-farisi</v>
      </c>
      <c r="C15" s="315">
        <v>127</v>
      </c>
      <c r="D15" s="315"/>
      <c r="E15" s="315">
        <v>25</v>
      </c>
      <c r="F15" s="316"/>
      <c r="G15" s="317" t="s">
        <v>101</v>
      </c>
      <c r="H15" s="317" t="s">
        <v>101</v>
      </c>
      <c r="I15" s="317" t="s">
        <v>774</v>
      </c>
      <c r="J15" s="317"/>
      <c r="K15" s="315"/>
      <c r="L15" s="315"/>
      <c r="M15" s="318"/>
      <c r="N15" s="318"/>
      <c r="O15" s="315"/>
      <c r="P15" s="315"/>
      <c r="Q15" s="318"/>
      <c r="R15" s="318"/>
    </row>
    <row r="16" spans="1:18">
      <c r="A16">
        <v>11</v>
      </c>
      <c r="B16" s="269" t="str">
        <f>SISWA!B16</f>
        <v>Novaris Dwi Firmansyah</v>
      </c>
      <c r="C16" s="315">
        <v>123</v>
      </c>
      <c r="D16" s="315"/>
      <c r="E16" s="315">
        <v>30</v>
      </c>
      <c r="F16" s="316"/>
      <c r="G16" s="317" t="s">
        <v>101</v>
      </c>
      <c r="H16" s="317" t="s">
        <v>101</v>
      </c>
      <c r="I16" s="317" t="s">
        <v>774</v>
      </c>
      <c r="J16" s="317"/>
      <c r="K16" s="315"/>
      <c r="L16" s="315"/>
      <c r="M16" s="318"/>
      <c r="N16" s="318"/>
      <c r="O16" s="315"/>
      <c r="P16" s="315"/>
      <c r="Q16" s="318"/>
      <c r="R16" s="318"/>
    </row>
    <row r="17" spans="1:18">
      <c r="A17">
        <v>12</v>
      </c>
      <c r="B17" s="269" t="str">
        <f>SISWA!B17</f>
        <v>Oktafiya Duwi Safitri</v>
      </c>
      <c r="C17" s="315">
        <v>124</v>
      </c>
      <c r="D17" s="315"/>
      <c r="E17" s="315">
        <v>32</v>
      </c>
      <c r="F17" s="316"/>
      <c r="G17" s="317" t="s">
        <v>101</v>
      </c>
      <c r="H17" s="317" t="s">
        <v>65</v>
      </c>
      <c r="I17" s="317" t="s">
        <v>774</v>
      </c>
      <c r="J17" s="317"/>
      <c r="K17" s="315"/>
      <c r="L17" s="315"/>
      <c r="M17" s="318"/>
      <c r="N17" s="318"/>
      <c r="O17" s="315"/>
      <c r="P17" s="315"/>
      <c r="Q17" s="318"/>
      <c r="R17" s="318"/>
    </row>
    <row r="18" spans="1:18">
      <c r="A18">
        <v>13</v>
      </c>
      <c r="B18" s="269" t="str">
        <f>SISWA!B18</f>
        <v>Prastika Guntur Firmansyah</v>
      </c>
      <c r="C18" s="315">
        <v>125</v>
      </c>
      <c r="D18" s="315"/>
      <c r="E18" s="315">
        <v>29</v>
      </c>
      <c r="F18" s="316"/>
      <c r="G18" s="317" t="s">
        <v>101</v>
      </c>
      <c r="H18" s="317" t="s">
        <v>101</v>
      </c>
      <c r="I18" s="317" t="s">
        <v>774</v>
      </c>
      <c r="J18" s="317"/>
      <c r="K18" s="315"/>
      <c r="L18" s="315"/>
      <c r="M18" s="318"/>
      <c r="N18" s="318"/>
      <c r="O18" s="315"/>
      <c r="P18" s="315"/>
      <c r="Q18" s="318"/>
      <c r="R18" s="318"/>
    </row>
    <row r="19" spans="1:18">
      <c r="A19">
        <v>14</v>
      </c>
      <c r="B19" s="269" t="str">
        <f>SISWA!B19</f>
        <v>Siti Musyafiani</v>
      </c>
      <c r="C19" s="315">
        <v>125</v>
      </c>
      <c r="D19" s="315"/>
      <c r="E19" s="315">
        <v>25</v>
      </c>
      <c r="F19" s="316"/>
      <c r="G19" s="317" t="s">
        <v>101</v>
      </c>
      <c r="H19" s="317" t="s">
        <v>101</v>
      </c>
      <c r="I19" s="317" t="s">
        <v>774</v>
      </c>
      <c r="J19" s="317"/>
      <c r="K19" s="315"/>
      <c r="L19" s="315"/>
      <c r="M19" s="318"/>
      <c r="N19" s="318"/>
      <c r="O19" s="315"/>
      <c r="P19" s="315"/>
      <c r="Q19" s="318"/>
      <c r="R19" s="318"/>
    </row>
    <row r="20" spans="1:18">
      <c r="A20">
        <v>15</v>
      </c>
      <c r="B20" s="269" t="str">
        <f>SISWA!B20</f>
        <v>Tegar Arya Pangestu</v>
      </c>
      <c r="C20" s="315">
        <v>134</v>
      </c>
      <c r="D20" s="315"/>
      <c r="E20" s="315">
        <v>46</v>
      </c>
      <c r="F20" s="316"/>
      <c r="G20" s="317" t="s">
        <v>101</v>
      </c>
      <c r="H20" s="317" t="s">
        <v>101</v>
      </c>
      <c r="I20" s="317" t="s">
        <v>774</v>
      </c>
      <c r="J20" s="317"/>
      <c r="K20" s="315"/>
      <c r="L20" s="315"/>
      <c r="M20" s="318"/>
      <c r="N20" s="318"/>
      <c r="O20" s="315"/>
      <c r="P20" s="315"/>
      <c r="Q20" s="318"/>
      <c r="R20" s="318"/>
    </row>
    <row r="21" spans="1:18">
      <c r="A21">
        <v>16</v>
      </c>
      <c r="B21" s="269">
        <f>SISWA!B21</f>
        <v>0</v>
      </c>
      <c r="C21" s="315"/>
      <c r="D21" s="315"/>
      <c r="E21" s="316"/>
      <c r="F21" s="316"/>
      <c r="G21" s="317"/>
      <c r="H21" s="317"/>
      <c r="I21" s="317"/>
      <c r="J21" s="317"/>
      <c r="K21" s="315"/>
      <c r="L21" s="315"/>
      <c r="M21" s="318"/>
      <c r="N21" s="318"/>
      <c r="O21" s="315"/>
      <c r="P21" s="315"/>
      <c r="Q21" s="318"/>
      <c r="R21" s="318"/>
    </row>
    <row r="22" spans="1:18">
      <c r="A22">
        <v>17</v>
      </c>
      <c r="B22" s="269">
        <f>SISWA!B22</f>
        <v>0</v>
      </c>
      <c r="C22" s="315"/>
      <c r="D22" s="315"/>
      <c r="E22" s="316"/>
      <c r="F22" s="316"/>
      <c r="G22" s="317"/>
      <c r="H22" s="317"/>
      <c r="I22" s="317"/>
      <c r="J22" s="317"/>
      <c r="K22" s="315"/>
      <c r="L22" s="315"/>
      <c r="M22" s="318"/>
      <c r="N22" s="318"/>
      <c r="O22" s="315"/>
      <c r="P22" s="315"/>
      <c r="Q22" s="318"/>
      <c r="R22" s="318"/>
    </row>
    <row r="23" spans="1:18">
      <c r="A23">
        <v>18</v>
      </c>
      <c r="B23" s="269">
        <f>SISWA!B23</f>
        <v>0</v>
      </c>
      <c r="C23" s="315"/>
      <c r="D23" s="315"/>
      <c r="E23" s="316"/>
      <c r="F23" s="316"/>
      <c r="G23" s="317"/>
      <c r="H23" s="317"/>
      <c r="I23" s="317"/>
      <c r="J23" s="317"/>
      <c r="K23" s="315"/>
      <c r="L23" s="315"/>
      <c r="M23" s="318"/>
      <c r="N23" s="318"/>
      <c r="O23" s="315"/>
      <c r="P23" s="315"/>
      <c r="Q23" s="318"/>
      <c r="R23" s="318"/>
    </row>
    <row r="24" spans="1:18">
      <c r="A24">
        <v>19</v>
      </c>
      <c r="B24" s="269">
        <f>SISWA!B24</f>
        <v>0</v>
      </c>
      <c r="C24" s="315"/>
      <c r="D24" s="315"/>
      <c r="E24" s="316"/>
      <c r="F24" s="316"/>
      <c r="G24" s="317"/>
      <c r="H24" s="317"/>
      <c r="I24" s="317"/>
      <c r="J24" s="317"/>
      <c r="K24" s="315"/>
      <c r="L24" s="315"/>
      <c r="M24" s="318"/>
      <c r="N24" s="318"/>
      <c r="O24" s="315"/>
      <c r="P24" s="315"/>
      <c r="Q24" s="318"/>
      <c r="R24" s="318"/>
    </row>
    <row r="25" spans="1:18">
      <c r="A25">
        <v>20</v>
      </c>
      <c r="B25" s="269">
        <f>SISWA!B25</f>
        <v>0</v>
      </c>
      <c r="C25" s="315"/>
      <c r="D25" s="315"/>
      <c r="E25" s="316"/>
      <c r="F25" s="316"/>
      <c r="G25" s="317"/>
      <c r="H25" s="317"/>
      <c r="I25" s="317"/>
      <c r="J25" s="317"/>
      <c r="K25" s="315"/>
      <c r="L25" s="315"/>
      <c r="M25" s="318"/>
      <c r="N25" s="318"/>
      <c r="O25" s="315"/>
      <c r="P25" s="315"/>
      <c r="Q25" s="318"/>
      <c r="R25" s="318"/>
    </row>
    <row r="26" spans="1:18">
      <c r="A26">
        <v>21</v>
      </c>
      <c r="B26" s="269">
        <f>SISWA!B26</f>
        <v>0</v>
      </c>
      <c r="C26" s="315"/>
      <c r="D26" s="315"/>
      <c r="E26" s="316"/>
      <c r="F26" s="316"/>
      <c r="G26" s="317"/>
      <c r="H26" s="317"/>
      <c r="I26" s="317"/>
      <c r="J26" s="317"/>
      <c r="K26" s="315"/>
      <c r="L26" s="315"/>
      <c r="M26" s="318"/>
      <c r="N26" s="318"/>
      <c r="O26" s="315"/>
      <c r="P26" s="315"/>
      <c r="Q26" s="318"/>
      <c r="R26" s="318"/>
    </row>
    <row r="27" spans="1:18">
      <c r="A27">
        <v>22</v>
      </c>
      <c r="B27" s="269">
        <f>SISWA!B27</f>
        <v>0</v>
      </c>
      <c r="C27" s="315"/>
      <c r="D27" s="315"/>
      <c r="E27" s="316"/>
      <c r="F27" s="316"/>
      <c r="G27" s="317"/>
      <c r="H27" s="317"/>
      <c r="I27" s="317"/>
      <c r="J27" s="317"/>
      <c r="K27" s="315"/>
      <c r="L27" s="315"/>
      <c r="M27" s="318"/>
      <c r="N27" s="318"/>
      <c r="O27" s="315"/>
      <c r="P27" s="315"/>
      <c r="Q27" s="318"/>
      <c r="R27" s="318"/>
    </row>
    <row r="28" spans="1:18">
      <c r="A28">
        <v>23</v>
      </c>
      <c r="B28" s="269">
        <f>SISWA!B28</f>
        <v>0</v>
      </c>
      <c r="C28" s="315"/>
      <c r="D28" s="315"/>
      <c r="E28" s="316"/>
      <c r="F28" s="316"/>
      <c r="G28" s="317"/>
      <c r="H28" s="317"/>
      <c r="I28" s="317"/>
      <c r="J28" s="317"/>
      <c r="K28" s="315"/>
      <c r="L28" s="315"/>
      <c r="M28" s="318"/>
      <c r="N28" s="318"/>
      <c r="O28" s="315"/>
      <c r="P28" s="315"/>
      <c r="Q28" s="318"/>
      <c r="R28" s="318"/>
    </row>
    <row r="29" spans="1:18">
      <c r="A29">
        <v>24</v>
      </c>
      <c r="B29" s="269">
        <f>SISWA!B29</f>
        <v>0</v>
      </c>
      <c r="C29" s="315"/>
      <c r="D29" s="315"/>
      <c r="E29" s="316"/>
      <c r="F29" s="316"/>
      <c r="G29" s="317"/>
      <c r="H29" s="317"/>
      <c r="I29" s="317"/>
      <c r="J29" s="317"/>
      <c r="K29" s="315"/>
      <c r="L29" s="315"/>
      <c r="M29" s="318"/>
      <c r="N29" s="318"/>
      <c r="O29" s="315"/>
      <c r="P29" s="315"/>
      <c r="Q29" s="318"/>
      <c r="R29" s="318"/>
    </row>
    <row r="30" spans="1:18">
      <c r="A30">
        <v>25</v>
      </c>
      <c r="B30" s="269">
        <f>SISWA!B30</f>
        <v>0</v>
      </c>
      <c r="C30" s="315"/>
      <c r="D30" s="315"/>
      <c r="E30" s="316"/>
      <c r="F30" s="316"/>
      <c r="G30" s="317"/>
      <c r="H30" s="317"/>
      <c r="I30" s="317"/>
      <c r="J30" s="317"/>
      <c r="K30" s="315"/>
      <c r="L30" s="315"/>
      <c r="M30" s="318"/>
      <c r="N30" s="318"/>
      <c r="O30" s="315"/>
      <c r="P30" s="315"/>
      <c r="Q30" s="318"/>
      <c r="R30" s="318"/>
    </row>
    <row r="31" spans="1:18">
      <c r="A31">
        <v>26</v>
      </c>
      <c r="B31" s="269">
        <f>SISWA!B31</f>
        <v>0</v>
      </c>
      <c r="C31" s="315"/>
      <c r="D31" s="315"/>
      <c r="E31" s="316"/>
      <c r="F31" s="316"/>
      <c r="G31" s="317"/>
      <c r="H31" s="317"/>
      <c r="I31" s="317"/>
      <c r="J31" s="317"/>
      <c r="K31" s="315"/>
      <c r="L31" s="315"/>
      <c r="M31" s="318"/>
      <c r="N31" s="318"/>
      <c r="O31" s="315"/>
      <c r="P31" s="315"/>
      <c r="Q31" s="318"/>
      <c r="R31" s="318"/>
    </row>
    <row r="32" spans="1:18">
      <c r="A32">
        <v>27</v>
      </c>
      <c r="B32" s="269">
        <f>SISWA!B32</f>
        <v>0</v>
      </c>
      <c r="C32" s="315"/>
      <c r="D32" s="315"/>
      <c r="E32" s="316"/>
      <c r="F32" s="316"/>
      <c r="G32" s="317"/>
      <c r="H32" s="317"/>
      <c r="I32" s="317"/>
      <c r="J32" s="317"/>
      <c r="K32" s="315"/>
      <c r="L32" s="315"/>
      <c r="M32" s="318"/>
      <c r="N32" s="318"/>
      <c r="O32" s="315"/>
      <c r="P32" s="315"/>
      <c r="Q32" s="318"/>
      <c r="R32" s="318"/>
    </row>
    <row r="33" spans="1:18">
      <c r="A33">
        <v>28</v>
      </c>
      <c r="B33" s="269">
        <f>SISWA!B33</f>
        <v>0</v>
      </c>
      <c r="C33" s="315"/>
      <c r="D33" s="315"/>
      <c r="E33" s="316"/>
      <c r="F33" s="316"/>
      <c r="G33" s="317"/>
      <c r="H33" s="317"/>
      <c r="I33" s="317"/>
      <c r="J33" s="317"/>
      <c r="K33" s="315"/>
      <c r="L33" s="315"/>
      <c r="M33" s="318"/>
      <c r="N33" s="318"/>
      <c r="O33" s="315"/>
      <c r="P33" s="315"/>
      <c r="Q33" s="318"/>
      <c r="R33" s="318"/>
    </row>
    <row r="34" spans="1:18">
      <c r="A34">
        <v>29</v>
      </c>
      <c r="B34" s="269">
        <f>SISWA!B34</f>
        <v>0</v>
      </c>
      <c r="C34" s="315"/>
      <c r="D34" s="315"/>
      <c r="E34" s="316"/>
      <c r="F34" s="316"/>
      <c r="G34" s="317"/>
      <c r="H34" s="317"/>
      <c r="I34" s="317"/>
      <c r="J34" s="317"/>
      <c r="K34" s="315"/>
      <c r="L34" s="315"/>
      <c r="M34" s="318"/>
      <c r="N34" s="318"/>
      <c r="O34" s="315"/>
      <c r="P34" s="315"/>
      <c r="Q34" s="318"/>
      <c r="R34" s="318"/>
    </row>
    <row r="35" spans="1:18">
      <c r="A35">
        <v>30</v>
      </c>
      <c r="B35" s="269">
        <f>SISWA!B35</f>
        <v>0</v>
      </c>
      <c r="C35" s="315"/>
      <c r="D35" s="315"/>
      <c r="E35" s="316"/>
      <c r="F35" s="316"/>
      <c r="G35" s="317"/>
      <c r="H35" s="317"/>
      <c r="I35" s="317"/>
      <c r="J35" s="317"/>
      <c r="K35" s="315"/>
      <c r="L35" s="315"/>
      <c r="M35" s="318"/>
      <c r="N35" s="318"/>
      <c r="O35" s="315"/>
      <c r="P35" s="315"/>
      <c r="Q35" s="318"/>
      <c r="R35" s="318"/>
    </row>
    <row r="36" spans="1:18">
      <c r="A36">
        <v>31</v>
      </c>
      <c r="B36" s="269">
        <f>SISWA!B36</f>
        <v>0</v>
      </c>
      <c r="C36" s="315"/>
      <c r="D36" s="315"/>
      <c r="E36" s="316"/>
      <c r="F36" s="316"/>
      <c r="G36" s="317"/>
      <c r="H36" s="317"/>
      <c r="I36" s="317"/>
      <c r="J36" s="317"/>
      <c r="K36" s="315"/>
      <c r="L36" s="315"/>
      <c r="M36" s="318"/>
      <c r="N36" s="318"/>
      <c r="O36" s="315"/>
      <c r="P36" s="315"/>
      <c r="Q36" s="318"/>
      <c r="R36" s="318"/>
    </row>
    <row r="37" spans="1:18">
      <c r="A37">
        <v>32</v>
      </c>
      <c r="B37" s="269">
        <f>SISWA!B37</f>
        <v>0</v>
      </c>
      <c r="C37" s="315"/>
      <c r="D37" s="315"/>
      <c r="E37" s="316"/>
      <c r="F37" s="316"/>
      <c r="G37" s="317"/>
      <c r="H37" s="317"/>
      <c r="I37" s="317"/>
      <c r="J37" s="317"/>
      <c r="K37" s="315"/>
      <c r="L37" s="315"/>
      <c r="M37" s="318"/>
      <c r="N37" s="318"/>
      <c r="O37" s="315"/>
      <c r="P37" s="315"/>
      <c r="Q37" s="318"/>
      <c r="R37" s="318"/>
    </row>
    <row r="38" spans="1:18">
      <c r="A38">
        <v>33</v>
      </c>
      <c r="B38" s="269">
        <f>SISWA!B38</f>
        <v>0</v>
      </c>
      <c r="C38" s="315"/>
      <c r="D38" s="315"/>
      <c r="E38" s="316"/>
      <c r="F38" s="316"/>
      <c r="G38" s="317"/>
      <c r="H38" s="317"/>
      <c r="I38" s="317"/>
      <c r="J38" s="317"/>
      <c r="K38" s="315"/>
      <c r="L38" s="315"/>
      <c r="M38" s="318"/>
      <c r="N38" s="318"/>
      <c r="O38" s="315"/>
      <c r="P38" s="315"/>
      <c r="Q38" s="318"/>
      <c r="R38" s="318"/>
    </row>
    <row r="39" spans="1:18">
      <c r="A39">
        <v>34</v>
      </c>
      <c r="B39" s="269">
        <f>SISWA!B39</f>
        <v>0</v>
      </c>
      <c r="C39" s="315"/>
      <c r="D39" s="315"/>
      <c r="E39" s="316"/>
      <c r="F39" s="316"/>
      <c r="G39" s="317"/>
      <c r="H39" s="317"/>
      <c r="I39" s="317"/>
      <c r="J39" s="317"/>
      <c r="K39" s="315"/>
      <c r="L39" s="315"/>
      <c r="M39" s="318"/>
      <c r="N39" s="318"/>
      <c r="O39" s="315"/>
      <c r="P39" s="315"/>
      <c r="Q39" s="318"/>
      <c r="R39" s="318"/>
    </row>
    <row r="40" spans="1:18">
      <c r="A40">
        <v>35</v>
      </c>
      <c r="B40" s="269">
        <f>SISWA!B40</f>
        <v>0</v>
      </c>
      <c r="C40" s="315"/>
      <c r="D40" s="315"/>
      <c r="E40" s="316"/>
      <c r="F40" s="316"/>
      <c r="G40" s="317"/>
      <c r="H40" s="317"/>
      <c r="I40" s="317"/>
      <c r="J40" s="317"/>
      <c r="K40" s="315"/>
      <c r="L40" s="315"/>
      <c r="M40" s="318"/>
      <c r="N40" s="318"/>
      <c r="O40" s="315"/>
      <c r="P40" s="315"/>
      <c r="Q40" s="318"/>
      <c r="R40" s="318"/>
    </row>
    <row r="41" spans="1:18">
      <c r="A41">
        <v>36</v>
      </c>
      <c r="B41" s="269" t="e">
        <f>SISWA!#REF!</f>
        <v>#REF!</v>
      </c>
      <c r="C41" s="315"/>
      <c r="D41" s="315"/>
      <c r="E41" s="316"/>
      <c r="F41" s="316"/>
      <c r="G41" s="317"/>
      <c r="H41" s="317"/>
      <c r="I41" s="317"/>
      <c r="J41" s="317"/>
      <c r="K41" s="315"/>
      <c r="L41" s="315"/>
      <c r="M41" s="318"/>
      <c r="N41" s="318"/>
      <c r="O41" s="315"/>
      <c r="P41" s="315"/>
      <c r="Q41" s="318"/>
      <c r="R41" s="318"/>
    </row>
    <row r="42" spans="1:18">
      <c r="A42">
        <v>37</v>
      </c>
      <c r="B42" s="269" t="e">
        <f>SISWA!#REF!</f>
        <v>#REF!</v>
      </c>
      <c r="C42" s="315"/>
      <c r="D42" s="315"/>
      <c r="E42" s="316"/>
      <c r="F42" s="316"/>
      <c r="G42" s="317"/>
      <c r="H42" s="317"/>
      <c r="I42" s="317"/>
      <c r="J42" s="317"/>
      <c r="K42" s="315"/>
      <c r="L42" s="315"/>
      <c r="M42" s="318"/>
      <c r="N42" s="318"/>
      <c r="O42" s="315"/>
      <c r="P42" s="315"/>
      <c r="Q42" s="318"/>
      <c r="R42" s="318"/>
    </row>
    <row r="43" spans="1:18">
      <c r="A43">
        <v>38</v>
      </c>
      <c r="B43" s="269" t="e">
        <f>SISWA!#REF!</f>
        <v>#REF!</v>
      </c>
      <c r="C43" s="315"/>
      <c r="D43" s="315"/>
      <c r="E43" s="316"/>
      <c r="F43" s="316"/>
      <c r="G43" s="317"/>
      <c r="H43" s="317"/>
      <c r="I43" s="317"/>
      <c r="J43" s="317"/>
      <c r="K43" s="315"/>
      <c r="L43" s="315"/>
      <c r="M43" s="318"/>
      <c r="N43" s="318"/>
      <c r="O43" s="315"/>
      <c r="P43" s="315"/>
      <c r="Q43" s="318"/>
      <c r="R43" s="318"/>
    </row>
    <row r="44" spans="1:18">
      <c r="A44">
        <v>39</v>
      </c>
      <c r="B44" s="269" t="e">
        <f>SISWA!#REF!</f>
        <v>#REF!</v>
      </c>
      <c r="C44" s="315"/>
      <c r="D44" s="315"/>
      <c r="E44" s="316"/>
      <c r="F44" s="316"/>
      <c r="G44" s="317"/>
      <c r="H44" s="317"/>
      <c r="I44" s="317"/>
      <c r="J44" s="317"/>
      <c r="K44" s="315"/>
      <c r="L44" s="315"/>
      <c r="M44" s="318"/>
      <c r="N44" s="318"/>
      <c r="O44" s="315"/>
      <c r="P44" s="315"/>
      <c r="Q44" s="318"/>
      <c r="R44" s="318"/>
    </row>
    <row r="45" spans="1:18">
      <c r="A45">
        <v>40</v>
      </c>
      <c r="B45" s="269" t="e">
        <f>SISWA!#REF!</f>
        <v>#REF!</v>
      </c>
      <c r="C45" s="315"/>
      <c r="D45" s="315"/>
      <c r="E45" s="316"/>
      <c r="F45" s="316"/>
      <c r="G45" s="317"/>
      <c r="H45" s="317"/>
      <c r="I45" s="317"/>
      <c r="J45" s="317"/>
      <c r="K45" s="315"/>
      <c r="L45" s="315"/>
      <c r="M45" s="318"/>
      <c r="N45" s="318"/>
      <c r="O45" s="315"/>
      <c r="P45" s="315"/>
      <c r="Q45" s="318"/>
      <c r="R45" s="318"/>
    </row>
    <row r="46" spans="1:18"/>
    <row r="47" spans="1:18"/>
    <row r="48" spans="1:18"/>
  </sheetData>
  <sheetProtection password="E86A" sheet="1" objects="1" scenarios="1" formatCells="0" formatRows="0"/>
  <mergeCells count="9">
    <mergeCell ref="M4:N4"/>
    <mergeCell ref="O4:P4"/>
    <mergeCell ref="Q4:R4"/>
    <mergeCell ref="A4:A5"/>
    <mergeCell ref="B4:B5"/>
    <mergeCell ref="C4:D4"/>
    <mergeCell ref="E4:F4"/>
    <mergeCell ref="G4:J4"/>
    <mergeCell ref="K4:L4"/>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00B0F0"/>
  </sheetPr>
  <dimension ref="A1:D60"/>
  <sheetViews>
    <sheetView topLeftCell="A20" workbookViewId="0">
      <selection activeCell="C18" sqref="C18:C32"/>
    </sheetView>
  </sheetViews>
  <sheetFormatPr defaultColWidth="0" defaultRowHeight="15" zeroHeight="1"/>
  <cols>
    <col min="1" max="1" width="5" customWidth="1"/>
    <col min="2" max="2" width="33.140625" customWidth="1"/>
    <col min="3" max="3" width="105.140625" customWidth="1"/>
    <col min="4" max="4" width="9.140625" customWidth="1"/>
    <col min="5" max="16384" width="9.140625" hidden="1"/>
  </cols>
  <sheetData>
    <row r="1" spans="2:3"/>
    <row r="2" spans="2:3"/>
    <row r="3" spans="2:3">
      <c r="C3" s="152" t="s">
        <v>138</v>
      </c>
    </row>
    <row r="4" spans="2:3">
      <c r="C4" s="751" t="s">
        <v>520</v>
      </c>
    </row>
    <row r="5" spans="2:3" hidden="1">
      <c r="B5" s="172" t="s">
        <v>1</v>
      </c>
      <c r="C5" s="173" t="s">
        <v>139</v>
      </c>
    </row>
    <row r="6" spans="2:3" hidden="1">
      <c r="B6" s="172" t="s">
        <v>5</v>
      </c>
      <c r="C6" s="173" t="s">
        <v>140</v>
      </c>
    </row>
    <row r="7" spans="2:3" hidden="1">
      <c r="B7" s="172" t="s">
        <v>8</v>
      </c>
      <c r="C7" s="173" t="s">
        <v>141</v>
      </c>
    </row>
    <row r="8" spans="2:3" hidden="1">
      <c r="B8" s="172" t="s">
        <v>2</v>
      </c>
      <c r="C8" s="173" t="s">
        <v>194</v>
      </c>
    </row>
    <row r="9" spans="2:3" hidden="1">
      <c r="B9" s="172" t="s">
        <v>6</v>
      </c>
      <c r="C9" s="173" t="s">
        <v>142</v>
      </c>
    </row>
    <row r="10" spans="2:3" hidden="1">
      <c r="B10" s="172" t="s">
        <v>143</v>
      </c>
      <c r="C10" s="173"/>
    </row>
    <row r="11" spans="2:3" hidden="1">
      <c r="B11" s="172" t="s">
        <v>64</v>
      </c>
      <c r="C11" s="173"/>
    </row>
    <row r="12" spans="2:3" hidden="1">
      <c r="B12" s="172" t="s">
        <v>144</v>
      </c>
      <c r="C12" s="173"/>
    </row>
    <row r="13" spans="2:3" hidden="1">
      <c r="B13" s="172" t="s">
        <v>145</v>
      </c>
      <c r="C13" s="173"/>
    </row>
    <row r="14" spans="2:3" hidden="1">
      <c r="B14" s="172" t="s">
        <v>146</v>
      </c>
      <c r="C14" s="173"/>
    </row>
    <row r="15" spans="2:3">
      <c r="B15" t="str">
        <f>"Kelas : "&amp;MENU!N20</f>
        <v>Kelas : V ( Lima )</v>
      </c>
    </row>
    <row r="16" spans="2:3" ht="15" customHeight="1"/>
    <row r="17" spans="1:4" ht="20.100000000000001" customHeight="1">
      <c r="A17" s="506" t="s">
        <v>55</v>
      </c>
      <c r="B17" s="507" t="s">
        <v>111</v>
      </c>
      <c r="C17" s="492" t="s">
        <v>311</v>
      </c>
    </row>
    <row r="18" spans="1:4" ht="20.100000000000001" customHeight="1">
      <c r="A18" s="495">
        <v>1</v>
      </c>
      <c r="B18" s="508" t="str">
        <f>SISWA!B6</f>
        <v>Afif Rafiudin</v>
      </c>
      <c r="C18" s="315" t="s">
        <v>844</v>
      </c>
      <c r="D18" s="27"/>
    </row>
    <row r="19" spans="1:4" ht="20.100000000000001" customHeight="1">
      <c r="A19" s="495">
        <v>2</v>
      </c>
      <c r="B19" s="508" t="str">
        <f>SISWA!B7</f>
        <v>Ahmad Faiq Athaya</v>
      </c>
      <c r="C19" s="315" t="s">
        <v>845</v>
      </c>
      <c r="D19" s="27"/>
    </row>
    <row r="20" spans="1:4" ht="20.100000000000001" customHeight="1">
      <c r="A20" s="495">
        <v>3</v>
      </c>
      <c r="B20" s="508" t="str">
        <f>SISWA!B8</f>
        <v>Amira Zerlinda</v>
      </c>
      <c r="C20" s="315" t="s">
        <v>844</v>
      </c>
      <c r="D20" s="27"/>
    </row>
    <row r="21" spans="1:4" ht="20.100000000000001" customHeight="1">
      <c r="A21" s="495">
        <v>4</v>
      </c>
      <c r="B21" s="508" t="str">
        <f>SISWA!B9</f>
        <v>Andrian Putra Pangestu</v>
      </c>
      <c r="C21" s="315" t="s">
        <v>844</v>
      </c>
      <c r="D21" s="27"/>
    </row>
    <row r="22" spans="1:4" ht="20.100000000000001" customHeight="1">
      <c r="A22" s="495">
        <v>5</v>
      </c>
      <c r="B22" s="508" t="str">
        <f>SISWA!B10</f>
        <v>Gresiya Suma Safitri</v>
      </c>
      <c r="C22" s="315" t="s">
        <v>844</v>
      </c>
      <c r="D22" s="27"/>
    </row>
    <row r="23" spans="1:4" ht="20.100000000000001" customHeight="1">
      <c r="A23" s="495">
        <v>6</v>
      </c>
      <c r="B23" s="508" t="str">
        <f>SISWA!B11</f>
        <v>Hasna Fathitya Sabrina</v>
      </c>
      <c r="C23" s="315" t="s">
        <v>844</v>
      </c>
      <c r="D23" s="27"/>
    </row>
    <row r="24" spans="1:4" ht="20.100000000000001" customHeight="1">
      <c r="A24" s="495">
        <v>7</v>
      </c>
      <c r="B24" s="508" t="str">
        <f>SISWA!B12</f>
        <v>Indah Fitria Ningrum</v>
      </c>
      <c r="C24" s="315" t="s">
        <v>844</v>
      </c>
      <c r="D24" s="27"/>
    </row>
    <row r="25" spans="1:4" ht="20.100000000000001" customHeight="1">
      <c r="A25" s="495">
        <v>8</v>
      </c>
      <c r="B25" s="508" t="str">
        <f>SISWA!B13</f>
        <v>Muhammad Ilham Sarifuddin</v>
      </c>
      <c r="C25" s="315" t="s">
        <v>844</v>
      </c>
      <c r="D25" s="27"/>
    </row>
    <row r="26" spans="1:4" ht="20.100000000000001" customHeight="1">
      <c r="A26" s="495">
        <v>9</v>
      </c>
      <c r="B26" s="508" t="str">
        <f>SISWA!B14</f>
        <v>Muhammad Raditya Ainul Yaqin</v>
      </c>
      <c r="C26" s="315" t="s">
        <v>844</v>
      </c>
      <c r="D26" s="27"/>
    </row>
    <row r="27" spans="1:4" ht="20.100000000000001" customHeight="1">
      <c r="A27" s="495">
        <v>10</v>
      </c>
      <c r="B27" s="508" t="str">
        <f>SISWA!B15</f>
        <v>Muhammad Shulhan Al-farisi</v>
      </c>
      <c r="C27" s="315" t="s">
        <v>844</v>
      </c>
      <c r="D27" s="27"/>
    </row>
    <row r="28" spans="1:4" ht="20.100000000000001" customHeight="1">
      <c r="A28" s="495">
        <v>11</v>
      </c>
      <c r="B28" s="508" t="str">
        <f>SISWA!B16</f>
        <v>Novaris Dwi Firmansyah</v>
      </c>
      <c r="C28" s="315" t="s">
        <v>844</v>
      </c>
      <c r="D28" s="27"/>
    </row>
    <row r="29" spans="1:4" ht="20.100000000000001" customHeight="1">
      <c r="A29" s="495">
        <v>12</v>
      </c>
      <c r="B29" s="508" t="str">
        <f>SISWA!B17</f>
        <v>Oktafiya Duwi Safitri</v>
      </c>
      <c r="C29" s="315" t="s">
        <v>844</v>
      </c>
      <c r="D29" s="27"/>
    </row>
    <row r="30" spans="1:4" ht="20.100000000000001" customHeight="1">
      <c r="A30" s="495">
        <v>13</v>
      </c>
      <c r="B30" s="508" t="str">
        <f>SISWA!B18</f>
        <v>Prastika Guntur Firmansyah</v>
      </c>
      <c r="C30" s="315" t="s">
        <v>844</v>
      </c>
      <c r="D30" s="27"/>
    </row>
    <row r="31" spans="1:4" ht="20.100000000000001" customHeight="1">
      <c r="A31" s="495">
        <v>14</v>
      </c>
      <c r="B31" s="508" t="str">
        <f>SISWA!B19</f>
        <v>Siti Musyafiani</v>
      </c>
      <c r="C31" s="315" t="s">
        <v>844</v>
      </c>
      <c r="D31" s="27"/>
    </row>
    <row r="32" spans="1:4" ht="20.100000000000001" customHeight="1">
      <c r="A32" s="495">
        <v>15</v>
      </c>
      <c r="B32" s="508" t="str">
        <f>SISWA!B20</f>
        <v>Tegar Arya Pangestu</v>
      </c>
      <c r="C32" s="315" t="s">
        <v>844</v>
      </c>
      <c r="D32" s="27"/>
    </row>
    <row r="33" spans="1:4" ht="20.100000000000001" customHeight="1">
      <c r="A33" s="495">
        <v>16</v>
      </c>
      <c r="B33" s="508">
        <f>SISWA!B21</f>
        <v>0</v>
      </c>
      <c r="C33" s="315"/>
      <c r="D33" s="27"/>
    </row>
    <row r="34" spans="1:4" ht="20.100000000000001" customHeight="1">
      <c r="A34" s="495">
        <v>17</v>
      </c>
      <c r="B34" s="508">
        <f>SISWA!B22</f>
        <v>0</v>
      </c>
      <c r="C34" s="315"/>
      <c r="D34" s="27"/>
    </row>
    <row r="35" spans="1:4" ht="20.100000000000001" customHeight="1">
      <c r="A35" s="495">
        <v>18</v>
      </c>
      <c r="B35" s="508">
        <f>SISWA!B23</f>
        <v>0</v>
      </c>
      <c r="C35" s="315"/>
      <c r="D35" s="27"/>
    </row>
    <row r="36" spans="1:4" ht="20.100000000000001" customHeight="1">
      <c r="A36" s="495">
        <v>19</v>
      </c>
      <c r="B36" s="508">
        <f>SISWA!B24</f>
        <v>0</v>
      </c>
      <c r="C36" s="315"/>
      <c r="D36" s="27"/>
    </row>
    <row r="37" spans="1:4" ht="20.100000000000001" customHeight="1">
      <c r="A37" s="495">
        <v>20</v>
      </c>
      <c r="B37" s="508">
        <f>SISWA!B25</f>
        <v>0</v>
      </c>
      <c r="C37" s="315"/>
      <c r="D37" s="27"/>
    </row>
    <row r="38" spans="1:4" ht="20.100000000000001" customHeight="1">
      <c r="A38" s="495">
        <v>21</v>
      </c>
      <c r="B38" s="508">
        <f>SISWA!B26</f>
        <v>0</v>
      </c>
      <c r="C38" s="315"/>
      <c r="D38" s="27"/>
    </row>
    <row r="39" spans="1:4" ht="20.100000000000001" customHeight="1">
      <c r="A39" s="495">
        <v>22</v>
      </c>
      <c r="B39" s="508">
        <f>SISWA!B27</f>
        <v>0</v>
      </c>
      <c r="C39" s="315"/>
      <c r="D39" s="27"/>
    </row>
    <row r="40" spans="1:4" ht="20.100000000000001" customHeight="1">
      <c r="A40" s="495">
        <v>23</v>
      </c>
      <c r="B40" s="508">
        <f>SISWA!B28</f>
        <v>0</v>
      </c>
      <c r="C40" s="315"/>
      <c r="D40" s="27"/>
    </row>
    <row r="41" spans="1:4" ht="20.100000000000001" customHeight="1">
      <c r="A41" s="495">
        <v>24</v>
      </c>
      <c r="B41" s="508">
        <f>SISWA!B29</f>
        <v>0</v>
      </c>
      <c r="C41" s="315"/>
      <c r="D41" s="27"/>
    </row>
    <row r="42" spans="1:4" ht="20.100000000000001" customHeight="1">
      <c r="A42" s="495">
        <v>25</v>
      </c>
      <c r="B42" s="508">
        <f>SISWA!B30</f>
        <v>0</v>
      </c>
      <c r="C42" s="315"/>
      <c r="D42" s="27"/>
    </row>
    <row r="43" spans="1:4" ht="20.100000000000001" customHeight="1">
      <c r="A43" s="495">
        <v>26</v>
      </c>
      <c r="B43" s="508">
        <f>SISWA!B31</f>
        <v>0</v>
      </c>
      <c r="C43" s="315"/>
      <c r="D43" s="27"/>
    </row>
    <row r="44" spans="1:4" ht="20.100000000000001" customHeight="1">
      <c r="A44" s="495">
        <v>27</v>
      </c>
      <c r="B44" s="508">
        <f>SISWA!B32</f>
        <v>0</v>
      </c>
      <c r="C44" s="315"/>
      <c r="D44" s="27"/>
    </row>
    <row r="45" spans="1:4" ht="20.100000000000001" customHeight="1">
      <c r="A45" s="495">
        <v>28</v>
      </c>
      <c r="B45" s="508">
        <f>SISWA!B33</f>
        <v>0</v>
      </c>
      <c r="C45" s="315"/>
      <c r="D45" s="27"/>
    </row>
    <row r="46" spans="1:4" ht="20.100000000000001" customHeight="1">
      <c r="A46" s="495">
        <v>29</v>
      </c>
      <c r="B46" s="508">
        <f>SISWA!B34</f>
        <v>0</v>
      </c>
      <c r="C46" s="315"/>
      <c r="D46" s="27"/>
    </row>
    <row r="47" spans="1:4" ht="20.100000000000001" customHeight="1">
      <c r="A47" s="495">
        <v>30</v>
      </c>
      <c r="B47" s="508">
        <f>SISWA!B35</f>
        <v>0</v>
      </c>
      <c r="C47" s="315"/>
      <c r="D47" s="27"/>
    </row>
    <row r="48" spans="1:4" ht="20.100000000000001" customHeight="1">
      <c r="A48" s="495">
        <v>31</v>
      </c>
      <c r="B48" s="508">
        <f>SISWA!B36</f>
        <v>0</v>
      </c>
      <c r="C48" s="315"/>
      <c r="D48" s="27"/>
    </row>
    <row r="49" spans="1:4" ht="20.100000000000001" customHeight="1">
      <c r="A49" s="495">
        <v>32</v>
      </c>
      <c r="B49" s="508">
        <f>SISWA!B37</f>
        <v>0</v>
      </c>
      <c r="C49" s="315"/>
      <c r="D49" s="27"/>
    </row>
    <row r="50" spans="1:4" ht="20.100000000000001" customHeight="1">
      <c r="A50" s="495">
        <v>33</v>
      </c>
      <c r="B50" s="508">
        <f>SISWA!B38</f>
        <v>0</v>
      </c>
      <c r="C50" s="315"/>
      <c r="D50" s="27"/>
    </row>
    <row r="51" spans="1:4" ht="20.100000000000001" customHeight="1">
      <c r="A51" s="495">
        <v>34</v>
      </c>
      <c r="B51" s="508">
        <f>SISWA!B39</f>
        <v>0</v>
      </c>
      <c r="C51" s="315"/>
      <c r="D51" s="27"/>
    </row>
    <row r="52" spans="1:4" ht="20.100000000000001" customHeight="1">
      <c r="A52" s="495">
        <v>35</v>
      </c>
      <c r="B52" s="508">
        <f>SISWA!B40</f>
        <v>0</v>
      </c>
      <c r="C52" s="315"/>
      <c r="D52" s="27"/>
    </row>
    <row r="53" spans="1:4" ht="15" customHeight="1"/>
    <row r="54" spans="1:4" ht="15" customHeight="1"/>
    <row r="55" spans="1:4" ht="15" customHeight="1"/>
    <row r="56" spans="1:4" ht="15" customHeight="1"/>
    <row r="57" spans="1:4" ht="15" customHeight="1"/>
    <row r="58" spans="1:4" ht="15" customHeight="1"/>
    <row r="59" spans="1:4" ht="15" customHeight="1"/>
    <row r="60" spans="1:4"/>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0070C0"/>
  </sheetPr>
  <dimension ref="A1:Y49"/>
  <sheetViews>
    <sheetView zoomScaleNormal="100" workbookViewId="0">
      <pane xSplit="2" ySplit="5" topLeftCell="M6" activePane="bottomRight" state="frozen"/>
      <selection pane="topRight" activeCell="C1" sqref="C1"/>
      <selection pane="bottomLeft" activeCell="A6" sqref="A6"/>
      <selection pane="bottomRight" activeCell="Q6" sqref="Q6"/>
    </sheetView>
  </sheetViews>
  <sheetFormatPr defaultColWidth="0" defaultRowHeight="15" zeroHeight="1"/>
  <cols>
    <col min="1" max="1" width="5.7109375" customWidth="1"/>
    <col min="2" max="2" width="32.7109375" customWidth="1"/>
    <col min="3" max="3" width="17" customWidth="1"/>
    <col min="4" max="4" width="10.7109375" customWidth="1"/>
    <col min="5" max="5" width="55.28515625" customWidth="1"/>
    <col min="6" max="6" width="16.5703125" customWidth="1"/>
    <col min="7" max="7" width="10.7109375" customWidth="1"/>
    <col min="8" max="8" width="52.42578125" customWidth="1"/>
    <col min="9" max="9" width="16.42578125" customWidth="1"/>
    <col min="10" max="10" width="10.7109375" customWidth="1"/>
    <col min="11" max="11" width="52.42578125" customWidth="1"/>
    <col min="12" max="12" width="16.42578125" customWidth="1"/>
    <col min="13" max="13" width="10.7109375" customWidth="1"/>
    <col min="14" max="14" width="52.42578125" customWidth="1"/>
    <col min="15" max="15" width="16.42578125" customWidth="1"/>
    <col min="16" max="16" width="10.7109375" customWidth="1"/>
    <col min="17" max="17" width="52.42578125" customWidth="1"/>
    <col min="18" max="18" width="16.42578125" customWidth="1"/>
    <col min="19" max="19" width="10.7109375" customWidth="1"/>
    <col min="20" max="20" width="52.42578125" customWidth="1"/>
    <col min="21" max="21" width="16.42578125" customWidth="1"/>
    <col min="22" max="22" width="10.7109375" customWidth="1"/>
    <col min="23" max="23" width="52.42578125" customWidth="1"/>
    <col min="24" max="25" width="9.140625" customWidth="1"/>
    <col min="26" max="16384" width="9.140625" hidden="1"/>
  </cols>
  <sheetData>
    <row r="1" spans="1:25" ht="18.75">
      <c r="A1" s="199"/>
      <c r="B1" s="199"/>
      <c r="C1" s="199"/>
      <c r="D1" s="199"/>
      <c r="E1" s="200" t="s">
        <v>147</v>
      </c>
      <c r="F1" s="201"/>
      <c r="G1" s="201"/>
      <c r="H1" s="201"/>
      <c r="I1" s="201"/>
      <c r="J1" s="201"/>
      <c r="K1" s="201"/>
      <c r="L1" s="201"/>
      <c r="M1" s="201"/>
      <c r="N1" s="201"/>
      <c r="O1" s="201"/>
      <c r="P1" s="201"/>
      <c r="Q1" s="201"/>
      <c r="R1" s="201"/>
      <c r="S1" s="201"/>
      <c r="T1" s="201"/>
      <c r="U1" s="201"/>
      <c r="V1" s="201"/>
      <c r="W1" s="201"/>
    </row>
    <row r="2" spans="1:25">
      <c r="A2" s="199"/>
      <c r="B2" s="199"/>
      <c r="C2" s="199"/>
      <c r="D2" s="199"/>
      <c r="E2" s="201"/>
      <c r="F2" s="201"/>
      <c r="G2" s="201"/>
      <c r="H2" s="201"/>
      <c r="I2" s="201"/>
      <c r="J2" s="201"/>
      <c r="K2" s="201"/>
      <c r="L2" s="201"/>
      <c r="M2" s="201"/>
      <c r="N2" s="201"/>
      <c r="O2" s="201"/>
      <c r="P2" s="201"/>
      <c r="Q2" s="201"/>
      <c r="R2" s="201"/>
      <c r="S2" s="201"/>
      <c r="T2" s="201"/>
      <c r="U2" s="201"/>
      <c r="V2" s="201"/>
      <c r="W2" s="201"/>
    </row>
    <row r="3" spans="1:25">
      <c r="A3" s="199">
        <v>1</v>
      </c>
      <c r="B3" s="199">
        <v>2</v>
      </c>
      <c r="C3" s="199">
        <v>3</v>
      </c>
      <c r="D3" s="199">
        <v>4</v>
      </c>
      <c r="E3" s="199">
        <v>5</v>
      </c>
      <c r="F3" s="199">
        <v>6</v>
      </c>
      <c r="G3" s="199">
        <v>7</v>
      </c>
      <c r="H3" s="199">
        <v>8</v>
      </c>
      <c r="I3" s="199">
        <v>9</v>
      </c>
      <c r="J3" s="199">
        <v>10</v>
      </c>
      <c r="K3" s="199">
        <v>11</v>
      </c>
      <c r="L3" s="199">
        <v>12</v>
      </c>
      <c r="M3" s="199">
        <v>13</v>
      </c>
      <c r="N3" s="199">
        <v>14</v>
      </c>
      <c r="O3" s="199">
        <v>15</v>
      </c>
      <c r="P3" s="199">
        <v>16</v>
      </c>
      <c r="Q3" s="199">
        <v>17</v>
      </c>
      <c r="R3" s="199">
        <v>18</v>
      </c>
      <c r="S3" s="199">
        <v>19</v>
      </c>
      <c r="T3" s="199">
        <v>20</v>
      </c>
      <c r="U3" s="199">
        <v>21</v>
      </c>
      <c r="V3" s="199">
        <v>22</v>
      </c>
      <c r="W3" s="199">
        <v>23</v>
      </c>
    </row>
    <row r="4" spans="1:25" ht="18.75">
      <c r="A4" s="1152" t="s">
        <v>55</v>
      </c>
      <c r="B4" s="1154" t="s">
        <v>10</v>
      </c>
      <c r="C4" s="1149" t="s">
        <v>148</v>
      </c>
      <c r="D4" s="1150"/>
      <c r="E4" s="1151"/>
      <c r="F4" s="1146" t="s">
        <v>149</v>
      </c>
      <c r="G4" s="1147"/>
      <c r="H4" s="1148"/>
      <c r="I4" s="1149" t="s">
        <v>150</v>
      </c>
      <c r="J4" s="1150"/>
      <c r="K4" s="1151"/>
      <c r="L4" s="1146" t="s">
        <v>151</v>
      </c>
      <c r="M4" s="1147"/>
      <c r="N4" s="1148"/>
      <c r="O4" s="1143" t="s">
        <v>514</v>
      </c>
      <c r="P4" s="1144"/>
      <c r="Q4" s="1145"/>
      <c r="R4" s="1146" t="s">
        <v>515</v>
      </c>
      <c r="S4" s="1147"/>
      <c r="T4" s="1148"/>
      <c r="U4" s="1149" t="s">
        <v>516</v>
      </c>
      <c r="V4" s="1150"/>
      <c r="W4" s="1151"/>
    </row>
    <row r="5" spans="1:25" ht="19.5" customHeight="1">
      <c r="A5" s="1153"/>
      <c r="B5" s="1155"/>
      <c r="C5" s="202" t="s">
        <v>152</v>
      </c>
      <c r="D5" s="202" t="s">
        <v>62</v>
      </c>
      <c r="E5" s="203" t="s">
        <v>125</v>
      </c>
      <c r="F5" s="204" t="s">
        <v>153</v>
      </c>
      <c r="G5" s="202" t="s">
        <v>62</v>
      </c>
      <c r="H5" s="205" t="s">
        <v>125</v>
      </c>
      <c r="I5" s="744" t="s">
        <v>154</v>
      </c>
      <c r="J5" s="744" t="s">
        <v>62</v>
      </c>
      <c r="K5" s="745" t="s">
        <v>125</v>
      </c>
      <c r="L5" s="204" t="s">
        <v>189</v>
      </c>
      <c r="M5" s="202" t="s">
        <v>62</v>
      </c>
      <c r="N5" s="205" t="s">
        <v>125</v>
      </c>
      <c r="O5" s="746" t="s">
        <v>519</v>
      </c>
      <c r="P5" s="746" t="s">
        <v>62</v>
      </c>
      <c r="Q5" s="747" t="s">
        <v>125</v>
      </c>
      <c r="R5" s="708" t="s">
        <v>518</v>
      </c>
      <c r="S5" s="202" t="s">
        <v>62</v>
      </c>
      <c r="T5" s="205" t="s">
        <v>125</v>
      </c>
      <c r="U5" s="744" t="s">
        <v>517</v>
      </c>
      <c r="V5" s="744" t="s">
        <v>62</v>
      </c>
      <c r="W5" s="745" t="s">
        <v>125</v>
      </c>
    </row>
    <row r="6" spans="1:25" ht="47.25">
      <c r="A6" s="206">
        <v>1</v>
      </c>
      <c r="B6" s="206" t="str">
        <f>SISWA!B6</f>
        <v>Afif Rafiudin</v>
      </c>
      <c r="C6" s="270" t="s">
        <v>912</v>
      </c>
      <c r="D6" s="270" t="s">
        <v>2</v>
      </c>
      <c r="E6" s="271" t="s">
        <v>820</v>
      </c>
      <c r="F6" s="272" t="s">
        <v>913</v>
      </c>
      <c r="G6" s="272" t="s">
        <v>2</v>
      </c>
      <c r="H6" s="273" t="s">
        <v>778</v>
      </c>
      <c r="I6" s="274" t="s">
        <v>766</v>
      </c>
      <c r="J6" s="274" t="s">
        <v>2</v>
      </c>
      <c r="K6" s="274" t="s">
        <v>835</v>
      </c>
      <c r="L6" s="275" t="s">
        <v>768</v>
      </c>
      <c r="M6" s="275" t="s">
        <v>1</v>
      </c>
      <c r="N6" s="276" t="s">
        <v>876</v>
      </c>
      <c r="O6" s="748" t="s">
        <v>769</v>
      </c>
      <c r="P6" s="748" t="s">
        <v>2</v>
      </c>
      <c r="Q6" s="748" t="s">
        <v>891</v>
      </c>
      <c r="R6" s="276" t="s">
        <v>770</v>
      </c>
      <c r="S6" s="276" t="s">
        <v>2</v>
      </c>
      <c r="T6" s="276" t="s">
        <v>775</v>
      </c>
      <c r="U6" s="748" t="s">
        <v>771</v>
      </c>
      <c r="V6" s="748" t="s">
        <v>2</v>
      </c>
      <c r="W6" s="748" t="s">
        <v>805</v>
      </c>
      <c r="X6" s="27"/>
      <c r="Y6" s="27"/>
    </row>
    <row r="7" spans="1:25" ht="47.25">
      <c r="A7" s="206">
        <v>2</v>
      </c>
      <c r="B7" s="206" t="str">
        <f>SISWA!B7</f>
        <v>Ahmad Faiq Athaya</v>
      </c>
      <c r="C7" s="270" t="s">
        <v>912</v>
      </c>
      <c r="D7" s="270" t="s">
        <v>1</v>
      </c>
      <c r="E7" s="271" t="s">
        <v>821</v>
      </c>
      <c r="F7" s="272" t="s">
        <v>913</v>
      </c>
      <c r="G7" s="272" t="s">
        <v>1</v>
      </c>
      <c r="H7" s="277" t="s">
        <v>779</v>
      </c>
      <c r="I7" s="274" t="s">
        <v>766</v>
      </c>
      <c r="J7" s="274" t="s">
        <v>1</v>
      </c>
      <c r="K7" s="274" t="s">
        <v>836</v>
      </c>
      <c r="L7" s="279" t="s">
        <v>768</v>
      </c>
      <c r="M7" s="279" t="s">
        <v>1</v>
      </c>
      <c r="N7" s="276" t="s">
        <v>877</v>
      </c>
      <c r="O7" s="749" t="s">
        <v>769</v>
      </c>
      <c r="P7" s="748" t="s">
        <v>2</v>
      </c>
      <c r="Q7" s="748" t="s">
        <v>914</v>
      </c>
      <c r="R7" s="279" t="s">
        <v>770</v>
      </c>
      <c r="S7" s="279" t="s">
        <v>1</v>
      </c>
      <c r="T7" s="276" t="s">
        <v>776</v>
      </c>
      <c r="U7" s="749" t="s">
        <v>771</v>
      </c>
      <c r="V7" s="749" t="s">
        <v>1</v>
      </c>
      <c r="W7" s="748" t="s">
        <v>806</v>
      </c>
      <c r="X7" s="27"/>
      <c r="Y7" s="27"/>
    </row>
    <row r="8" spans="1:25" ht="47.25">
      <c r="A8" s="206">
        <v>3</v>
      </c>
      <c r="B8" s="206" t="str">
        <f>SISWA!B8</f>
        <v>Amira Zerlinda</v>
      </c>
      <c r="C8" s="270" t="s">
        <v>912</v>
      </c>
      <c r="D8" s="270" t="s">
        <v>2</v>
      </c>
      <c r="E8" s="271" t="s">
        <v>822</v>
      </c>
      <c r="F8" s="272" t="s">
        <v>913</v>
      </c>
      <c r="G8" s="272" t="s">
        <v>2</v>
      </c>
      <c r="H8" s="273" t="s">
        <v>780</v>
      </c>
      <c r="I8" s="274" t="s">
        <v>767</v>
      </c>
      <c r="J8" s="274" t="s">
        <v>1</v>
      </c>
      <c r="K8" s="278" t="s">
        <v>905</v>
      </c>
      <c r="L8" s="279" t="s">
        <v>768</v>
      </c>
      <c r="M8" s="279" t="s">
        <v>2</v>
      </c>
      <c r="N8" s="276" t="s">
        <v>878</v>
      </c>
      <c r="O8" s="749" t="s">
        <v>769</v>
      </c>
      <c r="P8" s="748" t="s">
        <v>2</v>
      </c>
      <c r="Q8" s="748" t="s">
        <v>892</v>
      </c>
      <c r="R8" s="279" t="s">
        <v>770</v>
      </c>
      <c r="S8" s="279" t="s">
        <v>2</v>
      </c>
      <c r="T8" s="276" t="s">
        <v>777</v>
      </c>
      <c r="U8" s="749" t="s">
        <v>771</v>
      </c>
      <c r="V8" s="749" t="s">
        <v>1</v>
      </c>
      <c r="W8" s="748" t="s">
        <v>807</v>
      </c>
      <c r="X8" s="27"/>
      <c r="Y8" s="27"/>
    </row>
    <row r="9" spans="1:25" ht="47.25">
      <c r="A9" s="206">
        <v>4</v>
      </c>
      <c r="B9" s="206" t="str">
        <f>SISWA!B9</f>
        <v>Andrian Putra Pangestu</v>
      </c>
      <c r="C9" s="270" t="s">
        <v>912</v>
      </c>
      <c r="D9" s="270" t="s">
        <v>2</v>
      </c>
      <c r="E9" s="271" t="s">
        <v>823</v>
      </c>
      <c r="F9" s="272" t="s">
        <v>913</v>
      </c>
      <c r="G9" s="272" t="s">
        <v>2</v>
      </c>
      <c r="H9" s="273" t="s">
        <v>781</v>
      </c>
      <c r="I9" s="274" t="s">
        <v>766</v>
      </c>
      <c r="J9" s="274" t="s">
        <v>2</v>
      </c>
      <c r="K9" s="274" t="s">
        <v>837</v>
      </c>
      <c r="L9" s="279" t="s">
        <v>768</v>
      </c>
      <c r="M9" s="279" t="s">
        <v>2</v>
      </c>
      <c r="N9" s="276" t="s">
        <v>879</v>
      </c>
      <c r="O9" s="749" t="s">
        <v>769</v>
      </c>
      <c r="P9" s="748" t="s">
        <v>2</v>
      </c>
      <c r="Q9" s="748" t="s">
        <v>893</v>
      </c>
      <c r="R9" s="279" t="s">
        <v>770</v>
      </c>
      <c r="S9" s="279" t="s">
        <v>2</v>
      </c>
      <c r="T9" s="276" t="s">
        <v>793</v>
      </c>
      <c r="U9" s="749" t="s">
        <v>771</v>
      </c>
      <c r="V9" s="749" t="s">
        <v>2</v>
      </c>
      <c r="W9" s="748" t="s">
        <v>808</v>
      </c>
      <c r="X9" s="27"/>
      <c r="Y9" s="27"/>
    </row>
    <row r="10" spans="1:25" ht="47.25">
      <c r="A10" s="206">
        <v>5</v>
      </c>
      <c r="B10" s="206" t="str">
        <f>SISWA!B10</f>
        <v>Gresiya Suma Safitri</v>
      </c>
      <c r="C10" s="270" t="s">
        <v>912</v>
      </c>
      <c r="D10" s="270" t="s">
        <v>2</v>
      </c>
      <c r="E10" s="271" t="s">
        <v>824</v>
      </c>
      <c r="F10" s="272" t="s">
        <v>913</v>
      </c>
      <c r="G10" s="272" t="s">
        <v>2</v>
      </c>
      <c r="H10" s="273" t="s">
        <v>782</v>
      </c>
      <c r="I10" s="274" t="s">
        <v>767</v>
      </c>
      <c r="J10" s="274" t="s">
        <v>2</v>
      </c>
      <c r="K10" s="278" t="s">
        <v>906</v>
      </c>
      <c r="L10" s="279" t="s">
        <v>768</v>
      </c>
      <c r="M10" s="279" t="s">
        <v>2</v>
      </c>
      <c r="N10" s="276" t="s">
        <v>880</v>
      </c>
      <c r="O10" s="749" t="s">
        <v>769</v>
      </c>
      <c r="P10" s="748" t="s">
        <v>2</v>
      </c>
      <c r="Q10" s="748" t="s">
        <v>894</v>
      </c>
      <c r="R10" s="279" t="s">
        <v>770</v>
      </c>
      <c r="S10" s="279" t="s">
        <v>2</v>
      </c>
      <c r="T10" s="276" t="s">
        <v>794</v>
      </c>
      <c r="U10" s="749" t="s">
        <v>771</v>
      </c>
      <c r="V10" s="749" t="s">
        <v>1</v>
      </c>
      <c r="W10" s="748" t="s">
        <v>809</v>
      </c>
      <c r="X10" s="27"/>
      <c r="Y10" s="27"/>
    </row>
    <row r="11" spans="1:25" ht="47.25">
      <c r="A11" s="206">
        <v>6</v>
      </c>
      <c r="B11" s="206" t="str">
        <f>SISWA!B11</f>
        <v>Hasna Fathitya Sabrina</v>
      </c>
      <c r="C11" s="270" t="s">
        <v>912</v>
      </c>
      <c r="D11" s="270" t="s">
        <v>2</v>
      </c>
      <c r="E11" s="271" t="s">
        <v>825</v>
      </c>
      <c r="F11" s="272" t="s">
        <v>913</v>
      </c>
      <c r="G11" s="272" t="s">
        <v>2</v>
      </c>
      <c r="H11" s="273" t="s">
        <v>783</v>
      </c>
      <c r="I11" s="278" t="s">
        <v>767</v>
      </c>
      <c r="J11" s="278" t="s">
        <v>2</v>
      </c>
      <c r="K11" s="278" t="s">
        <v>907</v>
      </c>
      <c r="L11" s="279" t="s">
        <v>768</v>
      </c>
      <c r="M11" s="279" t="s">
        <v>2</v>
      </c>
      <c r="N11" s="276" t="s">
        <v>881</v>
      </c>
      <c r="O11" s="749" t="s">
        <v>769</v>
      </c>
      <c r="P11" s="748" t="s">
        <v>2</v>
      </c>
      <c r="Q11" s="748" t="s">
        <v>895</v>
      </c>
      <c r="R11" s="279" t="s">
        <v>770</v>
      </c>
      <c r="S11" s="279" t="s">
        <v>2</v>
      </c>
      <c r="T11" s="276" t="s">
        <v>795</v>
      </c>
      <c r="U11" s="749" t="s">
        <v>771</v>
      </c>
      <c r="V11" s="749" t="s">
        <v>1</v>
      </c>
      <c r="W11" s="748" t="s">
        <v>810</v>
      </c>
      <c r="X11" s="27"/>
      <c r="Y11" s="27"/>
    </row>
    <row r="12" spans="1:25" ht="47.25">
      <c r="A12" s="206">
        <v>7</v>
      </c>
      <c r="B12" s="206" t="str">
        <f>SISWA!B12</f>
        <v>Indah Fitria Ningrum</v>
      </c>
      <c r="C12" s="270" t="s">
        <v>912</v>
      </c>
      <c r="D12" s="270" t="s">
        <v>1</v>
      </c>
      <c r="E12" s="271" t="s">
        <v>826</v>
      </c>
      <c r="F12" s="272" t="s">
        <v>913</v>
      </c>
      <c r="G12" s="272" t="s">
        <v>2</v>
      </c>
      <c r="H12" s="273" t="s">
        <v>784</v>
      </c>
      <c r="I12" s="278" t="s">
        <v>767</v>
      </c>
      <c r="J12" s="278" t="s">
        <v>2</v>
      </c>
      <c r="K12" s="278" t="s">
        <v>908</v>
      </c>
      <c r="L12" s="279" t="s">
        <v>768</v>
      </c>
      <c r="M12" s="279" t="s">
        <v>2</v>
      </c>
      <c r="N12" s="276" t="s">
        <v>882</v>
      </c>
      <c r="O12" s="749" t="s">
        <v>769</v>
      </c>
      <c r="P12" s="748" t="s">
        <v>2</v>
      </c>
      <c r="Q12" s="748" t="s">
        <v>896</v>
      </c>
      <c r="R12" s="279" t="s">
        <v>770</v>
      </c>
      <c r="S12" s="279" t="s">
        <v>1</v>
      </c>
      <c r="T12" s="276" t="s">
        <v>796</v>
      </c>
      <c r="U12" s="749" t="s">
        <v>771</v>
      </c>
      <c r="V12" s="749" t="s">
        <v>1</v>
      </c>
      <c r="W12" s="748" t="s">
        <v>811</v>
      </c>
      <c r="X12" s="27"/>
      <c r="Y12" s="27"/>
    </row>
    <row r="13" spans="1:25" ht="47.25">
      <c r="A13" s="206">
        <v>8</v>
      </c>
      <c r="B13" s="206" t="str">
        <f>SISWA!B13</f>
        <v>Muhammad Ilham Sarifuddin</v>
      </c>
      <c r="C13" s="270" t="s">
        <v>912</v>
      </c>
      <c r="D13" s="270" t="s">
        <v>2</v>
      </c>
      <c r="E13" s="271" t="s">
        <v>827</v>
      </c>
      <c r="F13" s="272" t="s">
        <v>913</v>
      </c>
      <c r="G13" s="277" t="s">
        <v>2</v>
      </c>
      <c r="H13" s="273" t="s">
        <v>785</v>
      </c>
      <c r="I13" s="278" t="s">
        <v>766</v>
      </c>
      <c r="J13" s="278" t="s">
        <v>2</v>
      </c>
      <c r="K13" s="274" t="s">
        <v>838</v>
      </c>
      <c r="L13" s="279" t="s">
        <v>768</v>
      </c>
      <c r="M13" s="279" t="s">
        <v>2</v>
      </c>
      <c r="N13" s="276" t="s">
        <v>883</v>
      </c>
      <c r="O13" s="749" t="s">
        <v>769</v>
      </c>
      <c r="P13" s="748" t="s">
        <v>2</v>
      </c>
      <c r="Q13" s="748" t="s">
        <v>897</v>
      </c>
      <c r="R13" s="279" t="s">
        <v>770</v>
      </c>
      <c r="S13" s="279" t="s">
        <v>2</v>
      </c>
      <c r="T13" s="276" t="s">
        <v>797</v>
      </c>
      <c r="U13" s="749" t="s">
        <v>771</v>
      </c>
      <c r="V13" s="749" t="s">
        <v>2</v>
      </c>
      <c r="W13" s="748" t="s">
        <v>812</v>
      </c>
      <c r="X13" s="27"/>
      <c r="Y13" s="27"/>
    </row>
    <row r="14" spans="1:25" ht="47.25">
      <c r="A14" s="206">
        <v>9</v>
      </c>
      <c r="B14" s="206" t="str">
        <f>SISWA!B14</f>
        <v>Muhammad Raditya Ainul Yaqin</v>
      </c>
      <c r="C14" s="270" t="s">
        <v>912</v>
      </c>
      <c r="D14" s="270" t="s">
        <v>2</v>
      </c>
      <c r="E14" s="271" t="s">
        <v>828</v>
      </c>
      <c r="F14" s="272" t="s">
        <v>913</v>
      </c>
      <c r="G14" s="277" t="s">
        <v>2</v>
      </c>
      <c r="H14" s="273" t="s">
        <v>786</v>
      </c>
      <c r="I14" s="278" t="s">
        <v>766</v>
      </c>
      <c r="J14" s="278" t="s">
        <v>2</v>
      </c>
      <c r="K14" s="274" t="s">
        <v>839</v>
      </c>
      <c r="L14" s="279" t="s">
        <v>768</v>
      </c>
      <c r="M14" s="279" t="s">
        <v>2</v>
      </c>
      <c r="N14" s="276" t="s">
        <v>884</v>
      </c>
      <c r="O14" s="749" t="s">
        <v>769</v>
      </c>
      <c r="P14" s="748" t="s">
        <v>2</v>
      </c>
      <c r="Q14" s="748" t="s">
        <v>898</v>
      </c>
      <c r="R14" s="279" t="s">
        <v>770</v>
      </c>
      <c r="S14" s="279" t="s">
        <v>2</v>
      </c>
      <c r="T14" s="276" t="s">
        <v>798</v>
      </c>
      <c r="U14" s="749" t="s">
        <v>771</v>
      </c>
      <c r="V14" s="749" t="s">
        <v>64</v>
      </c>
      <c r="W14" s="748" t="s">
        <v>813</v>
      </c>
      <c r="X14" s="27"/>
      <c r="Y14" s="27"/>
    </row>
    <row r="15" spans="1:25" ht="47.25">
      <c r="A15" s="206">
        <v>10</v>
      </c>
      <c r="B15" s="206" t="str">
        <f>SISWA!B15</f>
        <v>Muhammad Shulhan Al-farisi</v>
      </c>
      <c r="C15" s="270" t="s">
        <v>912</v>
      </c>
      <c r="D15" s="270" t="s">
        <v>1</v>
      </c>
      <c r="E15" s="271" t="s">
        <v>829</v>
      </c>
      <c r="F15" s="272" t="s">
        <v>913</v>
      </c>
      <c r="G15" s="277" t="s">
        <v>2</v>
      </c>
      <c r="H15" s="273" t="s">
        <v>787</v>
      </c>
      <c r="I15" s="278" t="s">
        <v>766</v>
      </c>
      <c r="J15" s="278" t="s">
        <v>2</v>
      </c>
      <c r="K15" s="274" t="s">
        <v>840</v>
      </c>
      <c r="L15" s="279" t="s">
        <v>768</v>
      </c>
      <c r="M15" s="279" t="s">
        <v>1</v>
      </c>
      <c r="N15" s="276" t="s">
        <v>885</v>
      </c>
      <c r="O15" s="749" t="s">
        <v>769</v>
      </c>
      <c r="P15" s="748" t="s">
        <v>2</v>
      </c>
      <c r="Q15" s="748" t="s">
        <v>899</v>
      </c>
      <c r="R15" s="279" t="s">
        <v>770</v>
      </c>
      <c r="S15" s="279" t="s">
        <v>1</v>
      </c>
      <c r="T15" s="276" t="s">
        <v>799</v>
      </c>
      <c r="U15" s="749" t="s">
        <v>771</v>
      </c>
      <c r="V15" s="749" t="s">
        <v>1</v>
      </c>
      <c r="W15" s="748" t="s">
        <v>814</v>
      </c>
      <c r="X15" s="27"/>
      <c r="Y15" s="27"/>
    </row>
    <row r="16" spans="1:25" ht="47.25">
      <c r="A16" s="206">
        <v>11</v>
      </c>
      <c r="B16" s="206" t="str">
        <f>SISWA!B16</f>
        <v>Novaris Dwi Firmansyah</v>
      </c>
      <c r="C16" s="270" t="s">
        <v>912</v>
      </c>
      <c r="D16" s="270" t="s">
        <v>2</v>
      </c>
      <c r="E16" s="271" t="s">
        <v>830</v>
      </c>
      <c r="F16" s="272" t="s">
        <v>913</v>
      </c>
      <c r="G16" s="277" t="s">
        <v>2</v>
      </c>
      <c r="H16" s="273" t="s">
        <v>788</v>
      </c>
      <c r="I16" s="278" t="s">
        <v>766</v>
      </c>
      <c r="J16" s="278" t="s">
        <v>2</v>
      </c>
      <c r="K16" s="274" t="s">
        <v>841</v>
      </c>
      <c r="L16" s="279" t="s">
        <v>768</v>
      </c>
      <c r="M16" s="279" t="s">
        <v>1</v>
      </c>
      <c r="N16" s="276" t="s">
        <v>886</v>
      </c>
      <c r="O16" s="749" t="s">
        <v>769</v>
      </c>
      <c r="P16" s="748" t="s">
        <v>2</v>
      </c>
      <c r="Q16" s="748" t="s">
        <v>900</v>
      </c>
      <c r="R16" s="279" t="s">
        <v>770</v>
      </c>
      <c r="S16" s="279" t="s">
        <v>2</v>
      </c>
      <c r="T16" s="276" t="s">
        <v>800</v>
      </c>
      <c r="U16" s="749" t="s">
        <v>771</v>
      </c>
      <c r="V16" s="749" t="s">
        <v>2</v>
      </c>
      <c r="W16" s="748" t="s">
        <v>815</v>
      </c>
      <c r="X16" s="27"/>
      <c r="Y16" s="27"/>
    </row>
    <row r="17" spans="1:25" ht="47.25">
      <c r="A17" s="206">
        <v>12</v>
      </c>
      <c r="B17" s="206" t="str">
        <f>SISWA!B17</f>
        <v>Oktafiya Duwi Safitri</v>
      </c>
      <c r="C17" s="270" t="s">
        <v>912</v>
      </c>
      <c r="D17" s="270" t="s">
        <v>2</v>
      </c>
      <c r="E17" s="271" t="s">
        <v>831</v>
      </c>
      <c r="F17" s="272" t="s">
        <v>913</v>
      </c>
      <c r="G17" s="277" t="s">
        <v>2</v>
      </c>
      <c r="H17" s="273" t="s">
        <v>789</v>
      </c>
      <c r="I17" s="278" t="s">
        <v>767</v>
      </c>
      <c r="J17" s="278" t="s">
        <v>64</v>
      </c>
      <c r="K17" s="278" t="s">
        <v>909</v>
      </c>
      <c r="L17" s="279" t="s">
        <v>768</v>
      </c>
      <c r="M17" s="279" t="s">
        <v>2</v>
      </c>
      <c r="N17" s="276" t="s">
        <v>887</v>
      </c>
      <c r="O17" s="749" t="s">
        <v>769</v>
      </c>
      <c r="P17" s="748" t="s">
        <v>2</v>
      </c>
      <c r="Q17" s="748" t="s">
        <v>901</v>
      </c>
      <c r="R17" s="279" t="s">
        <v>770</v>
      </c>
      <c r="S17" s="279" t="s">
        <v>2</v>
      </c>
      <c r="T17" s="276" t="s">
        <v>801</v>
      </c>
      <c r="U17" s="749" t="s">
        <v>771</v>
      </c>
      <c r="V17" s="749" t="s">
        <v>64</v>
      </c>
      <c r="W17" s="748" t="s">
        <v>816</v>
      </c>
      <c r="X17" s="27"/>
      <c r="Y17" s="27"/>
    </row>
    <row r="18" spans="1:25" ht="47.25">
      <c r="A18" s="206">
        <v>13</v>
      </c>
      <c r="B18" s="206" t="str">
        <f>SISWA!B18</f>
        <v>Prastika Guntur Firmansyah</v>
      </c>
      <c r="C18" s="270" t="s">
        <v>912</v>
      </c>
      <c r="D18" s="270" t="s">
        <v>1</v>
      </c>
      <c r="E18" s="271" t="s">
        <v>832</v>
      </c>
      <c r="F18" s="272" t="s">
        <v>913</v>
      </c>
      <c r="G18" s="277" t="s">
        <v>2</v>
      </c>
      <c r="H18" s="273" t="s">
        <v>790</v>
      </c>
      <c r="I18" s="278" t="s">
        <v>766</v>
      </c>
      <c r="J18" s="278" t="s">
        <v>2</v>
      </c>
      <c r="K18" s="274" t="s">
        <v>842</v>
      </c>
      <c r="L18" s="279" t="s">
        <v>768</v>
      </c>
      <c r="M18" s="279" t="s">
        <v>2</v>
      </c>
      <c r="N18" s="276" t="s">
        <v>888</v>
      </c>
      <c r="O18" s="749" t="s">
        <v>769</v>
      </c>
      <c r="P18" s="748" t="s">
        <v>2</v>
      </c>
      <c r="Q18" s="748" t="s">
        <v>902</v>
      </c>
      <c r="R18" s="279" t="s">
        <v>770</v>
      </c>
      <c r="S18" s="279" t="s">
        <v>1</v>
      </c>
      <c r="T18" s="276" t="s">
        <v>802</v>
      </c>
      <c r="U18" s="749" t="s">
        <v>771</v>
      </c>
      <c r="V18" s="749" t="s">
        <v>1</v>
      </c>
      <c r="W18" s="748" t="s">
        <v>817</v>
      </c>
      <c r="X18" s="27"/>
      <c r="Y18" s="27"/>
    </row>
    <row r="19" spans="1:25" ht="47.25">
      <c r="A19" s="206">
        <v>14</v>
      </c>
      <c r="B19" s="206" t="str">
        <f>SISWA!B19</f>
        <v>Siti Musyafiani</v>
      </c>
      <c r="C19" s="270" t="s">
        <v>912</v>
      </c>
      <c r="D19" s="270" t="s">
        <v>2</v>
      </c>
      <c r="E19" s="271" t="s">
        <v>833</v>
      </c>
      <c r="F19" s="272" t="s">
        <v>913</v>
      </c>
      <c r="G19" s="277" t="s">
        <v>2</v>
      </c>
      <c r="H19" s="273" t="s">
        <v>791</v>
      </c>
      <c r="I19" s="278" t="s">
        <v>767</v>
      </c>
      <c r="J19" s="278" t="s">
        <v>2</v>
      </c>
      <c r="K19" s="278" t="s">
        <v>910</v>
      </c>
      <c r="L19" s="279" t="s">
        <v>768</v>
      </c>
      <c r="M19" s="279" t="s">
        <v>2</v>
      </c>
      <c r="N19" s="276" t="s">
        <v>889</v>
      </c>
      <c r="O19" s="749" t="s">
        <v>769</v>
      </c>
      <c r="P19" s="748" t="s">
        <v>2</v>
      </c>
      <c r="Q19" s="748" t="s">
        <v>903</v>
      </c>
      <c r="R19" s="279" t="s">
        <v>770</v>
      </c>
      <c r="S19" s="279" t="s">
        <v>2</v>
      </c>
      <c r="T19" s="276" t="s">
        <v>803</v>
      </c>
      <c r="U19" s="749" t="s">
        <v>771</v>
      </c>
      <c r="V19" s="749" t="s">
        <v>1</v>
      </c>
      <c r="W19" s="748" t="s">
        <v>818</v>
      </c>
      <c r="X19" s="27"/>
      <c r="Y19" s="27"/>
    </row>
    <row r="20" spans="1:25" ht="47.25">
      <c r="A20" s="206">
        <v>15</v>
      </c>
      <c r="B20" s="206" t="str">
        <f>SISWA!B20</f>
        <v>Tegar Arya Pangestu</v>
      </c>
      <c r="C20" s="270" t="s">
        <v>912</v>
      </c>
      <c r="D20" s="270" t="s">
        <v>2</v>
      </c>
      <c r="E20" s="271" t="s">
        <v>834</v>
      </c>
      <c r="F20" s="272" t="s">
        <v>913</v>
      </c>
      <c r="G20" s="277" t="s">
        <v>2</v>
      </c>
      <c r="H20" s="273" t="s">
        <v>792</v>
      </c>
      <c r="I20" s="278" t="s">
        <v>766</v>
      </c>
      <c r="J20" s="278" t="s">
        <v>1</v>
      </c>
      <c r="K20" s="274" t="s">
        <v>843</v>
      </c>
      <c r="L20" s="279" t="s">
        <v>768</v>
      </c>
      <c r="M20" s="279" t="s">
        <v>2</v>
      </c>
      <c r="N20" s="276" t="s">
        <v>890</v>
      </c>
      <c r="O20" s="749" t="s">
        <v>769</v>
      </c>
      <c r="P20" s="748" t="s">
        <v>2</v>
      </c>
      <c r="Q20" s="748" t="s">
        <v>904</v>
      </c>
      <c r="R20" s="279" t="s">
        <v>770</v>
      </c>
      <c r="S20" s="279" t="s">
        <v>2</v>
      </c>
      <c r="T20" s="276" t="s">
        <v>804</v>
      </c>
      <c r="U20" s="749" t="s">
        <v>771</v>
      </c>
      <c r="V20" s="749" t="s">
        <v>2</v>
      </c>
      <c r="W20" s="748" t="s">
        <v>819</v>
      </c>
      <c r="X20" s="27"/>
      <c r="Y20" s="27"/>
    </row>
    <row r="21" spans="1:25" ht="15.75">
      <c r="A21" s="206">
        <v>16</v>
      </c>
      <c r="B21" s="206">
        <f>SISWA!B21</f>
        <v>0</v>
      </c>
      <c r="C21" s="270" t="s">
        <v>82</v>
      </c>
      <c r="D21" s="270"/>
      <c r="E21" s="271"/>
      <c r="F21" s="277"/>
      <c r="G21" s="277"/>
      <c r="H21" s="277"/>
      <c r="I21" s="278"/>
      <c r="J21" s="278"/>
      <c r="K21" s="278"/>
      <c r="L21" s="279"/>
      <c r="M21" s="279"/>
      <c r="N21" s="279"/>
      <c r="O21" s="749"/>
      <c r="P21" s="749"/>
      <c r="Q21" s="749"/>
      <c r="R21" s="279"/>
      <c r="S21" s="279"/>
      <c r="T21" s="279"/>
      <c r="U21" s="749"/>
      <c r="V21" s="749"/>
      <c r="W21" s="749"/>
      <c r="X21" s="27"/>
      <c r="Y21" s="27"/>
    </row>
    <row r="22" spans="1:25" ht="15.75">
      <c r="A22" s="206">
        <v>17</v>
      </c>
      <c r="B22" s="206">
        <f>SISWA!B22</f>
        <v>0</v>
      </c>
      <c r="C22" s="270" t="s">
        <v>82</v>
      </c>
      <c r="D22" s="270"/>
      <c r="E22" s="271"/>
      <c r="F22" s="277"/>
      <c r="G22" s="277"/>
      <c r="H22" s="277"/>
      <c r="I22" s="278"/>
      <c r="J22" s="278"/>
      <c r="K22" s="278"/>
      <c r="L22" s="279"/>
      <c r="M22" s="279"/>
      <c r="N22" s="279"/>
      <c r="O22" s="749"/>
      <c r="P22" s="749"/>
      <c r="Q22" s="749"/>
      <c r="R22" s="279"/>
      <c r="S22" s="279"/>
      <c r="T22" s="279"/>
      <c r="U22" s="749"/>
      <c r="V22" s="749"/>
      <c r="W22" s="749"/>
      <c r="X22" s="27"/>
      <c r="Y22" s="27"/>
    </row>
    <row r="23" spans="1:25" ht="15.75">
      <c r="A23" s="206">
        <v>18</v>
      </c>
      <c r="B23" s="206">
        <f>SISWA!B23</f>
        <v>0</v>
      </c>
      <c r="C23" s="270" t="s">
        <v>82</v>
      </c>
      <c r="D23" s="270"/>
      <c r="E23" s="271"/>
      <c r="F23" s="277"/>
      <c r="G23" s="277"/>
      <c r="H23" s="277"/>
      <c r="I23" s="278"/>
      <c r="J23" s="278"/>
      <c r="K23" s="278"/>
      <c r="L23" s="279"/>
      <c r="M23" s="279"/>
      <c r="N23" s="279"/>
      <c r="O23" s="749"/>
      <c r="P23" s="749"/>
      <c r="Q23" s="749"/>
      <c r="R23" s="279"/>
      <c r="S23" s="279"/>
      <c r="T23" s="279"/>
      <c r="U23" s="749"/>
      <c r="V23" s="749"/>
      <c r="W23" s="749"/>
      <c r="X23" s="27"/>
      <c r="Y23" s="27"/>
    </row>
    <row r="24" spans="1:25" ht="15.75">
      <c r="A24" s="206">
        <v>19</v>
      </c>
      <c r="B24" s="206">
        <f>SISWA!B24</f>
        <v>0</v>
      </c>
      <c r="C24" s="270" t="s">
        <v>82</v>
      </c>
      <c r="D24" s="270"/>
      <c r="E24" s="271"/>
      <c r="F24" s="277"/>
      <c r="G24" s="277"/>
      <c r="H24" s="277"/>
      <c r="I24" s="278"/>
      <c r="J24" s="278"/>
      <c r="K24" s="278"/>
      <c r="L24" s="279"/>
      <c r="M24" s="279"/>
      <c r="N24" s="279"/>
      <c r="O24" s="749"/>
      <c r="P24" s="749"/>
      <c r="Q24" s="749"/>
      <c r="R24" s="279"/>
      <c r="S24" s="279"/>
      <c r="T24" s="279"/>
      <c r="U24" s="749"/>
      <c r="V24" s="749"/>
      <c r="W24" s="749"/>
      <c r="X24" s="27"/>
      <c r="Y24" s="27"/>
    </row>
    <row r="25" spans="1:25" ht="15.75">
      <c r="A25" s="206">
        <v>20</v>
      </c>
      <c r="B25" s="206">
        <f>SISWA!B25</f>
        <v>0</v>
      </c>
      <c r="C25" s="270" t="s">
        <v>82</v>
      </c>
      <c r="D25" s="270"/>
      <c r="E25" s="271"/>
      <c r="F25" s="277"/>
      <c r="G25" s="277"/>
      <c r="H25" s="277"/>
      <c r="I25" s="278"/>
      <c r="J25" s="278"/>
      <c r="K25" s="278"/>
      <c r="L25" s="279"/>
      <c r="M25" s="279"/>
      <c r="N25" s="279"/>
      <c r="O25" s="749"/>
      <c r="P25" s="749"/>
      <c r="Q25" s="749"/>
      <c r="R25" s="279"/>
      <c r="S25" s="279"/>
      <c r="T25" s="279"/>
      <c r="U25" s="749"/>
      <c r="V25" s="749"/>
      <c r="W25" s="749"/>
      <c r="X25" s="27"/>
      <c r="Y25" s="27"/>
    </row>
    <row r="26" spans="1:25" ht="15.75">
      <c r="A26" s="206">
        <v>21</v>
      </c>
      <c r="B26" s="206">
        <f>SISWA!B26</f>
        <v>0</v>
      </c>
      <c r="C26" s="270" t="s">
        <v>82</v>
      </c>
      <c r="D26" s="270"/>
      <c r="E26" s="271"/>
      <c r="F26" s="277"/>
      <c r="G26" s="277"/>
      <c r="H26" s="277"/>
      <c r="I26" s="278"/>
      <c r="J26" s="278"/>
      <c r="K26" s="278"/>
      <c r="L26" s="279"/>
      <c r="M26" s="279"/>
      <c r="N26" s="279"/>
      <c r="O26" s="749"/>
      <c r="P26" s="749"/>
      <c r="Q26" s="749"/>
      <c r="R26" s="279"/>
      <c r="S26" s="279"/>
      <c r="T26" s="279"/>
      <c r="U26" s="749"/>
      <c r="V26" s="749"/>
      <c r="W26" s="749"/>
      <c r="X26" s="27"/>
      <c r="Y26" s="27"/>
    </row>
    <row r="27" spans="1:25" ht="15.75">
      <c r="A27" s="206">
        <v>22</v>
      </c>
      <c r="B27" s="206">
        <f>SISWA!B27</f>
        <v>0</v>
      </c>
      <c r="C27" s="270" t="s">
        <v>82</v>
      </c>
      <c r="D27" s="270"/>
      <c r="E27" s="271"/>
      <c r="F27" s="277"/>
      <c r="G27" s="277"/>
      <c r="H27" s="277"/>
      <c r="I27" s="278"/>
      <c r="J27" s="278"/>
      <c r="K27" s="278"/>
      <c r="L27" s="279"/>
      <c r="M27" s="279"/>
      <c r="N27" s="279"/>
      <c r="O27" s="749"/>
      <c r="P27" s="749"/>
      <c r="Q27" s="749"/>
      <c r="R27" s="279"/>
      <c r="S27" s="279"/>
      <c r="T27" s="279"/>
      <c r="U27" s="749"/>
      <c r="V27" s="749"/>
      <c r="W27" s="749"/>
      <c r="X27" s="27"/>
      <c r="Y27" s="27"/>
    </row>
    <row r="28" spans="1:25" ht="15.75">
      <c r="A28" s="206">
        <v>23</v>
      </c>
      <c r="B28" s="206">
        <f>SISWA!B28</f>
        <v>0</v>
      </c>
      <c r="C28" s="270" t="s">
        <v>82</v>
      </c>
      <c r="D28" s="270"/>
      <c r="E28" s="271"/>
      <c r="F28" s="277"/>
      <c r="G28" s="277"/>
      <c r="H28" s="277"/>
      <c r="I28" s="278"/>
      <c r="J28" s="278"/>
      <c r="K28" s="278"/>
      <c r="L28" s="279"/>
      <c r="M28" s="279"/>
      <c r="N28" s="279"/>
      <c r="O28" s="749"/>
      <c r="P28" s="749"/>
      <c r="Q28" s="749"/>
      <c r="R28" s="279"/>
      <c r="S28" s="279"/>
      <c r="T28" s="279"/>
      <c r="U28" s="749"/>
      <c r="V28" s="749"/>
      <c r="W28" s="749"/>
      <c r="X28" s="27"/>
      <c r="Y28" s="27"/>
    </row>
    <row r="29" spans="1:25" ht="15.75">
      <c r="A29" s="206">
        <v>24</v>
      </c>
      <c r="B29" s="206">
        <f>SISWA!B29</f>
        <v>0</v>
      </c>
      <c r="C29" s="270" t="s">
        <v>82</v>
      </c>
      <c r="D29" s="270"/>
      <c r="E29" s="271"/>
      <c r="F29" s="277"/>
      <c r="G29" s="277"/>
      <c r="H29" s="277"/>
      <c r="I29" s="278"/>
      <c r="J29" s="278"/>
      <c r="K29" s="278"/>
      <c r="L29" s="279"/>
      <c r="M29" s="279"/>
      <c r="N29" s="279"/>
      <c r="O29" s="749"/>
      <c r="P29" s="749"/>
      <c r="Q29" s="749"/>
      <c r="R29" s="279"/>
      <c r="S29" s="279"/>
      <c r="T29" s="279"/>
      <c r="U29" s="749"/>
      <c r="V29" s="749"/>
      <c r="W29" s="749"/>
      <c r="X29" s="27"/>
      <c r="Y29" s="27"/>
    </row>
    <row r="30" spans="1:25" ht="15.75">
      <c r="A30" s="206">
        <v>25</v>
      </c>
      <c r="B30" s="206">
        <f>SISWA!B30</f>
        <v>0</v>
      </c>
      <c r="C30" s="270" t="s">
        <v>82</v>
      </c>
      <c r="D30" s="270"/>
      <c r="E30" s="271"/>
      <c r="F30" s="277"/>
      <c r="G30" s="277"/>
      <c r="H30" s="277"/>
      <c r="I30" s="278"/>
      <c r="J30" s="278"/>
      <c r="K30" s="278"/>
      <c r="L30" s="279"/>
      <c r="M30" s="279"/>
      <c r="N30" s="279"/>
      <c r="O30" s="749"/>
      <c r="P30" s="749"/>
      <c r="Q30" s="749"/>
      <c r="R30" s="279"/>
      <c r="S30" s="279"/>
      <c r="T30" s="279"/>
      <c r="U30" s="749"/>
      <c r="V30" s="749"/>
      <c r="W30" s="749"/>
      <c r="X30" s="27"/>
      <c r="Y30" s="27"/>
    </row>
    <row r="31" spans="1:25" ht="15.75">
      <c r="A31" s="206">
        <v>26</v>
      </c>
      <c r="B31" s="206">
        <f>SISWA!B31</f>
        <v>0</v>
      </c>
      <c r="C31" s="270" t="s">
        <v>82</v>
      </c>
      <c r="D31" s="270"/>
      <c r="E31" s="271"/>
      <c r="F31" s="277"/>
      <c r="G31" s="277"/>
      <c r="H31" s="277"/>
      <c r="I31" s="278"/>
      <c r="J31" s="278"/>
      <c r="K31" s="278"/>
      <c r="L31" s="279"/>
      <c r="M31" s="279"/>
      <c r="N31" s="279"/>
      <c r="O31" s="749"/>
      <c r="P31" s="749"/>
      <c r="Q31" s="749"/>
      <c r="R31" s="279"/>
      <c r="S31" s="279"/>
      <c r="T31" s="279"/>
      <c r="U31" s="749"/>
      <c r="V31" s="749"/>
      <c r="W31" s="749"/>
      <c r="X31" s="27"/>
      <c r="Y31" s="27"/>
    </row>
    <row r="32" spans="1:25" ht="15.75">
      <c r="A32" s="206">
        <v>27</v>
      </c>
      <c r="B32" s="206">
        <f>SISWA!B32</f>
        <v>0</v>
      </c>
      <c r="C32" s="270" t="s">
        <v>82</v>
      </c>
      <c r="D32" s="270"/>
      <c r="E32" s="271"/>
      <c r="F32" s="277"/>
      <c r="G32" s="277"/>
      <c r="H32" s="277"/>
      <c r="I32" s="278"/>
      <c r="J32" s="278"/>
      <c r="K32" s="278"/>
      <c r="L32" s="279"/>
      <c r="M32" s="279"/>
      <c r="N32" s="279"/>
      <c r="O32" s="749"/>
      <c r="P32" s="749"/>
      <c r="Q32" s="749"/>
      <c r="R32" s="279"/>
      <c r="S32" s="279"/>
      <c r="T32" s="279"/>
      <c r="U32" s="749"/>
      <c r="V32" s="749"/>
      <c r="W32" s="749"/>
      <c r="X32" s="27"/>
      <c r="Y32" s="27"/>
    </row>
    <row r="33" spans="1:25" ht="15.75">
      <c r="A33" s="206">
        <v>28</v>
      </c>
      <c r="B33" s="206">
        <f>SISWA!B33</f>
        <v>0</v>
      </c>
      <c r="C33" s="270" t="s">
        <v>82</v>
      </c>
      <c r="D33" s="270"/>
      <c r="E33" s="271"/>
      <c r="F33" s="277"/>
      <c r="G33" s="277"/>
      <c r="H33" s="277"/>
      <c r="I33" s="278"/>
      <c r="J33" s="278"/>
      <c r="K33" s="278"/>
      <c r="L33" s="279"/>
      <c r="M33" s="279"/>
      <c r="N33" s="279"/>
      <c r="O33" s="749"/>
      <c r="P33" s="749"/>
      <c r="Q33" s="749"/>
      <c r="R33" s="279"/>
      <c r="S33" s="279"/>
      <c r="T33" s="279"/>
      <c r="U33" s="749"/>
      <c r="V33" s="749"/>
      <c r="W33" s="749"/>
      <c r="X33" s="27"/>
      <c r="Y33" s="27"/>
    </row>
    <row r="34" spans="1:25" ht="15.75">
      <c r="A34" s="206">
        <v>29</v>
      </c>
      <c r="B34" s="206">
        <f>SISWA!B34</f>
        <v>0</v>
      </c>
      <c r="C34" s="270" t="s">
        <v>82</v>
      </c>
      <c r="D34" s="270"/>
      <c r="E34" s="271"/>
      <c r="F34" s="277"/>
      <c r="G34" s="277"/>
      <c r="H34" s="277"/>
      <c r="I34" s="278"/>
      <c r="J34" s="278"/>
      <c r="K34" s="278"/>
      <c r="L34" s="279"/>
      <c r="M34" s="279"/>
      <c r="N34" s="279"/>
      <c r="O34" s="749"/>
      <c r="P34" s="749"/>
      <c r="Q34" s="749"/>
      <c r="R34" s="279"/>
      <c r="S34" s="279"/>
      <c r="T34" s="279"/>
      <c r="U34" s="749"/>
      <c r="V34" s="749"/>
      <c r="W34" s="749"/>
      <c r="X34" s="27"/>
      <c r="Y34" s="27"/>
    </row>
    <row r="35" spans="1:25" ht="15.75">
      <c r="A35" s="206">
        <v>30</v>
      </c>
      <c r="B35" s="206">
        <f>SISWA!B35</f>
        <v>0</v>
      </c>
      <c r="C35" s="270"/>
      <c r="D35" s="270"/>
      <c r="E35" s="271"/>
      <c r="F35" s="277"/>
      <c r="G35" s="277"/>
      <c r="H35" s="277"/>
      <c r="I35" s="278"/>
      <c r="J35" s="278"/>
      <c r="K35" s="278"/>
      <c r="L35" s="279"/>
      <c r="M35" s="279"/>
      <c r="N35" s="279"/>
      <c r="O35" s="749"/>
      <c r="P35" s="749"/>
      <c r="Q35" s="749"/>
      <c r="R35" s="279"/>
      <c r="S35" s="279"/>
      <c r="T35" s="279"/>
      <c r="U35" s="749"/>
      <c r="V35" s="749"/>
      <c r="W35" s="749"/>
      <c r="X35" s="27"/>
      <c r="Y35" s="27"/>
    </row>
    <row r="36" spans="1:25" ht="15.75">
      <c r="A36" s="206">
        <v>31</v>
      </c>
      <c r="B36" s="206">
        <f>SISWA!B36</f>
        <v>0</v>
      </c>
      <c r="C36" s="270"/>
      <c r="D36" s="270"/>
      <c r="E36" s="271"/>
      <c r="F36" s="277"/>
      <c r="G36" s="277"/>
      <c r="H36" s="277"/>
      <c r="I36" s="278"/>
      <c r="J36" s="278"/>
      <c r="K36" s="278"/>
      <c r="L36" s="279"/>
      <c r="M36" s="279"/>
      <c r="N36" s="279"/>
      <c r="O36" s="749"/>
      <c r="P36" s="749"/>
      <c r="Q36" s="749"/>
      <c r="R36" s="279"/>
      <c r="S36" s="279"/>
      <c r="T36" s="279"/>
      <c r="U36" s="749"/>
      <c r="V36" s="749"/>
      <c r="W36" s="749"/>
      <c r="X36" s="27"/>
      <c r="Y36" s="27"/>
    </row>
    <row r="37" spans="1:25" ht="15.75">
      <c r="A37" s="206">
        <v>32</v>
      </c>
      <c r="B37" s="206">
        <f>SISWA!B37</f>
        <v>0</v>
      </c>
      <c r="C37" s="270"/>
      <c r="D37" s="270"/>
      <c r="E37" s="271"/>
      <c r="F37" s="277"/>
      <c r="G37" s="277"/>
      <c r="H37" s="277"/>
      <c r="I37" s="278"/>
      <c r="J37" s="278"/>
      <c r="K37" s="278"/>
      <c r="L37" s="279"/>
      <c r="M37" s="279"/>
      <c r="N37" s="279"/>
      <c r="O37" s="749"/>
      <c r="P37" s="749"/>
      <c r="Q37" s="749"/>
      <c r="R37" s="279"/>
      <c r="S37" s="279"/>
      <c r="T37" s="279"/>
      <c r="U37" s="749"/>
      <c r="V37" s="749"/>
      <c r="W37" s="749"/>
      <c r="X37" s="27"/>
      <c r="Y37" s="27"/>
    </row>
    <row r="38" spans="1:25" ht="15.75">
      <c r="A38" s="206">
        <v>33</v>
      </c>
      <c r="B38" s="206">
        <f>SISWA!B38</f>
        <v>0</v>
      </c>
      <c r="C38" s="270"/>
      <c r="D38" s="270"/>
      <c r="E38" s="271"/>
      <c r="F38" s="277"/>
      <c r="G38" s="277"/>
      <c r="H38" s="277"/>
      <c r="I38" s="278"/>
      <c r="J38" s="278"/>
      <c r="K38" s="278"/>
      <c r="L38" s="279"/>
      <c r="M38" s="279"/>
      <c r="N38" s="279"/>
      <c r="O38" s="749"/>
      <c r="P38" s="749"/>
      <c r="Q38" s="749"/>
      <c r="R38" s="279"/>
      <c r="S38" s="279"/>
      <c r="T38" s="279"/>
      <c r="U38" s="749"/>
      <c r="V38" s="749"/>
      <c r="W38" s="749"/>
      <c r="X38" s="27"/>
      <c r="Y38" s="27"/>
    </row>
    <row r="39" spans="1:25" ht="15.75">
      <c r="A39" s="206">
        <v>34</v>
      </c>
      <c r="B39" s="206">
        <f>SISWA!B39</f>
        <v>0</v>
      </c>
      <c r="C39" s="270"/>
      <c r="D39" s="270"/>
      <c r="E39" s="271"/>
      <c r="F39" s="277"/>
      <c r="G39" s="277"/>
      <c r="H39" s="277"/>
      <c r="I39" s="278"/>
      <c r="J39" s="278"/>
      <c r="K39" s="278"/>
      <c r="L39" s="279"/>
      <c r="M39" s="279"/>
      <c r="N39" s="279"/>
      <c r="O39" s="749"/>
      <c r="P39" s="749"/>
      <c r="Q39" s="749"/>
      <c r="R39" s="279"/>
      <c r="S39" s="279"/>
      <c r="T39" s="279"/>
      <c r="U39" s="749"/>
      <c r="V39" s="749"/>
      <c r="W39" s="749"/>
      <c r="X39" s="27"/>
      <c r="Y39" s="27"/>
    </row>
    <row r="40" spans="1:25" ht="15.75">
      <c r="A40" s="206">
        <v>35</v>
      </c>
      <c r="B40" s="206">
        <f>SISWA!B40</f>
        <v>0</v>
      </c>
      <c r="C40" s="270"/>
      <c r="D40" s="270"/>
      <c r="E40" s="271"/>
      <c r="F40" s="277"/>
      <c r="G40" s="277"/>
      <c r="H40" s="277"/>
      <c r="I40" s="278"/>
      <c r="J40" s="278"/>
      <c r="K40" s="278"/>
      <c r="L40" s="279"/>
      <c r="M40" s="279"/>
      <c r="N40" s="279"/>
      <c r="O40" s="749"/>
      <c r="P40" s="749"/>
      <c r="Q40" s="749"/>
      <c r="R40" s="279"/>
      <c r="S40" s="279"/>
      <c r="T40" s="279"/>
      <c r="U40" s="749"/>
      <c r="V40" s="749"/>
      <c r="W40" s="749"/>
      <c r="X40" s="27"/>
      <c r="Y40" s="27"/>
    </row>
    <row r="41" spans="1:25">
      <c r="A41" s="206">
        <v>36</v>
      </c>
      <c r="B41" s="206">
        <f>SISWA!B41</f>
        <v>0</v>
      </c>
      <c r="C41" s="270"/>
      <c r="D41" s="270"/>
      <c r="E41" s="278"/>
      <c r="F41" s="277"/>
      <c r="G41" s="277"/>
      <c r="H41" s="277"/>
      <c r="I41" s="278"/>
      <c r="J41" s="278"/>
      <c r="K41" s="278"/>
      <c r="L41" s="279"/>
      <c r="M41" s="279"/>
      <c r="N41" s="279"/>
      <c r="O41" s="749"/>
      <c r="P41" s="749"/>
      <c r="Q41" s="749"/>
      <c r="R41" s="279"/>
      <c r="S41" s="279"/>
      <c r="T41" s="279"/>
      <c r="U41" s="749"/>
      <c r="V41" s="749"/>
      <c r="W41" s="749"/>
      <c r="X41" s="27"/>
      <c r="Y41" s="27"/>
    </row>
    <row r="42" spans="1:25">
      <c r="A42" s="206">
        <v>37</v>
      </c>
      <c r="B42" s="206">
        <f>SISWA!B42</f>
        <v>0</v>
      </c>
      <c r="C42" s="268"/>
      <c r="D42" s="268"/>
      <c r="E42" s="268"/>
      <c r="F42" s="280"/>
      <c r="G42" s="280"/>
      <c r="H42" s="280"/>
      <c r="I42" s="268"/>
      <c r="J42" s="268"/>
      <c r="K42" s="268"/>
      <c r="L42" s="64"/>
      <c r="M42" s="64"/>
      <c r="N42" s="64"/>
      <c r="O42" s="588"/>
      <c r="P42" s="588"/>
      <c r="Q42" s="588"/>
      <c r="R42" s="64"/>
      <c r="S42" s="64"/>
      <c r="T42" s="64"/>
      <c r="U42" s="588"/>
      <c r="V42" s="588"/>
      <c r="W42" s="588"/>
      <c r="X42" s="27"/>
      <c r="Y42" s="27"/>
    </row>
    <row r="43" spans="1:25">
      <c r="A43" s="206">
        <v>38</v>
      </c>
      <c r="B43" s="206">
        <f>SISWA!B43</f>
        <v>0</v>
      </c>
      <c r="C43" s="268"/>
      <c r="D43" s="268"/>
      <c r="E43" s="268"/>
      <c r="F43" s="280"/>
      <c r="G43" s="280"/>
      <c r="H43" s="280"/>
      <c r="I43" s="268"/>
      <c r="J43" s="268"/>
      <c r="K43" s="268"/>
      <c r="L43" s="64"/>
      <c r="M43" s="64"/>
      <c r="N43" s="64"/>
      <c r="O43" s="588"/>
      <c r="P43" s="588"/>
      <c r="Q43" s="588"/>
      <c r="R43" s="64"/>
      <c r="S43" s="64"/>
      <c r="T43" s="64"/>
      <c r="U43" s="588"/>
      <c r="V43" s="588"/>
      <c r="W43" s="588"/>
      <c r="X43" s="27"/>
      <c r="Y43" s="27"/>
    </row>
    <row r="44" spans="1:25">
      <c r="A44" s="206">
        <v>39</v>
      </c>
      <c r="B44" s="206">
        <f>SISWA!B44</f>
        <v>0</v>
      </c>
      <c r="C44" s="268"/>
      <c r="D44" s="268"/>
      <c r="E44" s="268"/>
      <c r="F44" s="280"/>
      <c r="G44" s="280"/>
      <c r="H44" s="280"/>
      <c r="I44" s="268"/>
      <c r="J44" s="268"/>
      <c r="K44" s="268"/>
      <c r="L44" s="64"/>
      <c r="M44" s="64"/>
      <c r="N44" s="64"/>
      <c r="O44" s="588"/>
      <c r="P44" s="588"/>
      <c r="Q44" s="588"/>
      <c r="R44" s="64"/>
      <c r="S44" s="64"/>
      <c r="T44" s="64"/>
      <c r="U44" s="588"/>
      <c r="V44" s="588"/>
      <c r="W44" s="588"/>
      <c r="X44" s="27"/>
      <c r="Y44" s="27"/>
    </row>
    <row r="45" spans="1:25">
      <c r="A45" s="206">
        <v>40</v>
      </c>
      <c r="B45" s="206">
        <f>SISWA!B45</f>
        <v>0</v>
      </c>
      <c r="C45" s="268"/>
      <c r="D45" s="268"/>
      <c r="E45" s="268"/>
      <c r="F45" s="280"/>
      <c r="G45" s="280"/>
      <c r="H45" s="280"/>
      <c r="I45" s="268"/>
      <c r="J45" s="268"/>
      <c r="K45" s="268"/>
      <c r="L45" s="64"/>
      <c r="M45" s="64"/>
      <c r="N45" s="64"/>
      <c r="O45" s="588"/>
      <c r="P45" s="588"/>
      <c r="Q45" s="588"/>
      <c r="R45" s="64"/>
      <c r="S45" s="64"/>
      <c r="T45" s="64"/>
      <c r="U45" s="588"/>
      <c r="V45" s="588"/>
      <c r="W45" s="588"/>
      <c r="X45" s="27"/>
      <c r="Y45" s="27"/>
    </row>
    <row r="46" spans="1:25"/>
    <row r="47" spans="1:25"/>
    <row r="48" spans="1:25"/>
    <row r="49"/>
  </sheetData>
  <sheetProtection sheet="1" objects="1" scenarios="1"/>
  <mergeCells count="9">
    <mergeCell ref="O4:Q4"/>
    <mergeCell ref="R4:T4"/>
    <mergeCell ref="U4:W4"/>
    <mergeCell ref="L4:N4"/>
    <mergeCell ref="A4:A5"/>
    <mergeCell ref="B4:B5"/>
    <mergeCell ref="C4:E4"/>
    <mergeCell ref="F4:H4"/>
    <mergeCell ref="I4:K4"/>
  </mergeCells>
  <pageMargins left="0.7" right="0.7" top="0.75" bottom="0.75" header="0.3" footer="0.3"/>
  <pageSetup paperSize="9" orientation="portrait" horizontalDpi="0"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FF0000"/>
  </sheetPr>
  <dimension ref="A1:J22"/>
  <sheetViews>
    <sheetView workbookViewId="0"/>
  </sheetViews>
  <sheetFormatPr defaultColWidth="0" defaultRowHeight="15" zeroHeight="1"/>
  <cols>
    <col min="1" max="10" width="9.140625" customWidth="1"/>
    <col min="11" max="16384" width="9.140625" hidden="1"/>
  </cols>
  <sheetData>
    <row r="1" spans="1:9">
      <c r="A1" s="209"/>
      <c r="B1" s="210"/>
      <c r="C1" s="210"/>
      <c r="D1" s="210"/>
      <c r="E1" s="210"/>
      <c r="F1" s="210"/>
      <c r="G1" s="210"/>
      <c r="H1" s="210"/>
      <c r="I1" s="211"/>
    </row>
    <row r="2" spans="1:9">
      <c r="A2" s="212"/>
      <c r="B2" s="1158" t="s">
        <v>155</v>
      </c>
      <c r="C2" s="1159"/>
      <c r="D2" s="1159"/>
      <c r="E2" s="1159"/>
      <c r="F2" s="1160"/>
      <c r="G2" s="213"/>
      <c r="H2" s="213"/>
      <c r="I2" s="214"/>
    </row>
    <row r="3" spans="1:9">
      <c r="A3" s="212"/>
      <c r="B3" s="1161"/>
      <c r="C3" s="1162"/>
      <c r="D3" s="1162"/>
      <c r="E3" s="1162"/>
      <c r="F3" s="1163"/>
      <c r="G3" s="213"/>
      <c r="H3" s="213"/>
      <c r="I3" s="214"/>
    </row>
    <row r="4" spans="1:9">
      <c r="A4" s="212"/>
      <c r="B4" s="213"/>
      <c r="C4" s="213"/>
      <c r="D4" s="213"/>
      <c r="E4" s="213"/>
      <c r="F4" s="213"/>
      <c r="G4" s="213"/>
      <c r="H4" s="213"/>
      <c r="I4" s="214"/>
    </row>
    <row r="5" spans="1:9" ht="15.75">
      <c r="A5" s="212"/>
      <c r="B5" s="213"/>
      <c r="C5" s="208"/>
      <c r="D5" s="208"/>
      <c r="E5" s="208"/>
      <c r="F5" s="213"/>
      <c r="G5" s="213"/>
      <c r="H5" s="213"/>
      <c r="I5" s="214"/>
    </row>
    <row r="6" spans="1:9">
      <c r="A6" s="212"/>
      <c r="B6" s="213"/>
      <c r="C6" s="1156"/>
      <c r="D6" s="1156"/>
      <c r="E6" s="1156"/>
      <c r="F6" s="213"/>
      <c r="G6" s="213"/>
      <c r="H6" s="213"/>
      <c r="I6" s="214"/>
    </row>
    <row r="7" spans="1:9">
      <c r="A7" s="212"/>
      <c r="B7" s="213"/>
      <c r="C7" s="1156"/>
      <c r="D7" s="1156"/>
      <c r="E7" s="1156"/>
      <c r="F7" s="213"/>
      <c r="G7" s="213"/>
      <c r="H7" s="213"/>
      <c r="I7" s="214"/>
    </row>
    <row r="8" spans="1:9">
      <c r="A8" s="212"/>
      <c r="B8" s="213"/>
      <c r="C8" s="1156"/>
      <c r="D8" s="1156"/>
      <c r="E8" s="1156"/>
      <c r="F8" s="213"/>
      <c r="G8" s="213"/>
      <c r="H8" s="213"/>
      <c r="I8" s="214"/>
    </row>
    <row r="9" spans="1:9">
      <c r="A9" s="212"/>
      <c r="B9" s="213"/>
      <c r="C9" s="1156"/>
      <c r="D9" s="1156"/>
      <c r="E9" s="1156"/>
      <c r="F9" s="213"/>
      <c r="G9" s="213"/>
      <c r="H9" s="213"/>
      <c r="I9" s="214"/>
    </row>
    <row r="10" spans="1:9">
      <c r="A10" s="212"/>
      <c r="B10" s="213"/>
      <c r="C10" s="1156"/>
      <c r="D10" s="1156"/>
      <c r="E10" s="1156"/>
      <c r="F10" s="213"/>
      <c r="G10" s="213"/>
      <c r="H10" s="213"/>
      <c r="I10" s="214"/>
    </row>
    <row r="11" spans="1:9">
      <c r="A11" s="212"/>
      <c r="B11" s="213"/>
      <c r="C11" s="1156"/>
      <c r="D11" s="1156"/>
      <c r="E11" s="1156"/>
      <c r="F11" s="213"/>
      <c r="G11" s="213"/>
      <c r="H11" s="213"/>
      <c r="I11" s="214"/>
    </row>
    <row r="12" spans="1:9">
      <c r="A12" s="212"/>
      <c r="B12" s="213"/>
      <c r="C12" s="1156"/>
      <c r="D12" s="1156"/>
      <c r="E12" s="1156"/>
      <c r="F12" s="213"/>
      <c r="G12" s="213"/>
      <c r="H12" s="213"/>
      <c r="I12" s="214"/>
    </row>
    <row r="13" spans="1:9">
      <c r="A13" s="212"/>
      <c r="B13" s="213"/>
      <c r="C13" s="1156"/>
      <c r="D13" s="1156"/>
      <c r="E13" s="1156"/>
      <c r="F13" s="213"/>
      <c r="G13" s="213"/>
      <c r="H13" s="213"/>
      <c r="I13" s="214"/>
    </row>
    <row r="14" spans="1:9">
      <c r="A14" s="212"/>
      <c r="B14" s="213"/>
      <c r="C14" s="1156"/>
      <c r="D14" s="1156"/>
      <c r="E14" s="1156"/>
      <c r="F14" s="213"/>
      <c r="G14" s="213"/>
      <c r="H14" s="213"/>
      <c r="I14" s="214"/>
    </row>
    <row r="15" spans="1:9">
      <c r="A15" s="212"/>
      <c r="B15" s="213"/>
      <c r="C15" s="1156"/>
      <c r="D15" s="1156"/>
      <c r="E15" s="1156"/>
      <c r="F15" s="213"/>
      <c r="G15" s="213"/>
      <c r="H15" s="213"/>
      <c r="I15" s="214"/>
    </row>
    <row r="16" spans="1:9">
      <c r="A16" s="212"/>
      <c r="B16" s="213"/>
      <c r="C16" s="1156"/>
      <c r="D16" s="1156"/>
      <c r="E16" s="1156"/>
      <c r="F16" s="213"/>
      <c r="G16" s="213"/>
      <c r="H16" s="213"/>
      <c r="I16" s="214"/>
    </row>
    <row r="17" spans="1:9">
      <c r="A17" s="212"/>
      <c r="B17" s="213"/>
      <c r="C17" s="1156"/>
      <c r="D17" s="1156"/>
      <c r="E17" s="1156"/>
      <c r="F17" s="213"/>
      <c r="G17" s="213"/>
      <c r="H17" s="213"/>
      <c r="I17" s="214"/>
    </row>
    <row r="18" spans="1:9">
      <c r="A18" s="212"/>
      <c r="B18" s="213"/>
      <c r="C18" s="1156"/>
      <c r="D18" s="1156"/>
      <c r="E18" s="1156"/>
      <c r="F18" s="213"/>
      <c r="G18" s="213"/>
      <c r="H18" s="213"/>
      <c r="I18" s="214"/>
    </row>
    <row r="19" spans="1:9">
      <c r="A19" s="212"/>
      <c r="B19" s="213"/>
      <c r="C19" s="1156"/>
      <c r="D19" s="1156"/>
      <c r="E19" s="1156"/>
      <c r="F19" s="213"/>
      <c r="G19" s="213"/>
      <c r="H19" s="213"/>
      <c r="I19" s="214"/>
    </row>
    <row r="20" spans="1:9">
      <c r="A20" s="212"/>
      <c r="B20" s="213"/>
      <c r="C20" s="1156"/>
      <c r="D20" s="1156"/>
      <c r="E20" s="1156"/>
      <c r="F20" s="213"/>
      <c r="G20" s="213"/>
      <c r="H20" s="213"/>
      <c r="I20" s="214"/>
    </row>
    <row r="21" spans="1:9">
      <c r="A21" s="215"/>
      <c r="B21" s="216"/>
      <c r="C21" s="1157"/>
      <c r="D21" s="1157"/>
      <c r="E21" s="1157"/>
      <c r="F21" s="216"/>
      <c r="G21" s="216"/>
      <c r="H21" s="216"/>
      <c r="I21" s="217"/>
    </row>
    <row r="22" spans="1:9"/>
  </sheetData>
  <sheetProtection password="C71F" sheet="1" objects="1" scenarios="1"/>
  <mergeCells count="9">
    <mergeCell ref="C16:E17"/>
    <mergeCell ref="C18:E19"/>
    <mergeCell ref="C20:E21"/>
    <mergeCell ref="B2:F3"/>
    <mergeCell ref="C6:E7"/>
    <mergeCell ref="C8:E9"/>
    <mergeCell ref="C10:E11"/>
    <mergeCell ref="C12:E13"/>
    <mergeCell ref="C14:E1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C000"/>
  </sheetPr>
  <dimension ref="A1:J22"/>
  <sheetViews>
    <sheetView workbookViewId="0">
      <selection activeCell="B1" sqref="B1"/>
    </sheetView>
  </sheetViews>
  <sheetFormatPr defaultColWidth="0" defaultRowHeight="15" zeroHeight="1"/>
  <cols>
    <col min="1" max="10" width="9.140625" customWidth="1"/>
    <col min="11" max="16384" width="9.140625" hidden="1"/>
  </cols>
  <sheetData>
    <row r="1" spans="1:9">
      <c r="A1" s="209"/>
      <c r="B1" s="210"/>
      <c r="C1" s="210"/>
      <c r="D1" s="210"/>
      <c r="E1" s="210"/>
      <c r="F1" s="210"/>
      <c r="G1" s="210"/>
      <c r="H1" s="210"/>
      <c r="I1" s="211"/>
    </row>
    <row r="2" spans="1:9">
      <c r="A2" s="212"/>
      <c r="B2" s="1158" t="s">
        <v>156</v>
      </c>
      <c r="C2" s="1159"/>
      <c r="D2" s="1159"/>
      <c r="E2" s="1159"/>
      <c r="F2" s="1160"/>
      <c r="G2" s="213"/>
      <c r="H2" s="213"/>
      <c r="I2" s="214"/>
    </row>
    <row r="3" spans="1:9">
      <c r="A3" s="212"/>
      <c r="B3" s="1161"/>
      <c r="C3" s="1162"/>
      <c r="D3" s="1162"/>
      <c r="E3" s="1162"/>
      <c r="F3" s="1163"/>
      <c r="G3" s="213"/>
      <c r="H3" s="213"/>
      <c r="I3" s="214"/>
    </row>
    <row r="4" spans="1:9">
      <c r="A4" s="212"/>
      <c r="B4" s="213"/>
      <c r="C4" s="213"/>
      <c r="D4" s="213"/>
      <c r="E4" s="213"/>
      <c r="F4" s="213"/>
      <c r="G4" s="213"/>
      <c r="H4" s="213"/>
      <c r="I4" s="214"/>
    </row>
    <row r="5" spans="1:9" ht="15.75">
      <c r="A5" s="212"/>
      <c r="B5" s="213"/>
      <c r="C5" s="208"/>
      <c r="D5" s="208"/>
      <c r="E5" s="208"/>
      <c r="F5" s="213"/>
      <c r="G5" s="213"/>
      <c r="H5" s="213"/>
      <c r="I5" s="214"/>
    </row>
    <row r="6" spans="1:9">
      <c r="A6" s="212"/>
      <c r="B6" s="213"/>
      <c r="C6" s="1156"/>
      <c r="D6" s="1156"/>
      <c r="E6" s="1156"/>
      <c r="F6" s="213"/>
      <c r="G6" s="213"/>
      <c r="H6" s="213"/>
      <c r="I6" s="214"/>
    </row>
    <row r="7" spans="1:9">
      <c r="A7" s="212"/>
      <c r="B7" s="213"/>
      <c r="C7" s="1156"/>
      <c r="D7" s="1156"/>
      <c r="E7" s="1156"/>
      <c r="F7" s="213"/>
      <c r="G7" s="213"/>
      <c r="H7" s="213"/>
      <c r="I7" s="214"/>
    </row>
    <row r="8" spans="1:9">
      <c r="A8" s="212"/>
      <c r="B8" s="213"/>
      <c r="C8" s="1156"/>
      <c r="D8" s="1156"/>
      <c r="E8" s="1156"/>
      <c r="F8" s="213"/>
      <c r="G8" s="213"/>
      <c r="H8" s="213"/>
      <c r="I8" s="214"/>
    </row>
    <row r="9" spans="1:9">
      <c r="A9" s="212"/>
      <c r="B9" s="213"/>
      <c r="C9" s="1156"/>
      <c r="D9" s="1156"/>
      <c r="E9" s="1156"/>
      <c r="F9" s="213"/>
      <c r="G9" s="213"/>
      <c r="H9" s="213"/>
      <c r="I9" s="214"/>
    </row>
    <row r="10" spans="1:9">
      <c r="A10" s="212"/>
      <c r="B10" s="213"/>
      <c r="C10" s="1156"/>
      <c r="D10" s="1156"/>
      <c r="E10" s="1156"/>
      <c r="F10" s="213"/>
      <c r="G10" s="213"/>
      <c r="H10" s="213"/>
      <c r="I10" s="214"/>
    </row>
    <row r="11" spans="1:9">
      <c r="A11" s="212"/>
      <c r="B11" s="213"/>
      <c r="C11" s="1156"/>
      <c r="D11" s="1156"/>
      <c r="E11" s="1156"/>
      <c r="F11" s="213"/>
      <c r="G11" s="213"/>
      <c r="H11" s="213"/>
      <c r="I11" s="214"/>
    </row>
    <row r="12" spans="1:9">
      <c r="A12" s="212"/>
      <c r="B12" s="213"/>
      <c r="C12" s="1156"/>
      <c r="D12" s="1156"/>
      <c r="E12" s="1156"/>
      <c r="F12" s="213"/>
      <c r="G12" s="213"/>
      <c r="H12" s="213"/>
      <c r="I12" s="214"/>
    </row>
    <row r="13" spans="1:9">
      <c r="A13" s="212"/>
      <c r="B13" s="213"/>
      <c r="C13" s="1156"/>
      <c r="D13" s="1156"/>
      <c r="E13" s="1156"/>
      <c r="F13" s="213"/>
      <c r="G13" s="213"/>
      <c r="H13" s="213"/>
      <c r="I13" s="214"/>
    </row>
    <row r="14" spans="1:9">
      <c r="A14" s="212"/>
      <c r="B14" s="213"/>
      <c r="C14" s="1156"/>
      <c r="D14" s="1156"/>
      <c r="E14" s="1156"/>
      <c r="F14" s="213"/>
      <c r="G14" s="213"/>
      <c r="H14" s="213"/>
      <c r="I14" s="214"/>
    </row>
    <row r="15" spans="1:9">
      <c r="A15" s="212"/>
      <c r="B15" s="213"/>
      <c r="C15" s="1156"/>
      <c r="D15" s="1156"/>
      <c r="E15" s="1156"/>
      <c r="F15" s="213"/>
      <c r="G15" s="213"/>
      <c r="H15" s="213"/>
      <c r="I15" s="214"/>
    </row>
    <row r="16" spans="1:9">
      <c r="A16" s="212"/>
      <c r="B16" s="213"/>
      <c r="C16" s="1156"/>
      <c r="D16" s="1156"/>
      <c r="E16" s="1156"/>
      <c r="F16" s="213"/>
      <c r="G16" s="213"/>
      <c r="H16" s="213"/>
      <c r="I16" s="214"/>
    </row>
    <row r="17" spans="1:9">
      <c r="A17" s="212"/>
      <c r="B17" s="213"/>
      <c r="C17" s="1156"/>
      <c r="D17" s="1156"/>
      <c r="E17" s="1156"/>
      <c r="F17" s="213"/>
      <c r="G17" s="213"/>
      <c r="H17" s="213"/>
      <c r="I17" s="214"/>
    </row>
    <row r="18" spans="1:9">
      <c r="A18" s="212"/>
      <c r="B18" s="213"/>
      <c r="C18" s="1156"/>
      <c r="D18" s="1156"/>
      <c r="E18" s="1156"/>
      <c r="F18" s="213"/>
      <c r="G18" s="213"/>
      <c r="H18" s="213"/>
      <c r="I18" s="214"/>
    </row>
    <row r="19" spans="1:9">
      <c r="A19" s="212"/>
      <c r="B19" s="213"/>
      <c r="C19" s="1156"/>
      <c r="D19" s="1156"/>
      <c r="E19" s="1156"/>
      <c r="F19" s="213"/>
      <c r="G19" s="213"/>
      <c r="H19" s="213"/>
      <c r="I19" s="214"/>
    </row>
    <row r="20" spans="1:9">
      <c r="A20" s="212"/>
      <c r="B20" s="213"/>
      <c r="C20" s="1156"/>
      <c r="D20" s="1156"/>
      <c r="E20" s="1156"/>
      <c r="F20" s="213"/>
      <c r="G20" s="213"/>
      <c r="H20" s="213"/>
      <c r="I20" s="214"/>
    </row>
    <row r="21" spans="1:9">
      <c r="A21" s="215"/>
      <c r="B21" s="216"/>
      <c r="C21" s="1157"/>
      <c r="D21" s="1157"/>
      <c r="E21" s="1157"/>
      <c r="F21" s="216"/>
      <c r="G21" s="216"/>
      <c r="H21" s="216"/>
      <c r="I21" s="217"/>
    </row>
    <row r="22" spans="1:9"/>
  </sheetData>
  <sheetProtection password="CA9C" sheet="1" objects="1" scenarios="1"/>
  <mergeCells count="9">
    <mergeCell ref="C16:E17"/>
    <mergeCell ref="C18:E19"/>
    <mergeCell ref="C20:E21"/>
    <mergeCell ref="B2:F3"/>
    <mergeCell ref="C6:E7"/>
    <mergeCell ref="C8:E9"/>
    <mergeCell ref="C10:E11"/>
    <mergeCell ref="C12:E13"/>
    <mergeCell ref="C14:E15"/>
  </mergeCells>
  <pageMargins left="0.7" right="0.7" top="0.75" bottom="0.75" header="0.3" footer="0.3"/>
  <pageSetup paperSize="9" orientation="portrait" horizontalDpi="0"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B0F0"/>
  </sheetPr>
  <dimension ref="A1:G49"/>
  <sheetViews>
    <sheetView workbookViewId="0">
      <pane ySplit="5" topLeftCell="A6" activePane="bottomLeft" state="frozen"/>
      <selection pane="bottomLeft" activeCell="C9" sqref="C9"/>
    </sheetView>
  </sheetViews>
  <sheetFormatPr defaultColWidth="0" defaultRowHeight="15" zeroHeight="1"/>
  <cols>
    <col min="1" max="1" width="6" style="261" customWidth="1"/>
    <col min="2" max="2" width="32.7109375" style="124" customWidth="1"/>
    <col min="3" max="7" width="9.140625" style="124" customWidth="1"/>
    <col min="8" max="16384" width="9.140625" style="124" hidden="1"/>
  </cols>
  <sheetData>
    <row r="1" spans="1:6" ht="15.75">
      <c r="D1" s="262" t="s">
        <v>170</v>
      </c>
    </row>
    <row r="2" spans="1:6">
      <c r="B2" s="263" t="s">
        <v>36</v>
      </c>
      <c r="C2" s="124" t="s">
        <v>35</v>
      </c>
      <c r="D2" s="124" t="str">
        <f>MENU!N20</f>
        <v>V ( Lima )</v>
      </c>
    </row>
    <row r="3" spans="1:6">
      <c r="B3" s="263" t="s">
        <v>171</v>
      </c>
      <c r="C3" s="124" t="s">
        <v>35</v>
      </c>
      <c r="D3" s="124" t="str">
        <f>MENU!N21</f>
        <v>1 ( satu )</v>
      </c>
    </row>
    <row r="4" spans="1:6">
      <c r="A4" s="1164" t="s">
        <v>55</v>
      </c>
      <c r="B4" s="1164" t="s">
        <v>10</v>
      </c>
      <c r="C4" s="1166" t="s">
        <v>175</v>
      </c>
      <c r="D4" s="1166"/>
      <c r="E4" s="1166"/>
      <c r="F4" s="1166"/>
    </row>
    <row r="5" spans="1:6">
      <c r="A5" s="1165"/>
      <c r="B5" s="1165"/>
      <c r="C5" s="266" t="s">
        <v>172</v>
      </c>
      <c r="D5" s="266" t="s">
        <v>173</v>
      </c>
      <c r="E5" s="266" t="s">
        <v>1</v>
      </c>
      <c r="F5" s="264" t="s">
        <v>174</v>
      </c>
    </row>
    <row r="6" spans="1:6">
      <c r="A6" s="265">
        <v>1</v>
      </c>
      <c r="B6" s="235" t="str">
        <f>SISWA!$B6</f>
        <v>Afif Rafiudin</v>
      </c>
      <c r="C6" s="233">
        <v>2</v>
      </c>
      <c r="D6" s="233">
        <v>0</v>
      </c>
      <c r="E6" s="233">
        <v>0</v>
      </c>
      <c r="F6" s="234">
        <f>SUM(C6:E6)</f>
        <v>2</v>
      </c>
    </row>
    <row r="7" spans="1:6">
      <c r="A7" s="265">
        <v>2</v>
      </c>
      <c r="B7" s="235" t="str">
        <f>SISWA!$B7</f>
        <v>Ahmad Faiq Athaya</v>
      </c>
      <c r="C7" s="233">
        <v>3</v>
      </c>
      <c r="D7" s="233">
        <v>1</v>
      </c>
      <c r="E7" s="233">
        <v>0</v>
      </c>
      <c r="F7" s="234">
        <f t="shared" ref="F7:F45" si="0">SUM(C7:E7)</f>
        <v>4</v>
      </c>
    </row>
    <row r="8" spans="1:6">
      <c r="A8" s="265">
        <v>3</v>
      </c>
      <c r="B8" s="235" t="str">
        <f>SISWA!$B8</f>
        <v>Amira Zerlinda</v>
      </c>
      <c r="C8" s="233">
        <v>4</v>
      </c>
      <c r="D8" s="233">
        <v>1</v>
      </c>
      <c r="E8" s="233">
        <v>0</v>
      </c>
      <c r="F8" s="234">
        <f t="shared" si="0"/>
        <v>5</v>
      </c>
    </row>
    <row r="9" spans="1:6">
      <c r="A9" s="265">
        <v>4</v>
      </c>
      <c r="B9" s="235" t="str">
        <f>SISWA!$B9</f>
        <v>Andrian Putra Pangestu</v>
      </c>
      <c r="C9" s="233">
        <v>2</v>
      </c>
      <c r="D9" s="233">
        <v>0</v>
      </c>
      <c r="E9" s="233">
        <v>0</v>
      </c>
      <c r="F9" s="234">
        <f t="shared" si="0"/>
        <v>2</v>
      </c>
    </row>
    <row r="10" spans="1:6">
      <c r="A10" s="265">
        <v>5</v>
      </c>
      <c r="B10" s="235" t="str">
        <f>SISWA!$B10</f>
        <v>Gresiya Suma Safitri</v>
      </c>
      <c r="C10" s="233">
        <v>5</v>
      </c>
      <c r="D10" s="233">
        <v>1</v>
      </c>
      <c r="E10" s="233">
        <v>0</v>
      </c>
      <c r="F10" s="234">
        <f t="shared" si="0"/>
        <v>6</v>
      </c>
    </row>
    <row r="11" spans="1:6">
      <c r="A11" s="265">
        <v>6</v>
      </c>
      <c r="B11" s="235" t="str">
        <f>SISWA!$B11</f>
        <v>Hasna Fathitya Sabrina</v>
      </c>
      <c r="C11" s="233">
        <v>4</v>
      </c>
      <c r="D11" s="233">
        <v>0</v>
      </c>
      <c r="E11" s="233">
        <v>0</v>
      </c>
      <c r="F11" s="234">
        <f t="shared" si="0"/>
        <v>4</v>
      </c>
    </row>
    <row r="12" spans="1:6">
      <c r="A12" s="265">
        <v>7</v>
      </c>
      <c r="B12" s="235" t="str">
        <f>SISWA!$B12</f>
        <v>Indah Fitria Ningrum</v>
      </c>
      <c r="C12" s="233">
        <v>2</v>
      </c>
      <c r="D12" s="233">
        <v>1</v>
      </c>
      <c r="E12" s="233">
        <v>0</v>
      </c>
      <c r="F12" s="234">
        <f t="shared" si="0"/>
        <v>3</v>
      </c>
    </row>
    <row r="13" spans="1:6">
      <c r="A13" s="265">
        <v>8</v>
      </c>
      <c r="B13" s="235" t="str">
        <f>SISWA!$B13</f>
        <v>Muhammad Ilham Sarifuddin</v>
      </c>
      <c r="C13" s="233">
        <v>1</v>
      </c>
      <c r="D13" s="233">
        <v>0</v>
      </c>
      <c r="E13" s="233">
        <v>0</v>
      </c>
      <c r="F13" s="234">
        <f t="shared" si="0"/>
        <v>1</v>
      </c>
    </row>
    <row r="14" spans="1:6">
      <c r="A14" s="265">
        <v>9</v>
      </c>
      <c r="B14" s="235" t="str">
        <f>SISWA!$B14</f>
        <v>Muhammad Raditya Ainul Yaqin</v>
      </c>
      <c r="C14" s="233">
        <v>1</v>
      </c>
      <c r="D14" s="233">
        <v>1</v>
      </c>
      <c r="E14" s="233">
        <v>0</v>
      </c>
      <c r="F14" s="234">
        <f t="shared" si="0"/>
        <v>2</v>
      </c>
    </row>
    <row r="15" spans="1:6">
      <c r="A15" s="265">
        <v>10</v>
      </c>
      <c r="B15" s="235" t="str">
        <f>SISWA!$B15</f>
        <v>Muhammad Shulhan Al-farisi</v>
      </c>
      <c r="C15" s="233">
        <v>3</v>
      </c>
      <c r="D15" s="233">
        <v>1</v>
      </c>
      <c r="E15" s="233">
        <v>0</v>
      </c>
      <c r="F15" s="234">
        <f t="shared" si="0"/>
        <v>4</v>
      </c>
    </row>
    <row r="16" spans="1:6">
      <c r="A16" s="265">
        <v>11</v>
      </c>
      <c r="B16" s="235" t="str">
        <f>SISWA!$B16</f>
        <v>Novaris Dwi Firmansyah</v>
      </c>
      <c r="C16" s="233">
        <v>3</v>
      </c>
      <c r="D16" s="233">
        <v>0</v>
      </c>
      <c r="E16" s="233">
        <v>0</v>
      </c>
      <c r="F16" s="234">
        <f t="shared" si="0"/>
        <v>3</v>
      </c>
    </row>
    <row r="17" spans="1:6">
      <c r="A17" s="265">
        <v>12</v>
      </c>
      <c r="B17" s="235" t="str">
        <f>SISWA!$B17</f>
        <v>Oktafiya Duwi Safitri</v>
      </c>
      <c r="C17" s="233">
        <v>2</v>
      </c>
      <c r="D17" s="233">
        <v>0</v>
      </c>
      <c r="E17" s="233">
        <v>0</v>
      </c>
      <c r="F17" s="234">
        <f t="shared" si="0"/>
        <v>2</v>
      </c>
    </row>
    <row r="18" spans="1:6">
      <c r="A18" s="265">
        <v>13</v>
      </c>
      <c r="B18" s="235" t="str">
        <f>SISWA!$B18</f>
        <v>Prastika Guntur Firmansyah</v>
      </c>
      <c r="C18" s="233">
        <v>3</v>
      </c>
      <c r="D18" s="233">
        <v>0</v>
      </c>
      <c r="E18" s="233">
        <v>0</v>
      </c>
      <c r="F18" s="234">
        <f t="shared" si="0"/>
        <v>3</v>
      </c>
    </row>
    <row r="19" spans="1:6">
      <c r="A19" s="265">
        <v>14</v>
      </c>
      <c r="B19" s="235" t="str">
        <f>SISWA!$B19</f>
        <v>Siti Musyafiani</v>
      </c>
      <c r="C19" s="233">
        <v>1</v>
      </c>
      <c r="D19" s="233">
        <v>0</v>
      </c>
      <c r="E19" s="233">
        <v>0</v>
      </c>
      <c r="F19" s="234">
        <f t="shared" si="0"/>
        <v>1</v>
      </c>
    </row>
    <row r="20" spans="1:6">
      <c r="A20" s="265">
        <v>15</v>
      </c>
      <c r="B20" s="235" t="str">
        <f>SISWA!$B20</f>
        <v>Tegar Arya Pangestu</v>
      </c>
      <c r="C20" s="233">
        <v>3</v>
      </c>
      <c r="D20" s="233">
        <v>0</v>
      </c>
      <c r="E20" s="233">
        <v>0</v>
      </c>
      <c r="F20" s="234">
        <f t="shared" si="0"/>
        <v>3</v>
      </c>
    </row>
    <row r="21" spans="1:6">
      <c r="A21" s="265">
        <v>16</v>
      </c>
      <c r="B21" s="235">
        <f>SISWA!$B21</f>
        <v>0</v>
      </c>
      <c r="C21" s="233"/>
      <c r="D21" s="233"/>
      <c r="E21" s="233"/>
      <c r="F21" s="234">
        <f t="shared" si="0"/>
        <v>0</v>
      </c>
    </row>
    <row r="22" spans="1:6">
      <c r="A22" s="265">
        <v>17</v>
      </c>
      <c r="B22" s="235">
        <f>SISWA!$B22</f>
        <v>0</v>
      </c>
      <c r="C22" s="233"/>
      <c r="D22" s="233"/>
      <c r="E22" s="233"/>
      <c r="F22" s="234">
        <f t="shared" si="0"/>
        <v>0</v>
      </c>
    </row>
    <row r="23" spans="1:6">
      <c r="A23" s="265">
        <v>18</v>
      </c>
      <c r="B23" s="235">
        <f>SISWA!$B23</f>
        <v>0</v>
      </c>
      <c r="C23" s="233"/>
      <c r="D23" s="233"/>
      <c r="E23" s="233"/>
      <c r="F23" s="234">
        <f t="shared" si="0"/>
        <v>0</v>
      </c>
    </row>
    <row r="24" spans="1:6">
      <c r="A24" s="265">
        <v>19</v>
      </c>
      <c r="B24" s="235">
        <f>SISWA!$B24</f>
        <v>0</v>
      </c>
      <c r="C24" s="233"/>
      <c r="D24" s="233"/>
      <c r="E24" s="233"/>
      <c r="F24" s="234">
        <f t="shared" si="0"/>
        <v>0</v>
      </c>
    </row>
    <row r="25" spans="1:6">
      <c r="A25" s="265">
        <v>20</v>
      </c>
      <c r="B25" s="235">
        <f>SISWA!$B25</f>
        <v>0</v>
      </c>
      <c r="C25" s="233"/>
      <c r="D25" s="233"/>
      <c r="E25" s="233"/>
      <c r="F25" s="234">
        <f t="shared" si="0"/>
        <v>0</v>
      </c>
    </row>
    <row r="26" spans="1:6">
      <c r="A26" s="265">
        <v>21</v>
      </c>
      <c r="B26" s="235">
        <f>SISWA!$B26</f>
        <v>0</v>
      </c>
      <c r="C26" s="233"/>
      <c r="D26" s="233"/>
      <c r="E26" s="233"/>
      <c r="F26" s="234">
        <f t="shared" si="0"/>
        <v>0</v>
      </c>
    </row>
    <row r="27" spans="1:6">
      <c r="A27" s="265">
        <v>22</v>
      </c>
      <c r="B27" s="235">
        <f>SISWA!$B27</f>
        <v>0</v>
      </c>
      <c r="C27" s="233"/>
      <c r="D27" s="233"/>
      <c r="E27" s="233"/>
      <c r="F27" s="234">
        <f t="shared" si="0"/>
        <v>0</v>
      </c>
    </row>
    <row r="28" spans="1:6">
      <c r="A28" s="265">
        <v>23</v>
      </c>
      <c r="B28" s="235">
        <f>SISWA!$B28</f>
        <v>0</v>
      </c>
      <c r="C28" s="233"/>
      <c r="D28" s="233"/>
      <c r="E28" s="233"/>
      <c r="F28" s="234">
        <f t="shared" si="0"/>
        <v>0</v>
      </c>
    </row>
    <row r="29" spans="1:6">
      <c r="A29" s="265">
        <v>24</v>
      </c>
      <c r="B29" s="235">
        <f>SISWA!$B29</f>
        <v>0</v>
      </c>
      <c r="C29" s="233"/>
      <c r="D29" s="233"/>
      <c r="E29" s="233"/>
      <c r="F29" s="234">
        <f t="shared" si="0"/>
        <v>0</v>
      </c>
    </row>
    <row r="30" spans="1:6">
      <c r="A30" s="265">
        <v>25</v>
      </c>
      <c r="B30" s="235">
        <f>SISWA!$B30</f>
        <v>0</v>
      </c>
      <c r="C30" s="233"/>
      <c r="D30" s="233"/>
      <c r="E30" s="233"/>
      <c r="F30" s="234">
        <f t="shared" si="0"/>
        <v>0</v>
      </c>
    </row>
    <row r="31" spans="1:6">
      <c r="A31" s="265">
        <v>26</v>
      </c>
      <c r="B31" s="235">
        <f>SISWA!$B31</f>
        <v>0</v>
      </c>
      <c r="C31" s="233"/>
      <c r="D31" s="233"/>
      <c r="E31" s="233"/>
      <c r="F31" s="234">
        <f t="shared" si="0"/>
        <v>0</v>
      </c>
    </row>
    <row r="32" spans="1:6">
      <c r="A32" s="265">
        <v>27</v>
      </c>
      <c r="B32" s="235">
        <f>SISWA!$B32</f>
        <v>0</v>
      </c>
      <c r="C32" s="233"/>
      <c r="D32" s="233"/>
      <c r="E32" s="233"/>
      <c r="F32" s="234">
        <f t="shared" si="0"/>
        <v>0</v>
      </c>
    </row>
    <row r="33" spans="1:6">
      <c r="A33" s="265">
        <v>28</v>
      </c>
      <c r="B33" s="235">
        <f>SISWA!$B33</f>
        <v>0</v>
      </c>
      <c r="C33" s="233"/>
      <c r="D33" s="233"/>
      <c r="E33" s="233"/>
      <c r="F33" s="234">
        <f t="shared" si="0"/>
        <v>0</v>
      </c>
    </row>
    <row r="34" spans="1:6">
      <c r="A34" s="265">
        <v>29</v>
      </c>
      <c r="B34" s="235">
        <f>SISWA!$B34</f>
        <v>0</v>
      </c>
      <c r="C34" s="233"/>
      <c r="D34" s="233"/>
      <c r="E34" s="233"/>
      <c r="F34" s="234">
        <f t="shared" si="0"/>
        <v>0</v>
      </c>
    </row>
    <row r="35" spans="1:6">
      <c r="A35" s="265">
        <v>30</v>
      </c>
      <c r="B35" s="235">
        <f>SISWA!$B35</f>
        <v>0</v>
      </c>
      <c r="C35" s="233"/>
      <c r="D35" s="233"/>
      <c r="E35" s="233"/>
      <c r="F35" s="234">
        <f t="shared" si="0"/>
        <v>0</v>
      </c>
    </row>
    <row r="36" spans="1:6">
      <c r="A36" s="265">
        <v>31</v>
      </c>
      <c r="B36" s="235">
        <f>SISWA!$B36</f>
        <v>0</v>
      </c>
      <c r="C36" s="233"/>
      <c r="D36" s="233"/>
      <c r="E36" s="233"/>
      <c r="F36" s="234">
        <f t="shared" si="0"/>
        <v>0</v>
      </c>
    </row>
    <row r="37" spans="1:6">
      <c r="A37" s="265">
        <v>32</v>
      </c>
      <c r="B37" s="235">
        <f>SISWA!$B37</f>
        <v>0</v>
      </c>
      <c r="C37" s="233"/>
      <c r="D37" s="233"/>
      <c r="E37" s="233"/>
      <c r="F37" s="234">
        <f t="shared" si="0"/>
        <v>0</v>
      </c>
    </row>
    <row r="38" spans="1:6">
      <c r="A38" s="265">
        <v>33</v>
      </c>
      <c r="B38" s="235">
        <f>SISWA!$B38</f>
        <v>0</v>
      </c>
      <c r="C38" s="233"/>
      <c r="D38" s="233"/>
      <c r="E38" s="233"/>
      <c r="F38" s="234">
        <f t="shared" si="0"/>
        <v>0</v>
      </c>
    </row>
    <row r="39" spans="1:6">
      <c r="A39" s="265">
        <v>34</v>
      </c>
      <c r="B39" s="235">
        <f>SISWA!$B39</f>
        <v>0</v>
      </c>
      <c r="C39" s="233"/>
      <c r="D39" s="233"/>
      <c r="E39" s="233"/>
      <c r="F39" s="234">
        <f t="shared" si="0"/>
        <v>0</v>
      </c>
    </row>
    <row r="40" spans="1:6">
      <c r="A40" s="265">
        <v>35</v>
      </c>
      <c r="B40" s="235">
        <f>SISWA!$B40</f>
        <v>0</v>
      </c>
      <c r="C40" s="233"/>
      <c r="D40" s="233"/>
      <c r="E40" s="233"/>
      <c r="F40" s="234">
        <f t="shared" si="0"/>
        <v>0</v>
      </c>
    </row>
    <row r="41" spans="1:6">
      <c r="A41" s="265">
        <v>36</v>
      </c>
      <c r="B41" s="235" t="e">
        <f>SISWA!#REF!</f>
        <v>#REF!</v>
      </c>
      <c r="C41" s="233"/>
      <c r="D41" s="233"/>
      <c r="E41" s="233"/>
      <c r="F41" s="234">
        <f t="shared" si="0"/>
        <v>0</v>
      </c>
    </row>
    <row r="42" spans="1:6">
      <c r="A42" s="265">
        <v>37</v>
      </c>
      <c r="B42" s="235" t="e">
        <f>SISWA!#REF!</f>
        <v>#REF!</v>
      </c>
      <c r="C42" s="233"/>
      <c r="D42" s="233"/>
      <c r="E42" s="233"/>
      <c r="F42" s="234">
        <f t="shared" si="0"/>
        <v>0</v>
      </c>
    </row>
    <row r="43" spans="1:6">
      <c r="A43" s="265">
        <v>38</v>
      </c>
      <c r="B43" s="235" t="e">
        <f>SISWA!#REF!</f>
        <v>#REF!</v>
      </c>
      <c r="C43" s="233"/>
      <c r="D43" s="233"/>
      <c r="E43" s="233"/>
      <c r="F43" s="234">
        <f t="shared" si="0"/>
        <v>0</v>
      </c>
    </row>
    <row r="44" spans="1:6">
      <c r="A44" s="265">
        <v>39</v>
      </c>
      <c r="B44" s="235" t="e">
        <f>SISWA!#REF!</f>
        <v>#REF!</v>
      </c>
      <c r="C44" s="233"/>
      <c r="D44" s="233"/>
      <c r="E44" s="233"/>
      <c r="F44" s="234">
        <f t="shared" si="0"/>
        <v>0</v>
      </c>
    </row>
    <row r="45" spans="1:6">
      <c r="A45" s="265">
        <v>40</v>
      </c>
      <c r="B45" s="235" t="e">
        <f>SISWA!#REF!</f>
        <v>#REF!</v>
      </c>
      <c r="C45" s="233"/>
      <c r="D45" s="233"/>
      <c r="E45" s="233"/>
      <c r="F45" s="234">
        <f t="shared" si="0"/>
        <v>0</v>
      </c>
    </row>
    <row r="46" spans="1:6"/>
    <row r="47" spans="1:6"/>
    <row r="48" spans="1:6"/>
    <row r="49"/>
  </sheetData>
  <sheetProtection sheet="1" objects="1" scenarios="1"/>
  <mergeCells count="3">
    <mergeCell ref="A4:A5"/>
    <mergeCell ref="B4:B5"/>
    <mergeCell ref="C4:F4"/>
  </mergeCells>
  <pageMargins left="0.7" right="0.7" top="0.75" bottom="0.75" header="0.3" footer="0.3"/>
  <pageSetup paperSize="256" orientation="portrait" horizontalDpi="4294967294" verticalDpi="4294967294"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FF0000"/>
  </sheetPr>
  <dimension ref="A1:GN61"/>
  <sheetViews>
    <sheetView showRowColHeaders="0" showZeros="0" workbookViewId="0">
      <pane xSplit="2" ySplit="7" topLeftCell="DG8" activePane="bottomRight" state="frozen"/>
      <selection pane="topRight" activeCell="C1" sqref="C1"/>
      <selection pane="bottomLeft" activeCell="A8" sqref="A8"/>
      <selection pane="bottomRight" activeCell="DP10" sqref="DP10"/>
    </sheetView>
  </sheetViews>
  <sheetFormatPr defaultColWidth="0" defaultRowHeight="15" zeroHeight="1"/>
  <cols>
    <col min="1" max="1" width="4.7109375" customWidth="1"/>
    <col min="2" max="2" width="31" customWidth="1"/>
    <col min="3" max="91" width="3.7109375" customWidth="1"/>
    <col min="92" max="92" width="3.7109375" hidden="1" customWidth="1"/>
    <col min="93" max="119" width="3.7109375" customWidth="1"/>
    <col min="120" max="120" width="5.7109375" customWidth="1"/>
    <col min="121" max="121" width="6.7109375" customWidth="1"/>
    <col min="122" max="122" width="130.85546875" customWidth="1"/>
    <col min="123" max="123" width="3.7109375" customWidth="1"/>
    <col min="124" max="180" width="3.7109375" hidden="1" customWidth="1"/>
    <col min="181" max="190" width="5.7109375" hidden="1" customWidth="1"/>
    <col min="191" max="191" width="15.7109375" hidden="1" customWidth="1"/>
    <col min="192" max="194" width="5.7109375" hidden="1" customWidth="1"/>
    <col min="195" max="196" width="15.7109375" hidden="1" customWidth="1"/>
    <col min="197" max="16384" width="9.140625" hidden="1"/>
  </cols>
  <sheetData>
    <row r="1" spans="1:191">
      <c r="A1" s="22"/>
      <c r="B1" s="894" t="s">
        <v>0</v>
      </c>
      <c r="C1" s="894"/>
      <c r="D1" s="894"/>
      <c r="E1" s="894"/>
      <c r="F1" s="894"/>
      <c r="G1" s="894"/>
      <c r="H1" s="894"/>
      <c r="I1" s="894"/>
      <c r="J1" s="894"/>
      <c r="K1" s="894"/>
      <c r="L1" s="894"/>
      <c r="M1" s="894"/>
      <c r="N1" s="894"/>
      <c r="O1" s="894"/>
      <c r="P1" s="894"/>
      <c r="Q1" s="894"/>
      <c r="R1" s="894"/>
      <c r="S1" s="894"/>
      <c r="T1" s="894"/>
      <c r="U1" s="894"/>
      <c r="V1" s="894"/>
      <c r="W1" s="894"/>
      <c r="X1" s="894"/>
      <c r="Y1" s="894"/>
      <c r="Z1" s="894"/>
      <c r="AA1" s="894"/>
      <c r="AB1" s="894"/>
      <c r="AC1" s="894"/>
      <c r="AD1" s="894"/>
      <c r="AE1" s="894"/>
      <c r="AF1" s="894"/>
      <c r="DP1" t="s">
        <v>1</v>
      </c>
      <c r="DQ1">
        <f>KKM!D29</f>
        <v>92</v>
      </c>
      <c r="DT1">
        <v>100</v>
      </c>
      <c r="FF1" s="4"/>
      <c r="FG1" s="4"/>
      <c r="FH1" s="4"/>
      <c r="FI1" s="4"/>
      <c r="FJ1" s="4"/>
      <c r="FK1" s="4"/>
      <c r="FL1" s="4"/>
      <c r="FM1" s="4"/>
      <c r="FN1" s="4"/>
      <c r="FO1" s="4"/>
      <c r="FP1" s="4"/>
      <c r="FQ1" s="4"/>
      <c r="FR1" s="4"/>
      <c r="FS1" s="4"/>
      <c r="FT1" s="4"/>
      <c r="FU1" s="4"/>
      <c r="FV1" s="4"/>
      <c r="FW1" s="4"/>
      <c r="FX1" s="4"/>
      <c r="FZ1" s="4"/>
      <c r="GA1" s="4"/>
      <c r="GB1" s="4"/>
      <c r="GC1" s="4"/>
      <c r="GD1" s="4"/>
      <c r="GE1" s="4"/>
      <c r="GF1" s="4"/>
      <c r="GG1" s="4"/>
      <c r="GH1" s="4"/>
      <c r="GI1" s="4"/>
    </row>
    <row r="2" spans="1:191">
      <c r="A2" s="22"/>
      <c r="B2" s="7" t="s">
        <v>3</v>
      </c>
      <c r="C2" s="1181" t="s">
        <v>190</v>
      </c>
      <c r="D2" s="996"/>
      <c r="E2" s="996"/>
      <c r="F2" s="996"/>
      <c r="G2" s="996"/>
      <c r="H2" s="996"/>
      <c r="I2" s="996"/>
      <c r="J2" s="996"/>
      <c r="K2" s="996"/>
      <c r="L2" s="996"/>
      <c r="M2" s="8"/>
      <c r="N2" s="9"/>
      <c r="O2" s="9"/>
      <c r="P2" s="9"/>
      <c r="Q2" s="9"/>
      <c r="R2" s="9"/>
      <c r="S2" s="9"/>
      <c r="T2" s="9"/>
      <c r="U2" s="9"/>
      <c r="V2" s="9"/>
      <c r="W2" s="10"/>
      <c r="X2" s="10"/>
      <c r="AD2" s="9"/>
      <c r="AE2" s="11"/>
      <c r="AF2" s="12"/>
      <c r="DP2" t="s">
        <v>2</v>
      </c>
      <c r="DQ2">
        <f>KKM!D30</f>
        <v>83</v>
      </c>
      <c r="DT2">
        <f>(DT1-DQ2)/2</f>
        <v>8.5</v>
      </c>
      <c r="FF2" s="4"/>
      <c r="FG2" s="4"/>
      <c r="FH2" s="4"/>
      <c r="FI2" s="4"/>
      <c r="FJ2" s="4"/>
      <c r="FK2" s="4"/>
      <c r="FL2" s="4"/>
      <c r="FM2" s="4"/>
      <c r="FN2" s="4"/>
      <c r="FO2" s="4"/>
      <c r="FP2" s="4"/>
      <c r="FQ2" s="4"/>
      <c r="FR2" s="4"/>
      <c r="FS2" s="4"/>
      <c r="FT2" s="4"/>
      <c r="FU2" s="4"/>
      <c r="FV2" s="4"/>
      <c r="FW2" s="4"/>
      <c r="FX2" s="4"/>
      <c r="FZ2" s="4"/>
      <c r="GA2" s="4"/>
      <c r="GB2" s="4"/>
      <c r="GC2" s="4"/>
      <c r="GD2" s="4"/>
      <c r="GE2" s="4"/>
      <c r="GF2" s="4"/>
      <c r="GG2" s="4"/>
      <c r="GH2" s="4"/>
      <c r="GI2" s="4"/>
    </row>
    <row r="3" spans="1:191" ht="15.75">
      <c r="A3" s="22"/>
      <c r="B3" s="14" t="s">
        <v>7</v>
      </c>
      <c r="C3" s="992" t="str">
        <f>MENU!N20</f>
        <v>V ( Lima )</v>
      </c>
      <c r="D3" s="992"/>
      <c r="E3" s="992"/>
      <c r="F3" s="992"/>
      <c r="G3" s="992"/>
      <c r="H3" s="992"/>
      <c r="I3" s="992"/>
      <c r="J3" s="992"/>
      <c r="K3" s="992"/>
      <c r="L3" s="992"/>
      <c r="M3" s="992"/>
      <c r="N3" s="992"/>
      <c r="O3" s="992"/>
      <c r="P3" s="992"/>
      <c r="Q3" s="992"/>
      <c r="R3" s="992"/>
      <c r="S3" s="992"/>
      <c r="T3" s="992"/>
      <c r="U3" s="9"/>
      <c r="V3" s="9"/>
      <c r="W3" s="21"/>
      <c r="X3" s="8"/>
      <c r="Y3" s="8"/>
      <c r="Z3" s="8"/>
      <c r="AA3" s="8"/>
      <c r="AB3" s="8"/>
      <c r="AC3" s="8"/>
      <c r="AD3" s="8"/>
      <c r="AE3" s="8"/>
      <c r="AG3" s="997"/>
      <c r="AH3" s="997"/>
      <c r="AI3" s="997"/>
      <c r="AJ3" s="997"/>
      <c r="AK3" s="997"/>
      <c r="AL3" s="997"/>
      <c r="AM3" s="997"/>
      <c r="AN3" s="997"/>
      <c r="AW3" s="23"/>
      <c r="DP3" t="s">
        <v>64</v>
      </c>
      <c r="DQ3">
        <f>KKM!D31</f>
        <v>75</v>
      </c>
      <c r="FF3" s="491"/>
      <c r="FG3" s="491"/>
      <c r="FH3" s="491"/>
      <c r="FI3" s="491"/>
      <c r="FJ3" s="491"/>
      <c r="FK3" s="491"/>
      <c r="FL3" s="491"/>
      <c r="FM3" s="491"/>
      <c r="FN3" s="491"/>
      <c r="FO3" s="491"/>
      <c r="FP3" s="491"/>
      <c r="FQ3" s="491"/>
      <c r="FR3" s="491"/>
      <c r="FS3" s="491"/>
      <c r="FT3" s="491"/>
      <c r="FU3" s="491"/>
      <c r="FV3" s="491"/>
      <c r="FW3" s="491"/>
      <c r="FX3" s="491"/>
      <c r="FZ3" s="26"/>
      <c r="GA3" s="26"/>
      <c r="GB3" s="26"/>
      <c r="GC3" s="26"/>
      <c r="GD3" s="26"/>
      <c r="GE3" s="26"/>
      <c r="GF3" s="26"/>
      <c r="GG3" s="26"/>
      <c r="GH3" s="26"/>
      <c r="GI3" s="2"/>
    </row>
    <row r="4" spans="1:191">
      <c r="B4" s="121" t="s">
        <v>304</v>
      </c>
      <c r="C4" s="993">
        <f>KKM!C19</f>
        <v>75</v>
      </c>
      <c r="D4" s="993"/>
      <c r="E4" s="993"/>
      <c r="F4" s="993"/>
      <c r="G4" s="993"/>
      <c r="H4" s="993"/>
      <c r="I4" s="993"/>
      <c r="J4" s="993"/>
      <c r="K4" s="993"/>
      <c r="L4" s="993"/>
      <c r="M4" s="27"/>
      <c r="N4" s="27"/>
      <c r="O4" s="27"/>
      <c r="P4" s="27"/>
      <c r="Q4" s="27"/>
      <c r="R4" s="27"/>
      <c r="S4" s="27"/>
      <c r="T4" s="27"/>
      <c r="U4" s="27"/>
      <c r="V4" s="27"/>
      <c r="W4" s="27"/>
      <c r="X4" s="27"/>
      <c r="Y4" s="27"/>
      <c r="Z4" s="27"/>
      <c r="AA4" s="27"/>
      <c r="AB4" s="27"/>
      <c r="AC4" s="27"/>
      <c r="AD4" s="27"/>
      <c r="AE4" s="27"/>
      <c r="AF4" s="27"/>
      <c r="AG4" s="27"/>
      <c r="DP4" t="s">
        <v>146</v>
      </c>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1007" t="s">
        <v>23</v>
      </c>
      <c r="FZ4" s="4"/>
      <c r="GA4" s="4"/>
      <c r="GB4" s="4"/>
      <c r="GC4" s="4"/>
      <c r="GD4" s="4"/>
      <c r="GE4" s="4"/>
      <c r="GF4" s="4"/>
      <c r="GG4" s="4"/>
      <c r="GH4" s="4"/>
      <c r="GI4" s="4"/>
    </row>
    <row r="5" spans="1:191" ht="14.1" customHeight="1">
      <c r="A5" s="900" t="s">
        <v>9</v>
      </c>
      <c r="B5" s="900" t="s">
        <v>10</v>
      </c>
      <c r="C5" s="1001" t="s">
        <v>269</v>
      </c>
      <c r="D5" s="1002"/>
      <c r="E5" s="1002"/>
      <c r="F5" s="1002"/>
      <c r="G5" s="1002"/>
      <c r="H5" s="1002"/>
      <c r="I5" s="1002"/>
      <c r="J5" s="1002"/>
      <c r="K5" s="1002"/>
      <c r="L5" s="1002"/>
      <c r="M5" s="1002"/>
      <c r="N5" s="1002"/>
      <c r="O5" s="1002"/>
      <c r="P5" s="1002"/>
      <c r="Q5" s="1002"/>
      <c r="R5" s="1002"/>
      <c r="S5" s="1002"/>
      <c r="T5" s="1174"/>
      <c r="U5" s="964" t="s">
        <v>270</v>
      </c>
      <c r="V5" s="965"/>
      <c r="W5" s="965"/>
      <c r="X5" s="965"/>
      <c r="Y5" s="965"/>
      <c r="Z5" s="965"/>
      <c r="AA5" s="965"/>
      <c r="AB5" s="965"/>
      <c r="AC5" s="965"/>
      <c r="AD5" s="965"/>
      <c r="AE5" s="965"/>
      <c r="AF5" s="965"/>
      <c r="AG5" s="965"/>
      <c r="AH5" s="965"/>
      <c r="AI5" s="965"/>
      <c r="AJ5" s="965"/>
      <c r="AK5" s="965"/>
      <c r="AL5" s="970"/>
      <c r="AM5" s="1001" t="s">
        <v>271</v>
      </c>
      <c r="AN5" s="1002"/>
      <c r="AO5" s="1002"/>
      <c r="AP5" s="1002"/>
      <c r="AQ5" s="1002"/>
      <c r="AR5" s="1002"/>
      <c r="AS5" s="1002"/>
      <c r="AT5" s="1002"/>
      <c r="AU5" s="1002"/>
      <c r="AV5" s="1002"/>
      <c r="AW5" s="1002"/>
      <c r="AX5" s="1002"/>
      <c r="AY5" s="1002"/>
      <c r="AZ5" s="1002"/>
      <c r="BA5" s="1002"/>
      <c r="BB5" s="1002"/>
      <c r="BC5" s="1002"/>
      <c r="BD5" s="1174"/>
      <c r="BE5" s="964" t="s">
        <v>272</v>
      </c>
      <c r="BF5" s="965"/>
      <c r="BG5" s="965"/>
      <c r="BH5" s="965"/>
      <c r="BI5" s="965"/>
      <c r="BJ5" s="965"/>
      <c r="BK5" s="965"/>
      <c r="BL5" s="965"/>
      <c r="BM5" s="965"/>
      <c r="BN5" s="965"/>
      <c r="BO5" s="965"/>
      <c r="BP5" s="965"/>
      <c r="BQ5" s="965"/>
      <c r="BR5" s="965"/>
      <c r="BS5" s="965"/>
      <c r="BT5" s="965"/>
      <c r="BU5" s="965"/>
      <c r="BV5" s="970"/>
      <c r="BW5" s="1001" t="s">
        <v>61</v>
      </c>
      <c r="BX5" s="1002"/>
      <c r="BY5" s="1002"/>
      <c r="BZ5" s="1002"/>
      <c r="CA5" s="1002"/>
      <c r="CB5" s="1002"/>
      <c r="CC5" s="1002"/>
      <c r="CD5" s="1002"/>
      <c r="CE5" s="1002"/>
      <c r="CF5" s="1002"/>
      <c r="CG5" s="1002"/>
      <c r="CH5" s="1002"/>
      <c r="CI5" s="1002"/>
      <c r="CJ5" s="1002"/>
      <c r="CK5" s="1002"/>
      <c r="CL5" s="1002"/>
      <c r="CM5" s="1002"/>
      <c r="CN5" s="1174"/>
      <c r="CO5" s="956" t="s">
        <v>13</v>
      </c>
      <c r="CP5" s="957"/>
      <c r="CQ5" s="957"/>
      <c r="CR5" s="957"/>
      <c r="CS5" s="957"/>
      <c r="CT5" s="957"/>
      <c r="CU5" s="957"/>
      <c r="CV5" s="957"/>
      <c r="CW5" s="958"/>
      <c r="CX5" s="1178" t="s">
        <v>379</v>
      </c>
      <c r="CY5" s="1179"/>
      <c r="CZ5" s="1179"/>
      <c r="DA5" s="1179"/>
      <c r="DB5" s="1179"/>
      <c r="DC5" s="1179"/>
      <c r="DD5" s="1179"/>
      <c r="DE5" s="1179"/>
      <c r="DF5" s="1180"/>
      <c r="DG5" s="1175" t="s">
        <v>378</v>
      </c>
      <c r="DH5" s="1176"/>
      <c r="DI5" s="1176"/>
      <c r="DJ5" s="1176"/>
      <c r="DK5" s="1176"/>
      <c r="DL5" s="1176"/>
      <c r="DM5" s="1176"/>
      <c r="DN5" s="1176"/>
      <c r="DO5" s="1177"/>
      <c r="DP5" s="28" t="s">
        <v>14</v>
      </c>
      <c r="DQ5" s="1018" t="s">
        <v>15</v>
      </c>
      <c r="DR5" s="1169" t="s">
        <v>16</v>
      </c>
      <c r="DS5" s="281"/>
      <c r="DT5" s="493"/>
      <c r="DU5" s="1027" t="s">
        <v>380</v>
      </c>
      <c r="DV5" s="1028"/>
      <c r="DW5" s="1028"/>
      <c r="DX5" s="1028"/>
      <c r="DY5" s="1028"/>
      <c r="DZ5" s="1028"/>
      <c r="EA5" s="1028"/>
      <c r="EB5" s="1028"/>
      <c r="EC5" s="1028"/>
      <c r="ED5" s="1029"/>
      <c r="EE5" s="1024"/>
      <c r="EF5" s="4"/>
      <c r="EG5" s="990" t="s">
        <v>17</v>
      </c>
      <c r="EH5" s="991"/>
      <c r="EI5" s="991"/>
      <c r="EJ5" s="991"/>
      <c r="EK5" s="991"/>
      <c r="EL5" s="991"/>
      <c r="EM5" s="991"/>
      <c r="EN5" s="991"/>
      <c r="EO5" s="991"/>
      <c r="EP5" s="31"/>
      <c r="EQ5" s="31"/>
      <c r="ER5" s="31"/>
      <c r="ES5" s="31"/>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1008"/>
      <c r="FZ5" s="4"/>
      <c r="GA5" s="4"/>
      <c r="GB5" s="4"/>
      <c r="GC5" s="4"/>
      <c r="GD5" s="4"/>
      <c r="GE5" s="4"/>
      <c r="GF5" s="4"/>
      <c r="GG5" s="4"/>
      <c r="GH5" s="4"/>
      <c r="GI5" s="4"/>
    </row>
    <row r="6" spans="1:191" ht="25.5" customHeight="1">
      <c r="A6" s="900"/>
      <c r="B6" s="900"/>
      <c r="C6" s="1003" t="s">
        <v>380</v>
      </c>
      <c r="D6" s="1004"/>
      <c r="E6" s="1004"/>
      <c r="F6" s="1004"/>
      <c r="G6" s="1004"/>
      <c r="H6" s="1004"/>
      <c r="I6" s="1004"/>
      <c r="J6" s="1004"/>
      <c r="K6" s="1172"/>
      <c r="L6" s="1005" t="s">
        <v>275</v>
      </c>
      <c r="M6" s="1006"/>
      <c r="N6" s="1006"/>
      <c r="O6" s="1006"/>
      <c r="P6" s="1006"/>
      <c r="Q6" s="1006"/>
      <c r="R6" s="1006"/>
      <c r="S6" s="1006"/>
      <c r="T6" s="1173"/>
      <c r="U6" s="1003" t="s">
        <v>380</v>
      </c>
      <c r="V6" s="1004"/>
      <c r="W6" s="1004"/>
      <c r="X6" s="1004"/>
      <c r="Y6" s="1004"/>
      <c r="Z6" s="1004"/>
      <c r="AA6" s="1004"/>
      <c r="AB6" s="1004"/>
      <c r="AC6" s="1172"/>
      <c r="AD6" s="1005" t="s">
        <v>275</v>
      </c>
      <c r="AE6" s="1006"/>
      <c r="AF6" s="1006"/>
      <c r="AG6" s="1006"/>
      <c r="AH6" s="1006"/>
      <c r="AI6" s="1006"/>
      <c r="AJ6" s="1006"/>
      <c r="AK6" s="1006"/>
      <c r="AL6" s="1173"/>
      <c r="AM6" s="1003" t="s">
        <v>380</v>
      </c>
      <c r="AN6" s="1004"/>
      <c r="AO6" s="1004"/>
      <c r="AP6" s="1004"/>
      <c r="AQ6" s="1004"/>
      <c r="AR6" s="1004"/>
      <c r="AS6" s="1004"/>
      <c r="AT6" s="1004"/>
      <c r="AU6" s="1172"/>
      <c r="AV6" s="1005" t="s">
        <v>275</v>
      </c>
      <c r="AW6" s="1006"/>
      <c r="AX6" s="1006"/>
      <c r="AY6" s="1006"/>
      <c r="AZ6" s="1006"/>
      <c r="BA6" s="1006"/>
      <c r="BB6" s="1006"/>
      <c r="BC6" s="1006"/>
      <c r="BD6" s="1173"/>
      <c r="BE6" s="1003" t="s">
        <v>380</v>
      </c>
      <c r="BF6" s="1004"/>
      <c r="BG6" s="1004"/>
      <c r="BH6" s="1004"/>
      <c r="BI6" s="1004"/>
      <c r="BJ6" s="1004"/>
      <c r="BK6" s="1004"/>
      <c r="BL6" s="1004"/>
      <c r="BM6" s="1172"/>
      <c r="BN6" s="1005" t="s">
        <v>275</v>
      </c>
      <c r="BO6" s="1006"/>
      <c r="BP6" s="1006"/>
      <c r="BQ6" s="1006"/>
      <c r="BR6" s="1006"/>
      <c r="BS6" s="1006"/>
      <c r="BT6" s="1006"/>
      <c r="BU6" s="1006"/>
      <c r="BV6" s="1173"/>
      <c r="BW6" s="1003" t="s">
        <v>380</v>
      </c>
      <c r="BX6" s="1004"/>
      <c r="BY6" s="1004"/>
      <c r="BZ6" s="1004"/>
      <c r="CA6" s="1004"/>
      <c r="CB6" s="1004"/>
      <c r="CC6" s="1004"/>
      <c r="CD6" s="1004"/>
      <c r="CE6" s="1172"/>
      <c r="CF6" s="1005" t="s">
        <v>275</v>
      </c>
      <c r="CG6" s="1006"/>
      <c r="CH6" s="1006"/>
      <c r="CI6" s="1006"/>
      <c r="CJ6" s="1006"/>
      <c r="CK6" s="1006"/>
      <c r="CL6" s="1006"/>
      <c r="CM6" s="1006"/>
      <c r="CN6" s="1173"/>
      <c r="CO6" s="32" t="s">
        <v>19</v>
      </c>
      <c r="CP6" s="32" t="s">
        <v>19</v>
      </c>
      <c r="CQ6" s="32" t="s">
        <v>19</v>
      </c>
      <c r="CR6" s="32" t="s">
        <v>19</v>
      </c>
      <c r="CS6" s="32" t="s">
        <v>19</v>
      </c>
      <c r="CT6" s="32" t="s">
        <v>19</v>
      </c>
      <c r="CU6" s="32" t="s">
        <v>19</v>
      </c>
      <c r="CV6" s="32" t="s">
        <v>19</v>
      </c>
      <c r="CW6" s="32" t="s">
        <v>19</v>
      </c>
      <c r="CX6" s="551" t="s">
        <v>19</v>
      </c>
      <c r="CY6" s="551" t="s">
        <v>19</v>
      </c>
      <c r="CZ6" s="551" t="s">
        <v>19</v>
      </c>
      <c r="DA6" s="551" t="s">
        <v>19</v>
      </c>
      <c r="DB6" s="551" t="s">
        <v>19</v>
      </c>
      <c r="DC6" s="551" t="s">
        <v>19</v>
      </c>
      <c r="DD6" s="551" t="s">
        <v>19</v>
      </c>
      <c r="DE6" s="551" t="s">
        <v>19</v>
      </c>
      <c r="DF6" s="551" t="s">
        <v>19</v>
      </c>
      <c r="DG6" s="32" t="s">
        <v>19</v>
      </c>
      <c r="DH6" s="32" t="s">
        <v>19</v>
      </c>
      <c r="DI6" s="32" t="s">
        <v>19</v>
      </c>
      <c r="DJ6" s="32" t="s">
        <v>19</v>
      </c>
      <c r="DK6" s="32" t="s">
        <v>19</v>
      </c>
      <c r="DL6" s="32" t="s">
        <v>19</v>
      </c>
      <c r="DM6" s="32" t="s">
        <v>19</v>
      </c>
      <c r="DN6" s="32" t="s">
        <v>19</v>
      </c>
      <c r="DO6" s="32" t="s">
        <v>19</v>
      </c>
      <c r="DP6" s="33"/>
      <c r="DQ6" s="1019"/>
      <c r="DR6" s="1170"/>
      <c r="DS6" s="281"/>
      <c r="DT6" s="493"/>
      <c r="DU6" s="32" t="s">
        <v>19</v>
      </c>
      <c r="DV6" s="32" t="s">
        <v>19</v>
      </c>
      <c r="DW6" s="32" t="s">
        <v>19</v>
      </c>
      <c r="DX6" s="32" t="s">
        <v>19</v>
      </c>
      <c r="DY6" s="32" t="s">
        <v>19</v>
      </c>
      <c r="DZ6" s="32" t="s">
        <v>19</v>
      </c>
      <c r="EA6" s="32" t="s">
        <v>19</v>
      </c>
      <c r="EB6" s="32"/>
      <c r="EC6" s="32"/>
      <c r="ED6" s="32"/>
      <c r="EE6" s="1025"/>
      <c r="EF6" s="4"/>
      <c r="EG6" s="36" t="str">
        <f>A45</f>
        <v>3.1</v>
      </c>
      <c r="EH6" s="36" t="str">
        <f>A46</f>
        <v>3.2</v>
      </c>
      <c r="EI6" s="36" t="str">
        <f>A47</f>
        <v>3.3</v>
      </c>
      <c r="EJ6" s="36" t="str">
        <f>A48</f>
        <v>3.4</v>
      </c>
      <c r="EK6" s="36" t="str">
        <f>A49</f>
        <v>3.5</v>
      </c>
      <c r="EL6" s="36" t="str">
        <f>A50</f>
        <v>3.6</v>
      </c>
      <c r="EM6" s="36" t="str">
        <f>A51</f>
        <v>3.7</v>
      </c>
      <c r="EN6" s="36" t="str">
        <f>A52</f>
        <v>3.8</v>
      </c>
      <c r="EO6" s="36" t="str">
        <f>A53</f>
        <v>3.9</v>
      </c>
      <c r="EP6" s="36"/>
      <c r="EQ6" s="37"/>
      <c r="ER6" s="37"/>
      <c r="ES6" s="37"/>
      <c r="ET6" s="4"/>
      <c r="EU6" s="4"/>
      <c r="EV6" s="987" t="str">
        <f>B45</f>
        <v>menentukan pokok pikiran dalam teks lisan dan tulis</v>
      </c>
      <c r="EW6" s="987" t="str">
        <f>B46</f>
        <v>mengklasifikasi informasi yang didapat dari buku ke dalam aspek: apa, di mana, kapan, siapa, mengapa, dan bagaimana</v>
      </c>
      <c r="EX6" s="987" t="str">
        <f>B47</f>
        <v>meringkas teks penjelasan (eksplanasi) dari media cetak atau elektronik</v>
      </c>
      <c r="EY6" s="987" t="str">
        <f>B48</f>
        <v>enganalisis informasi yang disampaikan paparan iklan dari media cetak atau elektronik</v>
      </c>
      <c r="EZ6" s="987" t="str">
        <f>B49</f>
        <v>menggali informasi penting dari teks narasi sejarah yang disajikan secara lisan dan tulis menggunakan aspek: apa, di mana, kapan, siapa, mengapa, dan bagaimana</v>
      </c>
      <c r="FA6" s="987" t="str">
        <f>IFERROR((B50)," ")</f>
        <v>menggali isi dan amanat pantun yang disajikan secara lisan dan tulis dengan tujuan untuk kesenangan</v>
      </c>
      <c r="FB6" s="987" t="str">
        <f>B51</f>
        <v>menguraikan konsep-konsep yang saling berkaitan pada teks nonfiksi</v>
      </c>
      <c r="FC6" s="989" t="str">
        <f>B52</f>
        <v>menguraikan urutan peristiwa atau tindakan yang terdapat pada teks nonfiksi</v>
      </c>
      <c r="FD6" s="989" t="str">
        <f>B53</f>
        <v>mencermati penggunaan kalimat efektif dan ejaan dalam surat undangan (ulang tahun, kegiatan sekolah, kenaikan kelas, dll.)</v>
      </c>
      <c r="FE6" s="989">
        <f>B54</f>
        <v>0</v>
      </c>
      <c r="FF6" s="37"/>
      <c r="FG6" s="978" t="s">
        <v>24</v>
      </c>
      <c r="FH6" s="38"/>
      <c r="FI6" s="1016" t="s">
        <v>21</v>
      </c>
      <c r="FK6" s="981" t="str">
        <f>EV6</f>
        <v>menentukan pokok pikiran dalam teks lisan dan tulis</v>
      </c>
      <c r="FL6" s="981" t="str">
        <f t="shared" ref="FL6:FT6" si="0">EW6</f>
        <v>mengklasifikasi informasi yang didapat dari buku ke dalam aspek: apa, di mana, kapan, siapa, mengapa, dan bagaimana</v>
      </c>
      <c r="FM6" s="981" t="str">
        <f t="shared" si="0"/>
        <v>meringkas teks penjelasan (eksplanasi) dari media cetak atau elektronik</v>
      </c>
      <c r="FN6" s="981" t="str">
        <f t="shared" si="0"/>
        <v>enganalisis informasi yang disampaikan paparan iklan dari media cetak atau elektronik</v>
      </c>
      <c r="FO6" s="981" t="str">
        <f t="shared" si="0"/>
        <v>menggali informasi penting dari teks narasi sejarah yang disajikan secara lisan dan tulis menggunakan aspek: apa, di mana, kapan, siapa, mengapa, dan bagaimana</v>
      </c>
      <c r="FP6" s="981" t="str">
        <f t="shared" si="0"/>
        <v>menggali isi dan amanat pantun yang disajikan secara lisan dan tulis dengan tujuan untuk kesenangan</v>
      </c>
      <c r="FQ6" s="981" t="str">
        <f t="shared" si="0"/>
        <v>menguraikan konsep-konsep yang saling berkaitan pada teks nonfiksi</v>
      </c>
      <c r="FR6" s="981" t="str">
        <f t="shared" si="0"/>
        <v>menguraikan urutan peristiwa atau tindakan yang terdapat pada teks nonfiksi</v>
      </c>
      <c r="FS6" s="981" t="str">
        <f t="shared" si="0"/>
        <v>mencermati penggunaan kalimat efektif dan ejaan dalam surat undangan (ulang tahun, kegiatan sekolah, kenaikan kelas, dll.)</v>
      </c>
      <c r="FT6" s="981">
        <f t="shared" si="0"/>
        <v>0</v>
      </c>
      <c r="FU6" s="1012" t="s">
        <v>25</v>
      </c>
      <c r="FV6" s="1013" t="s">
        <v>381</v>
      </c>
      <c r="FW6" s="39"/>
      <c r="FX6" s="1008"/>
      <c r="FZ6" s="981" t="str">
        <f t="shared" ref="FZ6:GD6" si="1">"perlu bimbingan dalam "&amp;FK6</f>
        <v>perlu bimbingan dalam menentukan pokok pikiran dalam teks lisan dan tulis</v>
      </c>
      <c r="GA6" s="981" t="str">
        <f t="shared" si="1"/>
        <v>perlu bimbingan dalam mengklasifikasi informasi yang didapat dari buku ke dalam aspek: apa, di mana, kapan, siapa, mengapa, dan bagaimana</v>
      </c>
      <c r="GB6" s="981" t="str">
        <f t="shared" si="1"/>
        <v>perlu bimbingan dalam meringkas teks penjelasan (eksplanasi) dari media cetak atau elektronik</v>
      </c>
      <c r="GC6" s="981" t="str">
        <f t="shared" si="1"/>
        <v>perlu bimbingan dalam enganalisis informasi yang disampaikan paparan iklan dari media cetak atau elektronik</v>
      </c>
      <c r="GD6" s="981" t="str">
        <f t="shared" si="1"/>
        <v>perlu bimbingan dalam menggali informasi penting dari teks narasi sejarah yang disajikan secara lisan dan tulis menggunakan aspek: apa, di mana, kapan, siapa, mengapa, dan bagaimana</v>
      </c>
      <c r="GE6" s="1012" t="s">
        <v>22</v>
      </c>
      <c r="GG6" s="39"/>
      <c r="GH6" s="40" t="s">
        <v>23</v>
      </c>
      <c r="GI6" s="4"/>
    </row>
    <row r="7" spans="1:191" ht="24.75">
      <c r="A7" s="900"/>
      <c r="B7" s="900"/>
      <c r="C7" s="42" t="str">
        <f>A45</f>
        <v>3.1</v>
      </c>
      <c r="D7" s="42" t="str">
        <f>A46</f>
        <v>3.2</v>
      </c>
      <c r="E7" s="42" t="str">
        <f>A47</f>
        <v>3.3</v>
      </c>
      <c r="F7" s="42" t="str">
        <f>A48</f>
        <v>3.4</v>
      </c>
      <c r="G7" s="42" t="str">
        <f>A49</f>
        <v>3.5</v>
      </c>
      <c r="H7" s="42" t="str">
        <f>A50</f>
        <v>3.6</v>
      </c>
      <c r="I7" s="42" t="str">
        <f>A51</f>
        <v>3.7</v>
      </c>
      <c r="J7" s="42" t="str">
        <f>A52</f>
        <v>3.8</v>
      </c>
      <c r="K7" s="42" t="str">
        <f>A53</f>
        <v>3.9</v>
      </c>
      <c r="L7" s="752" t="str">
        <f t="shared" ref="L7:BV7" si="2">C7</f>
        <v>3.1</v>
      </c>
      <c r="M7" s="752" t="str">
        <f t="shared" si="2"/>
        <v>3.2</v>
      </c>
      <c r="N7" s="752" t="str">
        <f t="shared" si="2"/>
        <v>3.3</v>
      </c>
      <c r="O7" s="752" t="str">
        <f t="shared" si="2"/>
        <v>3.4</v>
      </c>
      <c r="P7" s="752" t="str">
        <f t="shared" si="2"/>
        <v>3.5</v>
      </c>
      <c r="Q7" s="752" t="str">
        <f t="shared" si="2"/>
        <v>3.6</v>
      </c>
      <c r="R7" s="752" t="str">
        <f t="shared" si="2"/>
        <v>3.7</v>
      </c>
      <c r="S7" s="752" t="str">
        <f t="shared" si="2"/>
        <v>3.8</v>
      </c>
      <c r="T7" s="752" t="str">
        <f t="shared" si="2"/>
        <v>3.9</v>
      </c>
      <c r="U7" s="42" t="str">
        <f t="shared" si="2"/>
        <v>3.1</v>
      </c>
      <c r="V7" s="42" t="str">
        <f t="shared" si="2"/>
        <v>3.2</v>
      </c>
      <c r="W7" s="42" t="str">
        <f t="shared" si="2"/>
        <v>3.3</v>
      </c>
      <c r="X7" s="42" t="str">
        <f t="shared" si="2"/>
        <v>3.4</v>
      </c>
      <c r="Y7" s="42" t="str">
        <f t="shared" si="2"/>
        <v>3.5</v>
      </c>
      <c r="Z7" s="42" t="str">
        <f t="shared" si="2"/>
        <v>3.6</v>
      </c>
      <c r="AA7" s="42" t="str">
        <f t="shared" si="2"/>
        <v>3.7</v>
      </c>
      <c r="AB7" s="42" t="str">
        <f t="shared" si="2"/>
        <v>3.8</v>
      </c>
      <c r="AC7" s="42" t="str">
        <f t="shared" si="2"/>
        <v>3.9</v>
      </c>
      <c r="AD7" s="752" t="str">
        <f t="shared" si="2"/>
        <v>3.1</v>
      </c>
      <c r="AE7" s="752" t="str">
        <f t="shared" si="2"/>
        <v>3.2</v>
      </c>
      <c r="AF7" s="752" t="str">
        <f t="shared" si="2"/>
        <v>3.3</v>
      </c>
      <c r="AG7" s="752" t="str">
        <f t="shared" si="2"/>
        <v>3.4</v>
      </c>
      <c r="AH7" s="752" t="str">
        <f t="shared" si="2"/>
        <v>3.5</v>
      </c>
      <c r="AI7" s="752" t="str">
        <f t="shared" si="2"/>
        <v>3.6</v>
      </c>
      <c r="AJ7" s="752" t="str">
        <f t="shared" si="2"/>
        <v>3.7</v>
      </c>
      <c r="AK7" s="752" t="str">
        <f t="shared" si="2"/>
        <v>3.8</v>
      </c>
      <c r="AL7" s="752" t="str">
        <f t="shared" si="2"/>
        <v>3.9</v>
      </c>
      <c r="AM7" s="42" t="str">
        <f t="shared" si="2"/>
        <v>3.1</v>
      </c>
      <c r="AN7" s="42" t="str">
        <f t="shared" si="2"/>
        <v>3.2</v>
      </c>
      <c r="AO7" s="42" t="str">
        <f t="shared" si="2"/>
        <v>3.3</v>
      </c>
      <c r="AP7" s="42" t="str">
        <f t="shared" si="2"/>
        <v>3.4</v>
      </c>
      <c r="AQ7" s="42" t="str">
        <f t="shared" si="2"/>
        <v>3.5</v>
      </c>
      <c r="AR7" s="42" t="str">
        <f t="shared" si="2"/>
        <v>3.6</v>
      </c>
      <c r="AS7" s="42" t="str">
        <f t="shared" si="2"/>
        <v>3.7</v>
      </c>
      <c r="AT7" s="42" t="str">
        <f t="shared" si="2"/>
        <v>3.8</v>
      </c>
      <c r="AU7" s="42" t="str">
        <f t="shared" si="2"/>
        <v>3.9</v>
      </c>
      <c r="AV7" s="752" t="str">
        <f t="shared" si="2"/>
        <v>3.1</v>
      </c>
      <c r="AW7" s="752" t="str">
        <f t="shared" si="2"/>
        <v>3.2</v>
      </c>
      <c r="AX7" s="752" t="str">
        <f t="shared" si="2"/>
        <v>3.3</v>
      </c>
      <c r="AY7" s="752" t="str">
        <f t="shared" si="2"/>
        <v>3.4</v>
      </c>
      <c r="AZ7" s="752" t="str">
        <f t="shared" si="2"/>
        <v>3.5</v>
      </c>
      <c r="BA7" s="752" t="str">
        <f t="shared" si="2"/>
        <v>3.6</v>
      </c>
      <c r="BB7" s="752" t="str">
        <f t="shared" si="2"/>
        <v>3.7</v>
      </c>
      <c r="BC7" s="752" t="str">
        <f t="shared" si="2"/>
        <v>3.8</v>
      </c>
      <c r="BD7" s="752" t="str">
        <f t="shared" si="2"/>
        <v>3.9</v>
      </c>
      <c r="BE7" s="42" t="str">
        <f t="shared" si="2"/>
        <v>3.1</v>
      </c>
      <c r="BF7" s="42" t="str">
        <f t="shared" si="2"/>
        <v>3.2</v>
      </c>
      <c r="BG7" s="42" t="str">
        <f t="shared" si="2"/>
        <v>3.3</v>
      </c>
      <c r="BH7" s="42" t="str">
        <f t="shared" si="2"/>
        <v>3.4</v>
      </c>
      <c r="BI7" s="42" t="str">
        <f t="shared" si="2"/>
        <v>3.5</v>
      </c>
      <c r="BJ7" s="42" t="str">
        <f t="shared" si="2"/>
        <v>3.6</v>
      </c>
      <c r="BK7" s="42" t="str">
        <f t="shared" si="2"/>
        <v>3.7</v>
      </c>
      <c r="BL7" s="42" t="str">
        <f t="shared" si="2"/>
        <v>3.8</v>
      </c>
      <c r="BM7" s="42" t="str">
        <f t="shared" si="2"/>
        <v>3.9</v>
      </c>
      <c r="BN7" s="752" t="str">
        <f t="shared" si="2"/>
        <v>3.1</v>
      </c>
      <c r="BO7" s="752" t="str">
        <f t="shared" si="2"/>
        <v>3.2</v>
      </c>
      <c r="BP7" s="752" t="str">
        <f t="shared" si="2"/>
        <v>3.3</v>
      </c>
      <c r="BQ7" s="752" t="str">
        <f t="shared" si="2"/>
        <v>3.4</v>
      </c>
      <c r="BR7" s="752" t="str">
        <f t="shared" si="2"/>
        <v>3.5</v>
      </c>
      <c r="BS7" s="752" t="str">
        <f t="shared" si="2"/>
        <v>3.6</v>
      </c>
      <c r="BT7" s="752" t="str">
        <f t="shared" si="2"/>
        <v>3.7</v>
      </c>
      <c r="BU7" s="752" t="str">
        <f t="shared" si="2"/>
        <v>3.8</v>
      </c>
      <c r="BV7" s="752" t="str">
        <f t="shared" si="2"/>
        <v>3.9</v>
      </c>
      <c r="BW7" s="42" t="str">
        <f t="shared" ref="BW7" si="3">BN7</f>
        <v>3.1</v>
      </c>
      <c r="BX7" s="42" t="str">
        <f t="shared" ref="BX7" si="4">BO7</f>
        <v>3.2</v>
      </c>
      <c r="BY7" s="42" t="str">
        <f t="shared" ref="BY7" si="5">BP7</f>
        <v>3.3</v>
      </c>
      <c r="BZ7" s="42" t="str">
        <f t="shared" ref="BZ7" si="6">BQ7</f>
        <v>3.4</v>
      </c>
      <c r="CA7" s="42" t="str">
        <f t="shared" ref="CA7" si="7">BR7</f>
        <v>3.5</v>
      </c>
      <c r="CB7" s="42" t="str">
        <f t="shared" ref="CB7" si="8">BS7</f>
        <v>3.6</v>
      </c>
      <c r="CC7" s="42" t="str">
        <f t="shared" ref="CC7" si="9">BT7</f>
        <v>3.7</v>
      </c>
      <c r="CD7" s="42" t="str">
        <f t="shared" ref="CD7" si="10">BU7</f>
        <v>3.8</v>
      </c>
      <c r="CE7" s="42" t="str">
        <f t="shared" ref="CE7" si="11">BV7</f>
        <v>3.9</v>
      </c>
      <c r="CF7" s="752" t="str">
        <f t="shared" ref="CF7" si="12">BW7</f>
        <v>3.1</v>
      </c>
      <c r="CG7" s="752" t="str">
        <f t="shared" ref="CG7" si="13">BX7</f>
        <v>3.2</v>
      </c>
      <c r="CH7" s="752" t="str">
        <f t="shared" ref="CH7" si="14">BY7</f>
        <v>3.3</v>
      </c>
      <c r="CI7" s="752" t="str">
        <f t="shared" ref="CI7" si="15">BZ7</f>
        <v>3.4</v>
      </c>
      <c r="CJ7" s="752" t="str">
        <f t="shared" ref="CJ7" si="16">CA7</f>
        <v>3.5</v>
      </c>
      <c r="CK7" s="752" t="str">
        <f t="shared" ref="CK7" si="17">CB7</f>
        <v>3.6</v>
      </c>
      <c r="CL7" s="752" t="str">
        <f t="shared" ref="CL7" si="18">CC7</f>
        <v>3.7</v>
      </c>
      <c r="CM7" s="752" t="str">
        <f t="shared" ref="CM7" si="19">CD7</f>
        <v>3.8</v>
      </c>
      <c r="CN7" s="42" t="str">
        <f t="shared" ref="CN7" si="20">CE7</f>
        <v>3.9</v>
      </c>
      <c r="CO7" s="43" t="str">
        <f>BN7</f>
        <v>3.1</v>
      </c>
      <c r="CP7" s="43" t="str">
        <f t="shared" ref="CP7:CW7" si="21">BO7</f>
        <v>3.2</v>
      </c>
      <c r="CQ7" s="43" t="str">
        <f t="shared" si="21"/>
        <v>3.3</v>
      </c>
      <c r="CR7" s="43" t="str">
        <f t="shared" si="21"/>
        <v>3.4</v>
      </c>
      <c r="CS7" s="43" t="str">
        <f t="shared" si="21"/>
        <v>3.5</v>
      </c>
      <c r="CT7" s="43" t="str">
        <f t="shared" si="21"/>
        <v>3.6</v>
      </c>
      <c r="CU7" s="43" t="str">
        <f t="shared" si="21"/>
        <v>3.7</v>
      </c>
      <c r="CV7" s="43" t="str">
        <f t="shared" si="21"/>
        <v>3.8</v>
      </c>
      <c r="CW7" s="43" t="str">
        <f t="shared" si="21"/>
        <v>3.9</v>
      </c>
      <c r="CX7" s="552" t="str">
        <f>BW7</f>
        <v>3.1</v>
      </c>
      <c r="CY7" s="552" t="str">
        <f t="shared" ref="CY7" si="22">BX7</f>
        <v>3.2</v>
      </c>
      <c r="CZ7" s="552" t="str">
        <f t="shared" ref="CZ7" si="23">BY7</f>
        <v>3.3</v>
      </c>
      <c r="DA7" s="552" t="str">
        <f t="shared" ref="DA7" si="24">BZ7</f>
        <v>3.4</v>
      </c>
      <c r="DB7" s="552" t="str">
        <f t="shared" ref="DB7" si="25">CA7</f>
        <v>3.5</v>
      </c>
      <c r="DC7" s="552" t="str">
        <f t="shared" ref="DC7" si="26">CB7</f>
        <v>3.6</v>
      </c>
      <c r="DD7" s="552" t="str">
        <f t="shared" ref="DD7" si="27">CC7</f>
        <v>3.7</v>
      </c>
      <c r="DE7" s="552" t="str">
        <f t="shared" ref="DE7" si="28">CD7</f>
        <v>3.8</v>
      </c>
      <c r="DF7" s="552" t="str">
        <f t="shared" ref="DF7" si="29">CE7</f>
        <v>3.9</v>
      </c>
      <c r="DG7" s="43" t="str">
        <f>BW7</f>
        <v>3.1</v>
      </c>
      <c r="DH7" s="43" t="str">
        <f t="shared" ref="DH7" si="30">BX7</f>
        <v>3.2</v>
      </c>
      <c r="DI7" s="43" t="str">
        <f t="shared" ref="DI7" si="31">BY7</f>
        <v>3.3</v>
      </c>
      <c r="DJ7" s="43" t="str">
        <f t="shared" ref="DJ7" si="32">BZ7</f>
        <v>3.4</v>
      </c>
      <c r="DK7" s="43" t="str">
        <f t="shared" ref="DK7" si="33">CA7</f>
        <v>3.5</v>
      </c>
      <c r="DL7" s="43" t="str">
        <f t="shared" ref="DL7" si="34">CB7</f>
        <v>3.6</v>
      </c>
      <c r="DM7" s="43" t="str">
        <f t="shared" ref="DM7" si="35">CC7</f>
        <v>3.7</v>
      </c>
      <c r="DN7" s="43" t="str">
        <f t="shared" ref="DN7" si="36">CD7</f>
        <v>3.8</v>
      </c>
      <c r="DO7" s="43" t="str">
        <f t="shared" ref="DO7" si="37">CE7</f>
        <v>3.9</v>
      </c>
      <c r="DP7" s="44"/>
      <c r="DQ7" s="1020"/>
      <c r="DR7" s="1171"/>
      <c r="DS7" s="281"/>
      <c r="DT7" s="493"/>
      <c r="DU7" s="43" t="str">
        <f>A45</f>
        <v>3.1</v>
      </c>
      <c r="DV7" s="43" t="str">
        <f>A46</f>
        <v>3.2</v>
      </c>
      <c r="DW7" s="43" t="str">
        <f>A47</f>
        <v>3.3</v>
      </c>
      <c r="DX7" s="43" t="str">
        <f>A48</f>
        <v>3.4</v>
      </c>
      <c r="DY7" s="43" t="str">
        <f>A49</f>
        <v>3.5</v>
      </c>
      <c r="DZ7" s="43" t="str">
        <f>A50</f>
        <v>3.6</v>
      </c>
      <c r="EA7" s="43" t="str">
        <f>A51</f>
        <v>3.7</v>
      </c>
      <c r="EB7" s="43" t="str">
        <f>A52</f>
        <v>3.8</v>
      </c>
      <c r="EC7" s="43" t="str">
        <f>A53</f>
        <v>3.9</v>
      </c>
      <c r="ED7" s="43"/>
      <c r="EE7" s="1026"/>
      <c r="EF7" s="4"/>
      <c r="EG7" s="46"/>
      <c r="EH7" s="46"/>
      <c r="EI7" s="46"/>
      <c r="EJ7" s="46"/>
      <c r="EK7" s="46"/>
      <c r="EL7" s="46"/>
      <c r="EM7" s="46"/>
      <c r="EN7" s="46"/>
      <c r="EO7" s="46"/>
      <c r="EP7" s="46"/>
      <c r="EQ7" s="47"/>
      <c r="ER7" s="48" t="s">
        <v>24</v>
      </c>
      <c r="ES7" s="48" t="s">
        <v>25</v>
      </c>
      <c r="EU7" s="49"/>
      <c r="EV7" s="988"/>
      <c r="EW7" s="988"/>
      <c r="EX7" s="988"/>
      <c r="EY7" s="988"/>
      <c r="EZ7" s="988"/>
      <c r="FA7" s="988"/>
      <c r="FB7" s="988"/>
      <c r="FC7" s="989"/>
      <c r="FD7" s="989"/>
      <c r="FE7" s="989"/>
      <c r="FF7" s="49"/>
      <c r="FG7" s="1015"/>
      <c r="FH7" s="38"/>
      <c r="FI7" s="1017"/>
      <c r="FK7" s="981"/>
      <c r="FL7" s="981"/>
      <c r="FM7" s="981"/>
      <c r="FN7" s="981"/>
      <c r="FO7" s="981"/>
      <c r="FP7" s="981"/>
      <c r="FQ7" s="981"/>
      <c r="FR7" s="981"/>
      <c r="FS7" s="981"/>
      <c r="FT7" s="981"/>
      <c r="FU7" s="1012"/>
      <c r="FV7" s="1014"/>
      <c r="FX7" s="1009"/>
      <c r="FZ7" s="981"/>
      <c r="GA7" s="981"/>
      <c r="GB7" s="981"/>
      <c r="GC7" s="981"/>
      <c r="GD7" s="981"/>
      <c r="GE7" s="1012"/>
      <c r="GH7" s="49"/>
      <c r="GI7" s="4"/>
    </row>
    <row r="8" spans="1:191" s="63" customFormat="1" ht="30" customHeight="1">
      <c r="A8" s="258">
        <v>1</v>
      </c>
      <c r="B8" s="283" t="str">
        <f>SISWA!B6</f>
        <v>Afif Rafiudin</v>
      </c>
      <c r="C8" s="259">
        <v>75</v>
      </c>
      <c r="D8" s="259"/>
      <c r="E8" s="259"/>
      <c r="F8" s="259"/>
      <c r="G8" s="259"/>
      <c r="H8" s="259"/>
      <c r="I8" s="259"/>
      <c r="J8" s="259"/>
      <c r="K8" s="259"/>
      <c r="L8" s="256">
        <v>75</v>
      </c>
      <c r="M8" s="256"/>
      <c r="N8" s="256"/>
      <c r="O8" s="256"/>
      <c r="P8" s="256"/>
      <c r="Q8" s="256"/>
      <c r="R8" s="256"/>
      <c r="S8" s="256"/>
      <c r="T8" s="256"/>
      <c r="U8" s="259"/>
      <c r="V8" s="259">
        <v>100</v>
      </c>
      <c r="W8" s="259"/>
      <c r="X8" s="259"/>
      <c r="Y8" s="259"/>
      <c r="Z8" s="259"/>
      <c r="AA8" s="259"/>
      <c r="AB8" s="259"/>
      <c r="AC8" s="259"/>
      <c r="AD8" s="256"/>
      <c r="AE8" s="256">
        <v>87</v>
      </c>
      <c r="AF8" s="256"/>
      <c r="AG8" s="256"/>
      <c r="AH8" s="256"/>
      <c r="AI8" s="256"/>
      <c r="AJ8" s="256"/>
      <c r="AK8" s="256"/>
      <c r="AL8" s="256"/>
      <c r="AM8" s="259"/>
      <c r="AN8" s="259"/>
      <c r="AO8" s="259"/>
      <c r="AP8" s="259">
        <v>75</v>
      </c>
      <c r="AQ8" s="259"/>
      <c r="AR8" s="259"/>
      <c r="AS8" s="259"/>
      <c r="AT8" s="259"/>
      <c r="AU8" s="259"/>
      <c r="AV8" s="256"/>
      <c r="AW8" s="256"/>
      <c r="AX8" s="256"/>
      <c r="AY8" s="256">
        <v>80</v>
      </c>
      <c r="AZ8" s="256"/>
      <c r="BA8" s="256"/>
      <c r="BB8" s="256"/>
      <c r="BC8" s="256"/>
      <c r="BD8" s="256"/>
      <c r="BE8" s="259"/>
      <c r="BF8" s="259">
        <v>75</v>
      </c>
      <c r="BG8" s="259"/>
      <c r="BH8" s="259"/>
      <c r="BI8" s="259"/>
      <c r="BJ8" s="259">
        <v>87</v>
      </c>
      <c r="BK8" s="259"/>
      <c r="BL8" s="259"/>
      <c r="BM8" s="259"/>
      <c r="BN8" s="256"/>
      <c r="BO8" s="256">
        <v>75</v>
      </c>
      <c r="BP8" s="256"/>
      <c r="BQ8" s="256"/>
      <c r="BR8" s="256"/>
      <c r="BS8" s="256">
        <v>93</v>
      </c>
      <c r="BT8" s="256"/>
      <c r="BU8" s="256"/>
      <c r="BV8" s="256"/>
      <c r="BW8" s="460"/>
      <c r="BX8" s="460"/>
      <c r="BY8" s="460"/>
      <c r="BZ8" s="460"/>
      <c r="CA8" s="460"/>
      <c r="CB8" s="460"/>
      <c r="CC8" s="460">
        <v>87</v>
      </c>
      <c r="CD8" s="460"/>
      <c r="CE8" s="460"/>
      <c r="CF8" s="346"/>
      <c r="CG8" s="346"/>
      <c r="CH8" s="346"/>
      <c r="CI8" s="346"/>
      <c r="CJ8" s="346"/>
      <c r="CK8" s="346"/>
      <c r="CL8" s="346">
        <v>75</v>
      </c>
      <c r="CM8" s="346"/>
      <c r="CN8" s="346"/>
      <c r="CO8" s="260">
        <f>IFERROR(AVERAGE(C8,L8,U8,AD8,AM8,AV8,BE8,BN8,BW8,CF8)," ")</f>
        <v>75</v>
      </c>
      <c r="CP8" s="260">
        <f t="shared" ref="CP8:CW8" si="38">IFERROR(AVERAGE(D8,M8,V8,AE8,AN8,AW8,BF8,BO8,BX8,CG8)," ")</f>
        <v>84.25</v>
      </c>
      <c r="CQ8" s="260" t="str">
        <f t="shared" si="38"/>
        <v xml:space="preserve"> </v>
      </c>
      <c r="CR8" s="260">
        <f t="shared" si="38"/>
        <v>77.5</v>
      </c>
      <c r="CS8" s="260" t="str">
        <f t="shared" si="38"/>
        <v xml:space="preserve"> </v>
      </c>
      <c r="CT8" s="260">
        <f t="shared" si="38"/>
        <v>90</v>
      </c>
      <c r="CU8" s="260">
        <f t="shared" si="38"/>
        <v>81</v>
      </c>
      <c r="CV8" s="260" t="str">
        <f t="shared" si="38"/>
        <v xml:space="preserve"> </v>
      </c>
      <c r="CW8" s="260" t="str">
        <f t="shared" si="38"/>
        <v xml:space="preserve"> </v>
      </c>
      <c r="CX8" s="547">
        <v>75</v>
      </c>
      <c r="CY8" s="547">
        <v>85</v>
      </c>
      <c r="CZ8" s="547"/>
      <c r="DA8" s="547"/>
      <c r="DB8" s="547"/>
      <c r="DC8" s="547"/>
      <c r="DD8" s="547"/>
      <c r="DE8" s="547"/>
      <c r="DF8" s="547"/>
      <c r="DG8" s="548">
        <v>75</v>
      </c>
      <c r="DH8" s="548">
        <v>75</v>
      </c>
      <c r="DI8" s="548"/>
      <c r="DJ8" s="548">
        <v>83</v>
      </c>
      <c r="DK8" s="548"/>
      <c r="DL8" s="548">
        <v>75</v>
      </c>
      <c r="DM8" s="548">
        <v>75</v>
      </c>
      <c r="DN8" s="548"/>
      <c r="DO8" s="548"/>
      <c r="DP8" s="550">
        <f>IFERROR(EQ8," ")</f>
        <v>80</v>
      </c>
      <c r="DQ8" s="291" t="str">
        <f>IF(DP8&gt;100,"  ",IF(DP8&gt;=DQ$1,"A",IF(DP8&gt;=DQ$2,"B",IF(DP8&gt;=DQ$3,"C",IF(DP8&gt;=1,"D","")))))</f>
        <v>C</v>
      </c>
      <c r="DR8" s="553" t="str">
        <f>IFERROR(FX8," ")</f>
        <v>Ananda Afif baik dalam menggali isi dan amanat pantun yang disajikan secara lisan dan tulis dengan tujuan untuk kesenangan, cukup dalam menentukan pokok pikiran dalam teks lisan dan tulis</v>
      </c>
      <c r="DS8" s="282"/>
      <c r="DT8" s="51"/>
      <c r="DU8" s="46">
        <f>CO8</f>
        <v>75</v>
      </c>
      <c r="DV8" s="46">
        <f t="shared" ref="DV8:EC8" si="39">CP8</f>
        <v>84.25</v>
      </c>
      <c r="DW8" s="46" t="str">
        <f t="shared" si="39"/>
        <v xml:space="preserve"> </v>
      </c>
      <c r="DX8" s="46">
        <f t="shared" si="39"/>
        <v>77.5</v>
      </c>
      <c r="DY8" s="46" t="str">
        <f t="shared" si="39"/>
        <v xml:space="preserve"> </v>
      </c>
      <c r="DZ8" s="46">
        <f t="shared" si="39"/>
        <v>90</v>
      </c>
      <c r="EA8" s="46">
        <f t="shared" si="39"/>
        <v>81</v>
      </c>
      <c r="EB8" s="46" t="str">
        <f t="shared" si="39"/>
        <v xml:space="preserve"> </v>
      </c>
      <c r="EC8" s="46" t="str">
        <f t="shared" si="39"/>
        <v xml:space="preserve"> </v>
      </c>
      <c r="ED8" s="46"/>
      <c r="EE8" s="52">
        <f>[2]uts!J7</f>
        <v>72</v>
      </c>
      <c r="EF8" s="51"/>
      <c r="EG8" s="53">
        <f>IFERROR(AVERAGE(CO8,CX8,DG8,DU8),"  ")</f>
        <v>75</v>
      </c>
      <c r="EH8" s="53">
        <f t="shared" ref="EH8:EO8" si="40">IFERROR(AVERAGE(CP8,CY8,DH8,DV8),"  ")</f>
        <v>82.125</v>
      </c>
      <c r="EI8" s="53" t="str">
        <f t="shared" si="40"/>
        <v xml:space="preserve">  </v>
      </c>
      <c r="EJ8" s="53">
        <f t="shared" si="40"/>
        <v>79.333333333333329</v>
      </c>
      <c r="EK8" s="53" t="str">
        <f t="shared" si="40"/>
        <v xml:space="preserve">  </v>
      </c>
      <c r="EL8" s="53">
        <f t="shared" si="40"/>
        <v>85</v>
      </c>
      <c r="EM8" s="53">
        <f t="shared" si="40"/>
        <v>79</v>
      </c>
      <c r="EN8" s="53" t="str">
        <f t="shared" si="40"/>
        <v xml:space="preserve">  </v>
      </c>
      <c r="EO8" s="53" t="str">
        <f t="shared" si="40"/>
        <v xml:space="preserve">  </v>
      </c>
      <c r="EP8" s="53"/>
      <c r="EQ8" s="52">
        <f>IFERROR(ROUND(AVERAGE(EG8:EP8),0)," ")</f>
        <v>80</v>
      </c>
      <c r="ER8" s="55">
        <f>MAX(EG8:EP8)</f>
        <v>85</v>
      </c>
      <c r="ES8" s="55">
        <f>MIN(EG8:EP8)</f>
        <v>75</v>
      </c>
      <c r="ET8" s="51" t="str">
        <f>SISWA!E6</f>
        <v>Afif</v>
      </c>
      <c r="EU8" s="51" t="str">
        <f>IF(FF8&gt;1,"Ananda "&amp;ET8&amp;" ","")</f>
        <v xml:space="preserve">Ananda Afif </v>
      </c>
      <c r="EV8" s="56" t="str">
        <f t="shared" ref="EV8:FD8" si="41">IF(EG8=$ER8,$ER8,"")</f>
        <v/>
      </c>
      <c r="EW8" s="57" t="str">
        <f t="shared" si="41"/>
        <v/>
      </c>
      <c r="EX8" s="57" t="str">
        <f t="shared" si="41"/>
        <v/>
      </c>
      <c r="EY8" s="57" t="str">
        <f t="shared" si="41"/>
        <v/>
      </c>
      <c r="EZ8" s="57" t="str">
        <f t="shared" si="41"/>
        <v/>
      </c>
      <c r="FA8" s="57">
        <f t="shared" si="41"/>
        <v>85</v>
      </c>
      <c r="FB8" s="57" t="str">
        <f t="shared" si="41"/>
        <v/>
      </c>
      <c r="FC8" s="57" t="str">
        <f t="shared" si="41"/>
        <v/>
      </c>
      <c r="FD8" s="57" t="str">
        <f t="shared" si="41"/>
        <v/>
      </c>
      <c r="FE8" s="57"/>
      <c r="FF8" s="58">
        <f>SUM(EV8:FE8)</f>
        <v>85</v>
      </c>
      <c r="FG8" s="55" t="str">
        <f>LOOKUP(ER8,(EV8:FE8),($EV$6:$FE$6))</f>
        <v>menggali isi dan amanat pantun yang disajikan secara lisan dan tulis dengan tujuan untuk kesenangan</v>
      </c>
      <c r="FH8" s="58"/>
      <c r="FI8" s="59" t="str">
        <f>IF(ER8&gt;100,"",IF(ER8&gt;DQ$1,"sangat baik dalam "&amp;FG8,IF(ER8&gt;=DQ$2,"baik dalam "&amp;FG8,IF(ER8&gt;=DQ$3,"cukup dalam "&amp;FG8,IF(ER8&lt;DQ$3,"dengan bimbingan dapat meningkatkan dalam "&amp;FG8,IF(ER8&lt;1," ",””))))))</f>
        <v>baik dalam menggali isi dan amanat pantun yang disajikan secara lisan dan tulis dengan tujuan untuk kesenangan</v>
      </c>
      <c r="FJ8" s="58"/>
      <c r="FK8" s="57">
        <f t="shared" ref="FK8:FS8" si="42">IF(EG8=$ES8,$ES8,"")</f>
        <v>75</v>
      </c>
      <c r="FL8" s="57" t="str">
        <f t="shared" si="42"/>
        <v/>
      </c>
      <c r="FM8" s="57" t="str">
        <f t="shared" si="42"/>
        <v/>
      </c>
      <c r="FN8" s="57" t="str">
        <f t="shared" si="42"/>
        <v/>
      </c>
      <c r="FO8" s="57" t="str">
        <f t="shared" si="42"/>
        <v/>
      </c>
      <c r="FP8" s="57" t="str">
        <f t="shared" si="42"/>
        <v/>
      </c>
      <c r="FQ8" s="57" t="str">
        <f t="shared" si="42"/>
        <v/>
      </c>
      <c r="FR8" s="57" t="str">
        <f t="shared" si="42"/>
        <v/>
      </c>
      <c r="FS8" s="57" t="str">
        <f t="shared" si="42"/>
        <v/>
      </c>
      <c r="FT8" s="57"/>
      <c r="FU8" s="59" t="str">
        <f>LOOKUP(ES8,(FK8:FT8),($FK$6:$FT$6))</f>
        <v>menentukan pokok pikiran dalam teks lisan dan tulis</v>
      </c>
      <c r="FV8" s="59" t="str">
        <f>IF(ES8&gt;100,"",IF(ES8&gt;DQ$1,"sangat baik dalam "&amp;FU8,IF(ES8&gt;=DQ$2,"baik dalam "&amp;FU8,IF(ES8&gt;=DQ$3,"cukup dalam "&amp;FU8,IF(ES8&lt;DQ$3,"dengan bimbingan dapat meningkatkan dalam "&amp;FU8,IF(ES8&lt;1," ",””))))))</f>
        <v>cukup dalam menentukan pokok pikiran dalam teks lisan dan tulis</v>
      </c>
      <c r="FW8" s="61"/>
      <c r="FX8" s="62" t="str">
        <f>CONCATENATE(EU8&amp;FI8&amp;", "&amp;FV8)</f>
        <v>Ananda Afif baik dalam menggali isi dan amanat pantun yang disajikan secara lisan dan tulis dengan tujuan untuk kesenangan, cukup dalam menentukan pokok pikiran dalam teks lisan dan tulis</v>
      </c>
      <c r="FY8"/>
      <c r="FZ8" s="57" t="str">
        <f t="shared" ref="FZ8:FZ42" si="43">IF(EV8=$FC8,$FC8,"")</f>
        <v/>
      </c>
      <c r="GA8" s="57" t="str">
        <f t="shared" ref="GA8:GA42" si="44">IF(EW8=$FC8,$FC8,"")</f>
        <v/>
      </c>
      <c r="GB8" s="57"/>
      <c r="GC8" s="57"/>
      <c r="GD8" s="57"/>
      <c r="GE8" s="59" t="str">
        <f t="shared" ref="GE8:GE42" si="45">LOOKUP(FC8,(FU8:GD8),($FU$6:$GD$6))</f>
        <v>perlu bimbingan dalam mengklasifikasi informasi yang didapat dari buku ke dalam aspek: apa, di mana, kapan, siapa, mengapa, dan bagaimana</v>
      </c>
      <c r="GF8" s="60"/>
      <c r="GG8" s="61"/>
      <c r="GH8" s="62" t="str">
        <f>CONCATENATE(FS8&amp;", "&amp;GE8)</f>
        <v>, perlu bimbingan dalam mengklasifikasi informasi yang didapat dari buku ke dalam aspek: apa, di mana, kapan, siapa, mengapa, dan bagaimana</v>
      </c>
      <c r="GI8" s="51"/>
    </row>
    <row r="9" spans="1:191" ht="42" customHeight="1">
      <c r="A9" s="39">
        <v>2</v>
      </c>
      <c r="B9" s="283" t="str">
        <f>SISWA!B7</f>
        <v>Ahmad Faiq Athaya</v>
      </c>
      <c r="C9" s="123">
        <v>87</v>
      </c>
      <c r="D9" s="123"/>
      <c r="E9" s="123"/>
      <c r="F9" s="123"/>
      <c r="G9" s="123"/>
      <c r="H9" s="123"/>
      <c r="I9" s="123"/>
      <c r="J9" s="123"/>
      <c r="K9" s="123"/>
      <c r="L9" s="256">
        <v>80</v>
      </c>
      <c r="M9" s="256"/>
      <c r="N9" s="256"/>
      <c r="O9" s="256"/>
      <c r="P9" s="256"/>
      <c r="Q9" s="256"/>
      <c r="R9" s="256"/>
      <c r="S9" s="256"/>
      <c r="T9" s="256"/>
      <c r="U9" s="123"/>
      <c r="V9" s="123">
        <v>80</v>
      </c>
      <c r="W9" s="123"/>
      <c r="X9" s="123"/>
      <c r="Y9" s="123"/>
      <c r="Z9" s="123"/>
      <c r="AA9" s="123"/>
      <c r="AB9" s="123"/>
      <c r="AC9" s="123"/>
      <c r="AD9" s="256"/>
      <c r="AE9" s="256">
        <v>93</v>
      </c>
      <c r="AF9" s="256"/>
      <c r="AG9" s="256"/>
      <c r="AH9" s="256"/>
      <c r="AI9" s="256"/>
      <c r="AJ9" s="256"/>
      <c r="AK9" s="256"/>
      <c r="AL9" s="256"/>
      <c r="AM9" s="123"/>
      <c r="AN9" s="123"/>
      <c r="AO9" s="123"/>
      <c r="AP9" s="123">
        <v>87</v>
      </c>
      <c r="AQ9" s="123"/>
      <c r="AR9" s="123"/>
      <c r="AS9" s="123"/>
      <c r="AT9" s="123"/>
      <c r="AU9" s="123"/>
      <c r="AV9" s="256"/>
      <c r="AW9" s="256"/>
      <c r="AX9" s="256"/>
      <c r="AY9" s="256">
        <v>80</v>
      </c>
      <c r="AZ9" s="256"/>
      <c r="BA9" s="256"/>
      <c r="BB9" s="256"/>
      <c r="BC9" s="256"/>
      <c r="BD9" s="256"/>
      <c r="BE9" s="123"/>
      <c r="BF9" s="123">
        <v>93</v>
      </c>
      <c r="BG9" s="123"/>
      <c r="BH9" s="123"/>
      <c r="BI9" s="123"/>
      <c r="BJ9" s="123">
        <v>80</v>
      </c>
      <c r="BK9" s="123"/>
      <c r="BL9" s="123"/>
      <c r="BM9" s="123"/>
      <c r="BN9" s="256"/>
      <c r="BO9" s="256">
        <v>93</v>
      </c>
      <c r="BP9" s="256"/>
      <c r="BQ9" s="256"/>
      <c r="BR9" s="256"/>
      <c r="BS9" s="256">
        <v>100</v>
      </c>
      <c r="BT9" s="256"/>
      <c r="BU9" s="256"/>
      <c r="BV9" s="256"/>
      <c r="BW9" s="460"/>
      <c r="BX9" s="460"/>
      <c r="BY9" s="460"/>
      <c r="BZ9" s="460"/>
      <c r="CA9" s="460"/>
      <c r="CB9" s="460"/>
      <c r="CC9" s="460">
        <v>100</v>
      </c>
      <c r="CD9" s="460"/>
      <c r="CE9" s="460"/>
      <c r="CF9" s="346"/>
      <c r="CG9" s="346"/>
      <c r="CH9" s="346"/>
      <c r="CI9" s="346"/>
      <c r="CJ9" s="346"/>
      <c r="CK9" s="346"/>
      <c r="CL9" s="346">
        <v>87</v>
      </c>
      <c r="CM9" s="346"/>
      <c r="CN9" s="346"/>
      <c r="CO9" s="260">
        <f t="shared" ref="CO9:CO42" si="46">IFERROR(AVERAGE(C9,L9,U9,AD9,AM9,AV9,BE9,BN9,BW9,CF9)," ")</f>
        <v>83.5</v>
      </c>
      <c r="CP9" s="260">
        <f t="shared" ref="CP9:CP42" si="47">IFERROR(AVERAGE(D9,M9,V9,AE9,AN9,AW9,BF9,BO9,BX9,CG9)," ")</f>
        <v>89.75</v>
      </c>
      <c r="CQ9" s="260" t="str">
        <f t="shared" ref="CQ9:CQ42" si="48">IFERROR(AVERAGE(E9,N9,W9,AF9,AO9,AX9,BG9,BP9,BY9,CH9)," ")</f>
        <v xml:space="preserve"> </v>
      </c>
      <c r="CR9" s="260">
        <f t="shared" ref="CR9:CR42" si="49">IFERROR(AVERAGE(F9,O9,X9,AG9,AP9,AY9,BH9,BQ9,BZ9,CI9)," ")</f>
        <v>83.5</v>
      </c>
      <c r="CS9" s="260" t="str">
        <f t="shared" ref="CS9:CS42" si="50">IFERROR(AVERAGE(G9,P9,Y9,AH9,AQ9,AZ9,BI9,BR9,CA9,CJ9)," ")</f>
        <v xml:space="preserve"> </v>
      </c>
      <c r="CT9" s="260">
        <f t="shared" ref="CT9:CT42" si="51">IFERROR(AVERAGE(H9,Q9,Z9,AI9,AR9,BA9,BJ9,BS9,CB9,CK9)," ")</f>
        <v>90</v>
      </c>
      <c r="CU9" s="260">
        <f t="shared" ref="CU9:CU42" si="52">IFERROR(AVERAGE(I9,R9,AA9,AJ9,AS9,BB9,BK9,BT9,CC9,CL9)," ")</f>
        <v>93.5</v>
      </c>
      <c r="CV9" s="260" t="str">
        <f t="shared" ref="CV9:CV42" si="53">IFERROR(AVERAGE(J9,S9,AB9,AK9,AT9,BC9,BL9,BU9,CD9,CM9)," ")</f>
        <v xml:space="preserve"> </v>
      </c>
      <c r="CW9" s="260" t="str">
        <f t="shared" ref="CW9:CW42" si="54">IFERROR(AVERAGE(K9,T9,AC9,AL9,AU9,BD9,BM9,BV9,CE9,CN9)," ")</f>
        <v xml:space="preserve"> </v>
      </c>
      <c r="CX9" s="547">
        <v>87</v>
      </c>
      <c r="CY9" s="547">
        <v>85</v>
      </c>
      <c r="CZ9" s="547"/>
      <c r="DA9" s="547"/>
      <c r="DB9" s="547"/>
      <c r="DC9" s="547"/>
      <c r="DD9" s="547"/>
      <c r="DE9" s="547"/>
      <c r="DF9" s="547"/>
      <c r="DG9" s="548">
        <v>80</v>
      </c>
      <c r="DH9" s="548">
        <v>96</v>
      </c>
      <c r="DI9" s="548"/>
      <c r="DJ9" s="548">
        <v>90</v>
      </c>
      <c r="DK9" s="548"/>
      <c r="DL9" s="548">
        <v>80</v>
      </c>
      <c r="DM9" s="548">
        <v>89</v>
      </c>
      <c r="DN9" s="548"/>
      <c r="DO9" s="548"/>
      <c r="DP9" s="550">
        <f t="shared" ref="DP9:DP42" si="55">IFERROR(EQ9," ")</f>
        <v>88</v>
      </c>
      <c r="DQ9" s="291" t="str">
        <f t="shared" ref="DQ9:DQ42" si="56">IF(DP9&gt;100,"  ",IF(DP9&gt;=DQ$1,"A",IF(DP9&gt;=DQ$2,"B",IF(DP9&gt;=DQ$3,"C",IF(DP9&gt;=1,"D","")))))</f>
        <v>B</v>
      </c>
      <c r="DR9" s="553" t="str">
        <f t="shared" ref="DR9:DR42" si="57">IFERROR(FX9," ")</f>
        <v>Ananda Athaya baik dalam menguraikan konsep-konsep yang saling berkaitan pada teks nonfiksi, baik dalam menentukan pokok pikiran dalam teks lisan dan tulis</v>
      </c>
      <c r="DS9" s="282"/>
      <c r="DT9" s="51"/>
      <c r="DU9" s="46">
        <f t="shared" ref="DU9:DU42" si="58">CO9</f>
        <v>83.5</v>
      </c>
      <c r="DV9" s="46">
        <f t="shared" ref="DV9:DV42" si="59">CP9</f>
        <v>89.75</v>
      </c>
      <c r="DW9" s="46" t="str">
        <f t="shared" ref="DW9:DW42" si="60">CQ9</f>
        <v xml:space="preserve"> </v>
      </c>
      <c r="DX9" s="46">
        <f t="shared" ref="DX9:DX42" si="61">CR9</f>
        <v>83.5</v>
      </c>
      <c r="DY9" s="46" t="str">
        <f t="shared" ref="DY9:DY42" si="62">CS9</f>
        <v xml:space="preserve"> </v>
      </c>
      <c r="DZ9" s="46">
        <f t="shared" ref="DZ9:DZ42" si="63">CT9</f>
        <v>90</v>
      </c>
      <c r="EA9" s="46">
        <f t="shared" ref="EA9:EA42" si="64">CU9</f>
        <v>93.5</v>
      </c>
      <c r="EB9" s="46" t="str">
        <f t="shared" ref="EB9:EB42" si="65">CV9</f>
        <v xml:space="preserve"> </v>
      </c>
      <c r="EC9" s="46" t="str">
        <f t="shared" ref="EC9:EC42" si="66">CW9</f>
        <v xml:space="preserve"> </v>
      </c>
      <c r="ED9" s="46"/>
      <c r="EE9" s="52">
        <f>[2]uts!J8</f>
        <v>73.666666666666671</v>
      </c>
      <c r="EF9" s="51"/>
      <c r="EG9" s="53">
        <f t="shared" ref="EG9:EG42" si="67">IFERROR(AVERAGE(CO9,CX9,DG9,DU9),"  ")</f>
        <v>83.5</v>
      </c>
      <c r="EH9" s="53">
        <f t="shared" ref="EH9:EH42" si="68">IFERROR(AVERAGE(CP9,CY9,DH9,DV9),"  ")</f>
        <v>90.125</v>
      </c>
      <c r="EI9" s="53" t="str">
        <f t="shared" ref="EI9:EI42" si="69">IFERROR(AVERAGE(CQ9,CZ9,DI9,DW9),"  ")</f>
        <v xml:space="preserve">  </v>
      </c>
      <c r="EJ9" s="53">
        <f t="shared" ref="EJ9:EJ42" si="70">IFERROR(AVERAGE(CR9,DA9,DJ9,DX9),"  ")</f>
        <v>85.666666666666671</v>
      </c>
      <c r="EK9" s="53" t="str">
        <f t="shared" ref="EK9:EK42" si="71">IFERROR(AVERAGE(CS9,DB9,DK9,DY9),"  ")</f>
        <v xml:space="preserve">  </v>
      </c>
      <c r="EL9" s="53">
        <f t="shared" ref="EL9:EL42" si="72">IFERROR(AVERAGE(CT9,DC9,DL9,DZ9),"  ")</f>
        <v>86.666666666666671</v>
      </c>
      <c r="EM9" s="53">
        <f t="shared" ref="EM9:EM42" si="73">IFERROR(AVERAGE(CU9,DD9,DM9,EA9),"  ")</f>
        <v>92</v>
      </c>
      <c r="EN9" s="53" t="str">
        <f t="shared" ref="EN9:EN42" si="74">IFERROR(AVERAGE(CV9,DE9,DN9,EB9),"  ")</f>
        <v xml:space="preserve">  </v>
      </c>
      <c r="EO9" s="53" t="str">
        <f t="shared" ref="EO9:EO42" si="75">IFERROR(AVERAGE(CW9,DF9,DO9,EC9),"  ")</f>
        <v xml:space="preserve">  </v>
      </c>
      <c r="EP9" s="53"/>
      <c r="EQ9" s="52">
        <f t="shared" ref="EQ9:EQ42" si="76">IFERROR(ROUND(AVERAGE(EG9:EP9),0)," ")</f>
        <v>88</v>
      </c>
      <c r="ER9" s="55">
        <f t="shared" ref="ER9:ER42" si="77">MAX(EG9:EP9)</f>
        <v>92</v>
      </c>
      <c r="ES9" s="55">
        <f t="shared" ref="ES9:ES42" si="78">MIN(EG9:EP9)</f>
        <v>83.5</v>
      </c>
      <c r="ET9" s="51" t="str">
        <f>SISWA!E7</f>
        <v>Athaya</v>
      </c>
      <c r="EU9" s="51" t="str">
        <f t="shared" ref="EU9:EU42" si="79">IF(FF9&gt;1,"Ananda "&amp;ET9&amp;" ","")</f>
        <v xml:space="preserve">Ananda Athaya </v>
      </c>
      <c r="EV9" s="56" t="str">
        <f t="shared" ref="EV9:EV42" si="80">IF(EG9=$ER9,$ER9,"")</f>
        <v/>
      </c>
      <c r="EW9" s="57" t="str">
        <f t="shared" ref="EW9:EW42" si="81">IF(EH9=$ER9,$ER9,"")</f>
        <v/>
      </c>
      <c r="EX9" s="57" t="str">
        <f t="shared" ref="EX9:EX42" si="82">IF(EI9=$ER9,$ER9,"")</f>
        <v/>
      </c>
      <c r="EY9" s="57" t="str">
        <f t="shared" ref="EY9:EY42" si="83">IF(EJ9=$ER9,$ER9,"")</f>
        <v/>
      </c>
      <c r="EZ9" s="57" t="str">
        <f t="shared" ref="EZ9:EZ42" si="84">IF(EK9=$ER9,$ER9,"")</f>
        <v/>
      </c>
      <c r="FA9" s="57" t="str">
        <f t="shared" ref="FA9:FA42" si="85">IF(EL9=$ER9,$ER9,"")</f>
        <v/>
      </c>
      <c r="FB9" s="57">
        <f t="shared" ref="FB9:FB42" si="86">IF(EM9=$ER9,$ER9,"")</f>
        <v>92</v>
      </c>
      <c r="FC9" s="57" t="str">
        <f t="shared" ref="FC9:FC42" si="87">IF(EN9=$ER9,$ER9,"")</f>
        <v/>
      </c>
      <c r="FD9" s="57" t="str">
        <f t="shared" ref="FD9:FD42" si="88">IF(EO9=$ER9,$ER9,"")</f>
        <v/>
      </c>
      <c r="FE9" s="57"/>
      <c r="FF9" s="58">
        <f t="shared" ref="FF9:FF42" si="89">SUM(EV9:FE9)</f>
        <v>92</v>
      </c>
      <c r="FG9" s="55" t="str">
        <f t="shared" ref="FG9:FG42" si="90">LOOKUP(ER9,(EV9:FE9),($EV$6:$FE$6))</f>
        <v>menguraikan konsep-konsep yang saling berkaitan pada teks nonfiksi</v>
      </c>
      <c r="FH9" s="58"/>
      <c r="FI9" s="59" t="str">
        <f>IF(ER9&gt;100,"",IF(ER9&gt;DQ$1,"sangat baik dalam "&amp;FG9,IF(ER9&gt;=DQ$2,"baik dalam "&amp;FG9,IF(ER9&gt;=DQ$3,"cukup dalam "&amp;FG9,IF(ER9&lt;DQ$3,"dengan bimbingan dapat meningkatkan dalam "&amp;FG9,IF(ER9&lt;1," ",””))))))</f>
        <v>baik dalam menguraikan konsep-konsep yang saling berkaitan pada teks nonfiksi</v>
      </c>
      <c r="FJ9" s="58"/>
      <c r="FK9" s="57">
        <f t="shared" ref="FK9:FK42" si="91">IF(EG9=$ES9,$ES9,"")</f>
        <v>83.5</v>
      </c>
      <c r="FL9" s="57" t="str">
        <f t="shared" ref="FL9:FL42" si="92">IF(EH9=$ES9,$ES9,"")</f>
        <v/>
      </c>
      <c r="FM9" s="57" t="str">
        <f t="shared" ref="FM9:FM42" si="93">IF(EI9=$ES9,$ES9,"")</f>
        <v/>
      </c>
      <c r="FN9" s="57" t="str">
        <f t="shared" ref="FN9:FN42" si="94">IF(EJ9=$ES9,$ES9,"")</f>
        <v/>
      </c>
      <c r="FO9" s="57" t="str">
        <f t="shared" ref="FO9:FO42" si="95">IF(EK9=$ES9,$ES9,"")</f>
        <v/>
      </c>
      <c r="FP9" s="57" t="str">
        <f t="shared" ref="FP9:FP42" si="96">IF(EL9=$ES9,$ES9,"")</f>
        <v/>
      </c>
      <c r="FQ9" s="57" t="str">
        <f t="shared" ref="FQ9:FQ42" si="97">IF(EM9=$ES9,$ES9,"")</f>
        <v/>
      </c>
      <c r="FR9" s="57" t="str">
        <f t="shared" ref="FR9:FR42" si="98">IF(EN9=$ES9,$ES9,"")</f>
        <v/>
      </c>
      <c r="FS9" s="57" t="str">
        <f t="shared" ref="FS9:FS42" si="99">IF(EO9=$ES9,$ES9,"")</f>
        <v/>
      </c>
      <c r="FT9" s="57"/>
      <c r="FU9" s="59" t="str">
        <f t="shared" ref="FU9:FU42" si="100">LOOKUP(ES9,(FK9:FT9),($FK$6:$FT$6))</f>
        <v>menentukan pokok pikiran dalam teks lisan dan tulis</v>
      </c>
      <c r="FV9" s="59" t="str">
        <f>IF(ES9&gt;100,"",IF(ES9&gt;DQ$1,"sangat baik dalam "&amp;FU9,IF(ES9&gt;=DQ$2,"baik dalam "&amp;FU9,IF(ES9&gt;=DQ$3,"cukup dalam "&amp;FU9,IF(ES9&lt;DQ$3,"dengan bimbingan dapat meningkatkan dalam "&amp;FU9,IF(ES9&lt;1," ",””))))))</f>
        <v>baik dalam menentukan pokok pikiran dalam teks lisan dan tulis</v>
      </c>
      <c r="FW9" s="61"/>
      <c r="FX9" s="62" t="str">
        <f t="shared" ref="FX9:FX42" si="101">CONCATENATE(EU9&amp;FI9&amp;", "&amp;FV9)</f>
        <v>Ananda Athaya baik dalam menguraikan konsep-konsep yang saling berkaitan pada teks nonfiksi, baik dalam menentukan pokok pikiran dalam teks lisan dan tulis</v>
      </c>
      <c r="FY9" s="57" t="str">
        <f t="shared" ref="FY9:FY42" si="102">IF(EU9=$FC9,$FC9,"")</f>
        <v/>
      </c>
      <c r="FZ9" s="57" t="str">
        <f t="shared" si="43"/>
        <v/>
      </c>
      <c r="GA9" s="57" t="str">
        <f t="shared" si="44"/>
        <v/>
      </c>
      <c r="GB9" s="57"/>
      <c r="GC9" s="57"/>
      <c r="GD9" s="57"/>
      <c r="GE9" s="59" t="str">
        <f t="shared" si="45"/>
        <v>perlu bimbingan dalam mengklasifikasi informasi yang didapat dari buku ke dalam aspek: apa, di mana, kapan, siapa, mengapa, dan bagaimana</v>
      </c>
      <c r="GF9" s="60"/>
      <c r="GG9" s="61"/>
      <c r="GH9" s="62" t="str">
        <f t="shared" ref="GH9:GH42" si="103">CONCATENATE(FS9&amp;", "&amp;GE9)</f>
        <v>, perlu bimbingan dalam mengklasifikasi informasi yang didapat dari buku ke dalam aspek: apa, di mana, kapan, siapa, mengapa, dan bagaimana</v>
      </c>
      <c r="GI9" s="4"/>
    </row>
    <row r="10" spans="1:191" ht="42" customHeight="1">
      <c r="A10" s="39">
        <v>3</v>
      </c>
      <c r="B10" s="283" t="str">
        <f>SISWA!B8</f>
        <v>Amira Zerlinda</v>
      </c>
      <c r="C10" s="123">
        <v>93</v>
      </c>
      <c r="D10" s="123"/>
      <c r="E10" s="123"/>
      <c r="F10" s="123"/>
      <c r="G10" s="123"/>
      <c r="H10" s="123"/>
      <c r="I10" s="123"/>
      <c r="J10" s="123"/>
      <c r="K10" s="123"/>
      <c r="L10" s="256">
        <v>100</v>
      </c>
      <c r="M10" s="256"/>
      <c r="N10" s="256"/>
      <c r="O10" s="256"/>
      <c r="P10" s="256"/>
      <c r="Q10" s="256"/>
      <c r="R10" s="256"/>
      <c r="S10" s="256"/>
      <c r="T10" s="256"/>
      <c r="U10" s="123"/>
      <c r="V10" s="123">
        <v>87</v>
      </c>
      <c r="W10" s="123"/>
      <c r="X10" s="123"/>
      <c r="Y10" s="123"/>
      <c r="Z10" s="123"/>
      <c r="AA10" s="123"/>
      <c r="AB10" s="123"/>
      <c r="AC10" s="123"/>
      <c r="AD10" s="256"/>
      <c r="AE10" s="256">
        <v>80</v>
      </c>
      <c r="AF10" s="256"/>
      <c r="AG10" s="256"/>
      <c r="AH10" s="256"/>
      <c r="AI10" s="256"/>
      <c r="AJ10" s="256"/>
      <c r="AK10" s="256"/>
      <c r="AL10" s="256"/>
      <c r="AM10" s="123"/>
      <c r="AN10" s="123"/>
      <c r="AO10" s="123"/>
      <c r="AP10" s="123">
        <v>75</v>
      </c>
      <c r="AQ10" s="123"/>
      <c r="AR10" s="123"/>
      <c r="AS10" s="123"/>
      <c r="AT10" s="123"/>
      <c r="AU10" s="123"/>
      <c r="AV10" s="256"/>
      <c r="AW10" s="256"/>
      <c r="AX10" s="256"/>
      <c r="AY10" s="256">
        <v>100</v>
      </c>
      <c r="AZ10" s="256"/>
      <c r="BA10" s="256"/>
      <c r="BB10" s="256"/>
      <c r="BC10" s="256"/>
      <c r="BD10" s="256"/>
      <c r="BE10" s="123"/>
      <c r="BF10" s="123">
        <v>93</v>
      </c>
      <c r="BG10" s="123"/>
      <c r="BH10" s="123"/>
      <c r="BI10" s="123"/>
      <c r="BJ10" s="123">
        <v>93</v>
      </c>
      <c r="BK10" s="123"/>
      <c r="BL10" s="123"/>
      <c r="BM10" s="123"/>
      <c r="BN10" s="256"/>
      <c r="BO10" s="256">
        <v>93</v>
      </c>
      <c r="BP10" s="256"/>
      <c r="BQ10" s="256"/>
      <c r="BR10" s="256"/>
      <c r="BS10" s="256">
        <v>93</v>
      </c>
      <c r="BT10" s="256"/>
      <c r="BU10" s="256"/>
      <c r="BV10" s="256"/>
      <c r="BW10" s="460"/>
      <c r="BX10" s="460"/>
      <c r="BY10" s="460"/>
      <c r="BZ10" s="460"/>
      <c r="CA10" s="460"/>
      <c r="CB10" s="460"/>
      <c r="CC10" s="460">
        <v>70</v>
      </c>
      <c r="CD10" s="460"/>
      <c r="CE10" s="460"/>
      <c r="CF10" s="346"/>
      <c r="CG10" s="346"/>
      <c r="CH10" s="346"/>
      <c r="CI10" s="346"/>
      <c r="CJ10" s="346"/>
      <c r="CK10" s="346"/>
      <c r="CL10" s="346">
        <v>75</v>
      </c>
      <c r="CM10" s="346"/>
      <c r="CN10" s="346"/>
      <c r="CO10" s="260">
        <f t="shared" si="46"/>
        <v>96.5</v>
      </c>
      <c r="CP10" s="260">
        <f t="shared" si="47"/>
        <v>88.25</v>
      </c>
      <c r="CQ10" s="260" t="str">
        <f t="shared" si="48"/>
        <v xml:space="preserve"> </v>
      </c>
      <c r="CR10" s="260">
        <f t="shared" si="49"/>
        <v>87.5</v>
      </c>
      <c r="CS10" s="260" t="str">
        <f t="shared" si="50"/>
        <v xml:space="preserve"> </v>
      </c>
      <c r="CT10" s="260">
        <f t="shared" si="51"/>
        <v>93</v>
      </c>
      <c r="CU10" s="260">
        <f t="shared" si="52"/>
        <v>72.5</v>
      </c>
      <c r="CV10" s="260" t="str">
        <f t="shared" si="53"/>
        <v xml:space="preserve"> </v>
      </c>
      <c r="CW10" s="260" t="str">
        <f t="shared" si="54"/>
        <v xml:space="preserve"> </v>
      </c>
      <c r="CX10" s="547">
        <v>75</v>
      </c>
      <c r="CY10" s="547">
        <v>75</v>
      </c>
      <c r="CZ10" s="547"/>
      <c r="DA10" s="547"/>
      <c r="DB10" s="547"/>
      <c r="DC10" s="547"/>
      <c r="DD10" s="547"/>
      <c r="DE10" s="547"/>
      <c r="DF10" s="547"/>
      <c r="DG10" s="548">
        <v>75</v>
      </c>
      <c r="DH10" s="548">
        <v>75</v>
      </c>
      <c r="DI10" s="548"/>
      <c r="DJ10" s="548">
        <v>75</v>
      </c>
      <c r="DK10" s="548"/>
      <c r="DL10" s="548">
        <v>75</v>
      </c>
      <c r="DM10" s="548">
        <v>77</v>
      </c>
      <c r="DN10" s="548"/>
      <c r="DO10" s="548"/>
      <c r="DP10" s="550">
        <f t="shared" si="55"/>
        <v>82</v>
      </c>
      <c r="DQ10" s="291" t="str">
        <f t="shared" si="56"/>
        <v>C</v>
      </c>
      <c r="DR10" s="553" t="str">
        <f t="shared" si="57"/>
        <v>Ananda Amira baik dalam menggali isi dan amanat pantun yang disajikan secara lisan dan tulis dengan tujuan untuk kesenangan, dengan bimbingan dapat meningkatkan dalam menguraikan konsep-konsep yang saling berkaitan pada teks nonfiksi</v>
      </c>
      <c r="DS10" s="282"/>
      <c r="DT10" s="51"/>
      <c r="DU10" s="46">
        <f t="shared" si="58"/>
        <v>96.5</v>
      </c>
      <c r="DV10" s="46">
        <f t="shared" si="59"/>
        <v>88.25</v>
      </c>
      <c r="DW10" s="46" t="str">
        <f t="shared" si="60"/>
        <v xml:space="preserve"> </v>
      </c>
      <c r="DX10" s="46">
        <f t="shared" si="61"/>
        <v>87.5</v>
      </c>
      <c r="DY10" s="46" t="str">
        <f t="shared" si="62"/>
        <v xml:space="preserve"> </v>
      </c>
      <c r="DZ10" s="46">
        <f t="shared" si="63"/>
        <v>93</v>
      </c>
      <c r="EA10" s="46">
        <f t="shared" si="64"/>
        <v>72.5</v>
      </c>
      <c r="EB10" s="46" t="str">
        <f t="shared" si="65"/>
        <v xml:space="preserve"> </v>
      </c>
      <c r="EC10" s="46" t="str">
        <f t="shared" si="66"/>
        <v xml:space="preserve"> </v>
      </c>
      <c r="ED10" s="46"/>
      <c r="EE10" s="52">
        <f>[2]uts!J9</f>
        <v>71.333333333333329</v>
      </c>
      <c r="EF10" s="51"/>
      <c r="EG10" s="53">
        <f t="shared" si="67"/>
        <v>85.75</v>
      </c>
      <c r="EH10" s="53">
        <f t="shared" si="68"/>
        <v>81.625</v>
      </c>
      <c r="EI10" s="53" t="str">
        <f t="shared" si="69"/>
        <v xml:space="preserve">  </v>
      </c>
      <c r="EJ10" s="53">
        <f t="shared" si="70"/>
        <v>83.333333333333329</v>
      </c>
      <c r="EK10" s="53" t="str">
        <f t="shared" si="71"/>
        <v xml:space="preserve">  </v>
      </c>
      <c r="EL10" s="53">
        <f t="shared" si="72"/>
        <v>87</v>
      </c>
      <c r="EM10" s="53">
        <f t="shared" si="73"/>
        <v>74</v>
      </c>
      <c r="EN10" s="53" t="str">
        <f t="shared" si="74"/>
        <v xml:space="preserve">  </v>
      </c>
      <c r="EO10" s="53" t="str">
        <f t="shared" si="75"/>
        <v xml:space="preserve">  </v>
      </c>
      <c r="EP10" s="53"/>
      <c r="EQ10" s="52">
        <f t="shared" si="76"/>
        <v>82</v>
      </c>
      <c r="ER10" s="55">
        <f t="shared" si="77"/>
        <v>87</v>
      </c>
      <c r="ES10" s="55">
        <f t="shared" si="78"/>
        <v>74</v>
      </c>
      <c r="ET10" s="51" t="str">
        <f>SISWA!E8</f>
        <v>Amira</v>
      </c>
      <c r="EU10" s="51" t="str">
        <f t="shared" si="79"/>
        <v xml:space="preserve">Ananda Amira </v>
      </c>
      <c r="EV10" s="56" t="str">
        <f t="shared" si="80"/>
        <v/>
      </c>
      <c r="EW10" s="57" t="str">
        <f t="shared" si="81"/>
        <v/>
      </c>
      <c r="EX10" s="57" t="str">
        <f t="shared" si="82"/>
        <v/>
      </c>
      <c r="EY10" s="57" t="str">
        <f t="shared" si="83"/>
        <v/>
      </c>
      <c r="EZ10" s="57" t="str">
        <f t="shared" si="84"/>
        <v/>
      </c>
      <c r="FA10" s="57">
        <f t="shared" si="85"/>
        <v>87</v>
      </c>
      <c r="FB10" s="57" t="str">
        <f t="shared" si="86"/>
        <v/>
      </c>
      <c r="FC10" s="57" t="str">
        <f t="shared" si="87"/>
        <v/>
      </c>
      <c r="FD10" s="57" t="str">
        <f t="shared" si="88"/>
        <v/>
      </c>
      <c r="FE10" s="57"/>
      <c r="FF10" s="58">
        <f t="shared" si="89"/>
        <v>87</v>
      </c>
      <c r="FG10" s="55" t="str">
        <f t="shared" si="90"/>
        <v>menggali isi dan amanat pantun yang disajikan secara lisan dan tulis dengan tujuan untuk kesenangan</v>
      </c>
      <c r="FH10" s="58"/>
      <c r="FI10" s="59" t="str">
        <f>IF(ER10&gt;100,"",IF(ER10&gt;DQ$1,"sangat baik dalam "&amp;FG10,IF(ER10&gt;=DQ$2,"baik dalam "&amp;FG10,IF(ER10&gt;=DQ$3,"cukup dalam "&amp;FG10,IF(ER10&lt;DQ$3,"dengan bimbingan dapat meningkatkan dalam "&amp;FG10,IF(ER10&lt;1," ",””))))))</f>
        <v>baik dalam menggali isi dan amanat pantun yang disajikan secara lisan dan tulis dengan tujuan untuk kesenangan</v>
      </c>
      <c r="FJ10" s="58"/>
      <c r="FK10" s="57" t="str">
        <f t="shared" si="91"/>
        <v/>
      </c>
      <c r="FL10" s="57" t="str">
        <f t="shared" si="92"/>
        <v/>
      </c>
      <c r="FM10" s="57" t="str">
        <f t="shared" si="93"/>
        <v/>
      </c>
      <c r="FN10" s="57" t="str">
        <f t="shared" si="94"/>
        <v/>
      </c>
      <c r="FO10" s="57" t="str">
        <f t="shared" si="95"/>
        <v/>
      </c>
      <c r="FP10" s="57" t="str">
        <f t="shared" si="96"/>
        <v/>
      </c>
      <c r="FQ10" s="57">
        <f t="shared" si="97"/>
        <v>74</v>
      </c>
      <c r="FR10" s="57" t="str">
        <f t="shared" si="98"/>
        <v/>
      </c>
      <c r="FS10" s="57" t="str">
        <f t="shared" si="99"/>
        <v/>
      </c>
      <c r="FT10" s="57"/>
      <c r="FU10" s="59" t="str">
        <f t="shared" si="100"/>
        <v>menguraikan konsep-konsep yang saling berkaitan pada teks nonfiksi</v>
      </c>
      <c r="FV10" s="59" t="str">
        <f>IF(ES10&gt;100,"",IF(ES10&gt;DQ$1,"sangat baik dalam "&amp;FU10,IF(ES10&gt;=DQ$2,"baik dalam "&amp;FU10,IF(ES10&gt;=DQ$3,"cukup dalam "&amp;FU10,IF(ES10&lt;DQ$3,"dengan bimbingan dapat meningkatkan dalam "&amp;FU10,IF(ES10&lt;1," ",””))))))</f>
        <v>dengan bimbingan dapat meningkatkan dalam menguraikan konsep-konsep yang saling berkaitan pada teks nonfiksi</v>
      </c>
      <c r="FW10" s="61"/>
      <c r="FX10" s="62" t="str">
        <f t="shared" si="101"/>
        <v>Ananda Amira baik dalam menggali isi dan amanat pantun yang disajikan secara lisan dan tulis dengan tujuan untuk kesenangan, dengan bimbingan dapat meningkatkan dalam menguraikan konsep-konsep yang saling berkaitan pada teks nonfiksi</v>
      </c>
      <c r="FY10" s="57" t="str">
        <f t="shared" si="102"/>
        <v/>
      </c>
      <c r="FZ10" s="57" t="str">
        <f t="shared" si="43"/>
        <v/>
      </c>
      <c r="GA10" s="57" t="str">
        <f t="shared" si="44"/>
        <v/>
      </c>
      <c r="GB10" s="57"/>
      <c r="GC10" s="57"/>
      <c r="GD10" s="57"/>
      <c r="GE10" s="59" t="str">
        <f t="shared" si="45"/>
        <v>perlu bimbingan dalam mengklasifikasi informasi yang didapat dari buku ke dalam aspek: apa, di mana, kapan, siapa, mengapa, dan bagaimana</v>
      </c>
      <c r="GF10" s="60"/>
      <c r="GG10" s="61"/>
      <c r="GH10" s="62" t="str">
        <f t="shared" si="103"/>
        <v>, perlu bimbingan dalam mengklasifikasi informasi yang didapat dari buku ke dalam aspek: apa, di mana, kapan, siapa, mengapa, dan bagaimana</v>
      </c>
      <c r="GI10" s="4"/>
    </row>
    <row r="11" spans="1:191" ht="42" customHeight="1">
      <c r="A11" s="39">
        <v>4</v>
      </c>
      <c r="B11" s="283" t="str">
        <f>SISWA!B9</f>
        <v>Andrian Putra Pangestu</v>
      </c>
      <c r="C11" s="123">
        <v>75</v>
      </c>
      <c r="D11" s="123"/>
      <c r="E11" s="123"/>
      <c r="F11" s="123"/>
      <c r="G11" s="123"/>
      <c r="H11" s="123"/>
      <c r="I11" s="123"/>
      <c r="J11" s="123"/>
      <c r="K11" s="123"/>
      <c r="L11" s="256">
        <v>75</v>
      </c>
      <c r="M11" s="256"/>
      <c r="N11" s="256"/>
      <c r="O11" s="256"/>
      <c r="P11" s="256"/>
      <c r="Q11" s="256"/>
      <c r="R11" s="256"/>
      <c r="S11" s="256"/>
      <c r="T11" s="256"/>
      <c r="U11" s="123"/>
      <c r="V11" s="123">
        <v>75</v>
      </c>
      <c r="W11" s="123"/>
      <c r="X11" s="123"/>
      <c r="Y11" s="123"/>
      <c r="Z11" s="123"/>
      <c r="AA11" s="123"/>
      <c r="AB11" s="123"/>
      <c r="AC11" s="123"/>
      <c r="AD11" s="256"/>
      <c r="AE11" s="256">
        <v>80</v>
      </c>
      <c r="AF11" s="256"/>
      <c r="AG11" s="256"/>
      <c r="AH11" s="256"/>
      <c r="AI11" s="256"/>
      <c r="AJ11" s="256"/>
      <c r="AK11" s="256"/>
      <c r="AL11" s="256"/>
      <c r="AM11" s="123"/>
      <c r="AN11" s="123"/>
      <c r="AO11" s="123"/>
      <c r="AP11" s="123">
        <v>75</v>
      </c>
      <c r="AQ11" s="123"/>
      <c r="AR11" s="123"/>
      <c r="AS11" s="123"/>
      <c r="AT11" s="123"/>
      <c r="AU11" s="123"/>
      <c r="AV11" s="256"/>
      <c r="AW11" s="256"/>
      <c r="AX11" s="256"/>
      <c r="AY11" s="256">
        <v>75</v>
      </c>
      <c r="AZ11" s="256"/>
      <c r="BA11" s="256"/>
      <c r="BB11" s="256"/>
      <c r="BC11" s="256"/>
      <c r="BD11" s="256"/>
      <c r="BE11" s="123"/>
      <c r="BF11" s="123">
        <v>77</v>
      </c>
      <c r="BG11" s="123"/>
      <c r="BH11" s="123"/>
      <c r="BI11" s="123"/>
      <c r="BJ11" s="123">
        <v>73</v>
      </c>
      <c r="BK11" s="123"/>
      <c r="BL11" s="123"/>
      <c r="BM11" s="123"/>
      <c r="BN11" s="256"/>
      <c r="BO11" s="256">
        <v>77</v>
      </c>
      <c r="BP11" s="256"/>
      <c r="BQ11" s="256"/>
      <c r="BR11" s="256"/>
      <c r="BS11" s="256">
        <v>80</v>
      </c>
      <c r="BT11" s="256"/>
      <c r="BU11" s="256"/>
      <c r="BV11" s="256"/>
      <c r="BW11" s="460"/>
      <c r="BX11" s="460"/>
      <c r="BY11" s="460"/>
      <c r="BZ11" s="460"/>
      <c r="CA11" s="460"/>
      <c r="CB11" s="460"/>
      <c r="CC11" s="460">
        <v>75</v>
      </c>
      <c r="CD11" s="460"/>
      <c r="CE11" s="460"/>
      <c r="CF11" s="346"/>
      <c r="CG11" s="346"/>
      <c r="CH11" s="346"/>
      <c r="CI11" s="346"/>
      <c r="CJ11" s="346"/>
      <c r="CK11" s="346"/>
      <c r="CL11" s="346">
        <v>75</v>
      </c>
      <c r="CM11" s="346"/>
      <c r="CN11" s="346"/>
      <c r="CO11" s="260">
        <f t="shared" si="46"/>
        <v>75</v>
      </c>
      <c r="CP11" s="260">
        <f t="shared" si="47"/>
        <v>77.25</v>
      </c>
      <c r="CQ11" s="260" t="str">
        <f t="shared" si="48"/>
        <v xml:space="preserve"> </v>
      </c>
      <c r="CR11" s="260">
        <f t="shared" si="49"/>
        <v>75</v>
      </c>
      <c r="CS11" s="260" t="str">
        <f t="shared" si="50"/>
        <v xml:space="preserve"> </v>
      </c>
      <c r="CT11" s="260">
        <f t="shared" si="51"/>
        <v>76.5</v>
      </c>
      <c r="CU11" s="260">
        <f t="shared" si="52"/>
        <v>75</v>
      </c>
      <c r="CV11" s="260" t="str">
        <f t="shared" si="53"/>
        <v xml:space="preserve"> </v>
      </c>
      <c r="CW11" s="260" t="str">
        <f t="shared" si="54"/>
        <v xml:space="preserve"> </v>
      </c>
      <c r="CX11" s="547">
        <v>75</v>
      </c>
      <c r="CY11" s="547">
        <v>75</v>
      </c>
      <c r="CZ11" s="547"/>
      <c r="DA11" s="547"/>
      <c r="DB11" s="547"/>
      <c r="DC11" s="547"/>
      <c r="DD11" s="547"/>
      <c r="DE11" s="547"/>
      <c r="DF11" s="547"/>
      <c r="DG11" s="548">
        <v>75</v>
      </c>
      <c r="DH11" s="548">
        <v>75</v>
      </c>
      <c r="DI11" s="548"/>
      <c r="DJ11" s="548">
        <v>75</v>
      </c>
      <c r="DK11" s="548"/>
      <c r="DL11" s="548">
        <v>75</v>
      </c>
      <c r="DM11" s="548">
        <v>75</v>
      </c>
      <c r="DN11" s="548"/>
      <c r="DO11" s="548"/>
      <c r="DP11" s="550">
        <f t="shared" si="55"/>
        <v>75</v>
      </c>
      <c r="DQ11" s="291" t="str">
        <f t="shared" si="56"/>
        <v>C</v>
      </c>
      <c r="DR11" s="553" t="str">
        <f t="shared" si="57"/>
        <v>Ananda Andri cukup dalam mengklasifikasi informasi yang didapat dari buku ke dalam aspek: apa, di mana, kapan, siapa, mengapa, dan bagaimana, cukup dalam menguraikan konsep-konsep yang saling berkaitan pada teks nonfiksi</v>
      </c>
      <c r="DS11" s="282"/>
      <c r="DT11" s="51"/>
      <c r="DU11" s="46">
        <f t="shared" si="58"/>
        <v>75</v>
      </c>
      <c r="DV11" s="46">
        <f t="shared" si="59"/>
        <v>77.25</v>
      </c>
      <c r="DW11" s="46" t="str">
        <f t="shared" si="60"/>
        <v xml:space="preserve"> </v>
      </c>
      <c r="DX11" s="46">
        <f t="shared" si="61"/>
        <v>75</v>
      </c>
      <c r="DY11" s="46" t="str">
        <f t="shared" si="62"/>
        <v xml:space="preserve"> </v>
      </c>
      <c r="DZ11" s="46">
        <f t="shared" si="63"/>
        <v>76.5</v>
      </c>
      <c r="EA11" s="46">
        <f t="shared" si="64"/>
        <v>75</v>
      </c>
      <c r="EB11" s="46" t="str">
        <f t="shared" si="65"/>
        <v xml:space="preserve"> </v>
      </c>
      <c r="EC11" s="46" t="str">
        <f t="shared" si="66"/>
        <v xml:space="preserve"> </v>
      </c>
      <c r="ED11" s="46"/>
      <c r="EE11" s="52">
        <f>[2]uts!J10</f>
        <v>76.666666666666671</v>
      </c>
      <c r="EF11" s="51"/>
      <c r="EG11" s="53">
        <f t="shared" si="67"/>
        <v>75</v>
      </c>
      <c r="EH11" s="53">
        <f t="shared" si="68"/>
        <v>76.125</v>
      </c>
      <c r="EI11" s="53" t="str">
        <f t="shared" si="69"/>
        <v xml:space="preserve">  </v>
      </c>
      <c r="EJ11" s="53">
        <f t="shared" si="70"/>
        <v>75</v>
      </c>
      <c r="EK11" s="53" t="str">
        <f t="shared" si="71"/>
        <v xml:space="preserve">  </v>
      </c>
      <c r="EL11" s="53">
        <f t="shared" si="72"/>
        <v>76</v>
      </c>
      <c r="EM11" s="53">
        <f t="shared" si="73"/>
        <v>75</v>
      </c>
      <c r="EN11" s="53" t="str">
        <f t="shared" si="74"/>
        <v xml:space="preserve">  </v>
      </c>
      <c r="EO11" s="53" t="str">
        <f t="shared" si="75"/>
        <v xml:space="preserve">  </v>
      </c>
      <c r="EP11" s="53"/>
      <c r="EQ11" s="52">
        <f t="shared" si="76"/>
        <v>75</v>
      </c>
      <c r="ER11" s="55">
        <f t="shared" si="77"/>
        <v>76.125</v>
      </c>
      <c r="ES11" s="55">
        <f t="shared" si="78"/>
        <v>75</v>
      </c>
      <c r="ET11" s="51" t="str">
        <f>SISWA!E9</f>
        <v>Andri</v>
      </c>
      <c r="EU11" s="51" t="str">
        <f t="shared" si="79"/>
        <v xml:space="preserve">Ananda Andri </v>
      </c>
      <c r="EV11" s="56" t="str">
        <f t="shared" si="80"/>
        <v/>
      </c>
      <c r="EW11" s="57">
        <f t="shared" si="81"/>
        <v>76.125</v>
      </c>
      <c r="EX11" s="57" t="str">
        <f t="shared" si="82"/>
        <v/>
      </c>
      <c r="EY11" s="57" t="str">
        <f t="shared" si="83"/>
        <v/>
      </c>
      <c r="EZ11" s="57" t="str">
        <f t="shared" si="84"/>
        <v/>
      </c>
      <c r="FA11" s="57" t="str">
        <f t="shared" si="85"/>
        <v/>
      </c>
      <c r="FB11" s="57" t="str">
        <f t="shared" si="86"/>
        <v/>
      </c>
      <c r="FC11" s="57" t="str">
        <f t="shared" si="87"/>
        <v/>
      </c>
      <c r="FD11" s="57" t="str">
        <f t="shared" si="88"/>
        <v/>
      </c>
      <c r="FE11" s="57"/>
      <c r="FF11" s="58">
        <f t="shared" si="89"/>
        <v>76.125</v>
      </c>
      <c r="FG11" s="55" t="str">
        <f t="shared" si="90"/>
        <v>mengklasifikasi informasi yang didapat dari buku ke dalam aspek: apa, di mana, kapan, siapa, mengapa, dan bagaimana</v>
      </c>
      <c r="FH11" s="58"/>
      <c r="FI11" s="59" t="str">
        <f>IF(ER11&gt;100,"",IF(ER11&gt;DQ$1,"sangat baik dalam "&amp;FG11,IF(ER11&gt;=DQ$2,"baik dalam "&amp;FG11,IF(ER11&gt;=DQ$3,"cukup dalam "&amp;FG11,IF(ER11&lt;DQ$3,"dengan bimbingan dapat meningkatkan dalam "&amp;FG11,IF(ER11&lt;1," ",””))))))</f>
        <v>cukup dalam mengklasifikasi informasi yang didapat dari buku ke dalam aspek: apa, di mana, kapan, siapa, mengapa, dan bagaimana</v>
      </c>
      <c r="FJ11" s="58"/>
      <c r="FK11" s="57">
        <f t="shared" si="91"/>
        <v>75</v>
      </c>
      <c r="FL11" s="57" t="str">
        <f t="shared" si="92"/>
        <v/>
      </c>
      <c r="FM11" s="57" t="str">
        <f t="shared" si="93"/>
        <v/>
      </c>
      <c r="FN11" s="57">
        <f t="shared" si="94"/>
        <v>75</v>
      </c>
      <c r="FO11" s="57" t="str">
        <f t="shared" si="95"/>
        <v/>
      </c>
      <c r="FP11" s="57" t="str">
        <f t="shared" si="96"/>
        <v/>
      </c>
      <c r="FQ11" s="57">
        <f t="shared" si="97"/>
        <v>75</v>
      </c>
      <c r="FR11" s="57" t="str">
        <f t="shared" si="98"/>
        <v/>
      </c>
      <c r="FS11" s="57" t="str">
        <f t="shared" si="99"/>
        <v/>
      </c>
      <c r="FT11" s="57"/>
      <c r="FU11" s="59" t="str">
        <f t="shared" si="100"/>
        <v>menguraikan konsep-konsep yang saling berkaitan pada teks nonfiksi</v>
      </c>
      <c r="FV11" s="59" t="str">
        <f>IF(ES11&gt;100,"",IF(ES11&gt;DQ$1,"sangat baik dalam "&amp;FU11,IF(ES11&gt;=DQ$2,"baik dalam "&amp;FU11,IF(ES11&gt;=DQ$3,"cukup dalam "&amp;FU11,IF(ES11&lt;DQ$3,"dengan bimbingan dapat meningkatkan dalam "&amp;FU11,IF(ES11&lt;1," ",””))))))</f>
        <v>cukup dalam menguraikan konsep-konsep yang saling berkaitan pada teks nonfiksi</v>
      </c>
      <c r="FW11" s="61"/>
      <c r="FX11" s="62" t="str">
        <f t="shared" si="101"/>
        <v>Ananda Andri cukup dalam mengklasifikasi informasi yang didapat dari buku ke dalam aspek: apa, di mana, kapan, siapa, mengapa, dan bagaimana, cukup dalam menguraikan konsep-konsep yang saling berkaitan pada teks nonfiksi</v>
      </c>
      <c r="FY11" s="57" t="str">
        <f t="shared" si="102"/>
        <v/>
      </c>
      <c r="FZ11" s="57" t="str">
        <f t="shared" si="43"/>
        <v/>
      </c>
      <c r="GA11" s="57" t="str">
        <f t="shared" si="44"/>
        <v/>
      </c>
      <c r="GB11" s="57"/>
      <c r="GC11" s="57"/>
      <c r="GD11" s="57"/>
      <c r="GE11" s="59" t="str">
        <f t="shared" si="45"/>
        <v>perlu bimbingan dalam mengklasifikasi informasi yang didapat dari buku ke dalam aspek: apa, di mana, kapan, siapa, mengapa, dan bagaimana</v>
      </c>
      <c r="GF11" s="60"/>
      <c r="GG11" s="61"/>
      <c r="GH11" s="62" t="str">
        <f t="shared" si="103"/>
        <v>, perlu bimbingan dalam mengklasifikasi informasi yang didapat dari buku ke dalam aspek: apa, di mana, kapan, siapa, mengapa, dan bagaimana</v>
      </c>
      <c r="GI11" s="4"/>
    </row>
    <row r="12" spans="1:191" ht="42" customHeight="1">
      <c r="A12" s="39">
        <v>5</v>
      </c>
      <c r="B12" s="283" t="str">
        <f>SISWA!B10</f>
        <v>Gresiya Suma Safitri</v>
      </c>
      <c r="C12" s="123">
        <v>93</v>
      </c>
      <c r="D12" s="123"/>
      <c r="E12" s="123"/>
      <c r="F12" s="123"/>
      <c r="G12" s="123"/>
      <c r="H12" s="123"/>
      <c r="I12" s="123"/>
      <c r="J12" s="123"/>
      <c r="K12" s="123"/>
      <c r="L12" s="256">
        <v>75</v>
      </c>
      <c r="M12" s="256"/>
      <c r="N12" s="256"/>
      <c r="O12" s="256"/>
      <c r="P12" s="256"/>
      <c r="Q12" s="256"/>
      <c r="R12" s="256"/>
      <c r="S12" s="256"/>
      <c r="T12" s="256"/>
      <c r="U12" s="123"/>
      <c r="V12" s="123">
        <v>87</v>
      </c>
      <c r="W12" s="123"/>
      <c r="X12" s="123"/>
      <c r="Y12" s="123"/>
      <c r="Z12" s="123"/>
      <c r="AA12" s="123"/>
      <c r="AB12" s="123"/>
      <c r="AC12" s="123"/>
      <c r="AD12" s="256"/>
      <c r="AE12" s="256">
        <v>93</v>
      </c>
      <c r="AF12" s="256"/>
      <c r="AG12" s="256"/>
      <c r="AH12" s="256"/>
      <c r="AI12" s="256"/>
      <c r="AJ12" s="256"/>
      <c r="AK12" s="256"/>
      <c r="AL12" s="256"/>
      <c r="AM12" s="123"/>
      <c r="AN12" s="123"/>
      <c r="AO12" s="123"/>
      <c r="AP12" s="123">
        <v>80</v>
      </c>
      <c r="AQ12" s="123"/>
      <c r="AR12" s="123"/>
      <c r="AS12" s="123"/>
      <c r="AT12" s="123"/>
      <c r="AU12" s="123"/>
      <c r="AV12" s="256"/>
      <c r="AW12" s="256"/>
      <c r="AX12" s="256"/>
      <c r="AY12" s="256">
        <v>87</v>
      </c>
      <c r="AZ12" s="256"/>
      <c r="BA12" s="256"/>
      <c r="BB12" s="256"/>
      <c r="BC12" s="256"/>
      <c r="BD12" s="256"/>
      <c r="BE12" s="123"/>
      <c r="BF12" s="123">
        <v>75</v>
      </c>
      <c r="BG12" s="123"/>
      <c r="BH12" s="123"/>
      <c r="BI12" s="123"/>
      <c r="BJ12" s="123">
        <v>75</v>
      </c>
      <c r="BK12" s="123"/>
      <c r="BL12" s="123"/>
      <c r="BM12" s="123"/>
      <c r="BN12" s="256"/>
      <c r="BO12" s="256">
        <v>75</v>
      </c>
      <c r="BP12" s="256"/>
      <c r="BQ12" s="256"/>
      <c r="BR12" s="256"/>
      <c r="BS12" s="256">
        <v>75</v>
      </c>
      <c r="BT12" s="256"/>
      <c r="BU12" s="256"/>
      <c r="BV12" s="256"/>
      <c r="BW12" s="460"/>
      <c r="BX12" s="460"/>
      <c r="BY12" s="460"/>
      <c r="BZ12" s="460"/>
      <c r="CA12" s="460"/>
      <c r="CB12" s="460"/>
      <c r="CC12" s="460">
        <v>100</v>
      </c>
      <c r="CD12" s="460"/>
      <c r="CE12" s="460"/>
      <c r="CF12" s="346"/>
      <c r="CG12" s="346"/>
      <c r="CH12" s="346"/>
      <c r="CI12" s="346"/>
      <c r="CJ12" s="346"/>
      <c r="CK12" s="346"/>
      <c r="CL12" s="346">
        <v>93</v>
      </c>
      <c r="CM12" s="346"/>
      <c r="CN12" s="346"/>
      <c r="CO12" s="260">
        <f t="shared" si="46"/>
        <v>84</v>
      </c>
      <c r="CP12" s="260">
        <f t="shared" si="47"/>
        <v>82.5</v>
      </c>
      <c r="CQ12" s="260" t="str">
        <f t="shared" si="48"/>
        <v xml:space="preserve"> </v>
      </c>
      <c r="CR12" s="260">
        <f t="shared" si="49"/>
        <v>83.5</v>
      </c>
      <c r="CS12" s="260" t="str">
        <f t="shared" si="50"/>
        <v xml:space="preserve"> </v>
      </c>
      <c r="CT12" s="260">
        <f t="shared" si="51"/>
        <v>75</v>
      </c>
      <c r="CU12" s="260">
        <f t="shared" si="52"/>
        <v>96.5</v>
      </c>
      <c r="CV12" s="260" t="str">
        <f t="shared" si="53"/>
        <v xml:space="preserve"> </v>
      </c>
      <c r="CW12" s="260" t="str">
        <f t="shared" si="54"/>
        <v xml:space="preserve"> </v>
      </c>
      <c r="CX12" s="547">
        <v>75</v>
      </c>
      <c r="CY12" s="547">
        <v>75</v>
      </c>
      <c r="CZ12" s="547"/>
      <c r="DA12" s="547"/>
      <c r="DB12" s="547"/>
      <c r="DC12" s="547"/>
      <c r="DD12" s="547"/>
      <c r="DE12" s="547"/>
      <c r="DF12" s="547"/>
      <c r="DG12" s="548">
        <v>75</v>
      </c>
      <c r="DH12" s="548">
        <v>75</v>
      </c>
      <c r="DI12" s="548"/>
      <c r="DJ12" s="548">
        <v>75</v>
      </c>
      <c r="DK12" s="548"/>
      <c r="DL12" s="548">
        <v>75</v>
      </c>
      <c r="DM12" s="548">
        <v>75</v>
      </c>
      <c r="DN12" s="548"/>
      <c r="DO12" s="548"/>
      <c r="DP12" s="550">
        <f t="shared" si="55"/>
        <v>81</v>
      </c>
      <c r="DQ12" s="291" t="str">
        <f t="shared" si="56"/>
        <v>C</v>
      </c>
      <c r="DR12" s="553" t="str">
        <f t="shared" si="57"/>
        <v>Ananda Gresia baik dalam menguraikan konsep-konsep yang saling berkaitan pada teks nonfiksi, cukup dalam menggali isi dan amanat pantun yang disajikan secara lisan dan tulis dengan tujuan untuk kesenangan</v>
      </c>
      <c r="DS12" s="282"/>
      <c r="DT12" s="51"/>
      <c r="DU12" s="46">
        <f t="shared" si="58"/>
        <v>84</v>
      </c>
      <c r="DV12" s="46">
        <f t="shared" si="59"/>
        <v>82.5</v>
      </c>
      <c r="DW12" s="46" t="str">
        <f t="shared" si="60"/>
        <v xml:space="preserve"> </v>
      </c>
      <c r="DX12" s="46">
        <f t="shared" si="61"/>
        <v>83.5</v>
      </c>
      <c r="DY12" s="46" t="str">
        <f t="shared" si="62"/>
        <v xml:space="preserve"> </v>
      </c>
      <c r="DZ12" s="46">
        <f t="shared" si="63"/>
        <v>75</v>
      </c>
      <c r="EA12" s="46">
        <f t="shared" si="64"/>
        <v>96.5</v>
      </c>
      <c r="EB12" s="46" t="str">
        <f t="shared" si="65"/>
        <v xml:space="preserve"> </v>
      </c>
      <c r="EC12" s="46" t="str">
        <f t="shared" si="66"/>
        <v xml:space="preserve"> </v>
      </c>
      <c r="ED12" s="46"/>
      <c r="EE12" s="52">
        <f>[2]uts!J11</f>
        <v>80.666666666666671</v>
      </c>
      <c r="EF12" s="51"/>
      <c r="EG12" s="53">
        <f t="shared" si="67"/>
        <v>79.5</v>
      </c>
      <c r="EH12" s="53">
        <f t="shared" si="68"/>
        <v>78.75</v>
      </c>
      <c r="EI12" s="53" t="str">
        <f t="shared" si="69"/>
        <v xml:space="preserve">  </v>
      </c>
      <c r="EJ12" s="53">
        <f t="shared" si="70"/>
        <v>80.666666666666671</v>
      </c>
      <c r="EK12" s="53" t="str">
        <f t="shared" si="71"/>
        <v xml:space="preserve">  </v>
      </c>
      <c r="EL12" s="53">
        <f t="shared" si="72"/>
        <v>75</v>
      </c>
      <c r="EM12" s="53">
        <f t="shared" si="73"/>
        <v>89.333333333333329</v>
      </c>
      <c r="EN12" s="53" t="str">
        <f t="shared" si="74"/>
        <v xml:space="preserve">  </v>
      </c>
      <c r="EO12" s="53" t="str">
        <f t="shared" si="75"/>
        <v xml:space="preserve">  </v>
      </c>
      <c r="EP12" s="53"/>
      <c r="EQ12" s="52">
        <f t="shared" si="76"/>
        <v>81</v>
      </c>
      <c r="ER12" s="55">
        <f t="shared" si="77"/>
        <v>89.333333333333329</v>
      </c>
      <c r="ES12" s="55">
        <f t="shared" si="78"/>
        <v>75</v>
      </c>
      <c r="ET12" s="51" t="str">
        <f>SISWA!E10</f>
        <v>Gresia</v>
      </c>
      <c r="EU12" s="51" t="str">
        <f t="shared" si="79"/>
        <v xml:space="preserve">Ananda Gresia </v>
      </c>
      <c r="EV12" s="56" t="str">
        <f t="shared" si="80"/>
        <v/>
      </c>
      <c r="EW12" s="57" t="str">
        <f t="shared" si="81"/>
        <v/>
      </c>
      <c r="EX12" s="57" t="str">
        <f t="shared" si="82"/>
        <v/>
      </c>
      <c r="EY12" s="57" t="str">
        <f t="shared" si="83"/>
        <v/>
      </c>
      <c r="EZ12" s="57" t="str">
        <f t="shared" si="84"/>
        <v/>
      </c>
      <c r="FA12" s="57" t="str">
        <f t="shared" si="85"/>
        <v/>
      </c>
      <c r="FB12" s="57">
        <f t="shared" si="86"/>
        <v>89.333333333333329</v>
      </c>
      <c r="FC12" s="57" t="str">
        <f t="shared" si="87"/>
        <v/>
      </c>
      <c r="FD12" s="57" t="str">
        <f t="shared" si="88"/>
        <v/>
      </c>
      <c r="FE12" s="57"/>
      <c r="FF12" s="58">
        <f t="shared" si="89"/>
        <v>89.333333333333329</v>
      </c>
      <c r="FG12" s="55" t="str">
        <f t="shared" si="90"/>
        <v>menguraikan konsep-konsep yang saling berkaitan pada teks nonfiksi</v>
      </c>
      <c r="FH12" s="58"/>
      <c r="FI12" s="59" t="str">
        <f>IF(ER12&gt;100,"",IF(ER12&gt;DQ$1,"sangat baik dalam "&amp;FG12,IF(ER12&gt;=DQ$2,"baik dalam "&amp;FG12,IF(ER12&gt;=DQ$3,"cukup dalam "&amp;FG12,IF(ER12&lt;DQ$3,"dengan bimbingan dapat meningkatkan dalam "&amp;FG12,IF(ER12&lt;1," ",””))))))</f>
        <v>baik dalam menguraikan konsep-konsep yang saling berkaitan pada teks nonfiksi</v>
      </c>
      <c r="FJ12" s="58"/>
      <c r="FK12" s="57" t="str">
        <f t="shared" si="91"/>
        <v/>
      </c>
      <c r="FL12" s="57" t="str">
        <f t="shared" si="92"/>
        <v/>
      </c>
      <c r="FM12" s="57" t="str">
        <f t="shared" si="93"/>
        <v/>
      </c>
      <c r="FN12" s="57" t="str">
        <f t="shared" si="94"/>
        <v/>
      </c>
      <c r="FO12" s="57" t="str">
        <f t="shared" si="95"/>
        <v/>
      </c>
      <c r="FP12" s="57">
        <f t="shared" si="96"/>
        <v>75</v>
      </c>
      <c r="FQ12" s="57" t="str">
        <f t="shared" si="97"/>
        <v/>
      </c>
      <c r="FR12" s="57" t="str">
        <f t="shared" si="98"/>
        <v/>
      </c>
      <c r="FS12" s="57" t="str">
        <f t="shared" si="99"/>
        <v/>
      </c>
      <c r="FT12" s="57"/>
      <c r="FU12" s="59" t="str">
        <f t="shared" si="100"/>
        <v>menggali isi dan amanat pantun yang disajikan secara lisan dan tulis dengan tujuan untuk kesenangan</v>
      </c>
      <c r="FV12" s="59" t="str">
        <f>IF(ES12&gt;100,"",IF(ES12&gt;DQ$1,"sangat baik dalam "&amp;FU12,IF(ES12&gt;=DQ$2,"baik dalam "&amp;FU12,IF(ES12&gt;=DQ$3,"cukup dalam "&amp;FU12,IF(ES12&lt;DQ$3,"dengan bimbingan dapat meningkatkan dalam "&amp;FU12,IF(ES12&lt;1," ",””))))))</f>
        <v>cukup dalam menggali isi dan amanat pantun yang disajikan secara lisan dan tulis dengan tujuan untuk kesenangan</v>
      </c>
      <c r="FW12" s="61"/>
      <c r="FX12" s="62" t="str">
        <f t="shared" si="101"/>
        <v>Ananda Gresia baik dalam menguraikan konsep-konsep yang saling berkaitan pada teks nonfiksi, cukup dalam menggali isi dan amanat pantun yang disajikan secara lisan dan tulis dengan tujuan untuk kesenangan</v>
      </c>
      <c r="FY12" s="57" t="str">
        <f t="shared" si="102"/>
        <v/>
      </c>
      <c r="FZ12" s="57" t="str">
        <f t="shared" si="43"/>
        <v/>
      </c>
      <c r="GA12" s="57" t="str">
        <f t="shared" si="44"/>
        <v/>
      </c>
      <c r="GB12" s="57"/>
      <c r="GC12" s="57"/>
      <c r="GD12" s="57"/>
      <c r="GE12" s="59" t="str">
        <f t="shared" si="45"/>
        <v>perlu bimbingan dalam mengklasifikasi informasi yang didapat dari buku ke dalam aspek: apa, di mana, kapan, siapa, mengapa, dan bagaimana</v>
      </c>
      <c r="GF12" s="60"/>
      <c r="GG12" s="61"/>
      <c r="GH12" s="62" t="str">
        <f t="shared" si="103"/>
        <v>, perlu bimbingan dalam mengklasifikasi informasi yang didapat dari buku ke dalam aspek: apa, di mana, kapan, siapa, mengapa, dan bagaimana</v>
      </c>
      <c r="GI12" s="4" t="str">
        <f t="shared" ref="GI12:GI27" si="104">CONCATENATE(IF(EQ12&gt;100,"  ",IF(EQ12&gt;95,"Sangat pandai "&amp;$B$45,IF(EQ12&gt;87,"Pandai "&amp;$B$45,IF(EQ12&gt;79,"Cukup pandai "&amp;$B$45,IF(EQ12&gt;71,"Menguasai dengan baik "&amp;$B$45,IF(EQ12&gt;62,"Perlu banyak latihan "&amp;$B$45,IF(EQ12&gt;0,"Perlu bimbingan "&amp;$B$45,IF(EQ12="","")))))))),IF(ER12&gt;100,"  ",IF(ER12&gt;95," Sangat pandai "&amp;$B$46,IF(ER12&gt;87," Pandai "&amp;$B$46,IF(ER12&gt;79," Cukup pandai "&amp;$B$46,IF(ER12&gt;71," Menguasai dengan baik "&amp;$B$46,IF(ER12&gt;62," Perlu banyak latihan "&amp;$B$46,IF(ER12&gt;0," Perlu bimbingan "&amp;$B$46,IF(ER12="","")))))))),IF(ES12&gt;100,"  ",IF(ES12&gt;95," Sangat pandai "&amp;$B$47,IF(ES12&gt;87," Pandai "&amp;$B$47,IF(ES12&gt;79," cukup pandai "&amp;$B$47,IF(ES12&gt;71," Menguasai dengan baik "&amp;$B$47,IF(ES12&gt;62," Perlu banyak latihan "&amp;$B$47,IF(ES12&gt;0," Perlu bimbingan "&amp;$B$47,IF(ES12="","")))))))),IF(ET12&gt;100,"  ",IF(ET12&gt;95," Sangat pandai "&amp;$B$48,IF(ET12&gt;87," Pandai "&amp;$B$48,IF(ET12&gt;79," Cukup pandai "&amp;$B$48,IF(ET12&gt;71," Menguasai dengan baik "&amp;$B$48,IF(ET12&gt;62," Perlu banyak latihan "&amp;$B$48,IF(ET12&gt;0," Perlu bimbingan "&amp;$B$48,IF(ET12="","")))))))),IF(EU12&gt;100,"  ",IF(EU12&gt;95," Sangat pandai "&amp;$B$49,IF(EU12&gt;87," Pandai "&amp;$B$49,IF(EU12&gt;79," Cukup pandai "&amp;$B$49,IF(EU12&gt;71," Menguasai dengan baik "&amp;$B$49,IF(EU12&gt;62," Perlu banyak latihan "&amp;$B$49,IF(EU12&gt;0," Perlu bimbingan "&amp;$B$49,IF(EU12="","")))))))),IF(EV12&gt;100,"  ",IF(EV12&gt;95," Sangat pandai "&amp;$B$50,IF(EV12&gt;87," Pandai "&amp;$B$50,IF(EV12&gt;79," Cukup pandai "&amp;$B$50,IF(EV12&gt;71," Menguasai dengan baik "&amp;$B$50,IF(EV12&gt;62," Perlu banyak latihan "&amp;$B$50,IF(EV12&gt;0," Perlu bimbingan "&amp;$B$50,IF(EV12="","")))))))),IF(EW12&gt;100,"  ",IF(EW12&gt;95," Sangat pandai "&amp;$B$51,IF(EW12&gt;87," Pandai "&amp;$B$51,IF(EW12&gt;79," Cukup pandai "&amp;$B$51,IF(EW12&gt;71," Menguasai dengan baik "&amp;$B$51,IF(EW12&gt;62," Perlu banyak latihan "&amp;$B$51,IF(EW12&gt;0," Perlu bimbingan "&amp;$B$51,IF(EW12="","")))))))))</f>
        <v xml:space="preserve">Cukup pandai menentukan pokok pikiran dalam teks lisan dan tulis Pandai mengklasifikasi informasi yang didapat dari buku ke dalam aspek: apa, di mana, kapan, siapa, mengapa, dan bagaimana Menguasai dengan baik meringkas teks penjelasan (eksplanasi) dari media cetak atau elektronik        </v>
      </c>
    </row>
    <row r="13" spans="1:191" ht="42" customHeight="1">
      <c r="A13" s="39">
        <v>6</v>
      </c>
      <c r="B13" s="283" t="str">
        <f>SISWA!B11</f>
        <v>Hasna Fathitya Sabrina</v>
      </c>
      <c r="C13" s="123">
        <v>93</v>
      </c>
      <c r="D13" s="123"/>
      <c r="E13" s="123"/>
      <c r="F13" s="123"/>
      <c r="G13" s="123"/>
      <c r="H13" s="123"/>
      <c r="I13" s="123"/>
      <c r="J13" s="123"/>
      <c r="K13" s="123"/>
      <c r="L13" s="256">
        <v>93</v>
      </c>
      <c r="M13" s="256"/>
      <c r="N13" s="256"/>
      <c r="O13" s="256"/>
      <c r="P13" s="256"/>
      <c r="Q13" s="256"/>
      <c r="R13" s="256"/>
      <c r="S13" s="256"/>
      <c r="T13" s="256"/>
      <c r="U13" s="123"/>
      <c r="V13" s="123">
        <v>93</v>
      </c>
      <c r="W13" s="123"/>
      <c r="X13" s="123"/>
      <c r="Y13" s="123"/>
      <c r="Z13" s="123"/>
      <c r="AA13" s="123"/>
      <c r="AB13" s="123"/>
      <c r="AC13" s="123"/>
      <c r="AD13" s="256"/>
      <c r="AE13" s="256">
        <v>93</v>
      </c>
      <c r="AF13" s="256"/>
      <c r="AG13" s="256"/>
      <c r="AH13" s="256"/>
      <c r="AI13" s="256"/>
      <c r="AJ13" s="256"/>
      <c r="AK13" s="256"/>
      <c r="AL13" s="256"/>
      <c r="AM13" s="123"/>
      <c r="AN13" s="123"/>
      <c r="AO13" s="123"/>
      <c r="AP13" s="123">
        <v>75</v>
      </c>
      <c r="AQ13" s="123"/>
      <c r="AR13" s="123"/>
      <c r="AS13" s="123"/>
      <c r="AT13" s="123"/>
      <c r="AU13" s="123"/>
      <c r="AV13" s="256"/>
      <c r="AW13" s="256"/>
      <c r="AX13" s="256"/>
      <c r="AY13" s="256">
        <v>93</v>
      </c>
      <c r="AZ13" s="256"/>
      <c r="BA13" s="256"/>
      <c r="BB13" s="256"/>
      <c r="BC13" s="256"/>
      <c r="BD13" s="256"/>
      <c r="BE13" s="123"/>
      <c r="BF13" s="123">
        <v>93</v>
      </c>
      <c r="BG13" s="123"/>
      <c r="BH13" s="123"/>
      <c r="BI13" s="123"/>
      <c r="BJ13" s="123">
        <v>93</v>
      </c>
      <c r="BK13" s="123"/>
      <c r="BL13" s="123"/>
      <c r="BM13" s="123"/>
      <c r="BN13" s="256"/>
      <c r="BO13" s="256">
        <v>93</v>
      </c>
      <c r="BP13" s="256"/>
      <c r="BQ13" s="256"/>
      <c r="BR13" s="256"/>
      <c r="BS13" s="256">
        <v>100</v>
      </c>
      <c r="BT13" s="256"/>
      <c r="BU13" s="256"/>
      <c r="BV13" s="256"/>
      <c r="BW13" s="460"/>
      <c r="BX13" s="460"/>
      <c r="BY13" s="460"/>
      <c r="BZ13" s="460"/>
      <c r="CA13" s="460"/>
      <c r="CB13" s="460"/>
      <c r="CC13" s="460">
        <v>87</v>
      </c>
      <c r="CD13" s="460"/>
      <c r="CE13" s="460"/>
      <c r="CF13" s="346"/>
      <c r="CG13" s="346"/>
      <c r="CH13" s="346"/>
      <c r="CI13" s="346"/>
      <c r="CJ13" s="346"/>
      <c r="CK13" s="346"/>
      <c r="CL13" s="346">
        <v>80</v>
      </c>
      <c r="CM13" s="346"/>
      <c r="CN13" s="346"/>
      <c r="CO13" s="260">
        <f t="shared" si="46"/>
        <v>93</v>
      </c>
      <c r="CP13" s="260">
        <f t="shared" si="47"/>
        <v>93</v>
      </c>
      <c r="CQ13" s="260" t="str">
        <f t="shared" si="48"/>
        <v xml:space="preserve"> </v>
      </c>
      <c r="CR13" s="260">
        <f t="shared" si="49"/>
        <v>84</v>
      </c>
      <c r="CS13" s="260" t="str">
        <f t="shared" si="50"/>
        <v xml:space="preserve"> </v>
      </c>
      <c r="CT13" s="260">
        <f t="shared" si="51"/>
        <v>96.5</v>
      </c>
      <c r="CU13" s="260">
        <f t="shared" si="52"/>
        <v>83.5</v>
      </c>
      <c r="CV13" s="260" t="str">
        <f t="shared" si="53"/>
        <v xml:space="preserve"> </v>
      </c>
      <c r="CW13" s="260" t="str">
        <f t="shared" si="54"/>
        <v xml:space="preserve"> </v>
      </c>
      <c r="CX13" s="547">
        <v>93</v>
      </c>
      <c r="CY13" s="547">
        <v>75</v>
      </c>
      <c r="CZ13" s="547"/>
      <c r="DA13" s="547"/>
      <c r="DB13" s="547"/>
      <c r="DC13" s="547"/>
      <c r="DD13" s="547"/>
      <c r="DE13" s="547"/>
      <c r="DF13" s="547"/>
      <c r="DG13" s="548">
        <v>82</v>
      </c>
      <c r="DH13" s="548">
        <v>76</v>
      </c>
      <c r="DI13" s="548"/>
      <c r="DJ13" s="548">
        <v>77</v>
      </c>
      <c r="DK13" s="548"/>
      <c r="DL13" s="548">
        <v>75</v>
      </c>
      <c r="DM13" s="548">
        <v>89</v>
      </c>
      <c r="DN13" s="548"/>
      <c r="DO13" s="548"/>
      <c r="DP13" s="550">
        <f t="shared" si="55"/>
        <v>86</v>
      </c>
      <c r="DQ13" s="291" t="str">
        <f t="shared" si="56"/>
        <v>B</v>
      </c>
      <c r="DR13" s="553" t="str">
        <f t="shared" si="57"/>
        <v>Ananda Hasna baik dalam menentukan pokok pikiran dalam teks lisan dan tulis, cukup dalam enganalisis informasi yang disampaikan paparan iklan dari media cetak atau elektronik</v>
      </c>
      <c r="DS13" s="282"/>
      <c r="DT13" s="51"/>
      <c r="DU13" s="46">
        <f t="shared" si="58"/>
        <v>93</v>
      </c>
      <c r="DV13" s="46">
        <f t="shared" si="59"/>
        <v>93</v>
      </c>
      <c r="DW13" s="46" t="str">
        <f t="shared" si="60"/>
        <v xml:space="preserve"> </v>
      </c>
      <c r="DX13" s="46">
        <f t="shared" si="61"/>
        <v>84</v>
      </c>
      <c r="DY13" s="46" t="str">
        <f t="shared" si="62"/>
        <v xml:space="preserve"> </v>
      </c>
      <c r="DZ13" s="46">
        <f t="shared" si="63"/>
        <v>96.5</v>
      </c>
      <c r="EA13" s="46">
        <f t="shared" si="64"/>
        <v>83.5</v>
      </c>
      <c r="EB13" s="46" t="str">
        <f t="shared" si="65"/>
        <v xml:space="preserve"> </v>
      </c>
      <c r="EC13" s="46" t="str">
        <f t="shared" si="66"/>
        <v xml:space="preserve"> </v>
      </c>
      <c r="ED13" s="46"/>
      <c r="EE13" s="52">
        <f>[2]uts!J12</f>
        <v>72</v>
      </c>
      <c r="EF13" s="51"/>
      <c r="EG13" s="53">
        <f t="shared" si="67"/>
        <v>90.25</v>
      </c>
      <c r="EH13" s="53">
        <f t="shared" si="68"/>
        <v>84.25</v>
      </c>
      <c r="EI13" s="53" t="str">
        <f t="shared" si="69"/>
        <v xml:space="preserve">  </v>
      </c>
      <c r="EJ13" s="53">
        <f t="shared" si="70"/>
        <v>81.666666666666671</v>
      </c>
      <c r="EK13" s="53" t="str">
        <f t="shared" si="71"/>
        <v xml:space="preserve">  </v>
      </c>
      <c r="EL13" s="53">
        <f t="shared" si="72"/>
        <v>89.333333333333329</v>
      </c>
      <c r="EM13" s="53">
        <f t="shared" si="73"/>
        <v>85.333333333333329</v>
      </c>
      <c r="EN13" s="53" t="str">
        <f t="shared" si="74"/>
        <v xml:space="preserve">  </v>
      </c>
      <c r="EO13" s="53" t="str">
        <f t="shared" si="75"/>
        <v xml:space="preserve">  </v>
      </c>
      <c r="EP13" s="53"/>
      <c r="EQ13" s="52">
        <f t="shared" si="76"/>
        <v>86</v>
      </c>
      <c r="ER13" s="55">
        <f t="shared" si="77"/>
        <v>90.25</v>
      </c>
      <c r="ES13" s="55">
        <f t="shared" si="78"/>
        <v>81.666666666666671</v>
      </c>
      <c r="ET13" s="51" t="str">
        <f>SISWA!E11</f>
        <v>Hasna</v>
      </c>
      <c r="EU13" s="51" t="str">
        <f t="shared" si="79"/>
        <v xml:space="preserve">Ananda Hasna </v>
      </c>
      <c r="EV13" s="56">
        <f t="shared" si="80"/>
        <v>90.25</v>
      </c>
      <c r="EW13" s="57" t="str">
        <f t="shared" si="81"/>
        <v/>
      </c>
      <c r="EX13" s="57" t="str">
        <f t="shared" si="82"/>
        <v/>
      </c>
      <c r="EY13" s="57" t="str">
        <f t="shared" si="83"/>
        <v/>
      </c>
      <c r="EZ13" s="57" t="str">
        <f t="shared" si="84"/>
        <v/>
      </c>
      <c r="FA13" s="57" t="str">
        <f t="shared" si="85"/>
        <v/>
      </c>
      <c r="FB13" s="57" t="str">
        <f t="shared" si="86"/>
        <v/>
      </c>
      <c r="FC13" s="57" t="str">
        <f t="shared" si="87"/>
        <v/>
      </c>
      <c r="FD13" s="57" t="str">
        <f t="shared" si="88"/>
        <v/>
      </c>
      <c r="FE13" s="57"/>
      <c r="FF13" s="58">
        <f t="shared" si="89"/>
        <v>90.25</v>
      </c>
      <c r="FG13" s="55" t="str">
        <f t="shared" si="90"/>
        <v>menentukan pokok pikiran dalam teks lisan dan tulis</v>
      </c>
      <c r="FH13" s="58"/>
      <c r="FI13" s="59" t="str">
        <f>IF(ER13&gt;100,"",IF(ER13&gt;DQ$1,"sangat baik dalam "&amp;FG13,IF(ER13&gt;=DQ$2,"baik dalam "&amp;FG13,IF(ER13&gt;=DQ$3,"cukup dalam "&amp;FG13,IF(ER13&lt;DQ$3,"dengan bimbingan dapat meningkatkan dalam "&amp;FG13,IF(ER13&lt;1," ",””))))))</f>
        <v>baik dalam menentukan pokok pikiran dalam teks lisan dan tulis</v>
      </c>
      <c r="FJ13" s="58"/>
      <c r="FK13" s="57" t="str">
        <f t="shared" si="91"/>
        <v/>
      </c>
      <c r="FL13" s="57" t="str">
        <f t="shared" si="92"/>
        <v/>
      </c>
      <c r="FM13" s="57" t="str">
        <f t="shared" si="93"/>
        <v/>
      </c>
      <c r="FN13" s="57">
        <f t="shared" si="94"/>
        <v>81.666666666666671</v>
      </c>
      <c r="FO13" s="57" t="str">
        <f t="shared" si="95"/>
        <v/>
      </c>
      <c r="FP13" s="57" t="str">
        <f t="shared" si="96"/>
        <v/>
      </c>
      <c r="FQ13" s="57" t="str">
        <f t="shared" si="97"/>
        <v/>
      </c>
      <c r="FR13" s="57" t="str">
        <f t="shared" si="98"/>
        <v/>
      </c>
      <c r="FS13" s="57" t="str">
        <f t="shared" si="99"/>
        <v/>
      </c>
      <c r="FT13" s="57"/>
      <c r="FU13" s="59" t="str">
        <f t="shared" si="100"/>
        <v>enganalisis informasi yang disampaikan paparan iklan dari media cetak atau elektronik</v>
      </c>
      <c r="FV13" s="59" t="str">
        <f>IF(ES13&gt;100,"",IF(ES13&gt;DQ$1,"sangat baik dalam "&amp;FU13,IF(ES13&gt;=DQ$2,"baik dalam "&amp;FU13,IF(ES13&gt;=DQ$3,"cukup dalam "&amp;FU13,IF(ES13&lt;DQ$3,"dengan bimbingan dapat meningkatkan dalam "&amp;FU13,IF(ES13&lt;1," ",””))))))</f>
        <v>cukup dalam enganalisis informasi yang disampaikan paparan iklan dari media cetak atau elektronik</v>
      </c>
      <c r="FW13" s="61"/>
      <c r="FX13" s="62" t="str">
        <f t="shared" si="101"/>
        <v>Ananda Hasna baik dalam menentukan pokok pikiran dalam teks lisan dan tulis, cukup dalam enganalisis informasi yang disampaikan paparan iklan dari media cetak atau elektronik</v>
      </c>
      <c r="FY13" s="57" t="str">
        <f t="shared" si="102"/>
        <v/>
      </c>
      <c r="FZ13" s="57" t="str">
        <f t="shared" si="43"/>
        <v/>
      </c>
      <c r="GA13" s="57" t="str">
        <f t="shared" si="44"/>
        <v/>
      </c>
      <c r="GB13" s="57"/>
      <c r="GC13" s="57"/>
      <c r="GD13" s="57"/>
      <c r="GE13" s="59" t="str">
        <f t="shared" si="45"/>
        <v>perlu bimbingan dalam mengklasifikasi informasi yang didapat dari buku ke dalam aspek: apa, di mana, kapan, siapa, mengapa, dan bagaimana</v>
      </c>
      <c r="GF13" s="60"/>
      <c r="GG13" s="61"/>
      <c r="GH13" s="62" t="str">
        <f t="shared" si="103"/>
        <v>, perlu bimbingan dalam mengklasifikasi informasi yang didapat dari buku ke dalam aspek: apa, di mana, kapan, siapa, mengapa, dan bagaimana</v>
      </c>
      <c r="GI13" s="4" t="str">
        <f t="shared" si="104"/>
        <v xml:space="preserve">Cukup pandai menentukan pokok pikiran dalam teks lisan dan tulis Pandai mengklasifikasi informasi yang didapat dari buku ke dalam aspek: apa, di mana, kapan, siapa, mengapa, dan bagaimana cukup pandai meringkas teks penjelasan (eksplanasi) dari media cetak atau elektronik     Pandai menggali isi dan amanat pantun yang disajikan secara lisan dan tulis dengan tujuan untuk kesenangan  </v>
      </c>
    </row>
    <row r="14" spans="1:191" ht="42" customHeight="1">
      <c r="A14" s="39">
        <v>7</v>
      </c>
      <c r="B14" s="283" t="str">
        <f>SISWA!B12</f>
        <v>Indah Fitria Ningrum</v>
      </c>
      <c r="C14" s="123">
        <v>80</v>
      </c>
      <c r="D14" s="123"/>
      <c r="E14" s="123"/>
      <c r="F14" s="123"/>
      <c r="G14" s="123"/>
      <c r="H14" s="123"/>
      <c r="I14" s="123"/>
      <c r="J14" s="123"/>
      <c r="K14" s="123"/>
      <c r="L14" s="256">
        <v>100</v>
      </c>
      <c r="M14" s="256"/>
      <c r="N14" s="256"/>
      <c r="O14" s="256"/>
      <c r="P14" s="256"/>
      <c r="Q14" s="256"/>
      <c r="R14" s="256"/>
      <c r="S14" s="256"/>
      <c r="T14" s="256"/>
      <c r="U14" s="123"/>
      <c r="V14" s="123">
        <v>100</v>
      </c>
      <c r="W14" s="123"/>
      <c r="X14" s="123"/>
      <c r="Y14" s="123"/>
      <c r="Z14" s="123"/>
      <c r="AA14" s="123"/>
      <c r="AB14" s="123"/>
      <c r="AC14" s="123"/>
      <c r="AD14" s="256"/>
      <c r="AE14" s="256">
        <v>93</v>
      </c>
      <c r="AF14" s="256"/>
      <c r="AG14" s="256"/>
      <c r="AH14" s="256"/>
      <c r="AI14" s="256"/>
      <c r="AJ14" s="256"/>
      <c r="AK14" s="256"/>
      <c r="AL14" s="256"/>
      <c r="AM14" s="123"/>
      <c r="AN14" s="123"/>
      <c r="AO14" s="123"/>
      <c r="AP14" s="123">
        <v>87</v>
      </c>
      <c r="AQ14" s="123"/>
      <c r="AR14" s="123"/>
      <c r="AS14" s="123"/>
      <c r="AT14" s="123"/>
      <c r="AU14" s="123"/>
      <c r="AV14" s="256"/>
      <c r="AW14" s="256"/>
      <c r="AX14" s="256"/>
      <c r="AY14" s="256">
        <v>75</v>
      </c>
      <c r="AZ14" s="256"/>
      <c r="BA14" s="256"/>
      <c r="BB14" s="256"/>
      <c r="BC14" s="256"/>
      <c r="BD14" s="256"/>
      <c r="BE14" s="123"/>
      <c r="BF14" s="123">
        <v>87</v>
      </c>
      <c r="BG14" s="123"/>
      <c r="BH14" s="123"/>
      <c r="BI14" s="123"/>
      <c r="BJ14" s="123">
        <v>80</v>
      </c>
      <c r="BK14" s="123"/>
      <c r="BL14" s="123"/>
      <c r="BM14" s="123"/>
      <c r="BN14" s="256"/>
      <c r="BO14" s="256">
        <v>87</v>
      </c>
      <c r="BP14" s="256"/>
      <c r="BQ14" s="256"/>
      <c r="BR14" s="256"/>
      <c r="BS14" s="256">
        <v>80</v>
      </c>
      <c r="BT14" s="256"/>
      <c r="BU14" s="256"/>
      <c r="BV14" s="256"/>
      <c r="BW14" s="460"/>
      <c r="BX14" s="460"/>
      <c r="BY14" s="460"/>
      <c r="BZ14" s="460"/>
      <c r="CA14" s="460"/>
      <c r="CB14" s="460"/>
      <c r="CC14" s="460">
        <v>100</v>
      </c>
      <c r="CD14" s="460"/>
      <c r="CE14" s="460"/>
      <c r="CF14" s="346"/>
      <c r="CG14" s="346"/>
      <c r="CH14" s="346"/>
      <c r="CI14" s="346"/>
      <c r="CJ14" s="346"/>
      <c r="CK14" s="346"/>
      <c r="CL14" s="346">
        <v>93</v>
      </c>
      <c r="CM14" s="346"/>
      <c r="CN14" s="346"/>
      <c r="CO14" s="260">
        <f t="shared" si="46"/>
        <v>90</v>
      </c>
      <c r="CP14" s="260">
        <f t="shared" si="47"/>
        <v>91.75</v>
      </c>
      <c r="CQ14" s="260" t="str">
        <f t="shared" si="48"/>
        <v xml:space="preserve"> </v>
      </c>
      <c r="CR14" s="260">
        <f t="shared" si="49"/>
        <v>81</v>
      </c>
      <c r="CS14" s="260" t="str">
        <f t="shared" si="50"/>
        <v xml:space="preserve"> </v>
      </c>
      <c r="CT14" s="260">
        <f t="shared" si="51"/>
        <v>80</v>
      </c>
      <c r="CU14" s="260">
        <f t="shared" si="52"/>
        <v>96.5</v>
      </c>
      <c r="CV14" s="260" t="str">
        <f t="shared" si="53"/>
        <v xml:space="preserve"> </v>
      </c>
      <c r="CW14" s="260" t="str">
        <f t="shared" si="54"/>
        <v xml:space="preserve"> </v>
      </c>
      <c r="CX14" s="547">
        <v>87</v>
      </c>
      <c r="CY14" s="547">
        <v>75</v>
      </c>
      <c r="CZ14" s="547"/>
      <c r="DA14" s="547"/>
      <c r="DB14" s="547"/>
      <c r="DC14" s="547"/>
      <c r="DD14" s="547"/>
      <c r="DE14" s="547"/>
      <c r="DF14" s="547"/>
      <c r="DG14" s="548">
        <v>76</v>
      </c>
      <c r="DH14" s="548">
        <v>92</v>
      </c>
      <c r="DI14" s="548"/>
      <c r="DJ14" s="548">
        <v>75</v>
      </c>
      <c r="DK14" s="548"/>
      <c r="DL14" s="548">
        <v>75</v>
      </c>
      <c r="DM14" s="548">
        <v>80</v>
      </c>
      <c r="DN14" s="548"/>
      <c r="DO14" s="548"/>
      <c r="DP14" s="550">
        <f t="shared" si="55"/>
        <v>84</v>
      </c>
      <c r="DQ14" s="291" t="str">
        <f t="shared" si="56"/>
        <v>B</v>
      </c>
      <c r="DR14" s="553" t="str">
        <f t="shared" si="57"/>
        <v>Ananda Indah baik dalam menguraikan konsep-konsep yang saling berkaitan pada teks nonfiksi, cukup dalam menggali isi dan amanat pantun yang disajikan secara lisan dan tulis dengan tujuan untuk kesenangan</v>
      </c>
      <c r="DS14" s="282"/>
      <c r="DT14" s="51"/>
      <c r="DU14" s="46">
        <f t="shared" si="58"/>
        <v>90</v>
      </c>
      <c r="DV14" s="46">
        <f t="shared" si="59"/>
        <v>91.75</v>
      </c>
      <c r="DW14" s="46" t="str">
        <f t="shared" si="60"/>
        <v xml:space="preserve"> </v>
      </c>
      <c r="DX14" s="46">
        <f t="shared" si="61"/>
        <v>81</v>
      </c>
      <c r="DY14" s="46" t="str">
        <f t="shared" si="62"/>
        <v xml:space="preserve"> </v>
      </c>
      <c r="DZ14" s="46">
        <f t="shared" si="63"/>
        <v>80</v>
      </c>
      <c r="EA14" s="46">
        <f t="shared" si="64"/>
        <v>96.5</v>
      </c>
      <c r="EB14" s="46" t="str">
        <f t="shared" si="65"/>
        <v xml:space="preserve"> </v>
      </c>
      <c r="EC14" s="46" t="str">
        <f t="shared" si="66"/>
        <v xml:space="preserve"> </v>
      </c>
      <c r="ED14" s="46"/>
      <c r="EE14" s="52">
        <f>[2]uts!J13</f>
        <v>72.333333333333329</v>
      </c>
      <c r="EF14" s="51"/>
      <c r="EG14" s="53">
        <f t="shared" si="67"/>
        <v>85.75</v>
      </c>
      <c r="EH14" s="53">
        <f t="shared" si="68"/>
        <v>87.625</v>
      </c>
      <c r="EI14" s="53" t="str">
        <f t="shared" si="69"/>
        <v xml:space="preserve">  </v>
      </c>
      <c r="EJ14" s="53">
        <f t="shared" si="70"/>
        <v>79</v>
      </c>
      <c r="EK14" s="53" t="str">
        <f t="shared" si="71"/>
        <v xml:space="preserve">  </v>
      </c>
      <c r="EL14" s="53">
        <f t="shared" si="72"/>
        <v>78.333333333333329</v>
      </c>
      <c r="EM14" s="53">
        <f t="shared" si="73"/>
        <v>91</v>
      </c>
      <c r="EN14" s="53" t="str">
        <f t="shared" si="74"/>
        <v xml:space="preserve">  </v>
      </c>
      <c r="EO14" s="53" t="str">
        <f t="shared" si="75"/>
        <v xml:space="preserve">  </v>
      </c>
      <c r="EP14" s="53"/>
      <c r="EQ14" s="52">
        <f t="shared" si="76"/>
        <v>84</v>
      </c>
      <c r="ER14" s="55">
        <f t="shared" si="77"/>
        <v>91</v>
      </c>
      <c r="ES14" s="55">
        <f t="shared" si="78"/>
        <v>78.333333333333329</v>
      </c>
      <c r="ET14" s="51" t="str">
        <f>SISWA!E12</f>
        <v>Indah</v>
      </c>
      <c r="EU14" s="51" t="str">
        <f t="shared" si="79"/>
        <v xml:space="preserve">Ananda Indah </v>
      </c>
      <c r="EV14" s="56" t="str">
        <f t="shared" si="80"/>
        <v/>
      </c>
      <c r="EW14" s="57" t="str">
        <f t="shared" si="81"/>
        <v/>
      </c>
      <c r="EX14" s="57" t="str">
        <f t="shared" si="82"/>
        <v/>
      </c>
      <c r="EY14" s="57" t="str">
        <f t="shared" si="83"/>
        <v/>
      </c>
      <c r="EZ14" s="57" t="str">
        <f t="shared" si="84"/>
        <v/>
      </c>
      <c r="FA14" s="57" t="str">
        <f t="shared" si="85"/>
        <v/>
      </c>
      <c r="FB14" s="57">
        <f t="shared" si="86"/>
        <v>91</v>
      </c>
      <c r="FC14" s="57" t="str">
        <f t="shared" si="87"/>
        <v/>
      </c>
      <c r="FD14" s="57" t="str">
        <f t="shared" si="88"/>
        <v/>
      </c>
      <c r="FE14" s="57"/>
      <c r="FF14" s="58">
        <f t="shared" si="89"/>
        <v>91</v>
      </c>
      <c r="FG14" s="55" t="str">
        <f t="shared" si="90"/>
        <v>menguraikan konsep-konsep yang saling berkaitan pada teks nonfiksi</v>
      </c>
      <c r="FH14" s="58"/>
      <c r="FI14" s="59" t="str">
        <f>IF(ER14&gt;100,"",IF(ER14&gt;DQ$1,"sangat baik dalam "&amp;FG14,IF(ER14&gt;=DQ$2,"baik dalam "&amp;FG14,IF(ER14&gt;=DQ$3,"cukup dalam "&amp;FG14,IF(ER14&lt;DQ$3,"dengan bimbingan dapat meningkatkan dalam "&amp;FG14,IF(ER14&lt;1," ",””))))))</f>
        <v>baik dalam menguraikan konsep-konsep yang saling berkaitan pada teks nonfiksi</v>
      </c>
      <c r="FJ14" s="58"/>
      <c r="FK14" s="57" t="str">
        <f t="shared" si="91"/>
        <v/>
      </c>
      <c r="FL14" s="57" t="str">
        <f t="shared" si="92"/>
        <v/>
      </c>
      <c r="FM14" s="57" t="str">
        <f t="shared" si="93"/>
        <v/>
      </c>
      <c r="FN14" s="57" t="str">
        <f t="shared" si="94"/>
        <v/>
      </c>
      <c r="FO14" s="57" t="str">
        <f t="shared" si="95"/>
        <v/>
      </c>
      <c r="FP14" s="57">
        <f t="shared" si="96"/>
        <v>78.333333333333329</v>
      </c>
      <c r="FQ14" s="57" t="str">
        <f t="shared" si="97"/>
        <v/>
      </c>
      <c r="FR14" s="57" t="str">
        <f t="shared" si="98"/>
        <v/>
      </c>
      <c r="FS14" s="57" t="str">
        <f t="shared" si="99"/>
        <v/>
      </c>
      <c r="FT14" s="57"/>
      <c r="FU14" s="59" t="str">
        <f t="shared" si="100"/>
        <v>menggali isi dan amanat pantun yang disajikan secara lisan dan tulis dengan tujuan untuk kesenangan</v>
      </c>
      <c r="FV14" s="59" t="str">
        <f>IF(ES14&gt;100,"",IF(ES14&gt;DQ$1,"sangat baik dalam "&amp;FU14,IF(ES14&gt;=DQ$2,"baik dalam "&amp;FU14,IF(ES14&gt;=DQ$3,"cukup dalam "&amp;FU14,IF(ES14&lt;DQ$3,"dengan bimbingan dapat meningkatkan dalam "&amp;FU14,IF(ES14&lt;1," ",””))))))</f>
        <v>cukup dalam menggali isi dan amanat pantun yang disajikan secara lisan dan tulis dengan tujuan untuk kesenangan</v>
      </c>
      <c r="FW14" s="61"/>
      <c r="FX14" s="62" t="str">
        <f t="shared" si="101"/>
        <v>Ananda Indah baik dalam menguraikan konsep-konsep yang saling berkaitan pada teks nonfiksi, cukup dalam menggali isi dan amanat pantun yang disajikan secara lisan dan tulis dengan tujuan untuk kesenangan</v>
      </c>
      <c r="FY14" s="57" t="str">
        <f t="shared" si="102"/>
        <v/>
      </c>
      <c r="FZ14" s="57" t="str">
        <f t="shared" si="43"/>
        <v/>
      </c>
      <c r="GA14" s="57" t="str">
        <f t="shared" si="44"/>
        <v/>
      </c>
      <c r="GB14" s="57"/>
      <c r="GC14" s="57"/>
      <c r="GD14" s="57"/>
      <c r="GE14" s="59" t="str">
        <f t="shared" si="45"/>
        <v>perlu bimbingan dalam mengklasifikasi informasi yang didapat dari buku ke dalam aspek: apa, di mana, kapan, siapa, mengapa, dan bagaimana</v>
      </c>
      <c r="GF14" s="60"/>
      <c r="GG14" s="61"/>
      <c r="GH14" s="62" t="str">
        <f t="shared" si="103"/>
        <v>, perlu bimbingan dalam mengklasifikasi informasi yang didapat dari buku ke dalam aspek: apa, di mana, kapan, siapa, mengapa, dan bagaimana</v>
      </c>
      <c r="GI14" s="4" t="str">
        <f t="shared" si="104"/>
        <v xml:space="preserve">Cukup pandai menentukan pokok pikiran dalam teks lisan dan tulis Pandai mengklasifikasi informasi yang didapat dari buku ke dalam aspek: apa, di mana, kapan, siapa, mengapa, dan bagaimana Menguasai dengan baik meringkas teks penjelasan (eksplanasi) dari media cetak atau elektronik        </v>
      </c>
    </row>
    <row r="15" spans="1:191" ht="42" customHeight="1">
      <c r="A15" s="39">
        <v>8</v>
      </c>
      <c r="B15" s="283" t="str">
        <f>SISWA!B13</f>
        <v>Muhammad Ilham Sarifuddin</v>
      </c>
      <c r="C15" s="123">
        <v>87</v>
      </c>
      <c r="D15" s="123"/>
      <c r="E15" s="123"/>
      <c r="F15" s="123"/>
      <c r="G15" s="123"/>
      <c r="H15" s="123"/>
      <c r="I15" s="123"/>
      <c r="J15" s="123"/>
      <c r="K15" s="123"/>
      <c r="L15" s="256">
        <v>75</v>
      </c>
      <c r="M15" s="256"/>
      <c r="N15" s="256"/>
      <c r="O15" s="256"/>
      <c r="P15" s="256"/>
      <c r="Q15" s="256"/>
      <c r="R15" s="256"/>
      <c r="S15" s="256"/>
      <c r="T15" s="256"/>
      <c r="U15" s="123"/>
      <c r="V15" s="123">
        <v>87</v>
      </c>
      <c r="W15" s="123"/>
      <c r="X15" s="123"/>
      <c r="Y15" s="123"/>
      <c r="Z15" s="123"/>
      <c r="AA15" s="123"/>
      <c r="AB15" s="123"/>
      <c r="AC15" s="123"/>
      <c r="AD15" s="256"/>
      <c r="AE15" s="256">
        <v>100</v>
      </c>
      <c r="AF15" s="256"/>
      <c r="AG15" s="256"/>
      <c r="AH15" s="256"/>
      <c r="AI15" s="256"/>
      <c r="AJ15" s="256"/>
      <c r="AK15" s="256"/>
      <c r="AL15" s="256"/>
      <c r="AM15" s="123"/>
      <c r="AN15" s="123"/>
      <c r="AO15" s="123"/>
      <c r="AP15" s="123">
        <v>80</v>
      </c>
      <c r="AQ15" s="123"/>
      <c r="AR15" s="123"/>
      <c r="AS15" s="123"/>
      <c r="AT15" s="123"/>
      <c r="AU15" s="123"/>
      <c r="AV15" s="256"/>
      <c r="AW15" s="256"/>
      <c r="AX15" s="256"/>
      <c r="AY15" s="256">
        <v>75</v>
      </c>
      <c r="AZ15" s="256"/>
      <c r="BA15" s="256"/>
      <c r="BB15" s="256"/>
      <c r="BC15" s="256"/>
      <c r="BD15" s="256"/>
      <c r="BE15" s="123"/>
      <c r="BF15" s="123">
        <v>87</v>
      </c>
      <c r="BG15" s="123"/>
      <c r="BH15" s="123"/>
      <c r="BI15" s="123"/>
      <c r="BJ15" s="123">
        <v>75</v>
      </c>
      <c r="BK15" s="123"/>
      <c r="BL15" s="123"/>
      <c r="BM15" s="123"/>
      <c r="BN15" s="256"/>
      <c r="BO15" s="256">
        <v>87</v>
      </c>
      <c r="BP15" s="256"/>
      <c r="BQ15" s="256"/>
      <c r="BR15" s="256"/>
      <c r="BS15" s="256">
        <v>87</v>
      </c>
      <c r="BT15" s="256"/>
      <c r="BU15" s="256"/>
      <c r="BV15" s="256"/>
      <c r="BW15" s="460"/>
      <c r="BX15" s="460"/>
      <c r="BY15" s="460"/>
      <c r="BZ15" s="460"/>
      <c r="CA15" s="460"/>
      <c r="CB15" s="460"/>
      <c r="CC15" s="460">
        <v>80</v>
      </c>
      <c r="CD15" s="460"/>
      <c r="CE15" s="460"/>
      <c r="CF15" s="346"/>
      <c r="CG15" s="346"/>
      <c r="CH15" s="346"/>
      <c r="CI15" s="346"/>
      <c r="CJ15" s="346"/>
      <c r="CK15" s="346"/>
      <c r="CL15" s="346">
        <v>80</v>
      </c>
      <c r="CM15" s="346"/>
      <c r="CN15" s="346"/>
      <c r="CO15" s="260">
        <f t="shared" si="46"/>
        <v>81</v>
      </c>
      <c r="CP15" s="260">
        <f t="shared" si="47"/>
        <v>90.25</v>
      </c>
      <c r="CQ15" s="260" t="str">
        <f t="shared" si="48"/>
        <v xml:space="preserve"> </v>
      </c>
      <c r="CR15" s="260">
        <f t="shared" si="49"/>
        <v>77.5</v>
      </c>
      <c r="CS15" s="260" t="str">
        <f t="shared" si="50"/>
        <v xml:space="preserve"> </v>
      </c>
      <c r="CT15" s="260">
        <f t="shared" si="51"/>
        <v>81</v>
      </c>
      <c r="CU15" s="260">
        <f t="shared" si="52"/>
        <v>80</v>
      </c>
      <c r="CV15" s="260" t="str">
        <f t="shared" si="53"/>
        <v xml:space="preserve"> </v>
      </c>
      <c r="CW15" s="260" t="str">
        <f t="shared" si="54"/>
        <v xml:space="preserve"> </v>
      </c>
      <c r="CX15" s="547">
        <v>97</v>
      </c>
      <c r="CY15" s="547">
        <v>75</v>
      </c>
      <c r="CZ15" s="547"/>
      <c r="DA15" s="547"/>
      <c r="DB15" s="547"/>
      <c r="DC15" s="547"/>
      <c r="DD15" s="547"/>
      <c r="DE15" s="547"/>
      <c r="DF15" s="547"/>
      <c r="DG15" s="548">
        <v>75</v>
      </c>
      <c r="DH15" s="548">
        <v>75</v>
      </c>
      <c r="DI15" s="548"/>
      <c r="DJ15" s="548">
        <v>78</v>
      </c>
      <c r="DK15" s="548"/>
      <c r="DL15" s="548">
        <v>86</v>
      </c>
      <c r="DM15" s="548">
        <v>89</v>
      </c>
      <c r="DN15" s="548"/>
      <c r="DO15" s="548"/>
      <c r="DP15" s="550">
        <f t="shared" si="55"/>
        <v>82</v>
      </c>
      <c r="DQ15" s="291" t="str">
        <f t="shared" si="56"/>
        <v>C</v>
      </c>
      <c r="DR15" s="553" t="str">
        <f t="shared" si="57"/>
        <v>Ananda Ilham baik dalam menentukan pokok pikiran dalam teks lisan dan tulis, cukup dalam enganalisis informasi yang disampaikan paparan iklan dari media cetak atau elektronik</v>
      </c>
      <c r="DS15" s="282"/>
      <c r="DT15" s="51"/>
      <c r="DU15" s="46">
        <f t="shared" si="58"/>
        <v>81</v>
      </c>
      <c r="DV15" s="46">
        <f t="shared" si="59"/>
        <v>90.25</v>
      </c>
      <c r="DW15" s="46" t="str">
        <f t="shared" si="60"/>
        <v xml:space="preserve"> </v>
      </c>
      <c r="DX15" s="46">
        <f t="shared" si="61"/>
        <v>77.5</v>
      </c>
      <c r="DY15" s="46" t="str">
        <f t="shared" si="62"/>
        <v xml:space="preserve"> </v>
      </c>
      <c r="DZ15" s="46">
        <f t="shared" si="63"/>
        <v>81</v>
      </c>
      <c r="EA15" s="46">
        <f t="shared" si="64"/>
        <v>80</v>
      </c>
      <c r="EB15" s="46" t="str">
        <f t="shared" si="65"/>
        <v xml:space="preserve"> </v>
      </c>
      <c r="EC15" s="46" t="str">
        <f t="shared" si="66"/>
        <v xml:space="preserve"> </v>
      </c>
      <c r="ED15" s="46"/>
      <c r="EE15" s="52">
        <f>[2]uts!J14</f>
        <v>80</v>
      </c>
      <c r="EF15" s="51"/>
      <c r="EG15" s="53">
        <f t="shared" si="67"/>
        <v>83.5</v>
      </c>
      <c r="EH15" s="53">
        <f t="shared" si="68"/>
        <v>82.625</v>
      </c>
      <c r="EI15" s="53" t="str">
        <f t="shared" si="69"/>
        <v xml:space="preserve">  </v>
      </c>
      <c r="EJ15" s="53">
        <f t="shared" si="70"/>
        <v>77.666666666666671</v>
      </c>
      <c r="EK15" s="53" t="str">
        <f t="shared" si="71"/>
        <v xml:space="preserve">  </v>
      </c>
      <c r="EL15" s="53">
        <f t="shared" si="72"/>
        <v>82.666666666666671</v>
      </c>
      <c r="EM15" s="53">
        <f t="shared" si="73"/>
        <v>83</v>
      </c>
      <c r="EN15" s="53" t="str">
        <f t="shared" si="74"/>
        <v xml:space="preserve">  </v>
      </c>
      <c r="EO15" s="53" t="str">
        <f t="shared" si="75"/>
        <v xml:space="preserve">  </v>
      </c>
      <c r="EP15" s="53"/>
      <c r="EQ15" s="52">
        <f t="shared" si="76"/>
        <v>82</v>
      </c>
      <c r="ER15" s="55">
        <f t="shared" si="77"/>
        <v>83.5</v>
      </c>
      <c r="ES15" s="55">
        <f t="shared" si="78"/>
        <v>77.666666666666671</v>
      </c>
      <c r="ET15" s="51" t="str">
        <f>SISWA!E13</f>
        <v>Ilham</v>
      </c>
      <c r="EU15" s="51" t="str">
        <f t="shared" si="79"/>
        <v xml:space="preserve">Ananda Ilham </v>
      </c>
      <c r="EV15" s="56">
        <f t="shared" si="80"/>
        <v>83.5</v>
      </c>
      <c r="EW15" s="57" t="str">
        <f t="shared" si="81"/>
        <v/>
      </c>
      <c r="EX15" s="57" t="str">
        <f t="shared" si="82"/>
        <v/>
      </c>
      <c r="EY15" s="57" t="str">
        <f t="shared" si="83"/>
        <v/>
      </c>
      <c r="EZ15" s="57" t="str">
        <f t="shared" si="84"/>
        <v/>
      </c>
      <c r="FA15" s="57" t="str">
        <f t="shared" si="85"/>
        <v/>
      </c>
      <c r="FB15" s="57" t="str">
        <f t="shared" si="86"/>
        <v/>
      </c>
      <c r="FC15" s="57" t="str">
        <f t="shared" si="87"/>
        <v/>
      </c>
      <c r="FD15" s="57" t="str">
        <f t="shared" si="88"/>
        <v/>
      </c>
      <c r="FE15" s="57"/>
      <c r="FF15" s="58">
        <f t="shared" si="89"/>
        <v>83.5</v>
      </c>
      <c r="FG15" s="55" t="str">
        <f t="shared" si="90"/>
        <v>menentukan pokok pikiran dalam teks lisan dan tulis</v>
      </c>
      <c r="FH15" s="58"/>
      <c r="FI15" s="59" t="str">
        <f>IF(ER15&gt;100,"",IF(ER15&gt;DQ$1,"sangat baik dalam "&amp;FG15,IF(ER15&gt;=DQ$2,"baik dalam "&amp;FG15,IF(ER15&gt;=DQ$3,"cukup dalam "&amp;FG15,IF(ER15&lt;DQ$3,"dengan bimbingan dapat meningkatkan dalam "&amp;FG15,IF(ER15&lt;1," ",””))))))</f>
        <v>baik dalam menentukan pokok pikiran dalam teks lisan dan tulis</v>
      </c>
      <c r="FJ15" s="58"/>
      <c r="FK15" s="57" t="str">
        <f t="shared" si="91"/>
        <v/>
      </c>
      <c r="FL15" s="57" t="str">
        <f t="shared" si="92"/>
        <v/>
      </c>
      <c r="FM15" s="57" t="str">
        <f t="shared" si="93"/>
        <v/>
      </c>
      <c r="FN15" s="57">
        <f t="shared" si="94"/>
        <v>77.666666666666671</v>
      </c>
      <c r="FO15" s="57" t="str">
        <f t="shared" si="95"/>
        <v/>
      </c>
      <c r="FP15" s="57" t="str">
        <f t="shared" si="96"/>
        <v/>
      </c>
      <c r="FQ15" s="57" t="str">
        <f t="shared" si="97"/>
        <v/>
      </c>
      <c r="FR15" s="57" t="str">
        <f t="shared" si="98"/>
        <v/>
      </c>
      <c r="FS15" s="57" t="str">
        <f t="shared" si="99"/>
        <v/>
      </c>
      <c r="FT15" s="57"/>
      <c r="FU15" s="59" t="str">
        <f t="shared" si="100"/>
        <v>enganalisis informasi yang disampaikan paparan iklan dari media cetak atau elektronik</v>
      </c>
      <c r="FV15" s="59" t="str">
        <f>IF(ES15&gt;100,"",IF(ES15&gt;DQ$1,"sangat baik dalam "&amp;FU15,IF(ES15&gt;=DQ$2,"baik dalam "&amp;FU15,IF(ES15&gt;=DQ$3,"cukup dalam "&amp;FU15,IF(ES15&lt;DQ$3,"dengan bimbingan dapat meningkatkan dalam "&amp;FU15,IF(ES15&lt;1," ",””))))))</f>
        <v>cukup dalam enganalisis informasi yang disampaikan paparan iklan dari media cetak atau elektronik</v>
      </c>
      <c r="FW15" s="61"/>
      <c r="FX15" s="62" t="str">
        <f t="shared" si="101"/>
        <v>Ananda Ilham baik dalam menentukan pokok pikiran dalam teks lisan dan tulis, cukup dalam enganalisis informasi yang disampaikan paparan iklan dari media cetak atau elektronik</v>
      </c>
      <c r="FY15" s="57" t="str">
        <f t="shared" si="102"/>
        <v/>
      </c>
      <c r="FZ15" s="57" t="str">
        <f t="shared" si="43"/>
        <v/>
      </c>
      <c r="GA15" s="57" t="str">
        <f t="shared" si="44"/>
        <v/>
      </c>
      <c r="GB15" s="57"/>
      <c r="GC15" s="57"/>
      <c r="GD15" s="57"/>
      <c r="GE15" s="59" t="str">
        <f t="shared" si="45"/>
        <v>perlu bimbingan dalam mengklasifikasi informasi yang didapat dari buku ke dalam aspek: apa, di mana, kapan, siapa, mengapa, dan bagaimana</v>
      </c>
      <c r="GF15" s="60"/>
      <c r="GG15" s="61"/>
      <c r="GH15" s="62" t="str">
        <f t="shared" si="103"/>
        <v>, perlu bimbingan dalam mengklasifikasi informasi yang didapat dari buku ke dalam aspek: apa, di mana, kapan, siapa, mengapa, dan bagaimana</v>
      </c>
      <c r="GI15" s="4" t="str">
        <f t="shared" si="104"/>
        <v xml:space="preserve">Cukup pandai menentukan pokok pikiran dalam teks lisan dan tulis Cukup pandai mengklasifikasi informasi yang didapat dari buku ke dalam aspek: apa, di mana, kapan, siapa, mengapa, dan bagaimana Menguasai dengan baik meringkas teks penjelasan (eksplanasi) dari media cetak atau elektronik     Cukup pandai menggali isi dan amanat pantun yang disajikan secara lisan dan tulis dengan tujuan untuk kesenangan  </v>
      </c>
    </row>
    <row r="16" spans="1:191" ht="42" customHeight="1">
      <c r="A16" s="39">
        <v>9</v>
      </c>
      <c r="B16" s="283" t="str">
        <f>SISWA!B14</f>
        <v>Muhammad Raditya Ainul Yaqin</v>
      </c>
      <c r="C16" s="123">
        <v>75</v>
      </c>
      <c r="D16" s="123"/>
      <c r="E16" s="123"/>
      <c r="F16" s="123"/>
      <c r="G16" s="123"/>
      <c r="H16" s="123"/>
      <c r="I16" s="123"/>
      <c r="J16" s="123"/>
      <c r="K16" s="123"/>
      <c r="L16" s="256">
        <v>80</v>
      </c>
      <c r="M16" s="256"/>
      <c r="N16" s="256"/>
      <c r="O16" s="256"/>
      <c r="P16" s="256"/>
      <c r="Q16" s="256"/>
      <c r="R16" s="256"/>
      <c r="S16" s="256"/>
      <c r="T16" s="256"/>
      <c r="U16" s="123"/>
      <c r="V16" s="123">
        <v>87</v>
      </c>
      <c r="W16" s="123"/>
      <c r="X16" s="123"/>
      <c r="Y16" s="123"/>
      <c r="Z16" s="123"/>
      <c r="AA16" s="123"/>
      <c r="AB16" s="123"/>
      <c r="AC16" s="123"/>
      <c r="AD16" s="256"/>
      <c r="AE16" s="256">
        <v>93</v>
      </c>
      <c r="AF16" s="256"/>
      <c r="AG16" s="256"/>
      <c r="AH16" s="256"/>
      <c r="AI16" s="256"/>
      <c r="AJ16" s="256"/>
      <c r="AK16" s="256"/>
      <c r="AL16" s="256"/>
      <c r="AM16" s="123"/>
      <c r="AN16" s="123"/>
      <c r="AO16" s="123"/>
      <c r="AP16" s="123">
        <v>75</v>
      </c>
      <c r="AQ16" s="123"/>
      <c r="AR16" s="123"/>
      <c r="AS16" s="123"/>
      <c r="AT16" s="123"/>
      <c r="AU16" s="123"/>
      <c r="AV16" s="256"/>
      <c r="AW16" s="256"/>
      <c r="AX16" s="256"/>
      <c r="AY16" s="256">
        <v>75</v>
      </c>
      <c r="AZ16" s="256"/>
      <c r="BA16" s="256"/>
      <c r="BB16" s="256"/>
      <c r="BC16" s="256"/>
      <c r="BD16" s="256"/>
      <c r="BE16" s="123"/>
      <c r="BF16" s="123">
        <v>87</v>
      </c>
      <c r="BG16" s="123"/>
      <c r="BH16" s="123"/>
      <c r="BI16" s="123"/>
      <c r="BJ16" s="123">
        <v>75</v>
      </c>
      <c r="BK16" s="123"/>
      <c r="BL16" s="123"/>
      <c r="BM16" s="123"/>
      <c r="BN16" s="256"/>
      <c r="BO16" s="256">
        <v>87</v>
      </c>
      <c r="BP16" s="256"/>
      <c r="BQ16" s="256"/>
      <c r="BR16" s="256"/>
      <c r="BS16" s="256">
        <v>75</v>
      </c>
      <c r="BT16" s="256"/>
      <c r="BU16" s="256"/>
      <c r="BV16" s="256"/>
      <c r="BW16" s="460"/>
      <c r="BX16" s="460"/>
      <c r="BY16" s="460"/>
      <c r="BZ16" s="460"/>
      <c r="CA16" s="460"/>
      <c r="CB16" s="460"/>
      <c r="CC16" s="460">
        <v>80</v>
      </c>
      <c r="CD16" s="460"/>
      <c r="CE16" s="460"/>
      <c r="CF16" s="346"/>
      <c r="CG16" s="346"/>
      <c r="CH16" s="346"/>
      <c r="CI16" s="346"/>
      <c r="CJ16" s="346"/>
      <c r="CK16" s="346"/>
      <c r="CL16" s="346">
        <v>75</v>
      </c>
      <c r="CM16" s="346"/>
      <c r="CN16" s="346"/>
      <c r="CO16" s="260">
        <f t="shared" si="46"/>
        <v>77.5</v>
      </c>
      <c r="CP16" s="260">
        <f t="shared" si="47"/>
        <v>88.5</v>
      </c>
      <c r="CQ16" s="260" t="str">
        <f t="shared" si="48"/>
        <v xml:space="preserve"> </v>
      </c>
      <c r="CR16" s="260">
        <f t="shared" si="49"/>
        <v>75</v>
      </c>
      <c r="CS16" s="260" t="str">
        <f t="shared" si="50"/>
        <v xml:space="preserve"> </v>
      </c>
      <c r="CT16" s="260">
        <f t="shared" si="51"/>
        <v>75</v>
      </c>
      <c r="CU16" s="260">
        <f t="shared" si="52"/>
        <v>77.5</v>
      </c>
      <c r="CV16" s="260" t="str">
        <f t="shared" si="53"/>
        <v xml:space="preserve"> </v>
      </c>
      <c r="CW16" s="260" t="str">
        <f t="shared" si="54"/>
        <v xml:space="preserve"> </v>
      </c>
      <c r="CX16" s="547">
        <v>75</v>
      </c>
      <c r="CY16" s="547">
        <v>75</v>
      </c>
      <c r="CZ16" s="547"/>
      <c r="DA16" s="547"/>
      <c r="DB16" s="547"/>
      <c r="DC16" s="547"/>
      <c r="DD16" s="547"/>
      <c r="DE16" s="547"/>
      <c r="DF16" s="547"/>
      <c r="DG16" s="548">
        <v>75</v>
      </c>
      <c r="DH16" s="548">
        <v>75</v>
      </c>
      <c r="DI16" s="548"/>
      <c r="DJ16" s="548">
        <v>80</v>
      </c>
      <c r="DK16" s="548"/>
      <c r="DL16" s="548">
        <v>80</v>
      </c>
      <c r="DM16" s="548">
        <v>80</v>
      </c>
      <c r="DN16" s="548"/>
      <c r="DO16" s="548"/>
      <c r="DP16" s="550">
        <f t="shared" si="55"/>
        <v>78</v>
      </c>
      <c r="DQ16" s="291" t="str">
        <f t="shared" si="56"/>
        <v>C</v>
      </c>
      <c r="DR16" s="553" t="str">
        <f t="shared" si="57"/>
        <v>Ananda Radit cukup dalam mengklasifikasi informasi yang didapat dari buku ke dalam aspek: apa, di mana, kapan, siapa, mengapa, dan bagaimana, cukup dalam menentukan pokok pikiran dalam teks lisan dan tulis</v>
      </c>
      <c r="DS16" s="282"/>
      <c r="DT16" s="51"/>
      <c r="DU16" s="46">
        <f t="shared" si="58"/>
        <v>77.5</v>
      </c>
      <c r="DV16" s="46">
        <f t="shared" si="59"/>
        <v>88.5</v>
      </c>
      <c r="DW16" s="46" t="str">
        <f t="shared" si="60"/>
        <v xml:space="preserve"> </v>
      </c>
      <c r="DX16" s="46">
        <f t="shared" si="61"/>
        <v>75</v>
      </c>
      <c r="DY16" s="46" t="str">
        <f t="shared" si="62"/>
        <v xml:space="preserve"> </v>
      </c>
      <c r="DZ16" s="46">
        <f t="shared" si="63"/>
        <v>75</v>
      </c>
      <c r="EA16" s="46">
        <f t="shared" si="64"/>
        <v>77.5</v>
      </c>
      <c r="EB16" s="46" t="str">
        <f t="shared" si="65"/>
        <v xml:space="preserve"> </v>
      </c>
      <c r="EC16" s="46" t="str">
        <f t="shared" si="66"/>
        <v xml:space="preserve"> </v>
      </c>
      <c r="ED16" s="46"/>
      <c r="EE16" s="52">
        <f>[2]uts!J15</f>
        <v>78</v>
      </c>
      <c r="EF16" s="51"/>
      <c r="EG16" s="53">
        <f t="shared" si="67"/>
        <v>76.25</v>
      </c>
      <c r="EH16" s="53">
        <f t="shared" si="68"/>
        <v>81.75</v>
      </c>
      <c r="EI16" s="53" t="str">
        <f t="shared" si="69"/>
        <v xml:space="preserve">  </v>
      </c>
      <c r="EJ16" s="53">
        <f t="shared" si="70"/>
        <v>76.666666666666671</v>
      </c>
      <c r="EK16" s="53" t="str">
        <f t="shared" si="71"/>
        <v xml:space="preserve">  </v>
      </c>
      <c r="EL16" s="53">
        <f t="shared" si="72"/>
        <v>76.666666666666671</v>
      </c>
      <c r="EM16" s="53">
        <f t="shared" si="73"/>
        <v>78.333333333333329</v>
      </c>
      <c r="EN16" s="53" t="str">
        <f t="shared" si="74"/>
        <v xml:space="preserve">  </v>
      </c>
      <c r="EO16" s="53" t="str">
        <f t="shared" si="75"/>
        <v xml:space="preserve">  </v>
      </c>
      <c r="EP16" s="53"/>
      <c r="EQ16" s="52">
        <f t="shared" si="76"/>
        <v>78</v>
      </c>
      <c r="ER16" s="55">
        <f t="shared" si="77"/>
        <v>81.75</v>
      </c>
      <c r="ES16" s="55">
        <f t="shared" si="78"/>
        <v>76.25</v>
      </c>
      <c r="ET16" s="51" t="str">
        <f>SISWA!E14</f>
        <v>Radit</v>
      </c>
      <c r="EU16" s="51" t="str">
        <f t="shared" si="79"/>
        <v xml:space="preserve">Ananda Radit </v>
      </c>
      <c r="EV16" s="56" t="str">
        <f t="shared" si="80"/>
        <v/>
      </c>
      <c r="EW16" s="57">
        <f t="shared" si="81"/>
        <v>81.75</v>
      </c>
      <c r="EX16" s="57" t="str">
        <f t="shared" si="82"/>
        <v/>
      </c>
      <c r="EY16" s="57" t="str">
        <f t="shared" si="83"/>
        <v/>
      </c>
      <c r="EZ16" s="57" t="str">
        <f t="shared" si="84"/>
        <v/>
      </c>
      <c r="FA16" s="57" t="str">
        <f t="shared" si="85"/>
        <v/>
      </c>
      <c r="FB16" s="57" t="str">
        <f t="shared" si="86"/>
        <v/>
      </c>
      <c r="FC16" s="57" t="str">
        <f t="shared" si="87"/>
        <v/>
      </c>
      <c r="FD16" s="57" t="str">
        <f t="shared" si="88"/>
        <v/>
      </c>
      <c r="FE16" s="57"/>
      <c r="FF16" s="58">
        <f t="shared" si="89"/>
        <v>81.75</v>
      </c>
      <c r="FG16" s="55" t="str">
        <f t="shared" si="90"/>
        <v>mengklasifikasi informasi yang didapat dari buku ke dalam aspek: apa, di mana, kapan, siapa, mengapa, dan bagaimana</v>
      </c>
      <c r="FH16" s="58"/>
      <c r="FI16" s="59" t="str">
        <f>IF(ER16&gt;100,"",IF(ER16&gt;DQ$1,"sangat baik dalam "&amp;FG16,IF(ER16&gt;=DQ$2,"baik dalam "&amp;FG16,IF(ER16&gt;=DQ$3,"cukup dalam "&amp;FG16,IF(ER16&lt;DQ$3,"dengan bimbingan dapat meningkatkan dalam "&amp;FG16,IF(ER16&lt;1," ",””))))))</f>
        <v>cukup dalam mengklasifikasi informasi yang didapat dari buku ke dalam aspek: apa, di mana, kapan, siapa, mengapa, dan bagaimana</v>
      </c>
      <c r="FJ16" s="58"/>
      <c r="FK16" s="57">
        <f t="shared" si="91"/>
        <v>76.25</v>
      </c>
      <c r="FL16" s="57" t="str">
        <f t="shared" si="92"/>
        <v/>
      </c>
      <c r="FM16" s="57" t="str">
        <f t="shared" si="93"/>
        <v/>
      </c>
      <c r="FN16" s="57" t="str">
        <f t="shared" si="94"/>
        <v/>
      </c>
      <c r="FO16" s="57" t="str">
        <f t="shared" si="95"/>
        <v/>
      </c>
      <c r="FP16" s="57" t="str">
        <f t="shared" si="96"/>
        <v/>
      </c>
      <c r="FQ16" s="57" t="str">
        <f t="shared" si="97"/>
        <v/>
      </c>
      <c r="FR16" s="57" t="str">
        <f t="shared" si="98"/>
        <v/>
      </c>
      <c r="FS16" s="57" t="str">
        <f t="shared" si="99"/>
        <v/>
      </c>
      <c r="FT16" s="57"/>
      <c r="FU16" s="59" t="str">
        <f t="shared" si="100"/>
        <v>menentukan pokok pikiran dalam teks lisan dan tulis</v>
      </c>
      <c r="FV16" s="59" t="str">
        <f>IF(ES16&gt;100,"",IF(ES16&gt;DQ$1,"sangat baik dalam "&amp;FU16,IF(ES16&gt;=DQ$2,"baik dalam "&amp;FU16,IF(ES16&gt;=DQ$3,"cukup dalam "&amp;FU16,IF(ES16&lt;DQ$3,"dengan bimbingan dapat meningkatkan dalam "&amp;FU16,IF(ES16&lt;1," ",””))))))</f>
        <v>cukup dalam menentukan pokok pikiran dalam teks lisan dan tulis</v>
      </c>
      <c r="FW16" s="61"/>
      <c r="FX16" s="62" t="str">
        <f t="shared" si="101"/>
        <v>Ananda Radit cukup dalam mengklasifikasi informasi yang didapat dari buku ke dalam aspek: apa, di mana, kapan, siapa, mengapa, dan bagaimana, cukup dalam menentukan pokok pikiran dalam teks lisan dan tulis</v>
      </c>
      <c r="FY16" s="57" t="str">
        <f t="shared" si="102"/>
        <v/>
      </c>
      <c r="FZ16" s="57" t="str">
        <f t="shared" si="43"/>
        <v/>
      </c>
      <c r="GA16" s="57" t="str">
        <f t="shared" si="44"/>
        <v/>
      </c>
      <c r="GB16" s="57"/>
      <c r="GC16" s="57"/>
      <c r="GD16" s="57"/>
      <c r="GE16" s="59" t="str">
        <f t="shared" si="45"/>
        <v>perlu bimbingan dalam mengklasifikasi informasi yang didapat dari buku ke dalam aspek: apa, di mana, kapan, siapa, mengapa, dan bagaimana</v>
      </c>
      <c r="GF16" s="60"/>
      <c r="GG16" s="61"/>
      <c r="GH16" s="62" t="str">
        <f t="shared" si="103"/>
        <v>, perlu bimbingan dalam mengklasifikasi informasi yang didapat dari buku ke dalam aspek: apa, di mana, kapan, siapa, mengapa, dan bagaimana</v>
      </c>
      <c r="GI16" s="4" t="str">
        <f t="shared" si="104"/>
        <v>Menguasai dengan baik menentukan pokok pikiran dalam teks lisan dan tulis Cukup pandai mengklasifikasi informasi yang didapat dari buku ke dalam aspek: apa, di mana, kapan, siapa, mengapa, dan bagaimana Menguasai dengan baik meringkas teks penjelasan (eksplanasi) dari media cetak atau elektronik       Cukup pandai menguraikan konsep-konsep yang saling berkaitan pada teks nonfiksi</v>
      </c>
    </row>
    <row r="17" spans="1:191" ht="42" customHeight="1">
      <c r="A17" s="39">
        <v>10</v>
      </c>
      <c r="B17" s="283" t="str">
        <f>SISWA!B15</f>
        <v>Muhammad Shulhan Al-farisi</v>
      </c>
      <c r="C17" s="123">
        <v>75</v>
      </c>
      <c r="D17" s="123"/>
      <c r="E17" s="123"/>
      <c r="F17" s="123"/>
      <c r="G17" s="123"/>
      <c r="H17" s="123"/>
      <c r="I17" s="123"/>
      <c r="J17" s="123"/>
      <c r="K17" s="123"/>
      <c r="L17" s="256">
        <v>80</v>
      </c>
      <c r="M17" s="256"/>
      <c r="N17" s="256"/>
      <c r="O17" s="256"/>
      <c r="P17" s="256"/>
      <c r="Q17" s="256"/>
      <c r="R17" s="256"/>
      <c r="S17" s="256"/>
      <c r="T17" s="256"/>
      <c r="U17" s="123"/>
      <c r="V17" s="123">
        <v>93</v>
      </c>
      <c r="W17" s="123"/>
      <c r="X17" s="123"/>
      <c r="Y17" s="123"/>
      <c r="Z17" s="123"/>
      <c r="AA17" s="123"/>
      <c r="AB17" s="123"/>
      <c r="AC17" s="123"/>
      <c r="AD17" s="256"/>
      <c r="AE17" s="256">
        <v>100</v>
      </c>
      <c r="AF17" s="256"/>
      <c r="AG17" s="256"/>
      <c r="AH17" s="256"/>
      <c r="AI17" s="256"/>
      <c r="AJ17" s="256"/>
      <c r="AK17" s="256"/>
      <c r="AL17" s="256"/>
      <c r="AM17" s="123"/>
      <c r="AN17" s="123"/>
      <c r="AO17" s="123"/>
      <c r="AP17" s="123">
        <v>80</v>
      </c>
      <c r="AQ17" s="123"/>
      <c r="AR17" s="123"/>
      <c r="AS17" s="123"/>
      <c r="AT17" s="123"/>
      <c r="AU17" s="123"/>
      <c r="AV17" s="256"/>
      <c r="AW17" s="256"/>
      <c r="AX17" s="256"/>
      <c r="AY17" s="256">
        <v>93</v>
      </c>
      <c r="AZ17" s="256"/>
      <c r="BA17" s="256"/>
      <c r="BB17" s="256"/>
      <c r="BC17" s="256"/>
      <c r="BD17" s="256"/>
      <c r="BE17" s="123"/>
      <c r="BF17" s="123">
        <v>87</v>
      </c>
      <c r="BG17" s="123"/>
      <c r="BH17" s="123"/>
      <c r="BI17" s="123"/>
      <c r="BJ17" s="123">
        <v>75</v>
      </c>
      <c r="BK17" s="123"/>
      <c r="BL17" s="123"/>
      <c r="BM17" s="123"/>
      <c r="BN17" s="256"/>
      <c r="BO17" s="256">
        <v>87</v>
      </c>
      <c r="BP17" s="256"/>
      <c r="BQ17" s="256"/>
      <c r="BR17" s="256"/>
      <c r="BS17" s="256">
        <v>75</v>
      </c>
      <c r="BT17" s="256"/>
      <c r="BU17" s="256"/>
      <c r="BV17" s="256"/>
      <c r="BW17" s="460"/>
      <c r="BX17" s="460"/>
      <c r="BY17" s="460"/>
      <c r="BZ17" s="460"/>
      <c r="CA17" s="460"/>
      <c r="CB17" s="460"/>
      <c r="CC17" s="460">
        <v>87</v>
      </c>
      <c r="CD17" s="460"/>
      <c r="CE17" s="460"/>
      <c r="CF17" s="346"/>
      <c r="CG17" s="346"/>
      <c r="CH17" s="346"/>
      <c r="CI17" s="346"/>
      <c r="CJ17" s="346"/>
      <c r="CK17" s="346"/>
      <c r="CL17" s="346">
        <v>75</v>
      </c>
      <c r="CM17" s="346"/>
      <c r="CN17" s="346"/>
      <c r="CO17" s="260">
        <f t="shared" si="46"/>
        <v>77.5</v>
      </c>
      <c r="CP17" s="260">
        <f t="shared" si="47"/>
        <v>91.75</v>
      </c>
      <c r="CQ17" s="260" t="str">
        <f t="shared" si="48"/>
        <v xml:space="preserve"> </v>
      </c>
      <c r="CR17" s="260">
        <f t="shared" si="49"/>
        <v>86.5</v>
      </c>
      <c r="CS17" s="260" t="str">
        <f t="shared" si="50"/>
        <v xml:space="preserve"> </v>
      </c>
      <c r="CT17" s="260">
        <f t="shared" si="51"/>
        <v>75</v>
      </c>
      <c r="CU17" s="260">
        <f t="shared" si="52"/>
        <v>81</v>
      </c>
      <c r="CV17" s="260" t="str">
        <f t="shared" si="53"/>
        <v xml:space="preserve"> </v>
      </c>
      <c r="CW17" s="260" t="str">
        <f t="shared" si="54"/>
        <v xml:space="preserve"> </v>
      </c>
      <c r="CX17" s="547">
        <v>90</v>
      </c>
      <c r="CY17" s="547">
        <v>75</v>
      </c>
      <c r="CZ17" s="547"/>
      <c r="DA17" s="547"/>
      <c r="DB17" s="547"/>
      <c r="DC17" s="547"/>
      <c r="DD17" s="547"/>
      <c r="DE17" s="547"/>
      <c r="DF17" s="547"/>
      <c r="DG17" s="548">
        <v>80</v>
      </c>
      <c r="DH17" s="548">
        <v>84</v>
      </c>
      <c r="DI17" s="548"/>
      <c r="DJ17" s="548">
        <v>75</v>
      </c>
      <c r="DK17" s="548"/>
      <c r="DL17" s="548">
        <v>76</v>
      </c>
      <c r="DM17" s="548">
        <v>77</v>
      </c>
      <c r="DN17" s="548"/>
      <c r="DO17" s="548"/>
      <c r="DP17" s="550">
        <f t="shared" si="55"/>
        <v>81</v>
      </c>
      <c r="DQ17" s="291" t="str">
        <f t="shared" si="56"/>
        <v>C</v>
      </c>
      <c r="DR17" s="553" t="str">
        <f t="shared" si="57"/>
        <v>Ananda Shulhan baik dalam mengklasifikasi informasi yang didapat dari buku ke dalam aspek: apa, di mana, kapan, siapa, mengapa, dan bagaimana, cukup dalam menggali isi dan amanat pantun yang disajikan secara lisan dan tulis dengan tujuan untuk kesenangan</v>
      </c>
      <c r="DS17" s="282"/>
      <c r="DT17" s="51"/>
      <c r="DU17" s="46">
        <f t="shared" si="58"/>
        <v>77.5</v>
      </c>
      <c r="DV17" s="46">
        <f t="shared" si="59"/>
        <v>91.75</v>
      </c>
      <c r="DW17" s="46" t="str">
        <f t="shared" si="60"/>
        <v xml:space="preserve"> </v>
      </c>
      <c r="DX17" s="46">
        <f t="shared" si="61"/>
        <v>86.5</v>
      </c>
      <c r="DY17" s="46" t="str">
        <f t="shared" si="62"/>
        <v xml:space="preserve"> </v>
      </c>
      <c r="DZ17" s="46">
        <f t="shared" si="63"/>
        <v>75</v>
      </c>
      <c r="EA17" s="46">
        <f t="shared" si="64"/>
        <v>81</v>
      </c>
      <c r="EB17" s="46" t="str">
        <f t="shared" si="65"/>
        <v xml:space="preserve"> </v>
      </c>
      <c r="EC17" s="46" t="str">
        <f t="shared" si="66"/>
        <v xml:space="preserve"> </v>
      </c>
      <c r="ED17" s="46"/>
      <c r="EE17" s="52">
        <f>[2]uts!J16</f>
        <v>70.666666666666671</v>
      </c>
      <c r="EF17" s="51"/>
      <c r="EG17" s="53">
        <f t="shared" si="67"/>
        <v>81.25</v>
      </c>
      <c r="EH17" s="53">
        <f t="shared" si="68"/>
        <v>85.625</v>
      </c>
      <c r="EI17" s="53" t="str">
        <f t="shared" si="69"/>
        <v xml:space="preserve">  </v>
      </c>
      <c r="EJ17" s="53">
        <f t="shared" si="70"/>
        <v>82.666666666666671</v>
      </c>
      <c r="EK17" s="53" t="str">
        <f t="shared" si="71"/>
        <v xml:space="preserve">  </v>
      </c>
      <c r="EL17" s="53">
        <f t="shared" si="72"/>
        <v>75.333333333333329</v>
      </c>
      <c r="EM17" s="53">
        <f t="shared" si="73"/>
        <v>79.666666666666671</v>
      </c>
      <c r="EN17" s="53" t="str">
        <f t="shared" si="74"/>
        <v xml:space="preserve">  </v>
      </c>
      <c r="EO17" s="53" t="str">
        <f t="shared" si="75"/>
        <v xml:space="preserve">  </v>
      </c>
      <c r="EP17" s="53"/>
      <c r="EQ17" s="52">
        <f t="shared" si="76"/>
        <v>81</v>
      </c>
      <c r="ER17" s="55">
        <f t="shared" si="77"/>
        <v>85.625</v>
      </c>
      <c r="ES17" s="55">
        <f t="shared" si="78"/>
        <v>75.333333333333329</v>
      </c>
      <c r="ET17" s="51" t="str">
        <f>SISWA!E15</f>
        <v>Shulhan</v>
      </c>
      <c r="EU17" s="51" t="str">
        <f t="shared" si="79"/>
        <v xml:space="preserve">Ananda Shulhan </v>
      </c>
      <c r="EV17" s="56" t="str">
        <f t="shared" si="80"/>
        <v/>
      </c>
      <c r="EW17" s="57">
        <f t="shared" si="81"/>
        <v>85.625</v>
      </c>
      <c r="EX17" s="57" t="str">
        <f t="shared" si="82"/>
        <v/>
      </c>
      <c r="EY17" s="57" t="str">
        <f t="shared" si="83"/>
        <v/>
      </c>
      <c r="EZ17" s="57" t="str">
        <f t="shared" si="84"/>
        <v/>
      </c>
      <c r="FA17" s="57" t="str">
        <f t="shared" si="85"/>
        <v/>
      </c>
      <c r="FB17" s="57" t="str">
        <f t="shared" si="86"/>
        <v/>
      </c>
      <c r="FC17" s="57" t="str">
        <f t="shared" si="87"/>
        <v/>
      </c>
      <c r="FD17" s="57" t="str">
        <f t="shared" si="88"/>
        <v/>
      </c>
      <c r="FE17" s="57"/>
      <c r="FF17" s="58">
        <f t="shared" si="89"/>
        <v>85.625</v>
      </c>
      <c r="FG17" s="55" t="str">
        <f t="shared" si="90"/>
        <v>mengklasifikasi informasi yang didapat dari buku ke dalam aspek: apa, di mana, kapan, siapa, mengapa, dan bagaimana</v>
      </c>
      <c r="FH17" s="58"/>
      <c r="FI17" s="59" t="str">
        <f>IF(ER17&gt;100,"",IF(ER17&gt;DQ$1,"sangat baik dalam "&amp;FG17,IF(ER17&gt;=DQ$2,"baik dalam "&amp;FG17,IF(ER17&gt;=DQ$3,"cukup dalam "&amp;FG17,IF(ER17&lt;DQ$3,"dengan bimbingan dapat meningkatkan dalam "&amp;FG17,IF(ER17&lt;1," ",””))))))</f>
        <v>baik dalam mengklasifikasi informasi yang didapat dari buku ke dalam aspek: apa, di mana, kapan, siapa, mengapa, dan bagaimana</v>
      </c>
      <c r="FJ17" s="58"/>
      <c r="FK17" s="57" t="str">
        <f t="shared" si="91"/>
        <v/>
      </c>
      <c r="FL17" s="57" t="str">
        <f t="shared" si="92"/>
        <v/>
      </c>
      <c r="FM17" s="57" t="str">
        <f t="shared" si="93"/>
        <v/>
      </c>
      <c r="FN17" s="57" t="str">
        <f t="shared" si="94"/>
        <v/>
      </c>
      <c r="FO17" s="57" t="str">
        <f t="shared" si="95"/>
        <v/>
      </c>
      <c r="FP17" s="57">
        <f t="shared" si="96"/>
        <v>75.333333333333329</v>
      </c>
      <c r="FQ17" s="57" t="str">
        <f t="shared" si="97"/>
        <v/>
      </c>
      <c r="FR17" s="57" t="str">
        <f t="shared" si="98"/>
        <v/>
      </c>
      <c r="FS17" s="57" t="str">
        <f t="shared" si="99"/>
        <v/>
      </c>
      <c r="FT17" s="57"/>
      <c r="FU17" s="59" t="str">
        <f t="shared" si="100"/>
        <v>menggali isi dan amanat pantun yang disajikan secara lisan dan tulis dengan tujuan untuk kesenangan</v>
      </c>
      <c r="FV17" s="59" t="str">
        <f>IF(ES17&gt;100,"",IF(ES17&gt;DQ$1,"sangat baik dalam "&amp;FU17,IF(ES17&gt;=DQ$2,"baik dalam "&amp;FU17,IF(ES17&gt;=DQ$3,"cukup dalam "&amp;FU17,IF(ES17&lt;DQ$3,"dengan bimbingan dapat meningkatkan dalam "&amp;FU17,IF(ES17&lt;1," ",””))))))</f>
        <v>cukup dalam menggali isi dan amanat pantun yang disajikan secara lisan dan tulis dengan tujuan untuk kesenangan</v>
      </c>
      <c r="FW17" s="61"/>
      <c r="FX17" s="62" t="str">
        <f t="shared" si="101"/>
        <v>Ananda Shulhan baik dalam mengklasifikasi informasi yang didapat dari buku ke dalam aspek: apa, di mana, kapan, siapa, mengapa, dan bagaimana, cukup dalam menggali isi dan amanat pantun yang disajikan secara lisan dan tulis dengan tujuan untuk kesenangan</v>
      </c>
      <c r="FY17" s="57" t="str">
        <f t="shared" si="102"/>
        <v/>
      </c>
      <c r="FZ17" s="57" t="str">
        <f t="shared" si="43"/>
        <v/>
      </c>
      <c r="GA17" s="57" t="str">
        <f t="shared" si="44"/>
        <v/>
      </c>
      <c r="GB17" s="57"/>
      <c r="GC17" s="57"/>
      <c r="GD17" s="57"/>
      <c r="GE17" s="59" t="str">
        <f t="shared" si="45"/>
        <v>perlu bimbingan dalam mengklasifikasi informasi yang didapat dari buku ke dalam aspek: apa, di mana, kapan, siapa, mengapa, dan bagaimana</v>
      </c>
      <c r="GF17" s="60"/>
      <c r="GG17" s="61"/>
      <c r="GH17" s="62" t="str">
        <f t="shared" si="103"/>
        <v>, perlu bimbingan dalam mengklasifikasi informasi yang didapat dari buku ke dalam aspek: apa, di mana, kapan, siapa, mengapa, dan bagaimana</v>
      </c>
      <c r="GI17" s="4" t="str">
        <f t="shared" si="104"/>
        <v>Cukup pandai menentukan pokok pikiran dalam teks lisan dan tulis Cukup pandai mengklasifikasi informasi yang didapat dari buku ke dalam aspek: apa, di mana, kapan, siapa, mengapa, dan bagaimana Menguasai dengan baik meringkas teks penjelasan (eksplanasi) dari media cetak atau elektronik       Cukup pandai menguraikan konsep-konsep yang saling berkaitan pada teks nonfiksi</v>
      </c>
    </row>
    <row r="18" spans="1:191" ht="42" customHeight="1">
      <c r="A18" s="39">
        <v>11</v>
      </c>
      <c r="B18" s="283" t="str">
        <f>SISWA!B16</f>
        <v>Novaris Dwi Firmansyah</v>
      </c>
      <c r="C18" s="123">
        <v>75</v>
      </c>
      <c r="D18" s="123"/>
      <c r="E18" s="123"/>
      <c r="F18" s="123"/>
      <c r="G18" s="123"/>
      <c r="H18" s="123"/>
      <c r="I18" s="123"/>
      <c r="J18" s="123"/>
      <c r="K18" s="123"/>
      <c r="L18" s="256">
        <v>75</v>
      </c>
      <c r="M18" s="256"/>
      <c r="N18" s="256"/>
      <c r="O18" s="256"/>
      <c r="P18" s="256"/>
      <c r="Q18" s="256"/>
      <c r="R18" s="256"/>
      <c r="S18" s="256"/>
      <c r="T18" s="256"/>
      <c r="U18" s="123"/>
      <c r="V18" s="123">
        <v>93</v>
      </c>
      <c r="W18" s="123"/>
      <c r="X18" s="123"/>
      <c r="Y18" s="123"/>
      <c r="Z18" s="123"/>
      <c r="AA18" s="123"/>
      <c r="AB18" s="123"/>
      <c r="AC18" s="123"/>
      <c r="AD18" s="256"/>
      <c r="AE18" s="256">
        <v>100</v>
      </c>
      <c r="AF18" s="256"/>
      <c r="AG18" s="256"/>
      <c r="AH18" s="256"/>
      <c r="AI18" s="256"/>
      <c r="AJ18" s="256"/>
      <c r="AK18" s="256"/>
      <c r="AL18" s="256"/>
      <c r="AM18" s="123"/>
      <c r="AN18" s="123"/>
      <c r="AO18" s="123"/>
      <c r="AP18" s="123">
        <v>80</v>
      </c>
      <c r="AQ18" s="123"/>
      <c r="AR18" s="123"/>
      <c r="AS18" s="123"/>
      <c r="AT18" s="123"/>
      <c r="AU18" s="123"/>
      <c r="AV18" s="256"/>
      <c r="AW18" s="256"/>
      <c r="AX18" s="256"/>
      <c r="AY18" s="256">
        <v>75</v>
      </c>
      <c r="AZ18" s="256"/>
      <c r="BA18" s="256"/>
      <c r="BB18" s="256"/>
      <c r="BC18" s="256"/>
      <c r="BD18" s="256"/>
      <c r="BE18" s="123"/>
      <c r="BF18" s="123">
        <v>87</v>
      </c>
      <c r="BG18" s="123"/>
      <c r="BH18" s="123"/>
      <c r="BI18" s="123"/>
      <c r="BJ18" s="123">
        <v>75</v>
      </c>
      <c r="BK18" s="123"/>
      <c r="BL18" s="123"/>
      <c r="BM18" s="123"/>
      <c r="BN18" s="256"/>
      <c r="BO18" s="256">
        <v>87</v>
      </c>
      <c r="BP18" s="256"/>
      <c r="BQ18" s="256"/>
      <c r="BR18" s="256"/>
      <c r="BS18" s="256">
        <v>87</v>
      </c>
      <c r="BT18" s="256"/>
      <c r="BU18" s="256"/>
      <c r="BV18" s="256"/>
      <c r="BW18" s="460"/>
      <c r="BX18" s="460"/>
      <c r="BY18" s="460"/>
      <c r="BZ18" s="460"/>
      <c r="CA18" s="460"/>
      <c r="CB18" s="460"/>
      <c r="CC18" s="460">
        <v>80</v>
      </c>
      <c r="CD18" s="460"/>
      <c r="CE18" s="460"/>
      <c r="CF18" s="346"/>
      <c r="CG18" s="346"/>
      <c r="CH18" s="346"/>
      <c r="CI18" s="346"/>
      <c r="CJ18" s="346"/>
      <c r="CK18" s="346"/>
      <c r="CL18" s="346">
        <v>80</v>
      </c>
      <c r="CM18" s="346"/>
      <c r="CN18" s="346"/>
      <c r="CO18" s="260">
        <f t="shared" si="46"/>
        <v>75</v>
      </c>
      <c r="CP18" s="260">
        <f t="shared" si="47"/>
        <v>91.75</v>
      </c>
      <c r="CQ18" s="260" t="str">
        <f t="shared" si="48"/>
        <v xml:space="preserve"> </v>
      </c>
      <c r="CR18" s="260">
        <f t="shared" si="49"/>
        <v>77.5</v>
      </c>
      <c r="CS18" s="260" t="str">
        <f t="shared" si="50"/>
        <v xml:space="preserve"> </v>
      </c>
      <c r="CT18" s="260">
        <f t="shared" si="51"/>
        <v>81</v>
      </c>
      <c r="CU18" s="260">
        <f t="shared" si="52"/>
        <v>80</v>
      </c>
      <c r="CV18" s="260" t="str">
        <f t="shared" si="53"/>
        <v xml:space="preserve"> </v>
      </c>
      <c r="CW18" s="260" t="str">
        <f t="shared" si="54"/>
        <v xml:space="preserve"> </v>
      </c>
      <c r="CX18" s="547">
        <v>75</v>
      </c>
      <c r="CY18" s="547">
        <v>75</v>
      </c>
      <c r="CZ18" s="547"/>
      <c r="DA18" s="547"/>
      <c r="DB18" s="547"/>
      <c r="DC18" s="547"/>
      <c r="DD18" s="547"/>
      <c r="DE18" s="547"/>
      <c r="DF18" s="547"/>
      <c r="DG18" s="548">
        <v>75</v>
      </c>
      <c r="DH18" s="548">
        <v>88</v>
      </c>
      <c r="DI18" s="548"/>
      <c r="DJ18" s="548">
        <v>78</v>
      </c>
      <c r="DK18" s="548"/>
      <c r="DL18" s="548">
        <v>75</v>
      </c>
      <c r="DM18" s="548">
        <v>89</v>
      </c>
      <c r="DN18" s="548"/>
      <c r="DO18" s="548"/>
      <c r="DP18" s="550">
        <f t="shared" si="55"/>
        <v>80</v>
      </c>
      <c r="DQ18" s="291" t="str">
        <f t="shared" si="56"/>
        <v>C</v>
      </c>
      <c r="DR18" s="553" t="str">
        <f t="shared" si="57"/>
        <v>Ananda Varis baik dalam mengklasifikasi informasi yang didapat dari buku ke dalam aspek: apa, di mana, kapan, siapa, mengapa, dan bagaimana, cukup dalam menentukan pokok pikiran dalam teks lisan dan tulis</v>
      </c>
      <c r="DS18" s="282"/>
      <c r="DT18" s="51"/>
      <c r="DU18" s="46">
        <f t="shared" si="58"/>
        <v>75</v>
      </c>
      <c r="DV18" s="46">
        <f t="shared" si="59"/>
        <v>91.75</v>
      </c>
      <c r="DW18" s="46" t="str">
        <f t="shared" si="60"/>
        <v xml:space="preserve"> </v>
      </c>
      <c r="DX18" s="46">
        <f t="shared" si="61"/>
        <v>77.5</v>
      </c>
      <c r="DY18" s="46" t="str">
        <f t="shared" si="62"/>
        <v xml:space="preserve"> </v>
      </c>
      <c r="DZ18" s="46">
        <f t="shared" si="63"/>
        <v>81</v>
      </c>
      <c r="EA18" s="46">
        <f t="shared" si="64"/>
        <v>80</v>
      </c>
      <c r="EB18" s="46" t="str">
        <f t="shared" si="65"/>
        <v xml:space="preserve"> </v>
      </c>
      <c r="EC18" s="46" t="str">
        <f t="shared" si="66"/>
        <v xml:space="preserve"> </v>
      </c>
      <c r="ED18" s="46"/>
      <c r="EE18" s="52">
        <f>[2]uts!J17</f>
        <v>80.666666666666671</v>
      </c>
      <c r="EF18" s="51"/>
      <c r="EG18" s="53">
        <f t="shared" si="67"/>
        <v>75</v>
      </c>
      <c r="EH18" s="53">
        <f t="shared" si="68"/>
        <v>86.625</v>
      </c>
      <c r="EI18" s="53" t="str">
        <f t="shared" si="69"/>
        <v xml:space="preserve">  </v>
      </c>
      <c r="EJ18" s="53">
        <f t="shared" si="70"/>
        <v>77.666666666666671</v>
      </c>
      <c r="EK18" s="53" t="str">
        <f t="shared" si="71"/>
        <v xml:space="preserve">  </v>
      </c>
      <c r="EL18" s="53">
        <f t="shared" si="72"/>
        <v>79</v>
      </c>
      <c r="EM18" s="53">
        <f t="shared" si="73"/>
        <v>83</v>
      </c>
      <c r="EN18" s="53" t="str">
        <f t="shared" si="74"/>
        <v xml:space="preserve">  </v>
      </c>
      <c r="EO18" s="53" t="str">
        <f t="shared" si="75"/>
        <v xml:space="preserve">  </v>
      </c>
      <c r="EP18" s="53"/>
      <c r="EQ18" s="52">
        <f t="shared" si="76"/>
        <v>80</v>
      </c>
      <c r="ER18" s="55">
        <f t="shared" si="77"/>
        <v>86.625</v>
      </c>
      <c r="ES18" s="55">
        <f t="shared" si="78"/>
        <v>75</v>
      </c>
      <c r="ET18" s="51" t="str">
        <f>SISWA!E16</f>
        <v>Varis</v>
      </c>
      <c r="EU18" s="51" t="str">
        <f t="shared" si="79"/>
        <v xml:space="preserve">Ananda Varis </v>
      </c>
      <c r="EV18" s="56" t="str">
        <f t="shared" si="80"/>
        <v/>
      </c>
      <c r="EW18" s="57">
        <f t="shared" si="81"/>
        <v>86.625</v>
      </c>
      <c r="EX18" s="57" t="str">
        <f t="shared" si="82"/>
        <v/>
      </c>
      <c r="EY18" s="57" t="str">
        <f t="shared" si="83"/>
        <v/>
      </c>
      <c r="EZ18" s="57" t="str">
        <f t="shared" si="84"/>
        <v/>
      </c>
      <c r="FA18" s="57" t="str">
        <f t="shared" si="85"/>
        <v/>
      </c>
      <c r="FB18" s="57" t="str">
        <f t="shared" si="86"/>
        <v/>
      </c>
      <c r="FC18" s="57" t="str">
        <f t="shared" si="87"/>
        <v/>
      </c>
      <c r="FD18" s="57" t="str">
        <f t="shared" si="88"/>
        <v/>
      </c>
      <c r="FE18" s="57"/>
      <c r="FF18" s="58">
        <f t="shared" si="89"/>
        <v>86.625</v>
      </c>
      <c r="FG18" s="55" t="str">
        <f t="shared" si="90"/>
        <v>mengklasifikasi informasi yang didapat dari buku ke dalam aspek: apa, di mana, kapan, siapa, mengapa, dan bagaimana</v>
      </c>
      <c r="FH18" s="58"/>
      <c r="FI18" s="59" t="str">
        <f>IF(ER18&gt;100,"",IF(ER18&gt;DQ$1,"sangat baik dalam "&amp;FG18,IF(ER18&gt;=DQ$2,"baik dalam "&amp;FG18,IF(ER18&gt;=DQ$3,"cukup dalam "&amp;FG18,IF(ER18&lt;DQ$3,"dengan bimbingan dapat meningkatkan dalam "&amp;FG18,IF(ER18&lt;1," ",””))))))</f>
        <v>baik dalam mengklasifikasi informasi yang didapat dari buku ke dalam aspek: apa, di mana, kapan, siapa, mengapa, dan bagaimana</v>
      </c>
      <c r="FJ18" s="58"/>
      <c r="FK18" s="57">
        <f t="shared" si="91"/>
        <v>75</v>
      </c>
      <c r="FL18" s="57" t="str">
        <f t="shared" si="92"/>
        <v/>
      </c>
      <c r="FM18" s="57" t="str">
        <f t="shared" si="93"/>
        <v/>
      </c>
      <c r="FN18" s="57" t="str">
        <f t="shared" si="94"/>
        <v/>
      </c>
      <c r="FO18" s="57" t="str">
        <f t="shared" si="95"/>
        <v/>
      </c>
      <c r="FP18" s="57" t="str">
        <f t="shared" si="96"/>
        <v/>
      </c>
      <c r="FQ18" s="57" t="str">
        <f t="shared" si="97"/>
        <v/>
      </c>
      <c r="FR18" s="57" t="str">
        <f t="shared" si="98"/>
        <v/>
      </c>
      <c r="FS18" s="57" t="str">
        <f t="shared" si="99"/>
        <v/>
      </c>
      <c r="FT18" s="57"/>
      <c r="FU18" s="59" t="str">
        <f t="shared" si="100"/>
        <v>menentukan pokok pikiran dalam teks lisan dan tulis</v>
      </c>
      <c r="FV18" s="59" t="str">
        <f>IF(ES18&gt;100,"",IF(ES18&gt;DQ$1,"sangat baik dalam "&amp;FU18,IF(ES18&gt;=DQ$2,"baik dalam "&amp;FU18,IF(ES18&gt;=DQ$3,"cukup dalam "&amp;FU18,IF(ES18&lt;DQ$3,"dengan bimbingan dapat meningkatkan dalam "&amp;FU18,IF(ES18&lt;1," ",””))))))</f>
        <v>cukup dalam menentukan pokok pikiran dalam teks lisan dan tulis</v>
      </c>
      <c r="FW18" s="61"/>
      <c r="FX18" s="62" t="str">
        <f t="shared" si="101"/>
        <v>Ananda Varis baik dalam mengklasifikasi informasi yang didapat dari buku ke dalam aspek: apa, di mana, kapan, siapa, mengapa, dan bagaimana, cukup dalam menentukan pokok pikiran dalam teks lisan dan tulis</v>
      </c>
      <c r="FY18" s="57" t="str">
        <f t="shared" si="102"/>
        <v/>
      </c>
      <c r="FZ18" s="57" t="str">
        <f t="shared" si="43"/>
        <v/>
      </c>
      <c r="GA18" s="57" t="str">
        <f t="shared" si="44"/>
        <v/>
      </c>
      <c r="GB18" s="57"/>
      <c r="GC18" s="57"/>
      <c r="GD18" s="57"/>
      <c r="GE18" s="59" t="str">
        <f t="shared" si="45"/>
        <v>perlu bimbingan dalam mengklasifikasi informasi yang didapat dari buku ke dalam aspek: apa, di mana, kapan, siapa, mengapa, dan bagaimana</v>
      </c>
      <c r="GF18" s="60"/>
      <c r="GG18" s="61"/>
      <c r="GH18" s="62" t="str">
        <f t="shared" si="103"/>
        <v>, perlu bimbingan dalam mengklasifikasi informasi yang didapat dari buku ke dalam aspek: apa, di mana, kapan, siapa, mengapa, dan bagaimana</v>
      </c>
      <c r="GI18" s="4" t="str">
        <f t="shared" si="104"/>
        <v>Cukup pandai menentukan pokok pikiran dalam teks lisan dan tulis Cukup pandai mengklasifikasi informasi yang didapat dari buku ke dalam aspek: apa, di mana, kapan, siapa, mengapa, dan bagaimana Menguasai dengan baik meringkas teks penjelasan (eksplanasi) dari media cetak atau elektronik       Cukup pandai menguraikan konsep-konsep yang saling berkaitan pada teks nonfiksi</v>
      </c>
    </row>
    <row r="19" spans="1:191" ht="42" customHeight="1">
      <c r="A19" s="39">
        <v>12</v>
      </c>
      <c r="B19" s="283" t="str">
        <f>SISWA!B17</f>
        <v>Oktafiya Duwi Safitri</v>
      </c>
      <c r="C19" s="123">
        <v>75</v>
      </c>
      <c r="D19" s="123"/>
      <c r="E19" s="123"/>
      <c r="F19" s="123"/>
      <c r="G19" s="123"/>
      <c r="H19" s="123"/>
      <c r="I19" s="123"/>
      <c r="J19" s="123"/>
      <c r="K19" s="123"/>
      <c r="L19" s="256">
        <v>75</v>
      </c>
      <c r="M19" s="256"/>
      <c r="N19" s="256"/>
      <c r="O19" s="256"/>
      <c r="P19" s="256"/>
      <c r="Q19" s="256"/>
      <c r="R19" s="256"/>
      <c r="S19" s="256"/>
      <c r="T19" s="256"/>
      <c r="U19" s="123"/>
      <c r="V19" s="123">
        <v>75</v>
      </c>
      <c r="W19" s="123"/>
      <c r="X19" s="123"/>
      <c r="Y19" s="123"/>
      <c r="Z19" s="123"/>
      <c r="AA19" s="123"/>
      <c r="AB19" s="123"/>
      <c r="AC19" s="123"/>
      <c r="AD19" s="256"/>
      <c r="AE19" s="256">
        <v>80</v>
      </c>
      <c r="AF19" s="256"/>
      <c r="AG19" s="256"/>
      <c r="AH19" s="256"/>
      <c r="AI19" s="256"/>
      <c r="AJ19" s="256"/>
      <c r="AK19" s="256"/>
      <c r="AL19" s="256"/>
      <c r="AM19" s="123"/>
      <c r="AN19" s="123"/>
      <c r="AO19" s="123"/>
      <c r="AP19" s="123">
        <v>75</v>
      </c>
      <c r="AQ19" s="123"/>
      <c r="AR19" s="123"/>
      <c r="AS19" s="123"/>
      <c r="AT19" s="123"/>
      <c r="AU19" s="123"/>
      <c r="AV19" s="256"/>
      <c r="AW19" s="256"/>
      <c r="AX19" s="256"/>
      <c r="AY19" s="256">
        <v>75</v>
      </c>
      <c r="AZ19" s="256"/>
      <c r="BA19" s="256"/>
      <c r="BB19" s="256"/>
      <c r="BC19" s="256"/>
      <c r="BD19" s="256"/>
      <c r="BE19" s="123"/>
      <c r="BF19" s="123">
        <v>75</v>
      </c>
      <c r="BG19" s="123"/>
      <c r="BH19" s="123"/>
      <c r="BI19" s="123"/>
      <c r="BJ19" s="123">
        <v>75</v>
      </c>
      <c r="BK19" s="123"/>
      <c r="BL19" s="123"/>
      <c r="BM19" s="123"/>
      <c r="BN19" s="256"/>
      <c r="BO19" s="256">
        <v>75</v>
      </c>
      <c r="BP19" s="256"/>
      <c r="BQ19" s="256"/>
      <c r="BR19" s="256"/>
      <c r="BS19" s="256">
        <v>87</v>
      </c>
      <c r="BT19" s="256"/>
      <c r="BU19" s="256"/>
      <c r="BV19" s="256"/>
      <c r="BW19" s="460"/>
      <c r="BX19" s="460"/>
      <c r="BY19" s="460"/>
      <c r="BZ19" s="460"/>
      <c r="CA19" s="460"/>
      <c r="CB19" s="460"/>
      <c r="CC19" s="460">
        <v>75</v>
      </c>
      <c r="CD19" s="460"/>
      <c r="CE19" s="460"/>
      <c r="CF19" s="346"/>
      <c r="CG19" s="346"/>
      <c r="CH19" s="346"/>
      <c r="CI19" s="346"/>
      <c r="CJ19" s="346"/>
      <c r="CK19" s="346"/>
      <c r="CL19" s="346">
        <v>75</v>
      </c>
      <c r="CM19" s="346"/>
      <c r="CN19" s="346"/>
      <c r="CO19" s="260">
        <f t="shared" si="46"/>
        <v>75</v>
      </c>
      <c r="CP19" s="260">
        <f t="shared" si="47"/>
        <v>76.25</v>
      </c>
      <c r="CQ19" s="260" t="str">
        <f t="shared" si="48"/>
        <v xml:space="preserve"> </v>
      </c>
      <c r="CR19" s="260">
        <f t="shared" si="49"/>
        <v>75</v>
      </c>
      <c r="CS19" s="260" t="str">
        <f t="shared" si="50"/>
        <v xml:space="preserve"> </v>
      </c>
      <c r="CT19" s="260">
        <f t="shared" si="51"/>
        <v>81</v>
      </c>
      <c r="CU19" s="260">
        <f t="shared" si="52"/>
        <v>75</v>
      </c>
      <c r="CV19" s="260" t="str">
        <f t="shared" si="53"/>
        <v xml:space="preserve"> </v>
      </c>
      <c r="CW19" s="260" t="str">
        <f t="shared" si="54"/>
        <v xml:space="preserve"> </v>
      </c>
      <c r="CX19" s="547">
        <v>75</v>
      </c>
      <c r="CY19" s="547">
        <v>75</v>
      </c>
      <c r="CZ19" s="547"/>
      <c r="DA19" s="547"/>
      <c r="DB19" s="547"/>
      <c r="DC19" s="547"/>
      <c r="DD19" s="547"/>
      <c r="DE19" s="547"/>
      <c r="DF19" s="547"/>
      <c r="DG19" s="548">
        <v>75</v>
      </c>
      <c r="DH19" s="548">
        <v>75</v>
      </c>
      <c r="DI19" s="548"/>
      <c r="DJ19" s="548">
        <v>75</v>
      </c>
      <c r="DK19" s="548"/>
      <c r="DL19" s="548">
        <v>75</v>
      </c>
      <c r="DM19" s="548">
        <v>75</v>
      </c>
      <c r="DN19" s="548"/>
      <c r="DO19" s="548"/>
      <c r="DP19" s="550">
        <f t="shared" si="55"/>
        <v>76</v>
      </c>
      <c r="DQ19" s="291" t="str">
        <f t="shared" si="56"/>
        <v>C</v>
      </c>
      <c r="DR19" s="553" t="str">
        <f t="shared" si="57"/>
        <v>Ananda Fitri cukup dalam menggali isi dan amanat pantun yang disajikan secara lisan dan tulis dengan tujuan untuk kesenangan, cukup dalam menguraikan konsep-konsep yang saling berkaitan pada teks nonfiksi</v>
      </c>
      <c r="DS19" s="282"/>
      <c r="DT19" s="51"/>
      <c r="DU19" s="46">
        <f t="shared" si="58"/>
        <v>75</v>
      </c>
      <c r="DV19" s="46">
        <f t="shared" si="59"/>
        <v>76.25</v>
      </c>
      <c r="DW19" s="46" t="str">
        <f t="shared" si="60"/>
        <v xml:space="preserve"> </v>
      </c>
      <c r="DX19" s="46">
        <f t="shared" si="61"/>
        <v>75</v>
      </c>
      <c r="DY19" s="46" t="str">
        <f t="shared" si="62"/>
        <v xml:space="preserve"> </v>
      </c>
      <c r="DZ19" s="46">
        <f t="shared" si="63"/>
        <v>81</v>
      </c>
      <c r="EA19" s="46">
        <f t="shared" si="64"/>
        <v>75</v>
      </c>
      <c r="EB19" s="46" t="str">
        <f t="shared" si="65"/>
        <v xml:space="preserve"> </v>
      </c>
      <c r="EC19" s="46" t="str">
        <f t="shared" si="66"/>
        <v xml:space="preserve"> </v>
      </c>
      <c r="ED19" s="46"/>
      <c r="EE19" s="52">
        <f>[2]uts!J18</f>
        <v>78.666666666666671</v>
      </c>
      <c r="EF19" s="51"/>
      <c r="EG19" s="53">
        <f t="shared" si="67"/>
        <v>75</v>
      </c>
      <c r="EH19" s="53">
        <f t="shared" si="68"/>
        <v>75.625</v>
      </c>
      <c r="EI19" s="53" t="str">
        <f t="shared" si="69"/>
        <v xml:space="preserve">  </v>
      </c>
      <c r="EJ19" s="53">
        <f t="shared" si="70"/>
        <v>75</v>
      </c>
      <c r="EK19" s="53" t="str">
        <f t="shared" si="71"/>
        <v xml:space="preserve">  </v>
      </c>
      <c r="EL19" s="53">
        <f t="shared" si="72"/>
        <v>79</v>
      </c>
      <c r="EM19" s="53">
        <f t="shared" si="73"/>
        <v>75</v>
      </c>
      <c r="EN19" s="53" t="str">
        <f t="shared" si="74"/>
        <v xml:space="preserve">  </v>
      </c>
      <c r="EO19" s="53" t="str">
        <f t="shared" si="75"/>
        <v xml:space="preserve">  </v>
      </c>
      <c r="EP19" s="53"/>
      <c r="EQ19" s="52">
        <f t="shared" si="76"/>
        <v>76</v>
      </c>
      <c r="ER19" s="55">
        <f t="shared" si="77"/>
        <v>79</v>
      </c>
      <c r="ES19" s="55">
        <f t="shared" si="78"/>
        <v>75</v>
      </c>
      <c r="ET19" s="51" t="str">
        <f>SISWA!E17</f>
        <v>Fitri</v>
      </c>
      <c r="EU19" s="51" t="str">
        <f t="shared" si="79"/>
        <v xml:space="preserve">Ananda Fitri </v>
      </c>
      <c r="EV19" s="56" t="str">
        <f t="shared" si="80"/>
        <v/>
      </c>
      <c r="EW19" s="57" t="str">
        <f t="shared" si="81"/>
        <v/>
      </c>
      <c r="EX19" s="57" t="str">
        <f t="shared" si="82"/>
        <v/>
      </c>
      <c r="EY19" s="57" t="str">
        <f t="shared" si="83"/>
        <v/>
      </c>
      <c r="EZ19" s="57" t="str">
        <f t="shared" si="84"/>
        <v/>
      </c>
      <c r="FA19" s="57">
        <f t="shared" si="85"/>
        <v>79</v>
      </c>
      <c r="FB19" s="57" t="str">
        <f t="shared" si="86"/>
        <v/>
      </c>
      <c r="FC19" s="57" t="str">
        <f t="shared" si="87"/>
        <v/>
      </c>
      <c r="FD19" s="57" t="str">
        <f t="shared" si="88"/>
        <v/>
      </c>
      <c r="FE19" s="57"/>
      <c r="FF19" s="58">
        <f t="shared" si="89"/>
        <v>79</v>
      </c>
      <c r="FG19" s="55" t="str">
        <f t="shared" si="90"/>
        <v>menggali isi dan amanat pantun yang disajikan secara lisan dan tulis dengan tujuan untuk kesenangan</v>
      </c>
      <c r="FH19" s="58"/>
      <c r="FI19" s="59" t="str">
        <f>IF(ER19&gt;100,"",IF(ER19&gt;DQ$1,"sangat baik dalam "&amp;FG19,IF(ER19&gt;=DQ$2,"baik dalam "&amp;FG19,IF(ER19&gt;=DQ$3,"cukup dalam "&amp;FG19,IF(ER19&lt;DQ$3,"dengan bimbingan dapat meningkatkan dalam "&amp;FG19,IF(ER19&lt;1," ",””))))))</f>
        <v>cukup dalam menggali isi dan amanat pantun yang disajikan secara lisan dan tulis dengan tujuan untuk kesenangan</v>
      </c>
      <c r="FJ19" s="58"/>
      <c r="FK19" s="57">
        <f t="shared" si="91"/>
        <v>75</v>
      </c>
      <c r="FL19" s="57" t="str">
        <f t="shared" si="92"/>
        <v/>
      </c>
      <c r="FM19" s="57" t="str">
        <f t="shared" si="93"/>
        <v/>
      </c>
      <c r="FN19" s="57">
        <f t="shared" si="94"/>
        <v>75</v>
      </c>
      <c r="FO19" s="57" t="str">
        <f t="shared" si="95"/>
        <v/>
      </c>
      <c r="FP19" s="57" t="str">
        <f t="shared" si="96"/>
        <v/>
      </c>
      <c r="FQ19" s="57">
        <f t="shared" si="97"/>
        <v>75</v>
      </c>
      <c r="FR19" s="57" t="str">
        <f t="shared" si="98"/>
        <v/>
      </c>
      <c r="FS19" s="57" t="str">
        <f t="shared" si="99"/>
        <v/>
      </c>
      <c r="FT19" s="57"/>
      <c r="FU19" s="59" t="str">
        <f t="shared" si="100"/>
        <v>menguraikan konsep-konsep yang saling berkaitan pada teks nonfiksi</v>
      </c>
      <c r="FV19" s="59" t="str">
        <f>IF(ES19&gt;100,"",IF(ES19&gt;DQ$1,"sangat baik dalam "&amp;FU19,IF(ES19&gt;=DQ$2,"baik dalam "&amp;FU19,IF(ES19&gt;=DQ$3,"cukup dalam "&amp;FU19,IF(ES19&lt;DQ$3,"dengan bimbingan dapat meningkatkan dalam "&amp;FU19,IF(ES19&lt;1," ",””))))))</f>
        <v>cukup dalam menguraikan konsep-konsep yang saling berkaitan pada teks nonfiksi</v>
      </c>
      <c r="FW19" s="61"/>
      <c r="FX19" s="62" t="str">
        <f t="shared" si="101"/>
        <v>Ananda Fitri cukup dalam menggali isi dan amanat pantun yang disajikan secara lisan dan tulis dengan tujuan untuk kesenangan, cukup dalam menguraikan konsep-konsep yang saling berkaitan pada teks nonfiksi</v>
      </c>
      <c r="FY19" s="57" t="str">
        <f t="shared" si="102"/>
        <v/>
      </c>
      <c r="FZ19" s="57" t="str">
        <f t="shared" si="43"/>
        <v/>
      </c>
      <c r="GA19" s="57" t="str">
        <f t="shared" si="44"/>
        <v/>
      </c>
      <c r="GB19" s="57"/>
      <c r="GC19" s="57"/>
      <c r="GD19" s="57"/>
      <c r="GE19" s="59" t="str">
        <f t="shared" si="45"/>
        <v>perlu bimbingan dalam mengklasifikasi informasi yang didapat dari buku ke dalam aspek: apa, di mana, kapan, siapa, mengapa, dan bagaimana</v>
      </c>
      <c r="GF19" s="60"/>
      <c r="GG19" s="61"/>
      <c r="GH19" s="62" t="str">
        <f t="shared" si="103"/>
        <v>, perlu bimbingan dalam mengklasifikasi informasi yang didapat dari buku ke dalam aspek: apa, di mana, kapan, siapa, mengapa, dan bagaimana</v>
      </c>
      <c r="GI19" s="4" t="str">
        <f t="shared" si="104"/>
        <v xml:space="preserve">Menguasai dengan baik menentukan pokok pikiran dalam teks lisan dan tulis Menguasai dengan baik mengklasifikasi informasi yang didapat dari buku ke dalam aspek: apa, di mana, kapan, siapa, mengapa, dan bagaimana Menguasai dengan baik meringkas teks penjelasan (eksplanasi) dari media cetak atau elektronik        </v>
      </c>
    </row>
    <row r="20" spans="1:191" ht="42" customHeight="1">
      <c r="A20" s="39">
        <v>13</v>
      </c>
      <c r="B20" s="283" t="str">
        <f>SISWA!B18</f>
        <v>Prastika Guntur Firmansyah</v>
      </c>
      <c r="C20" s="123">
        <v>87</v>
      </c>
      <c r="D20" s="123"/>
      <c r="E20" s="123"/>
      <c r="F20" s="123"/>
      <c r="G20" s="123"/>
      <c r="H20" s="123"/>
      <c r="I20" s="123"/>
      <c r="J20" s="123"/>
      <c r="K20" s="123"/>
      <c r="L20" s="256">
        <v>87</v>
      </c>
      <c r="M20" s="256"/>
      <c r="N20" s="256"/>
      <c r="O20" s="256"/>
      <c r="P20" s="256"/>
      <c r="Q20" s="256"/>
      <c r="R20" s="256"/>
      <c r="S20" s="256"/>
      <c r="T20" s="256"/>
      <c r="U20" s="123"/>
      <c r="V20" s="123">
        <v>75</v>
      </c>
      <c r="W20" s="123"/>
      <c r="X20" s="123"/>
      <c r="Y20" s="123"/>
      <c r="Z20" s="123"/>
      <c r="AA20" s="123"/>
      <c r="AB20" s="123"/>
      <c r="AC20" s="123"/>
      <c r="AD20" s="256"/>
      <c r="AE20" s="256">
        <v>93</v>
      </c>
      <c r="AF20" s="256"/>
      <c r="AG20" s="256"/>
      <c r="AH20" s="256"/>
      <c r="AI20" s="256"/>
      <c r="AJ20" s="256"/>
      <c r="AK20" s="256"/>
      <c r="AL20" s="256"/>
      <c r="AM20" s="123"/>
      <c r="AN20" s="123"/>
      <c r="AO20" s="123"/>
      <c r="AP20" s="123">
        <v>75</v>
      </c>
      <c r="AQ20" s="123"/>
      <c r="AR20" s="123"/>
      <c r="AS20" s="123"/>
      <c r="AT20" s="123"/>
      <c r="AU20" s="123"/>
      <c r="AV20" s="256"/>
      <c r="AW20" s="256"/>
      <c r="AX20" s="256"/>
      <c r="AY20" s="256">
        <v>80</v>
      </c>
      <c r="AZ20" s="256"/>
      <c r="BA20" s="256"/>
      <c r="BB20" s="256"/>
      <c r="BC20" s="256"/>
      <c r="BD20" s="256"/>
      <c r="BE20" s="123"/>
      <c r="BF20" s="123">
        <v>75</v>
      </c>
      <c r="BG20" s="123"/>
      <c r="BH20" s="123"/>
      <c r="BI20" s="123"/>
      <c r="BJ20" s="123">
        <v>93</v>
      </c>
      <c r="BK20" s="123"/>
      <c r="BL20" s="123"/>
      <c r="BM20" s="123"/>
      <c r="BN20" s="256"/>
      <c r="BO20" s="256">
        <v>75</v>
      </c>
      <c r="BP20" s="256"/>
      <c r="BQ20" s="256"/>
      <c r="BR20" s="256"/>
      <c r="BS20" s="256">
        <v>75</v>
      </c>
      <c r="BT20" s="256"/>
      <c r="BU20" s="256"/>
      <c r="BV20" s="256"/>
      <c r="BW20" s="460"/>
      <c r="BX20" s="460"/>
      <c r="BY20" s="460"/>
      <c r="BZ20" s="460"/>
      <c r="CA20" s="460"/>
      <c r="CB20" s="460"/>
      <c r="CC20" s="460">
        <v>87</v>
      </c>
      <c r="CD20" s="460"/>
      <c r="CE20" s="460"/>
      <c r="CF20" s="346"/>
      <c r="CG20" s="346"/>
      <c r="CH20" s="346"/>
      <c r="CI20" s="346"/>
      <c r="CJ20" s="346"/>
      <c r="CK20" s="346"/>
      <c r="CL20" s="346">
        <v>75</v>
      </c>
      <c r="CM20" s="346"/>
      <c r="CN20" s="346"/>
      <c r="CO20" s="260">
        <f t="shared" si="46"/>
        <v>87</v>
      </c>
      <c r="CP20" s="260">
        <f t="shared" si="47"/>
        <v>79.5</v>
      </c>
      <c r="CQ20" s="260" t="str">
        <f t="shared" si="48"/>
        <v xml:space="preserve"> </v>
      </c>
      <c r="CR20" s="260">
        <f t="shared" si="49"/>
        <v>77.5</v>
      </c>
      <c r="CS20" s="260" t="str">
        <f t="shared" si="50"/>
        <v xml:space="preserve"> </v>
      </c>
      <c r="CT20" s="260">
        <f t="shared" si="51"/>
        <v>84</v>
      </c>
      <c r="CU20" s="260">
        <f t="shared" si="52"/>
        <v>81</v>
      </c>
      <c r="CV20" s="260" t="str">
        <f t="shared" si="53"/>
        <v xml:space="preserve"> </v>
      </c>
      <c r="CW20" s="260" t="str">
        <f t="shared" si="54"/>
        <v xml:space="preserve"> </v>
      </c>
      <c r="CX20" s="547">
        <v>93</v>
      </c>
      <c r="CY20" s="547">
        <v>75</v>
      </c>
      <c r="CZ20" s="547"/>
      <c r="DA20" s="547"/>
      <c r="DB20" s="547"/>
      <c r="DC20" s="547"/>
      <c r="DD20" s="547"/>
      <c r="DE20" s="547"/>
      <c r="DF20" s="547"/>
      <c r="DG20" s="548">
        <v>84</v>
      </c>
      <c r="DH20" s="548">
        <v>78</v>
      </c>
      <c r="DI20" s="548"/>
      <c r="DJ20" s="548">
        <v>75</v>
      </c>
      <c r="DK20" s="548"/>
      <c r="DL20" s="548">
        <v>80</v>
      </c>
      <c r="DM20" s="548">
        <v>83</v>
      </c>
      <c r="DN20" s="548"/>
      <c r="DO20" s="548"/>
      <c r="DP20" s="550">
        <f t="shared" si="55"/>
        <v>81</v>
      </c>
      <c r="DQ20" s="291" t="str">
        <f t="shared" si="56"/>
        <v>C</v>
      </c>
      <c r="DR20" s="553" t="str">
        <f t="shared" si="57"/>
        <v>Ananda Pras baik dalam menentukan pokok pikiran dalam teks lisan dan tulis, cukup dalam enganalisis informasi yang disampaikan paparan iklan dari media cetak atau elektronik</v>
      </c>
      <c r="DS20" s="282"/>
      <c r="DT20" s="51"/>
      <c r="DU20" s="46">
        <f t="shared" si="58"/>
        <v>87</v>
      </c>
      <c r="DV20" s="46">
        <f t="shared" si="59"/>
        <v>79.5</v>
      </c>
      <c r="DW20" s="46" t="str">
        <f t="shared" si="60"/>
        <v xml:space="preserve"> </v>
      </c>
      <c r="DX20" s="46">
        <f t="shared" si="61"/>
        <v>77.5</v>
      </c>
      <c r="DY20" s="46" t="str">
        <f t="shared" si="62"/>
        <v xml:space="preserve"> </v>
      </c>
      <c r="DZ20" s="46">
        <f t="shared" si="63"/>
        <v>84</v>
      </c>
      <c r="EA20" s="46">
        <f t="shared" si="64"/>
        <v>81</v>
      </c>
      <c r="EB20" s="46" t="str">
        <f t="shared" si="65"/>
        <v xml:space="preserve"> </v>
      </c>
      <c r="EC20" s="46" t="str">
        <f t="shared" si="66"/>
        <v xml:space="preserve"> </v>
      </c>
      <c r="ED20" s="46"/>
      <c r="EE20" s="52">
        <f>[2]uts!J19</f>
        <v>72.333333333333329</v>
      </c>
      <c r="EF20" s="51"/>
      <c r="EG20" s="53">
        <f t="shared" si="67"/>
        <v>87.75</v>
      </c>
      <c r="EH20" s="53">
        <f t="shared" si="68"/>
        <v>78</v>
      </c>
      <c r="EI20" s="53" t="str">
        <f t="shared" si="69"/>
        <v xml:space="preserve">  </v>
      </c>
      <c r="EJ20" s="53">
        <f t="shared" si="70"/>
        <v>76.666666666666671</v>
      </c>
      <c r="EK20" s="53" t="str">
        <f t="shared" si="71"/>
        <v xml:space="preserve">  </v>
      </c>
      <c r="EL20" s="53">
        <f t="shared" si="72"/>
        <v>82.666666666666671</v>
      </c>
      <c r="EM20" s="53">
        <f t="shared" si="73"/>
        <v>81.666666666666671</v>
      </c>
      <c r="EN20" s="53" t="str">
        <f t="shared" si="74"/>
        <v xml:space="preserve">  </v>
      </c>
      <c r="EO20" s="53" t="str">
        <f t="shared" si="75"/>
        <v xml:space="preserve">  </v>
      </c>
      <c r="EP20" s="53"/>
      <c r="EQ20" s="52">
        <f t="shared" si="76"/>
        <v>81</v>
      </c>
      <c r="ER20" s="55">
        <f t="shared" si="77"/>
        <v>87.75</v>
      </c>
      <c r="ES20" s="55">
        <f t="shared" si="78"/>
        <v>76.666666666666671</v>
      </c>
      <c r="ET20" s="51" t="str">
        <f>SISWA!E18</f>
        <v>Pras</v>
      </c>
      <c r="EU20" s="51" t="str">
        <f t="shared" si="79"/>
        <v xml:space="preserve">Ananda Pras </v>
      </c>
      <c r="EV20" s="56">
        <f t="shared" si="80"/>
        <v>87.75</v>
      </c>
      <c r="EW20" s="57" t="str">
        <f t="shared" si="81"/>
        <v/>
      </c>
      <c r="EX20" s="57" t="str">
        <f t="shared" si="82"/>
        <v/>
      </c>
      <c r="EY20" s="57" t="str">
        <f t="shared" si="83"/>
        <v/>
      </c>
      <c r="EZ20" s="57" t="str">
        <f t="shared" si="84"/>
        <v/>
      </c>
      <c r="FA20" s="57" t="str">
        <f t="shared" si="85"/>
        <v/>
      </c>
      <c r="FB20" s="57" t="str">
        <f t="shared" si="86"/>
        <v/>
      </c>
      <c r="FC20" s="57" t="str">
        <f t="shared" si="87"/>
        <v/>
      </c>
      <c r="FD20" s="57" t="str">
        <f t="shared" si="88"/>
        <v/>
      </c>
      <c r="FE20" s="57"/>
      <c r="FF20" s="58">
        <f t="shared" si="89"/>
        <v>87.75</v>
      </c>
      <c r="FG20" s="55" t="str">
        <f t="shared" si="90"/>
        <v>menentukan pokok pikiran dalam teks lisan dan tulis</v>
      </c>
      <c r="FH20" s="58"/>
      <c r="FI20" s="59" t="str">
        <f>IF(ER20&gt;100,"",IF(ER20&gt;DQ$1,"sangat baik dalam "&amp;FG20,IF(ER20&gt;=DQ$2,"baik dalam "&amp;FG20,IF(ER20&gt;=DQ$3,"cukup dalam "&amp;FG20,IF(ER20&lt;DQ$3,"dengan bimbingan dapat meningkatkan dalam "&amp;FG20,IF(ER20&lt;1," ",””))))))</f>
        <v>baik dalam menentukan pokok pikiran dalam teks lisan dan tulis</v>
      </c>
      <c r="FJ20" s="58"/>
      <c r="FK20" s="57" t="str">
        <f t="shared" si="91"/>
        <v/>
      </c>
      <c r="FL20" s="57" t="str">
        <f t="shared" si="92"/>
        <v/>
      </c>
      <c r="FM20" s="57" t="str">
        <f t="shared" si="93"/>
        <v/>
      </c>
      <c r="FN20" s="57">
        <f t="shared" si="94"/>
        <v>76.666666666666671</v>
      </c>
      <c r="FO20" s="57" t="str">
        <f t="shared" si="95"/>
        <v/>
      </c>
      <c r="FP20" s="57" t="str">
        <f t="shared" si="96"/>
        <v/>
      </c>
      <c r="FQ20" s="57" t="str">
        <f t="shared" si="97"/>
        <v/>
      </c>
      <c r="FR20" s="57" t="str">
        <f t="shared" si="98"/>
        <v/>
      </c>
      <c r="FS20" s="57" t="str">
        <f t="shared" si="99"/>
        <v/>
      </c>
      <c r="FT20" s="57"/>
      <c r="FU20" s="59" t="str">
        <f t="shared" si="100"/>
        <v>enganalisis informasi yang disampaikan paparan iklan dari media cetak atau elektronik</v>
      </c>
      <c r="FV20" s="59" t="str">
        <f>IF(ES20&gt;100,"",IF(ES20&gt;DQ$1,"sangat baik dalam "&amp;FU20,IF(ES20&gt;=DQ$2,"baik dalam "&amp;FU20,IF(ES20&gt;=DQ$3,"cukup dalam "&amp;FU20,IF(ES20&lt;DQ$3,"dengan bimbingan dapat meningkatkan dalam "&amp;FU20,IF(ES20&lt;1," ",””))))))</f>
        <v>cukup dalam enganalisis informasi yang disampaikan paparan iklan dari media cetak atau elektronik</v>
      </c>
      <c r="FW20" s="61"/>
      <c r="FX20" s="62" t="str">
        <f t="shared" si="101"/>
        <v>Ananda Pras baik dalam menentukan pokok pikiran dalam teks lisan dan tulis, cukup dalam enganalisis informasi yang disampaikan paparan iklan dari media cetak atau elektronik</v>
      </c>
      <c r="FY20" s="57" t="str">
        <f t="shared" si="102"/>
        <v/>
      </c>
      <c r="FZ20" s="57" t="str">
        <f t="shared" si="43"/>
        <v/>
      </c>
      <c r="GA20" s="57" t="str">
        <f t="shared" si="44"/>
        <v/>
      </c>
      <c r="GB20" s="57"/>
      <c r="GC20" s="57"/>
      <c r="GD20" s="57"/>
      <c r="GE20" s="59" t="str">
        <f t="shared" si="45"/>
        <v>perlu bimbingan dalam mengklasifikasi informasi yang didapat dari buku ke dalam aspek: apa, di mana, kapan, siapa, mengapa, dan bagaimana</v>
      </c>
      <c r="GF20" s="60"/>
      <c r="GG20" s="61"/>
      <c r="GH20" s="62" t="str">
        <f t="shared" si="103"/>
        <v>, perlu bimbingan dalam mengklasifikasi informasi yang didapat dari buku ke dalam aspek: apa, di mana, kapan, siapa, mengapa, dan bagaimana</v>
      </c>
      <c r="GI20" s="4" t="str">
        <f t="shared" si="104"/>
        <v xml:space="preserve">Cukup pandai menentukan pokok pikiran dalam teks lisan dan tulis Pandai mengklasifikasi informasi yang didapat dari buku ke dalam aspek: apa, di mana, kapan, siapa, mengapa, dan bagaimana Menguasai dengan baik meringkas teks penjelasan (eksplanasi) dari media cetak atau elektronik     Pandai menggali isi dan amanat pantun yang disajikan secara lisan dan tulis dengan tujuan untuk kesenangan  </v>
      </c>
    </row>
    <row r="21" spans="1:191" ht="42" customHeight="1">
      <c r="A21" s="39">
        <v>14</v>
      </c>
      <c r="B21" s="283" t="str">
        <f>SISWA!B19</f>
        <v>Siti Musyafiani</v>
      </c>
      <c r="C21" s="123">
        <v>80</v>
      </c>
      <c r="D21" s="123"/>
      <c r="E21" s="123"/>
      <c r="F21" s="123"/>
      <c r="G21" s="123"/>
      <c r="H21" s="123"/>
      <c r="I21" s="123"/>
      <c r="J21" s="123"/>
      <c r="K21" s="123"/>
      <c r="L21" s="256">
        <v>80</v>
      </c>
      <c r="M21" s="256"/>
      <c r="N21" s="256"/>
      <c r="O21" s="256"/>
      <c r="P21" s="256"/>
      <c r="Q21" s="256"/>
      <c r="R21" s="256"/>
      <c r="S21" s="256"/>
      <c r="T21" s="256"/>
      <c r="U21" s="123"/>
      <c r="V21" s="123">
        <v>93</v>
      </c>
      <c r="W21" s="123"/>
      <c r="X21" s="123"/>
      <c r="Y21" s="123"/>
      <c r="Z21" s="123"/>
      <c r="AA21" s="123"/>
      <c r="AB21" s="123"/>
      <c r="AC21" s="123"/>
      <c r="AD21" s="256"/>
      <c r="AE21" s="256">
        <v>93</v>
      </c>
      <c r="AF21" s="256"/>
      <c r="AG21" s="256"/>
      <c r="AH21" s="256"/>
      <c r="AI21" s="256"/>
      <c r="AJ21" s="256"/>
      <c r="AK21" s="256"/>
      <c r="AL21" s="256"/>
      <c r="AM21" s="123"/>
      <c r="AN21" s="123"/>
      <c r="AO21" s="123"/>
      <c r="AP21" s="123">
        <v>75</v>
      </c>
      <c r="AQ21" s="123"/>
      <c r="AR21" s="123"/>
      <c r="AS21" s="123"/>
      <c r="AT21" s="123"/>
      <c r="AU21" s="123"/>
      <c r="AV21" s="256"/>
      <c r="AW21" s="256"/>
      <c r="AX21" s="256"/>
      <c r="AY21" s="256">
        <v>87</v>
      </c>
      <c r="AZ21" s="256"/>
      <c r="BA21" s="256"/>
      <c r="BB21" s="256"/>
      <c r="BC21" s="256"/>
      <c r="BD21" s="256"/>
      <c r="BE21" s="123"/>
      <c r="BF21" s="123">
        <v>75</v>
      </c>
      <c r="BG21" s="123"/>
      <c r="BH21" s="123"/>
      <c r="BI21" s="123"/>
      <c r="BJ21" s="123">
        <v>87</v>
      </c>
      <c r="BK21" s="123"/>
      <c r="BL21" s="123"/>
      <c r="BM21" s="123"/>
      <c r="BN21" s="256"/>
      <c r="BO21" s="256">
        <v>75</v>
      </c>
      <c r="BP21" s="256"/>
      <c r="BQ21" s="256"/>
      <c r="BR21" s="256"/>
      <c r="BS21" s="256">
        <v>93</v>
      </c>
      <c r="BT21" s="256"/>
      <c r="BU21" s="256"/>
      <c r="BV21" s="256"/>
      <c r="BW21" s="460"/>
      <c r="BX21" s="460"/>
      <c r="BY21" s="460"/>
      <c r="BZ21" s="460"/>
      <c r="CA21" s="460"/>
      <c r="CB21" s="460"/>
      <c r="CC21" s="460">
        <v>75</v>
      </c>
      <c r="CD21" s="460"/>
      <c r="CE21" s="460"/>
      <c r="CF21" s="346"/>
      <c r="CG21" s="346"/>
      <c r="CH21" s="346"/>
      <c r="CI21" s="346"/>
      <c r="CJ21" s="346"/>
      <c r="CK21" s="346"/>
      <c r="CL21" s="346">
        <v>75</v>
      </c>
      <c r="CM21" s="346"/>
      <c r="CN21" s="346"/>
      <c r="CO21" s="260">
        <f t="shared" si="46"/>
        <v>80</v>
      </c>
      <c r="CP21" s="260">
        <f t="shared" si="47"/>
        <v>84</v>
      </c>
      <c r="CQ21" s="260" t="str">
        <f t="shared" si="48"/>
        <v xml:space="preserve"> </v>
      </c>
      <c r="CR21" s="260">
        <f t="shared" si="49"/>
        <v>81</v>
      </c>
      <c r="CS21" s="260" t="str">
        <f t="shared" si="50"/>
        <v xml:space="preserve"> </v>
      </c>
      <c r="CT21" s="260">
        <f t="shared" si="51"/>
        <v>90</v>
      </c>
      <c r="CU21" s="260">
        <f t="shared" si="52"/>
        <v>75</v>
      </c>
      <c r="CV21" s="260" t="str">
        <f t="shared" si="53"/>
        <v xml:space="preserve"> </v>
      </c>
      <c r="CW21" s="260" t="str">
        <f t="shared" si="54"/>
        <v xml:space="preserve"> </v>
      </c>
      <c r="CX21" s="547">
        <v>75</v>
      </c>
      <c r="CY21" s="547">
        <v>75</v>
      </c>
      <c r="CZ21" s="547"/>
      <c r="DA21" s="547"/>
      <c r="DB21" s="547"/>
      <c r="DC21" s="547"/>
      <c r="DD21" s="547"/>
      <c r="DE21" s="547"/>
      <c r="DF21" s="547"/>
      <c r="DG21" s="548">
        <v>75</v>
      </c>
      <c r="DH21" s="548">
        <v>75</v>
      </c>
      <c r="DI21" s="548"/>
      <c r="DJ21" s="548">
        <v>75</v>
      </c>
      <c r="DK21" s="548"/>
      <c r="DL21" s="548">
        <v>75</v>
      </c>
      <c r="DM21" s="548">
        <v>75</v>
      </c>
      <c r="DN21" s="548"/>
      <c r="DO21" s="548"/>
      <c r="DP21" s="550">
        <f t="shared" si="55"/>
        <v>79</v>
      </c>
      <c r="DQ21" s="291" t="str">
        <f t="shared" si="56"/>
        <v>C</v>
      </c>
      <c r="DR21" s="553" t="str">
        <f t="shared" si="57"/>
        <v>Ananda Fifi baik dalam menggali isi dan amanat pantun yang disajikan secara lisan dan tulis dengan tujuan untuk kesenangan, cukup dalam menguraikan konsep-konsep yang saling berkaitan pada teks nonfiksi</v>
      </c>
      <c r="DS21" s="282"/>
      <c r="DT21" s="51"/>
      <c r="DU21" s="46">
        <f t="shared" si="58"/>
        <v>80</v>
      </c>
      <c r="DV21" s="46">
        <f t="shared" si="59"/>
        <v>84</v>
      </c>
      <c r="DW21" s="46" t="str">
        <f t="shared" si="60"/>
        <v xml:space="preserve"> </v>
      </c>
      <c r="DX21" s="46">
        <f t="shared" si="61"/>
        <v>81</v>
      </c>
      <c r="DY21" s="46" t="str">
        <f t="shared" si="62"/>
        <v xml:space="preserve"> </v>
      </c>
      <c r="DZ21" s="46">
        <f t="shared" si="63"/>
        <v>90</v>
      </c>
      <c r="EA21" s="46">
        <f t="shared" si="64"/>
        <v>75</v>
      </c>
      <c r="EB21" s="46" t="str">
        <f t="shared" si="65"/>
        <v xml:space="preserve"> </v>
      </c>
      <c r="EC21" s="46" t="str">
        <f t="shared" si="66"/>
        <v xml:space="preserve"> </v>
      </c>
      <c r="ED21" s="46"/>
      <c r="EE21" s="52">
        <f>[2]uts!J20</f>
        <v>75.333333333333329</v>
      </c>
      <c r="EF21" s="51"/>
      <c r="EG21" s="53">
        <f t="shared" si="67"/>
        <v>77.5</v>
      </c>
      <c r="EH21" s="53">
        <f t="shared" si="68"/>
        <v>79.5</v>
      </c>
      <c r="EI21" s="53" t="str">
        <f t="shared" si="69"/>
        <v xml:space="preserve">  </v>
      </c>
      <c r="EJ21" s="53">
        <f t="shared" si="70"/>
        <v>79</v>
      </c>
      <c r="EK21" s="53" t="str">
        <f t="shared" si="71"/>
        <v xml:space="preserve">  </v>
      </c>
      <c r="EL21" s="53">
        <f t="shared" si="72"/>
        <v>85</v>
      </c>
      <c r="EM21" s="53">
        <f t="shared" si="73"/>
        <v>75</v>
      </c>
      <c r="EN21" s="53" t="str">
        <f t="shared" si="74"/>
        <v xml:space="preserve">  </v>
      </c>
      <c r="EO21" s="53" t="str">
        <f t="shared" si="75"/>
        <v xml:space="preserve">  </v>
      </c>
      <c r="EP21" s="53"/>
      <c r="EQ21" s="52">
        <f t="shared" si="76"/>
        <v>79</v>
      </c>
      <c r="ER21" s="55">
        <f t="shared" si="77"/>
        <v>85</v>
      </c>
      <c r="ES21" s="55">
        <f t="shared" si="78"/>
        <v>75</v>
      </c>
      <c r="ET21" s="51" t="str">
        <f>SISWA!E19</f>
        <v>Fifi</v>
      </c>
      <c r="EU21" s="51" t="str">
        <f t="shared" si="79"/>
        <v xml:space="preserve">Ananda Fifi </v>
      </c>
      <c r="EV21" s="56" t="str">
        <f t="shared" si="80"/>
        <v/>
      </c>
      <c r="EW21" s="57" t="str">
        <f t="shared" si="81"/>
        <v/>
      </c>
      <c r="EX21" s="57" t="str">
        <f t="shared" si="82"/>
        <v/>
      </c>
      <c r="EY21" s="57" t="str">
        <f t="shared" si="83"/>
        <v/>
      </c>
      <c r="EZ21" s="57" t="str">
        <f t="shared" si="84"/>
        <v/>
      </c>
      <c r="FA21" s="57">
        <f t="shared" si="85"/>
        <v>85</v>
      </c>
      <c r="FB21" s="57" t="str">
        <f t="shared" si="86"/>
        <v/>
      </c>
      <c r="FC21" s="57" t="str">
        <f t="shared" si="87"/>
        <v/>
      </c>
      <c r="FD21" s="57" t="str">
        <f t="shared" si="88"/>
        <v/>
      </c>
      <c r="FE21" s="57"/>
      <c r="FF21" s="58">
        <f t="shared" si="89"/>
        <v>85</v>
      </c>
      <c r="FG21" s="55" t="str">
        <f t="shared" si="90"/>
        <v>menggali isi dan amanat pantun yang disajikan secara lisan dan tulis dengan tujuan untuk kesenangan</v>
      </c>
      <c r="FH21" s="58"/>
      <c r="FI21" s="59" t="str">
        <f>IF(ER21&gt;100,"",IF(ER21&gt;DQ$1,"sangat baik dalam "&amp;FG21,IF(ER21&gt;=DQ$2,"baik dalam "&amp;FG21,IF(ER21&gt;=DQ$3,"cukup dalam "&amp;FG21,IF(ER21&lt;DQ$3,"dengan bimbingan dapat meningkatkan dalam "&amp;FG21,IF(ER21&lt;1," ",””))))))</f>
        <v>baik dalam menggali isi dan amanat pantun yang disajikan secara lisan dan tulis dengan tujuan untuk kesenangan</v>
      </c>
      <c r="FJ21" s="58"/>
      <c r="FK21" s="57" t="str">
        <f t="shared" si="91"/>
        <v/>
      </c>
      <c r="FL21" s="57" t="str">
        <f t="shared" si="92"/>
        <v/>
      </c>
      <c r="FM21" s="57" t="str">
        <f t="shared" si="93"/>
        <v/>
      </c>
      <c r="FN21" s="57" t="str">
        <f t="shared" si="94"/>
        <v/>
      </c>
      <c r="FO21" s="57" t="str">
        <f t="shared" si="95"/>
        <v/>
      </c>
      <c r="FP21" s="57" t="str">
        <f t="shared" si="96"/>
        <v/>
      </c>
      <c r="FQ21" s="57">
        <f t="shared" si="97"/>
        <v>75</v>
      </c>
      <c r="FR21" s="57" t="str">
        <f t="shared" si="98"/>
        <v/>
      </c>
      <c r="FS21" s="57" t="str">
        <f t="shared" si="99"/>
        <v/>
      </c>
      <c r="FT21" s="57"/>
      <c r="FU21" s="59" t="str">
        <f t="shared" si="100"/>
        <v>menguraikan konsep-konsep yang saling berkaitan pada teks nonfiksi</v>
      </c>
      <c r="FV21" s="59" t="str">
        <f>IF(ES21&gt;100,"",IF(ES21&gt;DQ$1,"sangat baik dalam "&amp;FU21,IF(ES21&gt;=DQ$2,"baik dalam "&amp;FU21,IF(ES21&gt;=DQ$3,"cukup dalam "&amp;FU21,IF(ES21&lt;DQ$3,"dengan bimbingan dapat meningkatkan dalam "&amp;FU21,IF(ES21&lt;1," ",””))))))</f>
        <v>cukup dalam menguraikan konsep-konsep yang saling berkaitan pada teks nonfiksi</v>
      </c>
      <c r="FW21" s="61"/>
      <c r="FX21" s="62" t="str">
        <f t="shared" si="101"/>
        <v>Ananda Fifi baik dalam menggali isi dan amanat pantun yang disajikan secara lisan dan tulis dengan tujuan untuk kesenangan, cukup dalam menguraikan konsep-konsep yang saling berkaitan pada teks nonfiksi</v>
      </c>
      <c r="FY21" s="57" t="str">
        <f t="shared" si="102"/>
        <v/>
      </c>
      <c r="FZ21" s="57" t="str">
        <f t="shared" si="43"/>
        <v/>
      </c>
      <c r="GA21" s="57" t="str">
        <f t="shared" si="44"/>
        <v/>
      </c>
      <c r="GB21" s="57"/>
      <c r="GC21" s="57"/>
      <c r="GD21" s="57"/>
      <c r="GE21" s="59" t="str">
        <f t="shared" si="45"/>
        <v>perlu bimbingan dalam mengklasifikasi informasi yang didapat dari buku ke dalam aspek: apa, di mana, kapan, siapa, mengapa, dan bagaimana</v>
      </c>
      <c r="GF21" s="60"/>
      <c r="GG21" s="61"/>
      <c r="GH21" s="62" t="str">
        <f t="shared" si="103"/>
        <v>, perlu bimbingan dalam mengklasifikasi informasi yang didapat dari buku ke dalam aspek: apa, di mana, kapan, siapa, mengapa, dan bagaimana</v>
      </c>
      <c r="GI21" s="4" t="str">
        <f t="shared" si="104"/>
        <v xml:space="preserve">Menguasai dengan baik menentukan pokok pikiran dalam teks lisan dan tulis Cukup pandai mengklasifikasi informasi yang didapat dari buku ke dalam aspek: apa, di mana, kapan, siapa, mengapa, dan bagaimana Menguasai dengan baik meringkas teks penjelasan (eksplanasi) dari media cetak atau elektronik        </v>
      </c>
    </row>
    <row r="22" spans="1:191" ht="42" customHeight="1">
      <c r="A22" s="39">
        <v>15</v>
      </c>
      <c r="B22" s="283" t="str">
        <f>SISWA!B20</f>
        <v>Tegar Arya Pangestu</v>
      </c>
      <c r="C22" s="123">
        <v>93</v>
      </c>
      <c r="D22" s="123"/>
      <c r="E22" s="123"/>
      <c r="F22" s="123"/>
      <c r="G22" s="123"/>
      <c r="H22" s="123"/>
      <c r="I22" s="123"/>
      <c r="J22" s="123"/>
      <c r="K22" s="123"/>
      <c r="L22" s="256">
        <v>87</v>
      </c>
      <c r="M22" s="256"/>
      <c r="N22" s="256"/>
      <c r="O22" s="256"/>
      <c r="P22" s="256"/>
      <c r="Q22" s="256"/>
      <c r="R22" s="256"/>
      <c r="S22" s="256"/>
      <c r="T22" s="256"/>
      <c r="U22" s="123"/>
      <c r="V22" s="123">
        <v>80</v>
      </c>
      <c r="W22" s="123"/>
      <c r="X22" s="123"/>
      <c r="Y22" s="123"/>
      <c r="Z22" s="123"/>
      <c r="AA22" s="123"/>
      <c r="AB22" s="123"/>
      <c r="AC22" s="123"/>
      <c r="AD22" s="256"/>
      <c r="AE22" s="256">
        <v>93</v>
      </c>
      <c r="AF22" s="256"/>
      <c r="AG22" s="256"/>
      <c r="AH22" s="256"/>
      <c r="AI22" s="256"/>
      <c r="AJ22" s="256"/>
      <c r="AK22" s="256"/>
      <c r="AL22" s="256"/>
      <c r="AM22" s="123"/>
      <c r="AN22" s="123"/>
      <c r="AO22" s="123"/>
      <c r="AP22" s="123">
        <v>80</v>
      </c>
      <c r="AQ22" s="123"/>
      <c r="AR22" s="123"/>
      <c r="AS22" s="123"/>
      <c r="AT22" s="123"/>
      <c r="AU22" s="123"/>
      <c r="AV22" s="256"/>
      <c r="AW22" s="256"/>
      <c r="AX22" s="256"/>
      <c r="AY22" s="256">
        <v>87</v>
      </c>
      <c r="AZ22" s="256"/>
      <c r="BA22" s="256"/>
      <c r="BB22" s="256"/>
      <c r="BC22" s="256"/>
      <c r="BD22" s="256"/>
      <c r="BE22" s="123"/>
      <c r="BF22" s="123">
        <v>75</v>
      </c>
      <c r="BG22" s="123"/>
      <c r="BH22" s="123"/>
      <c r="BI22" s="123"/>
      <c r="BJ22" s="123">
        <v>80</v>
      </c>
      <c r="BK22" s="123"/>
      <c r="BL22" s="123"/>
      <c r="BM22" s="123"/>
      <c r="BN22" s="256"/>
      <c r="BO22" s="256">
        <v>75</v>
      </c>
      <c r="BP22" s="256"/>
      <c r="BQ22" s="256"/>
      <c r="BR22" s="256"/>
      <c r="BS22" s="256">
        <v>87</v>
      </c>
      <c r="BT22" s="256"/>
      <c r="BU22" s="256"/>
      <c r="BV22" s="256"/>
      <c r="BW22" s="460"/>
      <c r="BX22" s="460"/>
      <c r="BY22" s="460"/>
      <c r="BZ22" s="460"/>
      <c r="CA22" s="460"/>
      <c r="CB22" s="460"/>
      <c r="CC22" s="460">
        <v>87</v>
      </c>
      <c r="CD22" s="460"/>
      <c r="CE22" s="460"/>
      <c r="CF22" s="346"/>
      <c r="CG22" s="346"/>
      <c r="CH22" s="346"/>
      <c r="CI22" s="346"/>
      <c r="CJ22" s="346"/>
      <c r="CK22" s="346"/>
      <c r="CL22" s="346">
        <v>80</v>
      </c>
      <c r="CM22" s="346"/>
      <c r="CN22" s="346"/>
      <c r="CO22" s="260">
        <f t="shared" si="46"/>
        <v>90</v>
      </c>
      <c r="CP22" s="260">
        <f t="shared" si="47"/>
        <v>80.75</v>
      </c>
      <c r="CQ22" s="260" t="str">
        <f t="shared" si="48"/>
        <v xml:space="preserve"> </v>
      </c>
      <c r="CR22" s="260">
        <f t="shared" si="49"/>
        <v>83.5</v>
      </c>
      <c r="CS22" s="260" t="str">
        <f t="shared" si="50"/>
        <v xml:space="preserve"> </v>
      </c>
      <c r="CT22" s="260">
        <f t="shared" si="51"/>
        <v>83.5</v>
      </c>
      <c r="CU22" s="260">
        <f t="shared" si="52"/>
        <v>83.5</v>
      </c>
      <c r="CV22" s="260" t="str">
        <f t="shared" si="53"/>
        <v xml:space="preserve"> </v>
      </c>
      <c r="CW22" s="260" t="str">
        <f t="shared" si="54"/>
        <v xml:space="preserve"> </v>
      </c>
      <c r="CX22" s="547">
        <v>97</v>
      </c>
      <c r="CY22" s="547">
        <v>77</v>
      </c>
      <c r="CZ22" s="547"/>
      <c r="DA22" s="547"/>
      <c r="DB22" s="547"/>
      <c r="DC22" s="547"/>
      <c r="DD22" s="547"/>
      <c r="DE22" s="547"/>
      <c r="DF22" s="547"/>
      <c r="DG22" s="548">
        <v>75</v>
      </c>
      <c r="DH22" s="548">
        <v>75</v>
      </c>
      <c r="DI22" s="548"/>
      <c r="DJ22" s="548">
        <v>75</v>
      </c>
      <c r="DK22" s="548"/>
      <c r="DL22" s="548">
        <v>75</v>
      </c>
      <c r="DM22" s="548">
        <v>91</v>
      </c>
      <c r="DN22" s="548"/>
      <c r="DO22" s="548"/>
      <c r="DP22" s="550">
        <f t="shared" si="55"/>
        <v>83</v>
      </c>
      <c r="DQ22" s="291" t="str">
        <f t="shared" si="56"/>
        <v>B</v>
      </c>
      <c r="DR22" s="553" t="str">
        <f t="shared" si="57"/>
        <v>Ananda Tegar baik dalam menentukan pokok pikiran dalam teks lisan dan tulis, cukup dalam mengklasifikasi informasi yang didapat dari buku ke dalam aspek: apa, di mana, kapan, siapa, mengapa, dan bagaimana</v>
      </c>
      <c r="DS22" s="282"/>
      <c r="DT22" s="51"/>
      <c r="DU22" s="46">
        <f t="shared" si="58"/>
        <v>90</v>
      </c>
      <c r="DV22" s="46">
        <f t="shared" si="59"/>
        <v>80.75</v>
      </c>
      <c r="DW22" s="46" t="str">
        <f t="shared" si="60"/>
        <v xml:space="preserve"> </v>
      </c>
      <c r="DX22" s="46">
        <f t="shared" si="61"/>
        <v>83.5</v>
      </c>
      <c r="DY22" s="46" t="str">
        <f t="shared" si="62"/>
        <v xml:space="preserve"> </v>
      </c>
      <c r="DZ22" s="46">
        <f t="shared" si="63"/>
        <v>83.5</v>
      </c>
      <c r="EA22" s="46">
        <f t="shared" si="64"/>
        <v>83.5</v>
      </c>
      <c r="EB22" s="46" t="str">
        <f t="shared" si="65"/>
        <v xml:space="preserve"> </v>
      </c>
      <c r="EC22" s="46" t="str">
        <f t="shared" si="66"/>
        <v xml:space="preserve"> </v>
      </c>
      <c r="ED22" s="46"/>
      <c r="EE22" s="52">
        <f>[2]uts!J21</f>
        <v>73</v>
      </c>
      <c r="EF22" s="51"/>
      <c r="EG22" s="53">
        <f t="shared" si="67"/>
        <v>88</v>
      </c>
      <c r="EH22" s="53">
        <f t="shared" si="68"/>
        <v>78.375</v>
      </c>
      <c r="EI22" s="53" t="str">
        <f t="shared" si="69"/>
        <v xml:space="preserve">  </v>
      </c>
      <c r="EJ22" s="53">
        <f t="shared" si="70"/>
        <v>80.666666666666671</v>
      </c>
      <c r="EK22" s="53" t="str">
        <f t="shared" si="71"/>
        <v xml:space="preserve">  </v>
      </c>
      <c r="EL22" s="53">
        <f t="shared" si="72"/>
        <v>80.666666666666671</v>
      </c>
      <c r="EM22" s="53">
        <f t="shared" si="73"/>
        <v>86</v>
      </c>
      <c r="EN22" s="53" t="str">
        <f t="shared" si="74"/>
        <v xml:space="preserve">  </v>
      </c>
      <c r="EO22" s="53" t="str">
        <f t="shared" si="75"/>
        <v xml:space="preserve">  </v>
      </c>
      <c r="EP22" s="53"/>
      <c r="EQ22" s="52">
        <f t="shared" si="76"/>
        <v>83</v>
      </c>
      <c r="ER22" s="55">
        <f t="shared" si="77"/>
        <v>88</v>
      </c>
      <c r="ES22" s="55">
        <f t="shared" si="78"/>
        <v>78.375</v>
      </c>
      <c r="ET22" s="51" t="str">
        <f>SISWA!E20</f>
        <v>Tegar</v>
      </c>
      <c r="EU22" s="51" t="str">
        <f t="shared" si="79"/>
        <v xml:space="preserve">Ananda Tegar </v>
      </c>
      <c r="EV22" s="56">
        <f t="shared" si="80"/>
        <v>88</v>
      </c>
      <c r="EW22" s="57" t="str">
        <f t="shared" si="81"/>
        <v/>
      </c>
      <c r="EX22" s="57" t="str">
        <f t="shared" si="82"/>
        <v/>
      </c>
      <c r="EY22" s="57" t="str">
        <f t="shared" si="83"/>
        <v/>
      </c>
      <c r="EZ22" s="57" t="str">
        <f t="shared" si="84"/>
        <v/>
      </c>
      <c r="FA22" s="57" t="str">
        <f t="shared" si="85"/>
        <v/>
      </c>
      <c r="FB22" s="57" t="str">
        <f t="shared" si="86"/>
        <v/>
      </c>
      <c r="FC22" s="57" t="str">
        <f t="shared" si="87"/>
        <v/>
      </c>
      <c r="FD22" s="57" t="str">
        <f t="shared" si="88"/>
        <v/>
      </c>
      <c r="FE22" s="57"/>
      <c r="FF22" s="58">
        <f t="shared" si="89"/>
        <v>88</v>
      </c>
      <c r="FG22" s="55" t="str">
        <f t="shared" si="90"/>
        <v>menentukan pokok pikiran dalam teks lisan dan tulis</v>
      </c>
      <c r="FH22" s="58"/>
      <c r="FI22" s="59" t="str">
        <f>IF(ER22&gt;100,"",IF(ER22&gt;DQ$1,"sangat baik dalam "&amp;FG22,IF(ER22&gt;=DQ$2,"baik dalam "&amp;FG22,IF(ER22&gt;=DQ$3,"cukup dalam "&amp;FG22,IF(ER22&lt;DQ$3,"dengan bimbingan dapat meningkatkan dalam "&amp;FG22,IF(ER22&lt;1," ",””))))))</f>
        <v>baik dalam menentukan pokok pikiran dalam teks lisan dan tulis</v>
      </c>
      <c r="FJ22" s="58"/>
      <c r="FK22" s="57" t="str">
        <f t="shared" si="91"/>
        <v/>
      </c>
      <c r="FL22" s="57">
        <f t="shared" si="92"/>
        <v>78.375</v>
      </c>
      <c r="FM22" s="57" t="str">
        <f t="shared" si="93"/>
        <v/>
      </c>
      <c r="FN22" s="57" t="str">
        <f t="shared" si="94"/>
        <v/>
      </c>
      <c r="FO22" s="57" t="str">
        <f t="shared" si="95"/>
        <v/>
      </c>
      <c r="FP22" s="57" t="str">
        <f t="shared" si="96"/>
        <v/>
      </c>
      <c r="FQ22" s="57" t="str">
        <f t="shared" si="97"/>
        <v/>
      </c>
      <c r="FR22" s="57" t="str">
        <f t="shared" si="98"/>
        <v/>
      </c>
      <c r="FS22" s="57" t="str">
        <f t="shared" si="99"/>
        <v/>
      </c>
      <c r="FT22" s="57"/>
      <c r="FU22" s="59" t="str">
        <f t="shared" si="100"/>
        <v>mengklasifikasi informasi yang didapat dari buku ke dalam aspek: apa, di mana, kapan, siapa, mengapa, dan bagaimana</v>
      </c>
      <c r="FV22" s="59" t="str">
        <f>IF(ES22&gt;100,"",IF(ES22&gt;DQ$1,"sangat baik dalam "&amp;FU22,IF(ES22&gt;=DQ$2,"baik dalam "&amp;FU22,IF(ES22&gt;=DQ$3,"cukup dalam "&amp;FU22,IF(ES22&lt;DQ$3,"dengan bimbingan dapat meningkatkan dalam "&amp;FU22,IF(ES22&lt;1," ",””))))))</f>
        <v>cukup dalam mengklasifikasi informasi yang didapat dari buku ke dalam aspek: apa, di mana, kapan, siapa, mengapa, dan bagaimana</v>
      </c>
      <c r="FW22" s="61"/>
      <c r="FX22" s="62" t="str">
        <f t="shared" si="101"/>
        <v>Ananda Tegar baik dalam menentukan pokok pikiran dalam teks lisan dan tulis, cukup dalam mengklasifikasi informasi yang didapat dari buku ke dalam aspek: apa, di mana, kapan, siapa, mengapa, dan bagaimana</v>
      </c>
      <c r="FY22" s="57" t="str">
        <f t="shared" si="102"/>
        <v/>
      </c>
      <c r="FZ22" s="57" t="str">
        <f t="shared" si="43"/>
        <v/>
      </c>
      <c r="GA22" s="57" t="str">
        <f t="shared" si="44"/>
        <v/>
      </c>
      <c r="GB22" s="57"/>
      <c r="GC22" s="57"/>
      <c r="GD22" s="57"/>
      <c r="GE22" s="59" t="str">
        <f t="shared" si="45"/>
        <v>perlu bimbingan dalam mengklasifikasi informasi yang didapat dari buku ke dalam aspek: apa, di mana, kapan, siapa, mengapa, dan bagaimana</v>
      </c>
      <c r="GF22" s="60"/>
      <c r="GG22" s="61"/>
      <c r="GH22" s="62" t="str">
        <f t="shared" si="103"/>
        <v>, perlu bimbingan dalam mengklasifikasi informasi yang didapat dari buku ke dalam aspek: apa, di mana, kapan, siapa, mengapa, dan bagaimana</v>
      </c>
      <c r="GI22" s="4" t="str">
        <f t="shared" si="104"/>
        <v xml:space="preserve">Cukup pandai menentukan pokok pikiran dalam teks lisan dan tulis Pandai mengklasifikasi informasi yang didapat dari buku ke dalam aspek: apa, di mana, kapan, siapa, mengapa, dan bagaimana Menguasai dengan baik meringkas teks penjelasan (eksplanasi) dari media cetak atau elektronik     Pandai menggali isi dan amanat pantun yang disajikan secara lisan dan tulis dengan tujuan untuk kesenangan  </v>
      </c>
    </row>
    <row r="23" spans="1:191" ht="42" customHeight="1">
      <c r="A23" s="39">
        <v>16</v>
      </c>
      <c r="B23" s="283">
        <f>SISWA!B21</f>
        <v>0</v>
      </c>
      <c r="C23" s="123"/>
      <c r="D23" s="123"/>
      <c r="E23" s="123"/>
      <c r="F23" s="123"/>
      <c r="G23" s="123"/>
      <c r="H23" s="123"/>
      <c r="I23" s="123"/>
      <c r="J23" s="123"/>
      <c r="K23" s="123"/>
      <c r="L23" s="256"/>
      <c r="M23" s="256"/>
      <c r="N23" s="256"/>
      <c r="O23" s="256"/>
      <c r="P23" s="256"/>
      <c r="Q23" s="256"/>
      <c r="R23" s="256"/>
      <c r="S23" s="256"/>
      <c r="T23" s="256"/>
      <c r="U23" s="123"/>
      <c r="V23" s="123"/>
      <c r="W23" s="123"/>
      <c r="X23" s="123"/>
      <c r="Y23" s="123"/>
      <c r="Z23" s="123"/>
      <c r="AA23" s="123"/>
      <c r="AB23" s="123"/>
      <c r="AC23" s="123"/>
      <c r="AD23" s="256"/>
      <c r="AE23" s="256"/>
      <c r="AF23" s="256"/>
      <c r="AG23" s="256"/>
      <c r="AH23" s="256"/>
      <c r="AI23" s="256"/>
      <c r="AJ23" s="256"/>
      <c r="AK23" s="256"/>
      <c r="AL23" s="256"/>
      <c r="AM23" s="123"/>
      <c r="AN23" s="123"/>
      <c r="AO23" s="123"/>
      <c r="AP23" s="123"/>
      <c r="AQ23" s="123"/>
      <c r="AR23" s="123"/>
      <c r="AS23" s="123"/>
      <c r="AT23" s="123"/>
      <c r="AU23" s="123"/>
      <c r="AV23" s="256"/>
      <c r="AW23" s="256"/>
      <c r="AX23" s="256"/>
      <c r="AY23" s="256"/>
      <c r="AZ23" s="256"/>
      <c r="BA23" s="256"/>
      <c r="BB23" s="256"/>
      <c r="BC23" s="256"/>
      <c r="BD23" s="256"/>
      <c r="BE23" s="123"/>
      <c r="BF23" s="123"/>
      <c r="BG23" s="123"/>
      <c r="BH23" s="123"/>
      <c r="BI23" s="123"/>
      <c r="BJ23" s="123"/>
      <c r="BK23" s="123"/>
      <c r="BL23" s="123"/>
      <c r="BM23" s="123"/>
      <c r="BN23" s="256"/>
      <c r="BO23" s="256"/>
      <c r="BP23" s="256"/>
      <c r="BQ23" s="256"/>
      <c r="BR23" s="256"/>
      <c r="BS23" s="256"/>
      <c r="BT23" s="256"/>
      <c r="BU23" s="256"/>
      <c r="BV23" s="256"/>
      <c r="BW23" s="460"/>
      <c r="BX23" s="460"/>
      <c r="BY23" s="460"/>
      <c r="BZ23" s="460"/>
      <c r="CA23" s="460"/>
      <c r="CB23" s="460"/>
      <c r="CC23" s="460"/>
      <c r="CD23" s="460"/>
      <c r="CE23" s="460"/>
      <c r="CF23" s="346"/>
      <c r="CG23" s="346"/>
      <c r="CH23" s="346"/>
      <c r="CI23" s="346"/>
      <c r="CJ23" s="346"/>
      <c r="CK23" s="346"/>
      <c r="CL23" s="346"/>
      <c r="CM23" s="346"/>
      <c r="CN23" s="346"/>
      <c r="CO23" s="260" t="str">
        <f t="shared" si="46"/>
        <v xml:space="preserve"> </v>
      </c>
      <c r="CP23" s="260" t="str">
        <f t="shared" si="47"/>
        <v xml:space="preserve"> </v>
      </c>
      <c r="CQ23" s="260" t="str">
        <f t="shared" si="48"/>
        <v xml:space="preserve"> </v>
      </c>
      <c r="CR23" s="260" t="str">
        <f t="shared" si="49"/>
        <v xml:space="preserve"> </v>
      </c>
      <c r="CS23" s="260" t="str">
        <f t="shared" si="50"/>
        <v xml:space="preserve"> </v>
      </c>
      <c r="CT23" s="260" t="str">
        <f t="shared" si="51"/>
        <v xml:space="preserve"> </v>
      </c>
      <c r="CU23" s="260" t="str">
        <f t="shared" si="52"/>
        <v xml:space="preserve"> </v>
      </c>
      <c r="CV23" s="260" t="str">
        <f t="shared" si="53"/>
        <v xml:space="preserve"> </v>
      </c>
      <c r="CW23" s="260" t="str">
        <f t="shared" si="54"/>
        <v xml:space="preserve"> </v>
      </c>
      <c r="CX23" s="547"/>
      <c r="CY23" s="547"/>
      <c r="CZ23" s="547"/>
      <c r="DA23" s="547"/>
      <c r="DB23" s="547"/>
      <c r="DC23" s="547"/>
      <c r="DD23" s="547"/>
      <c r="DE23" s="547"/>
      <c r="DF23" s="547"/>
      <c r="DG23" s="548"/>
      <c r="DH23" s="548"/>
      <c r="DI23" s="548"/>
      <c r="DJ23" s="548"/>
      <c r="DK23" s="548"/>
      <c r="DL23" s="548"/>
      <c r="DM23" s="548"/>
      <c r="DN23" s="548"/>
      <c r="DO23" s="548"/>
      <c r="DP23" s="550" t="str">
        <f t="shared" si="55"/>
        <v xml:space="preserve"> </v>
      </c>
      <c r="DQ23" s="291" t="str">
        <f t="shared" si="56"/>
        <v xml:space="preserve">  </v>
      </c>
      <c r="DR23" s="553" t="str">
        <f t="shared" si="57"/>
        <v xml:space="preserve"> </v>
      </c>
      <c r="DS23" s="282"/>
      <c r="DT23" s="51"/>
      <c r="DU23" s="46" t="str">
        <f t="shared" si="58"/>
        <v xml:space="preserve"> </v>
      </c>
      <c r="DV23" s="46" t="str">
        <f t="shared" si="59"/>
        <v xml:space="preserve"> </v>
      </c>
      <c r="DW23" s="46" t="str">
        <f t="shared" si="60"/>
        <v xml:space="preserve"> </v>
      </c>
      <c r="DX23" s="46" t="str">
        <f t="shared" si="61"/>
        <v xml:space="preserve"> </v>
      </c>
      <c r="DY23" s="46" t="str">
        <f t="shared" si="62"/>
        <v xml:space="preserve"> </v>
      </c>
      <c r="DZ23" s="46" t="str">
        <f t="shared" si="63"/>
        <v xml:space="preserve"> </v>
      </c>
      <c r="EA23" s="46" t="str">
        <f t="shared" si="64"/>
        <v xml:space="preserve"> </v>
      </c>
      <c r="EB23" s="46" t="str">
        <f t="shared" si="65"/>
        <v xml:space="preserve"> </v>
      </c>
      <c r="EC23" s="46" t="str">
        <f t="shared" si="66"/>
        <v xml:space="preserve"> </v>
      </c>
      <c r="ED23" s="46"/>
      <c r="EE23" s="52">
        <f>[2]uts!J22</f>
        <v>72.333333333333329</v>
      </c>
      <c r="EF23" s="51"/>
      <c r="EG23" s="53" t="str">
        <f t="shared" si="67"/>
        <v xml:space="preserve">  </v>
      </c>
      <c r="EH23" s="53" t="str">
        <f t="shared" si="68"/>
        <v xml:space="preserve">  </v>
      </c>
      <c r="EI23" s="53" t="str">
        <f t="shared" si="69"/>
        <v xml:space="preserve">  </v>
      </c>
      <c r="EJ23" s="53" t="str">
        <f t="shared" si="70"/>
        <v xml:space="preserve">  </v>
      </c>
      <c r="EK23" s="53" t="str">
        <f t="shared" si="71"/>
        <v xml:space="preserve">  </v>
      </c>
      <c r="EL23" s="53" t="str">
        <f t="shared" si="72"/>
        <v xml:space="preserve">  </v>
      </c>
      <c r="EM23" s="53" t="str">
        <f t="shared" si="73"/>
        <v xml:space="preserve">  </v>
      </c>
      <c r="EN23" s="53" t="str">
        <f t="shared" si="74"/>
        <v xml:space="preserve">  </v>
      </c>
      <c r="EO23" s="53" t="str">
        <f t="shared" si="75"/>
        <v xml:space="preserve">  </v>
      </c>
      <c r="EP23" s="53"/>
      <c r="EQ23" s="52" t="str">
        <f t="shared" si="76"/>
        <v xml:space="preserve"> </v>
      </c>
      <c r="ER23" s="55">
        <f t="shared" si="77"/>
        <v>0</v>
      </c>
      <c r="ES23" s="55">
        <f t="shared" si="78"/>
        <v>0</v>
      </c>
      <c r="ET23" s="51">
        <f>SISWA!E21</f>
        <v>0</v>
      </c>
      <c r="EU23" s="51" t="str">
        <f t="shared" si="79"/>
        <v/>
      </c>
      <c r="EV23" s="56" t="str">
        <f t="shared" si="80"/>
        <v/>
      </c>
      <c r="EW23" s="57" t="str">
        <f t="shared" si="81"/>
        <v/>
      </c>
      <c r="EX23" s="57" t="str">
        <f t="shared" si="82"/>
        <v/>
      </c>
      <c r="EY23" s="57" t="str">
        <f t="shared" si="83"/>
        <v/>
      </c>
      <c r="EZ23" s="57" t="str">
        <f t="shared" si="84"/>
        <v/>
      </c>
      <c r="FA23" s="57" t="str">
        <f t="shared" si="85"/>
        <v/>
      </c>
      <c r="FB23" s="57" t="str">
        <f t="shared" si="86"/>
        <v/>
      </c>
      <c r="FC23" s="57" t="str">
        <f t="shared" si="87"/>
        <v/>
      </c>
      <c r="FD23" s="57" t="str">
        <f t="shared" si="88"/>
        <v/>
      </c>
      <c r="FE23" s="57"/>
      <c r="FF23" s="58">
        <f t="shared" si="89"/>
        <v>0</v>
      </c>
      <c r="FG23" s="55" t="e">
        <f t="shared" si="90"/>
        <v>#N/A</v>
      </c>
      <c r="FH23" s="58"/>
      <c r="FI23" s="59" t="e">
        <f>IF(ER23&gt;100,"",IF(ER23&gt;DQ$1,"sangat baik dalam "&amp;FG23,IF(ER23&gt;=DQ$2,"baik dalam "&amp;FG23,IF(ER23&gt;=DQ$3,"cukup dalam "&amp;FG23,IF(ER23&lt;DQ$3,"dengan bimbingan dapat meningkatkan dalam "&amp;FG23,IF(ER23&lt;1," ",””))))))</f>
        <v>#N/A</v>
      </c>
      <c r="FJ23" s="58"/>
      <c r="FK23" s="57" t="str">
        <f t="shared" si="91"/>
        <v/>
      </c>
      <c r="FL23" s="57" t="str">
        <f t="shared" si="92"/>
        <v/>
      </c>
      <c r="FM23" s="57" t="str">
        <f t="shared" si="93"/>
        <v/>
      </c>
      <c r="FN23" s="57" t="str">
        <f t="shared" si="94"/>
        <v/>
      </c>
      <c r="FO23" s="57" t="str">
        <f t="shared" si="95"/>
        <v/>
      </c>
      <c r="FP23" s="57" t="str">
        <f t="shared" si="96"/>
        <v/>
      </c>
      <c r="FQ23" s="57" t="str">
        <f t="shared" si="97"/>
        <v/>
      </c>
      <c r="FR23" s="57" t="str">
        <f t="shared" si="98"/>
        <v/>
      </c>
      <c r="FS23" s="57" t="str">
        <f t="shared" si="99"/>
        <v/>
      </c>
      <c r="FT23" s="57"/>
      <c r="FU23" s="59" t="e">
        <f t="shared" si="100"/>
        <v>#N/A</v>
      </c>
      <c r="FV23" s="59" t="e">
        <f>IF(ES23&gt;100,"",IF(ES23&gt;DQ$1,"sangat baik dalam "&amp;FU23,IF(ES23&gt;=DQ$2,"baik dalam "&amp;FU23,IF(ES23&gt;=DQ$3,"cukup dalam "&amp;FU23,IF(ES23&lt;DQ$3,"dengan bimbingan dapat meningkatkan dalam "&amp;FU23,IF(ES23&lt;1," ",””))))))</f>
        <v>#N/A</v>
      </c>
      <c r="FW23" s="61"/>
      <c r="FX23" s="62" t="e">
        <f t="shared" si="101"/>
        <v>#N/A</v>
      </c>
      <c r="FY23" s="57" t="str">
        <f t="shared" si="102"/>
        <v/>
      </c>
      <c r="FZ23" s="57" t="str">
        <f t="shared" si="43"/>
        <v/>
      </c>
      <c r="GA23" s="57" t="str">
        <f t="shared" si="44"/>
        <v/>
      </c>
      <c r="GB23" s="57"/>
      <c r="GC23" s="57"/>
      <c r="GD23" s="57"/>
      <c r="GE23" s="59" t="str">
        <f t="shared" si="45"/>
        <v>perlu bimbingan dalam mengklasifikasi informasi yang didapat dari buku ke dalam aspek: apa, di mana, kapan, siapa, mengapa, dan bagaimana</v>
      </c>
      <c r="GF23" s="60"/>
      <c r="GG23" s="61"/>
      <c r="GH23" s="62" t="str">
        <f t="shared" si="103"/>
        <v>, perlu bimbingan dalam mengklasifikasi informasi yang didapat dari buku ke dalam aspek: apa, di mana, kapan, siapa, mengapa, dan bagaimana</v>
      </c>
      <c r="GI23" s="4" t="str">
        <f t="shared" si="104"/>
        <v xml:space="preserve">  FALSEFALSEFALSE      </v>
      </c>
    </row>
    <row r="24" spans="1:191" ht="42" customHeight="1">
      <c r="A24" s="39">
        <v>17</v>
      </c>
      <c r="B24" s="283">
        <f>SISWA!B22</f>
        <v>0</v>
      </c>
      <c r="C24" s="123"/>
      <c r="D24" s="123"/>
      <c r="E24" s="123"/>
      <c r="F24" s="123"/>
      <c r="G24" s="123"/>
      <c r="H24" s="123"/>
      <c r="I24" s="123"/>
      <c r="J24" s="123"/>
      <c r="K24" s="123"/>
      <c r="L24" s="256"/>
      <c r="M24" s="256"/>
      <c r="N24" s="256"/>
      <c r="O24" s="256"/>
      <c r="P24" s="256"/>
      <c r="Q24" s="256"/>
      <c r="R24" s="256"/>
      <c r="S24" s="256"/>
      <c r="T24" s="256"/>
      <c r="U24" s="123"/>
      <c r="V24" s="123"/>
      <c r="W24" s="123"/>
      <c r="X24" s="123"/>
      <c r="Y24" s="123"/>
      <c r="Z24" s="123"/>
      <c r="AA24" s="123"/>
      <c r="AB24" s="123"/>
      <c r="AC24" s="123"/>
      <c r="AD24" s="256"/>
      <c r="AE24" s="256"/>
      <c r="AF24" s="256"/>
      <c r="AG24" s="256"/>
      <c r="AH24" s="256"/>
      <c r="AI24" s="256"/>
      <c r="AJ24" s="256"/>
      <c r="AK24" s="256"/>
      <c r="AL24" s="256"/>
      <c r="AM24" s="123"/>
      <c r="AN24" s="123"/>
      <c r="AO24" s="123"/>
      <c r="AP24" s="123"/>
      <c r="AQ24" s="123"/>
      <c r="AR24" s="123"/>
      <c r="AS24" s="123"/>
      <c r="AT24" s="123"/>
      <c r="AU24" s="123"/>
      <c r="AV24" s="256"/>
      <c r="AW24" s="256"/>
      <c r="AX24" s="256"/>
      <c r="AY24" s="256"/>
      <c r="AZ24" s="256"/>
      <c r="BA24" s="256"/>
      <c r="BB24" s="256"/>
      <c r="BC24" s="256"/>
      <c r="BD24" s="256"/>
      <c r="BE24" s="123"/>
      <c r="BF24" s="123"/>
      <c r="BG24" s="123"/>
      <c r="BH24" s="123"/>
      <c r="BI24" s="123"/>
      <c r="BJ24" s="123"/>
      <c r="BK24" s="123"/>
      <c r="BL24" s="123"/>
      <c r="BM24" s="123"/>
      <c r="BN24" s="256"/>
      <c r="BO24" s="256"/>
      <c r="BP24" s="256"/>
      <c r="BQ24" s="256"/>
      <c r="BR24" s="256"/>
      <c r="BS24" s="256"/>
      <c r="BT24" s="256"/>
      <c r="BU24" s="256"/>
      <c r="BV24" s="256"/>
      <c r="BW24" s="460"/>
      <c r="BX24" s="460"/>
      <c r="BY24" s="460"/>
      <c r="BZ24" s="460"/>
      <c r="CA24" s="460"/>
      <c r="CB24" s="460"/>
      <c r="CC24" s="460"/>
      <c r="CD24" s="460"/>
      <c r="CE24" s="460"/>
      <c r="CF24" s="346"/>
      <c r="CG24" s="346"/>
      <c r="CH24" s="346"/>
      <c r="CI24" s="346"/>
      <c r="CJ24" s="346"/>
      <c r="CK24" s="346"/>
      <c r="CL24" s="346"/>
      <c r="CM24" s="346"/>
      <c r="CN24" s="346"/>
      <c r="CO24" s="260" t="str">
        <f t="shared" si="46"/>
        <v xml:space="preserve"> </v>
      </c>
      <c r="CP24" s="260" t="str">
        <f t="shared" si="47"/>
        <v xml:space="preserve"> </v>
      </c>
      <c r="CQ24" s="260" t="str">
        <f t="shared" si="48"/>
        <v xml:space="preserve"> </v>
      </c>
      <c r="CR24" s="260" t="str">
        <f t="shared" si="49"/>
        <v xml:space="preserve"> </v>
      </c>
      <c r="CS24" s="260" t="str">
        <f t="shared" si="50"/>
        <v xml:space="preserve"> </v>
      </c>
      <c r="CT24" s="260" t="str">
        <f t="shared" si="51"/>
        <v xml:space="preserve"> </v>
      </c>
      <c r="CU24" s="260" t="str">
        <f t="shared" si="52"/>
        <v xml:space="preserve"> </v>
      </c>
      <c r="CV24" s="260" t="str">
        <f t="shared" si="53"/>
        <v xml:space="preserve"> </v>
      </c>
      <c r="CW24" s="260" t="str">
        <f t="shared" si="54"/>
        <v xml:space="preserve"> </v>
      </c>
      <c r="CX24" s="547"/>
      <c r="CY24" s="547"/>
      <c r="CZ24" s="547"/>
      <c r="DA24" s="547"/>
      <c r="DB24" s="547"/>
      <c r="DC24" s="547"/>
      <c r="DD24" s="547"/>
      <c r="DE24" s="547"/>
      <c r="DF24" s="547"/>
      <c r="DG24" s="548"/>
      <c r="DH24" s="548"/>
      <c r="DI24" s="548"/>
      <c r="DJ24" s="548"/>
      <c r="DK24" s="548"/>
      <c r="DL24" s="548"/>
      <c r="DM24" s="548"/>
      <c r="DN24" s="548"/>
      <c r="DO24" s="548"/>
      <c r="DP24" s="550" t="str">
        <f t="shared" si="55"/>
        <v xml:space="preserve"> </v>
      </c>
      <c r="DQ24" s="291" t="str">
        <f t="shared" si="56"/>
        <v xml:space="preserve">  </v>
      </c>
      <c r="DR24" s="553" t="str">
        <f t="shared" si="57"/>
        <v xml:space="preserve"> </v>
      </c>
      <c r="DS24" s="282"/>
      <c r="DT24" s="51"/>
      <c r="DU24" s="46" t="str">
        <f t="shared" si="58"/>
        <v xml:space="preserve"> </v>
      </c>
      <c r="DV24" s="46" t="str">
        <f t="shared" si="59"/>
        <v xml:space="preserve"> </v>
      </c>
      <c r="DW24" s="46" t="str">
        <f t="shared" si="60"/>
        <v xml:space="preserve"> </v>
      </c>
      <c r="DX24" s="46" t="str">
        <f t="shared" si="61"/>
        <v xml:space="preserve"> </v>
      </c>
      <c r="DY24" s="46" t="str">
        <f t="shared" si="62"/>
        <v xml:space="preserve"> </v>
      </c>
      <c r="DZ24" s="46" t="str">
        <f t="shared" si="63"/>
        <v xml:space="preserve"> </v>
      </c>
      <c r="EA24" s="46" t="str">
        <f t="shared" si="64"/>
        <v xml:space="preserve"> </v>
      </c>
      <c r="EB24" s="46" t="str">
        <f t="shared" si="65"/>
        <v xml:space="preserve"> </v>
      </c>
      <c r="EC24" s="46" t="str">
        <f t="shared" si="66"/>
        <v xml:space="preserve"> </v>
      </c>
      <c r="ED24" s="46"/>
      <c r="EE24" s="52">
        <f>[2]uts!J23</f>
        <v>71</v>
      </c>
      <c r="EF24" s="51"/>
      <c r="EG24" s="53" t="str">
        <f t="shared" si="67"/>
        <v xml:space="preserve">  </v>
      </c>
      <c r="EH24" s="53" t="str">
        <f t="shared" si="68"/>
        <v xml:space="preserve">  </v>
      </c>
      <c r="EI24" s="53" t="str">
        <f t="shared" si="69"/>
        <v xml:space="preserve">  </v>
      </c>
      <c r="EJ24" s="53" t="str">
        <f t="shared" si="70"/>
        <v xml:space="preserve">  </v>
      </c>
      <c r="EK24" s="53" t="str">
        <f t="shared" si="71"/>
        <v xml:space="preserve">  </v>
      </c>
      <c r="EL24" s="53" t="str">
        <f t="shared" si="72"/>
        <v xml:space="preserve">  </v>
      </c>
      <c r="EM24" s="53" t="str">
        <f t="shared" si="73"/>
        <v xml:space="preserve">  </v>
      </c>
      <c r="EN24" s="53" t="str">
        <f t="shared" si="74"/>
        <v xml:space="preserve">  </v>
      </c>
      <c r="EO24" s="53" t="str">
        <f t="shared" si="75"/>
        <v xml:space="preserve">  </v>
      </c>
      <c r="EP24" s="53"/>
      <c r="EQ24" s="52" t="str">
        <f t="shared" si="76"/>
        <v xml:space="preserve"> </v>
      </c>
      <c r="ER24" s="55">
        <f t="shared" si="77"/>
        <v>0</v>
      </c>
      <c r="ES24" s="55">
        <f t="shared" si="78"/>
        <v>0</v>
      </c>
      <c r="ET24" s="51">
        <f>SISWA!E22</f>
        <v>0</v>
      </c>
      <c r="EU24" s="51" t="str">
        <f t="shared" si="79"/>
        <v/>
      </c>
      <c r="EV24" s="56" t="str">
        <f t="shared" si="80"/>
        <v/>
      </c>
      <c r="EW24" s="57" t="str">
        <f t="shared" si="81"/>
        <v/>
      </c>
      <c r="EX24" s="57" t="str">
        <f t="shared" si="82"/>
        <v/>
      </c>
      <c r="EY24" s="57" t="str">
        <f t="shared" si="83"/>
        <v/>
      </c>
      <c r="EZ24" s="57" t="str">
        <f t="shared" si="84"/>
        <v/>
      </c>
      <c r="FA24" s="57" t="str">
        <f t="shared" si="85"/>
        <v/>
      </c>
      <c r="FB24" s="57" t="str">
        <f t="shared" si="86"/>
        <v/>
      </c>
      <c r="FC24" s="57" t="str">
        <f t="shared" si="87"/>
        <v/>
      </c>
      <c r="FD24" s="57" t="str">
        <f t="shared" si="88"/>
        <v/>
      </c>
      <c r="FE24" s="57"/>
      <c r="FF24" s="58">
        <f t="shared" si="89"/>
        <v>0</v>
      </c>
      <c r="FG24" s="55" t="e">
        <f t="shared" si="90"/>
        <v>#N/A</v>
      </c>
      <c r="FH24" s="58"/>
      <c r="FI24" s="59" t="e">
        <f>IF(ER24&gt;100,"",IF(ER24&gt;DQ$1,"sangat baik dalam "&amp;FG24,IF(ER24&gt;=DQ$2,"baik dalam "&amp;FG24,IF(ER24&gt;=DQ$3,"cukup dalam "&amp;FG24,IF(ER24&lt;DQ$3,"dengan bimbingan dapat meningkatkan dalam "&amp;FG24,IF(ER24&lt;1," ",””))))))</f>
        <v>#N/A</v>
      </c>
      <c r="FJ24" s="58"/>
      <c r="FK24" s="57" t="str">
        <f t="shared" si="91"/>
        <v/>
      </c>
      <c r="FL24" s="57" t="str">
        <f t="shared" si="92"/>
        <v/>
      </c>
      <c r="FM24" s="57" t="str">
        <f t="shared" si="93"/>
        <v/>
      </c>
      <c r="FN24" s="57" t="str">
        <f t="shared" si="94"/>
        <v/>
      </c>
      <c r="FO24" s="57" t="str">
        <f t="shared" si="95"/>
        <v/>
      </c>
      <c r="FP24" s="57" t="str">
        <f t="shared" si="96"/>
        <v/>
      </c>
      <c r="FQ24" s="57" t="str">
        <f t="shared" si="97"/>
        <v/>
      </c>
      <c r="FR24" s="57" t="str">
        <f t="shared" si="98"/>
        <v/>
      </c>
      <c r="FS24" s="57" t="str">
        <f t="shared" si="99"/>
        <v/>
      </c>
      <c r="FT24" s="57"/>
      <c r="FU24" s="59" t="e">
        <f t="shared" si="100"/>
        <v>#N/A</v>
      </c>
      <c r="FV24" s="59" t="e">
        <f>IF(ES24&gt;100,"",IF(ES24&gt;DQ$1,"sangat baik dalam "&amp;FU24,IF(ES24&gt;=DQ$2,"baik dalam "&amp;FU24,IF(ES24&gt;=DQ$3,"cukup dalam "&amp;FU24,IF(ES24&lt;DQ$3,"dengan bimbingan dapat meningkatkan dalam "&amp;FU24,IF(ES24&lt;1," ",””))))))</f>
        <v>#N/A</v>
      </c>
      <c r="FW24" s="61"/>
      <c r="FX24" s="62" t="e">
        <f t="shared" si="101"/>
        <v>#N/A</v>
      </c>
      <c r="FY24" s="57" t="str">
        <f t="shared" si="102"/>
        <v/>
      </c>
      <c r="FZ24" s="57" t="str">
        <f t="shared" si="43"/>
        <v/>
      </c>
      <c r="GA24" s="57" t="str">
        <f t="shared" si="44"/>
        <v/>
      </c>
      <c r="GB24" s="57"/>
      <c r="GC24" s="57"/>
      <c r="GD24" s="57"/>
      <c r="GE24" s="59" t="str">
        <f t="shared" si="45"/>
        <v>perlu bimbingan dalam mengklasifikasi informasi yang didapat dari buku ke dalam aspek: apa, di mana, kapan, siapa, mengapa, dan bagaimana</v>
      </c>
      <c r="GF24" s="60"/>
      <c r="GG24" s="61"/>
      <c r="GH24" s="62" t="str">
        <f t="shared" si="103"/>
        <v>, perlu bimbingan dalam mengklasifikasi informasi yang didapat dari buku ke dalam aspek: apa, di mana, kapan, siapa, mengapa, dan bagaimana</v>
      </c>
      <c r="GI24" s="4" t="str">
        <f t="shared" si="104"/>
        <v xml:space="preserve">  FALSEFALSEFALSE      </v>
      </c>
    </row>
    <row r="25" spans="1:191" ht="42" customHeight="1">
      <c r="A25" s="39">
        <v>18</v>
      </c>
      <c r="B25" s="283">
        <f>SISWA!B23</f>
        <v>0</v>
      </c>
      <c r="C25" s="123"/>
      <c r="D25" s="123"/>
      <c r="E25" s="123"/>
      <c r="F25" s="123"/>
      <c r="G25" s="123"/>
      <c r="H25" s="123"/>
      <c r="I25" s="123"/>
      <c r="J25" s="123"/>
      <c r="K25" s="123"/>
      <c r="L25" s="256"/>
      <c r="M25" s="256"/>
      <c r="N25" s="256"/>
      <c r="O25" s="256"/>
      <c r="P25" s="256"/>
      <c r="Q25" s="256"/>
      <c r="R25" s="256"/>
      <c r="S25" s="256"/>
      <c r="T25" s="256"/>
      <c r="U25" s="123"/>
      <c r="V25" s="123"/>
      <c r="W25" s="123"/>
      <c r="X25" s="123"/>
      <c r="Y25" s="123"/>
      <c r="Z25" s="123"/>
      <c r="AA25" s="123"/>
      <c r="AB25" s="123"/>
      <c r="AC25" s="123"/>
      <c r="AD25" s="256"/>
      <c r="AE25" s="256"/>
      <c r="AF25" s="256"/>
      <c r="AG25" s="256"/>
      <c r="AH25" s="256"/>
      <c r="AI25" s="256"/>
      <c r="AJ25" s="256"/>
      <c r="AK25" s="256"/>
      <c r="AL25" s="256"/>
      <c r="AM25" s="123"/>
      <c r="AN25" s="123"/>
      <c r="AO25" s="123"/>
      <c r="AP25" s="123"/>
      <c r="AQ25" s="123"/>
      <c r="AR25" s="123"/>
      <c r="AS25" s="123"/>
      <c r="AT25" s="123"/>
      <c r="AU25" s="123"/>
      <c r="AV25" s="256"/>
      <c r="AW25" s="256"/>
      <c r="AX25" s="256"/>
      <c r="AY25" s="256"/>
      <c r="AZ25" s="256"/>
      <c r="BA25" s="256"/>
      <c r="BB25" s="256"/>
      <c r="BC25" s="256"/>
      <c r="BD25" s="256"/>
      <c r="BE25" s="123"/>
      <c r="BF25" s="123"/>
      <c r="BG25" s="123"/>
      <c r="BH25" s="123"/>
      <c r="BI25" s="123"/>
      <c r="BJ25" s="123"/>
      <c r="BK25" s="123"/>
      <c r="BL25" s="123"/>
      <c r="BM25" s="123"/>
      <c r="BN25" s="256"/>
      <c r="BO25" s="256"/>
      <c r="BP25" s="256"/>
      <c r="BQ25" s="256"/>
      <c r="BR25" s="256"/>
      <c r="BS25" s="256"/>
      <c r="BT25" s="256"/>
      <c r="BU25" s="256"/>
      <c r="BV25" s="256"/>
      <c r="BW25" s="460"/>
      <c r="BX25" s="460"/>
      <c r="BY25" s="460"/>
      <c r="BZ25" s="460"/>
      <c r="CA25" s="460"/>
      <c r="CB25" s="460"/>
      <c r="CC25" s="460"/>
      <c r="CD25" s="460"/>
      <c r="CE25" s="460"/>
      <c r="CF25" s="346"/>
      <c r="CG25" s="346"/>
      <c r="CH25" s="346"/>
      <c r="CI25" s="346"/>
      <c r="CJ25" s="346"/>
      <c r="CK25" s="346"/>
      <c r="CL25" s="346"/>
      <c r="CM25" s="346"/>
      <c r="CN25" s="346"/>
      <c r="CO25" s="260" t="str">
        <f t="shared" si="46"/>
        <v xml:space="preserve"> </v>
      </c>
      <c r="CP25" s="260" t="str">
        <f t="shared" si="47"/>
        <v xml:space="preserve"> </v>
      </c>
      <c r="CQ25" s="260" t="str">
        <f t="shared" si="48"/>
        <v xml:space="preserve"> </v>
      </c>
      <c r="CR25" s="260" t="str">
        <f t="shared" si="49"/>
        <v xml:space="preserve"> </v>
      </c>
      <c r="CS25" s="260" t="str">
        <f t="shared" si="50"/>
        <v xml:space="preserve"> </v>
      </c>
      <c r="CT25" s="260" t="str">
        <f t="shared" si="51"/>
        <v xml:space="preserve"> </v>
      </c>
      <c r="CU25" s="260" t="str">
        <f t="shared" si="52"/>
        <v xml:space="preserve"> </v>
      </c>
      <c r="CV25" s="260" t="str">
        <f t="shared" si="53"/>
        <v xml:space="preserve"> </v>
      </c>
      <c r="CW25" s="260" t="str">
        <f t="shared" si="54"/>
        <v xml:space="preserve"> </v>
      </c>
      <c r="CX25" s="547"/>
      <c r="CY25" s="547"/>
      <c r="CZ25" s="547"/>
      <c r="DA25" s="547"/>
      <c r="DB25" s="547"/>
      <c r="DC25" s="547"/>
      <c r="DD25" s="547"/>
      <c r="DE25" s="547"/>
      <c r="DF25" s="547"/>
      <c r="DG25" s="548"/>
      <c r="DH25" s="548"/>
      <c r="DI25" s="548"/>
      <c r="DJ25" s="548"/>
      <c r="DK25" s="548"/>
      <c r="DL25" s="548"/>
      <c r="DM25" s="548"/>
      <c r="DN25" s="548"/>
      <c r="DO25" s="548"/>
      <c r="DP25" s="550" t="str">
        <f t="shared" si="55"/>
        <v xml:space="preserve"> </v>
      </c>
      <c r="DQ25" s="291" t="str">
        <f t="shared" si="56"/>
        <v xml:space="preserve">  </v>
      </c>
      <c r="DR25" s="553" t="str">
        <f t="shared" si="57"/>
        <v xml:space="preserve"> </v>
      </c>
      <c r="DS25" s="282"/>
      <c r="DT25" s="51"/>
      <c r="DU25" s="46" t="str">
        <f t="shared" si="58"/>
        <v xml:space="preserve"> </v>
      </c>
      <c r="DV25" s="46" t="str">
        <f t="shared" si="59"/>
        <v xml:space="preserve"> </v>
      </c>
      <c r="DW25" s="46" t="str">
        <f t="shared" si="60"/>
        <v xml:space="preserve"> </v>
      </c>
      <c r="DX25" s="46" t="str">
        <f t="shared" si="61"/>
        <v xml:space="preserve"> </v>
      </c>
      <c r="DY25" s="46" t="str">
        <f t="shared" si="62"/>
        <v xml:space="preserve"> </v>
      </c>
      <c r="DZ25" s="46" t="str">
        <f t="shared" si="63"/>
        <v xml:space="preserve"> </v>
      </c>
      <c r="EA25" s="46" t="str">
        <f t="shared" si="64"/>
        <v xml:space="preserve"> </v>
      </c>
      <c r="EB25" s="46" t="str">
        <f t="shared" si="65"/>
        <v xml:space="preserve"> </v>
      </c>
      <c r="EC25" s="46" t="str">
        <f t="shared" si="66"/>
        <v xml:space="preserve"> </v>
      </c>
      <c r="ED25" s="46"/>
      <c r="EE25" s="52">
        <f>[2]uts!J24</f>
        <v>74.333333333333329</v>
      </c>
      <c r="EF25" s="51"/>
      <c r="EG25" s="53" t="str">
        <f t="shared" si="67"/>
        <v xml:space="preserve">  </v>
      </c>
      <c r="EH25" s="53" t="str">
        <f t="shared" si="68"/>
        <v xml:space="preserve">  </v>
      </c>
      <c r="EI25" s="53" t="str">
        <f t="shared" si="69"/>
        <v xml:space="preserve">  </v>
      </c>
      <c r="EJ25" s="53" t="str">
        <f t="shared" si="70"/>
        <v xml:space="preserve">  </v>
      </c>
      <c r="EK25" s="53" t="str">
        <f t="shared" si="71"/>
        <v xml:space="preserve">  </v>
      </c>
      <c r="EL25" s="53" t="str">
        <f t="shared" si="72"/>
        <v xml:space="preserve">  </v>
      </c>
      <c r="EM25" s="53" t="str">
        <f t="shared" si="73"/>
        <v xml:space="preserve">  </v>
      </c>
      <c r="EN25" s="53" t="str">
        <f t="shared" si="74"/>
        <v xml:space="preserve">  </v>
      </c>
      <c r="EO25" s="53" t="str">
        <f t="shared" si="75"/>
        <v xml:space="preserve">  </v>
      </c>
      <c r="EP25" s="53"/>
      <c r="EQ25" s="52" t="str">
        <f t="shared" si="76"/>
        <v xml:space="preserve"> </v>
      </c>
      <c r="ER25" s="55">
        <f t="shared" si="77"/>
        <v>0</v>
      </c>
      <c r="ES25" s="55">
        <f t="shared" si="78"/>
        <v>0</v>
      </c>
      <c r="ET25" s="51">
        <f>SISWA!E23</f>
        <v>0</v>
      </c>
      <c r="EU25" s="51" t="str">
        <f t="shared" si="79"/>
        <v/>
      </c>
      <c r="EV25" s="56" t="str">
        <f t="shared" si="80"/>
        <v/>
      </c>
      <c r="EW25" s="57" t="str">
        <f t="shared" si="81"/>
        <v/>
      </c>
      <c r="EX25" s="57" t="str">
        <f t="shared" si="82"/>
        <v/>
      </c>
      <c r="EY25" s="57" t="str">
        <f t="shared" si="83"/>
        <v/>
      </c>
      <c r="EZ25" s="57" t="str">
        <f t="shared" si="84"/>
        <v/>
      </c>
      <c r="FA25" s="57" t="str">
        <f t="shared" si="85"/>
        <v/>
      </c>
      <c r="FB25" s="57" t="str">
        <f t="shared" si="86"/>
        <v/>
      </c>
      <c r="FC25" s="57" t="str">
        <f t="shared" si="87"/>
        <v/>
      </c>
      <c r="FD25" s="57" t="str">
        <f t="shared" si="88"/>
        <v/>
      </c>
      <c r="FE25" s="57"/>
      <c r="FF25" s="58">
        <f t="shared" si="89"/>
        <v>0</v>
      </c>
      <c r="FG25" s="55" t="e">
        <f t="shared" si="90"/>
        <v>#N/A</v>
      </c>
      <c r="FH25" s="58"/>
      <c r="FI25" s="59" t="e">
        <f>IF(ER25&gt;100,"",IF(ER25&gt;DQ$1,"sangat baik dalam "&amp;FG25,IF(ER25&gt;=DQ$2,"baik dalam "&amp;FG25,IF(ER25&gt;=DQ$3,"cukup dalam "&amp;FG25,IF(ER25&lt;DQ$3,"dengan bimbingan dapat meningkatkan dalam "&amp;FG25,IF(ER25&lt;1," ",””))))))</f>
        <v>#N/A</v>
      </c>
      <c r="FJ25" s="58"/>
      <c r="FK25" s="57" t="str">
        <f t="shared" si="91"/>
        <v/>
      </c>
      <c r="FL25" s="57" t="str">
        <f t="shared" si="92"/>
        <v/>
      </c>
      <c r="FM25" s="57" t="str">
        <f t="shared" si="93"/>
        <v/>
      </c>
      <c r="FN25" s="57" t="str">
        <f t="shared" si="94"/>
        <v/>
      </c>
      <c r="FO25" s="57" t="str">
        <f t="shared" si="95"/>
        <v/>
      </c>
      <c r="FP25" s="57" t="str">
        <f t="shared" si="96"/>
        <v/>
      </c>
      <c r="FQ25" s="57" t="str">
        <f t="shared" si="97"/>
        <v/>
      </c>
      <c r="FR25" s="57" t="str">
        <f t="shared" si="98"/>
        <v/>
      </c>
      <c r="FS25" s="57" t="str">
        <f t="shared" si="99"/>
        <v/>
      </c>
      <c r="FT25" s="57"/>
      <c r="FU25" s="59" t="e">
        <f t="shared" si="100"/>
        <v>#N/A</v>
      </c>
      <c r="FV25" s="59" t="e">
        <f>IF(ES25&gt;100,"",IF(ES25&gt;DQ$1,"sangat baik dalam "&amp;FU25,IF(ES25&gt;=DQ$2,"baik dalam "&amp;FU25,IF(ES25&gt;=DQ$3,"cukup dalam "&amp;FU25,IF(ES25&lt;DQ$3,"dengan bimbingan dapat meningkatkan dalam "&amp;FU25,IF(ES25&lt;1," ",””))))))</f>
        <v>#N/A</v>
      </c>
      <c r="FW25" s="61"/>
      <c r="FX25" s="62" t="e">
        <f t="shared" si="101"/>
        <v>#N/A</v>
      </c>
      <c r="FY25" s="57" t="str">
        <f t="shared" si="102"/>
        <v/>
      </c>
      <c r="FZ25" s="57" t="str">
        <f t="shared" si="43"/>
        <v/>
      </c>
      <c r="GA25" s="57" t="str">
        <f t="shared" si="44"/>
        <v/>
      </c>
      <c r="GB25" s="57"/>
      <c r="GC25" s="57"/>
      <c r="GD25" s="57"/>
      <c r="GE25" s="59" t="str">
        <f t="shared" si="45"/>
        <v>perlu bimbingan dalam mengklasifikasi informasi yang didapat dari buku ke dalam aspek: apa, di mana, kapan, siapa, mengapa, dan bagaimana</v>
      </c>
      <c r="GF25" s="60"/>
      <c r="GG25" s="61"/>
      <c r="GH25" s="62" t="str">
        <f t="shared" si="103"/>
        <v>, perlu bimbingan dalam mengklasifikasi informasi yang didapat dari buku ke dalam aspek: apa, di mana, kapan, siapa, mengapa, dan bagaimana</v>
      </c>
      <c r="GI25" s="4" t="str">
        <f t="shared" si="104"/>
        <v xml:space="preserve">  FALSEFALSEFALSE      </v>
      </c>
    </row>
    <row r="26" spans="1:191" ht="42" customHeight="1">
      <c r="A26" s="39">
        <v>19</v>
      </c>
      <c r="B26" s="283">
        <f>SISWA!B24</f>
        <v>0</v>
      </c>
      <c r="C26" s="123"/>
      <c r="D26" s="123"/>
      <c r="E26" s="123"/>
      <c r="F26" s="123"/>
      <c r="G26" s="123"/>
      <c r="H26" s="123"/>
      <c r="I26" s="123"/>
      <c r="J26" s="123"/>
      <c r="K26" s="123"/>
      <c r="L26" s="256"/>
      <c r="M26" s="256"/>
      <c r="N26" s="256"/>
      <c r="O26" s="256"/>
      <c r="P26" s="256"/>
      <c r="Q26" s="256"/>
      <c r="R26" s="256"/>
      <c r="S26" s="256"/>
      <c r="T26" s="256"/>
      <c r="U26" s="123"/>
      <c r="V26" s="123"/>
      <c r="W26" s="123"/>
      <c r="X26" s="123"/>
      <c r="Y26" s="123"/>
      <c r="Z26" s="123"/>
      <c r="AA26" s="123"/>
      <c r="AB26" s="123"/>
      <c r="AC26" s="123"/>
      <c r="AD26" s="256"/>
      <c r="AE26" s="256"/>
      <c r="AF26" s="256"/>
      <c r="AG26" s="256"/>
      <c r="AH26" s="256"/>
      <c r="AI26" s="256"/>
      <c r="AJ26" s="256"/>
      <c r="AK26" s="256"/>
      <c r="AL26" s="256"/>
      <c r="AM26" s="123"/>
      <c r="AN26" s="123"/>
      <c r="AO26" s="123"/>
      <c r="AP26" s="123"/>
      <c r="AQ26" s="123"/>
      <c r="AR26" s="123"/>
      <c r="AS26" s="123"/>
      <c r="AT26" s="123"/>
      <c r="AU26" s="123"/>
      <c r="AV26" s="256"/>
      <c r="AW26" s="256"/>
      <c r="AX26" s="256"/>
      <c r="AY26" s="256"/>
      <c r="AZ26" s="256"/>
      <c r="BA26" s="256"/>
      <c r="BB26" s="256"/>
      <c r="BC26" s="256"/>
      <c r="BD26" s="256"/>
      <c r="BE26" s="123"/>
      <c r="BF26" s="123"/>
      <c r="BG26" s="123"/>
      <c r="BH26" s="123"/>
      <c r="BI26" s="123"/>
      <c r="BJ26" s="123"/>
      <c r="BK26" s="123"/>
      <c r="BL26" s="123"/>
      <c r="BM26" s="123"/>
      <c r="BN26" s="256"/>
      <c r="BO26" s="256"/>
      <c r="BP26" s="256"/>
      <c r="BQ26" s="256"/>
      <c r="BR26" s="256"/>
      <c r="BS26" s="256"/>
      <c r="BT26" s="256"/>
      <c r="BU26" s="256"/>
      <c r="BV26" s="256"/>
      <c r="BW26" s="460"/>
      <c r="BX26" s="460"/>
      <c r="BY26" s="460"/>
      <c r="BZ26" s="460"/>
      <c r="CA26" s="460"/>
      <c r="CB26" s="460"/>
      <c r="CC26" s="460"/>
      <c r="CD26" s="460"/>
      <c r="CE26" s="460"/>
      <c r="CF26" s="346"/>
      <c r="CG26" s="346"/>
      <c r="CH26" s="346"/>
      <c r="CI26" s="346"/>
      <c r="CJ26" s="346"/>
      <c r="CK26" s="346"/>
      <c r="CL26" s="346"/>
      <c r="CM26" s="346"/>
      <c r="CN26" s="346"/>
      <c r="CO26" s="260" t="str">
        <f t="shared" si="46"/>
        <v xml:space="preserve"> </v>
      </c>
      <c r="CP26" s="260" t="str">
        <f t="shared" si="47"/>
        <v xml:space="preserve"> </v>
      </c>
      <c r="CQ26" s="260" t="str">
        <f t="shared" si="48"/>
        <v xml:space="preserve"> </v>
      </c>
      <c r="CR26" s="260" t="str">
        <f t="shared" si="49"/>
        <v xml:space="preserve"> </v>
      </c>
      <c r="CS26" s="260" t="str">
        <f t="shared" si="50"/>
        <v xml:space="preserve"> </v>
      </c>
      <c r="CT26" s="260" t="str">
        <f t="shared" si="51"/>
        <v xml:space="preserve"> </v>
      </c>
      <c r="CU26" s="260" t="str">
        <f t="shared" si="52"/>
        <v xml:space="preserve"> </v>
      </c>
      <c r="CV26" s="260" t="str">
        <f t="shared" si="53"/>
        <v xml:space="preserve"> </v>
      </c>
      <c r="CW26" s="260" t="str">
        <f t="shared" si="54"/>
        <v xml:space="preserve"> </v>
      </c>
      <c r="CX26" s="547"/>
      <c r="CY26" s="547"/>
      <c r="CZ26" s="547"/>
      <c r="DA26" s="547"/>
      <c r="DB26" s="547"/>
      <c r="DC26" s="547"/>
      <c r="DD26" s="547"/>
      <c r="DE26" s="547"/>
      <c r="DF26" s="547"/>
      <c r="DG26" s="548"/>
      <c r="DH26" s="548"/>
      <c r="DI26" s="548"/>
      <c r="DJ26" s="548"/>
      <c r="DK26" s="548"/>
      <c r="DL26" s="548"/>
      <c r="DM26" s="548"/>
      <c r="DN26" s="548"/>
      <c r="DO26" s="548"/>
      <c r="DP26" s="550" t="str">
        <f t="shared" si="55"/>
        <v xml:space="preserve"> </v>
      </c>
      <c r="DQ26" s="291" t="str">
        <f t="shared" si="56"/>
        <v xml:space="preserve">  </v>
      </c>
      <c r="DR26" s="553" t="str">
        <f t="shared" si="57"/>
        <v xml:space="preserve"> </v>
      </c>
      <c r="DS26" s="282"/>
      <c r="DT26" s="51"/>
      <c r="DU26" s="46" t="str">
        <f t="shared" si="58"/>
        <v xml:space="preserve"> </v>
      </c>
      <c r="DV26" s="46" t="str">
        <f t="shared" si="59"/>
        <v xml:space="preserve"> </v>
      </c>
      <c r="DW26" s="46" t="str">
        <f t="shared" si="60"/>
        <v xml:space="preserve"> </v>
      </c>
      <c r="DX26" s="46" t="str">
        <f t="shared" si="61"/>
        <v xml:space="preserve"> </v>
      </c>
      <c r="DY26" s="46" t="str">
        <f t="shared" si="62"/>
        <v xml:space="preserve"> </v>
      </c>
      <c r="DZ26" s="46" t="str">
        <f t="shared" si="63"/>
        <v xml:space="preserve"> </v>
      </c>
      <c r="EA26" s="46" t="str">
        <f t="shared" si="64"/>
        <v xml:space="preserve"> </v>
      </c>
      <c r="EB26" s="46" t="str">
        <f t="shared" si="65"/>
        <v xml:space="preserve"> </v>
      </c>
      <c r="EC26" s="46" t="str">
        <f t="shared" si="66"/>
        <v xml:space="preserve"> </v>
      </c>
      <c r="ED26" s="46"/>
      <c r="EE26" s="52">
        <f>[2]uts!J25</f>
        <v>77.666666666666671</v>
      </c>
      <c r="EF26" s="51"/>
      <c r="EG26" s="53" t="str">
        <f t="shared" si="67"/>
        <v xml:space="preserve">  </v>
      </c>
      <c r="EH26" s="53" t="str">
        <f t="shared" si="68"/>
        <v xml:space="preserve">  </v>
      </c>
      <c r="EI26" s="53" t="str">
        <f t="shared" si="69"/>
        <v xml:space="preserve">  </v>
      </c>
      <c r="EJ26" s="53" t="str">
        <f t="shared" si="70"/>
        <v xml:space="preserve">  </v>
      </c>
      <c r="EK26" s="53" t="str">
        <f t="shared" si="71"/>
        <v xml:space="preserve">  </v>
      </c>
      <c r="EL26" s="53" t="str">
        <f t="shared" si="72"/>
        <v xml:space="preserve">  </v>
      </c>
      <c r="EM26" s="53" t="str">
        <f t="shared" si="73"/>
        <v xml:space="preserve">  </v>
      </c>
      <c r="EN26" s="53" t="str">
        <f t="shared" si="74"/>
        <v xml:space="preserve">  </v>
      </c>
      <c r="EO26" s="53" t="str">
        <f t="shared" si="75"/>
        <v xml:space="preserve">  </v>
      </c>
      <c r="EP26" s="53"/>
      <c r="EQ26" s="52" t="str">
        <f t="shared" si="76"/>
        <v xml:space="preserve"> </v>
      </c>
      <c r="ER26" s="55">
        <f t="shared" si="77"/>
        <v>0</v>
      </c>
      <c r="ES26" s="55">
        <f t="shared" si="78"/>
        <v>0</v>
      </c>
      <c r="ET26" s="51">
        <f>SISWA!E24</f>
        <v>0</v>
      </c>
      <c r="EU26" s="51" t="str">
        <f t="shared" si="79"/>
        <v/>
      </c>
      <c r="EV26" s="56" t="str">
        <f t="shared" si="80"/>
        <v/>
      </c>
      <c r="EW26" s="57" t="str">
        <f t="shared" si="81"/>
        <v/>
      </c>
      <c r="EX26" s="57" t="str">
        <f t="shared" si="82"/>
        <v/>
      </c>
      <c r="EY26" s="57" t="str">
        <f t="shared" si="83"/>
        <v/>
      </c>
      <c r="EZ26" s="57" t="str">
        <f t="shared" si="84"/>
        <v/>
      </c>
      <c r="FA26" s="57" t="str">
        <f t="shared" si="85"/>
        <v/>
      </c>
      <c r="FB26" s="57" t="str">
        <f t="shared" si="86"/>
        <v/>
      </c>
      <c r="FC26" s="57" t="str">
        <f t="shared" si="87"/>
        <v/>
      </c>
      <c r="FD26" s="57" t="str">
        <f t="shared" si="88"/>
        <v/>
      </c>
      <c r="FE26" s="57"/>
      <c r="FF26" s="58">
        <f t="shared" si="89"/>
        <v>0</v>
      </c>
      <c r="FG26" s="55" t="e">
        <f t="shared" si="90"/>
        <v>#N/A</v>
      </c>
      <c r="FH26" s="58"/>
      <c r="FI26" s="59" t="e">
        <f>IF(ER26&gt;100,"",IF(ER26&gt;DQ$1,"sangat baik dalam "&amp;FG26,IF(ER26&gt;=DQ$2,"baik dalam "&amp;FG26,IF(ER26&gt;=DQ$3,"cukup dalam "&amp;FG26,IF(ER26&lt;DQ$3,"dengan bimbingan dapat meningkatkan dalam "&amp;FG26,IF(ER26&lt;1," ",””))))))</f>
        <v>#N/A</v>
      </c>
      <c r="FJ26" s="58"/>
      <c r="FK26" s="57" t="str">
        <f t="shared" si="91"/>
        <v/>
      </c>
      <c r="FL26" s="57" t="str">
        <f t="shared" si="92"/>
        <v/>
      </c>
      <c r="FM26" s="57" t="str">
        <f t="shared" si="93"/>
        <v/>
      </c>
      <c r="FN26" s="57" t="str">
        <f t="shared" si="94"/>
        <v/>
      </c>
      <c r="FO26" s="57" t="str">
        <f t="shared" si="95"/>
        <v/>
      </c>
      <c r="FP26" s="57" t="str">
        <f t="shared" si="96"/>
        <v/>
      </c>
      <c r="FQ26" s="57" t="str">
        <f t="shared" si="97"/>
        <v/>
      </c>
      <c r="FR26" s="57" t="str">
        <f t="shared" si="98"/>
        <v/>
      </c>
      <c r="FS26" s="57" t="str">
        <f t="shared" si="99"/>
        <v/>
      </c>
      <c r="FT26" s="57"/>
      <c r="FU26" s="59" t="e">
        <f t="shared" si="100"/>
        <v>#N/A</v>
      </c>
      <c r="FV26" s="59" t="e">
        <f>IF(ES26&gt;100,"",IF(ES26&gt;DQ$1,"sangat baik dalam "&amp;FU26,IF(ES26&gt;=DQ$2,"baik dalam "&amp;FU26,IF(ES26&gt;=DQ$3,"cukup dalam "&amp;FU26,IF(ES26&lt;DQ$3,"dengan bimbingan dapat meningkatkan dalam "&amp;FU26,IF(ES26&lt;1," ",””))))))</f>
        <v>#N/A</v>
      </c>
      <c r="FW26" s="61"/>
      <c r="FX26" s="62" t="e">
        <f t="shared" si="101"/>
        <v>#N/A</v>
      </c>
      <c r="FY26" s="57" t="str">
        <f t="shared" si="102"/>
        <v/>
      </c>
      <c r="FZ26" s="57" t="str">
        <f t="shared" si="43"/>
        <v/>
      </c>
      <c r="GA26" s="57" t="str">
        <f t="shared" si="44"/>
        <v/>
      </c>
      <c r="GB26" s="57"/>
      <c r="GC26" s="57"/>
      <c r="GD26" s="57"/>
      <c r="GE26" s="59" t="str">
        <f t="shared" si="45"/>
        <v>perlu bimbingan dalam mengklasifikasi informasi yang didapat dari buku ke dalam aspek: apa, di mana, kapan, siapa, mengapa, dan bagaimana</v>
      </c>
      <c r="GF26" s="60"/>
      <c r="GG26" s="61"/>
      <c r="GH26" s="62" t="str">
        <f t="shared" si="103"/>
        <v>, perlu bimbingan dalam mengklasifikasi informasi yang didapat dari buku ke dalam aspek: apa, di mana, kapan, siapa, mengapa, dan bagaimana</v>
      </c>
      <c r="GI26" s="4" t="str">
        <f t="shared" si="104"/>
        <v xml:space="preserve">  FALSEFALSEFALSE      </v>
      </c>
    </row>
    <row r="27" spans="1:191" ht="42" customHeight="1">
      <c r="A27" s="39">
        <v>20</v>
      </c>
      <c r="B27" s="283">
        <f>SISWA!B25</f>
        <v>0</v>
      </c>
      <c r="C27" s="123"/>
      <c r="D27" s="123"/>
      <c r="E27" s="123"/>
      <c r="F27" s="123"/>
      <c r="G27" s="123"/>
      <c r="H27" s="123"/>
      <c r="I27" s="123"/>
      <c r="J27" s="123"/>
      <c r="K27" s="123"/>
      <c r="L27" s="256"/>
      <c r="M27" s="256"/>
      <c r="N27" s="256"/>
      <c r="O27" s="256"/>
      <c r="P27" s="256"/>
      <c r="Q27" s="256"/>
      <c r="R27" s="256"/>
      <c r="S27" s="256"/>
      <c r="T27" s="256"/>
      <c r="U27" s="123"/>
      <c r="V27" s="123"/>
      <c r="W27" s="123"/>
      <c r="X27" s="123"/>
      <c r="Y27" s="123"/>
      <c r="Z27" s="123"/>
      <c r="AA27" s="123"/>
      <c r="AB27" s="123"/>
      <c r="AC27" s="123"/>
      <c r="AD27" s="256"/>
      <c r="AE27" s="256"/>
      <c r="AF27" s="256"/>
      <c r="AG27" s="256"/>
      <c r="AH27" s="256"/>
      <c r="AI27" s="256"/>
      <c r="AJ27" s="256"/>
      <c r="AK27" s="256"/>
      <c r="AL27" s="256"/>
      <c r="AM27" s="123"/>
      <c r="AN27" s="123"/>
      <c r="AO27" s="123"/>
      <c r="AP27" s="123"/>
      <c r="AQ27" s="123"/>
      <c r="AR27" s="123"/>
      <c r="AS27" s="123"/>
      <c r="AT27" s="123"/>
      <c r="AU27" s="123"/>
      <c r="AV27" s="256"/>
      <c r="AW27" s="256"/>
      <c r="AX27" s="256"/>
      <c r="AY27" s="256"/>
      <c r="AZ27" s="256"/>
      <c r="BA27" s="256"/>
      <c r="BB27" s="256"/>
      <c r="BC27" s="256"/>
      <c r="BD27" s="256"/>
      <c r="BE27" s="123"/>
      <c r="BF27" s="123"/>
      <c r="BG27" s="123"/>
      <c r="BH27" s="123"/>
      <c r="BI27" s="123"/>
      <c r="BJ27" s="123"/>
      <c r="BK27" s="123"/>
      <c r="BL27" s="123"/>
      <c r="BM27" s="123"/>
      <c r="BN27" s="256"/>
      <c r="BO27" s="256"/>
      <c r="BP27" s="256"/>
      <c r="BQ27" s="256"/>
      <c r="BR27" s="256"/>
      <c r="BS27" s="256"/>
      <c r="BT27" s="256"/>
      <c r="BU27" s="256"/>
      <c r="BV27" s="256"/>
      <c r="BW27" s="460"/>
      <c r="BX27" s="460"/>
      <c r="BY27" s="460"/>
      <c r="BZ27" s="460"/>
      <c r="CA27" s="460"/>
      <c r="CB27" s="460"/>
      <c r="CC27" s="460"/>
      <c r="CD27" s="460"/>
      <c r="CE27" s="460"/>
      <c r="CF27" s="346"/>
      <c r="CG27" s="346"/>
      <c r="CH27" s="346"/>
      <c r="CI27" s="346"/>
      <c r="CJ27" s="346"/>
      <c r="CK27" s="346"/>
      <c r="CL27" s="346"/>
      <c r="CM27" s="346"/>
      <c r="CN27" s="346"/>
      <c r="CO27" s="260" t="str">
        <f t="shared" si="46"/>
        <v xml:space="preserve"> </v>
      </c>
      <c r="CP27" s="260" t="str">
        <f t="shared" si="47"/>
        <v xml:space="preserve"> </v>
      </c>
      <c r="CQ27" s="260" t="str">
        <f t="shared" si="48"/>
        <v xml:space="preserve"> </v>
      </c>
      <c r="CR27" s="260" t="str">
        <f t="shared" si="49"/>
        <v xml:space="preserve"> </v>
      </c>
      <c r="CS27" s="260" t="str">
        <f t="shared" si="50"/>
        <v xml:space="preserve"> </v>
      </c>
      <c r="CT27" s="260" t="str">
        <f t="shared" si="51"/>
        <v xml:space="preserve"> </v>
      </c>
      <c r="CU27" s="260" t="str">
        <f t="shared" si="52"/>
        <v xml:space="preserve"> </v>
      </c>
      <c r="CV27" s="260" t="str">
        <f t="shared" si="53"/>
        <v xml:space="preserve"> </v>
      </c>
      <c r="CW27" s="260" t="str">
        <f t="shared" si="54"/>
        <v xml:space="preserve"> </v>
      </c>
      <c r="CX27" s="547"/>
      <c r="CY27" s="547"/>
      <c r="CZ27" s="547"/>
      <c r="DA27" s="547"/>
      <c r="DB27" s="547"/>
      <c r="DC27" s="547"/>
      <c r="DD27" s="547"/>
      <c r="DE27" s="547"/>
      <c r="DF27" s="547"/>
      <c r="DG27" s="548"/>
      <c r="DH27" s="548"/>
      <c r="DI27" s="548"/>
      <c r="DJ27" s="548"/>
      <c r="DK27" s="548"/>
      <c r="DL27" s="548"/>
      <c r="DM27" s="548"/>
      <c r="DN27" s="548"/>
      <c r="DO27" s="548"/>
      <c r="DP27" s="550" t="str">
        <f t="shared" si="55"/>
        <v xml:space="preserve"> </v>
      </c>
      <c r="DQ27" s="291" t="str">
        <f t="shared" si="56"/>
        <v xml:space="preserve">  </v>
      </c>
      <c r="DR27" s="553" t="str">
        <f t="shared" si="57"/>
        <v xml:space="preserve"> </v>
      </c>
      <c r="DS27" s="282"/>
      <c r="DT27" s="51"/>
      <c r="DU27" s="46" t="str">
        <f t="shared" si="58"/>
        <v xml:space="preserve"> </v>
      </c>
      <c r="DV27" s="46" t="str">
        <f t="shared" si="59"/>
        <v xml:space="preserve"> </v>
      </c>
      <c r="DW27" s="46" t="str">
        <f t="shared" si="60"/>
        <v xml:space="preserve"> </v>
      </c>
      <c r="DX27" s="46" t="str">
        <f t="shared" si="61"/>
        <v xml:space="preserve"> </v>
      </c>
      <c r="DY27" s="46" t="str">
        <f t="shared" si="62"/>
        <v xml:space="preserve"> </v>
      </c>
      <c r="DZ27" s="46" t="str">
        <f t="shared" si="63"/>
        <v xml:space="preserve"> </v>
      </c>
      <c r="EA27" s="46" t="str">
        <f t="shared" si="64"/>
        <v xml:space="preserve"> </v>
      </c>
      <c r="EB27" s="46" t="str">
        <f t="shared" si="65"/>
        <v xml:space="preserve"> </v>
      </c>
      <c r="EC27" s="46" t="str">
        <f t="shared" si="66"/>
        <v xml:space="preserve"> </v>
      </c>
      <c r="ED27" s="46"/>
      <c r="EE27" s="52">
        <f>[2]uts!J26</f>
        <v>72</v>
      </c>
      <c r="EF27" s="51"/>
      <c r="EG27" s="53" t="str">
        <f t="shared" si="67"/>
        <v xml:space="preserve">  </v>
      </c>
      <c r="EH27" s="53" t="str">
        <f t="shared" si="68"/>
        <v xml:space="preserve">  </v>
      </c>
      <c r="EI27" s="53" t="str">
        <f t="shared" si="69"/>
        <v xml:space="preserve">  </v>
      </c>
      <c r="EJ27" s="53" t="str">
        <f t="shared" si="70"/>
        <v xml:space="preserve">  </v>
      </c>
      <c r="EK27" s="53" t="str">
        <f t="shared" si="71"/>
        <v xml:space="preserve">  </v>
      </c>
      <c r="EL27" s="53" t="str">
        <f t="shared" si="72"/>
        <v xml:space="preserve">  </v>
      </c>
      <c r="EM27" s="53" t="str">
        <f t="shared" si="73"/>
        <v xml:space="preserve">  </v>
      </c>
      <c r="EN27" s="53" t="str">
        <f t="shared" si="74"/>
        <v xml:space="preserve">  </v>
      </c>
      <c r="EO27" s="53" t="str">
        <f t="shared" si="75"/>
        <v xml:space="preserve">  </v>
      </c>
      <c r="EP27" s="53"/>
      <c r="EQ27" s="52" t="str">
        <f t="shared" si="76"/>
        <v xml:space="preserve"> </v>
      </c>
      <c r="ER27" s="55">
        <f t="shared" si="77"/>
        <v>0</v>
      </c>
      <c r="ES27" s="55">
        <f t="shared" si="78"/>
        <v>0</v>
      </c>
      <c r="ET27" s="51">
        <f>SISWA!E25</f>
        <v>0</v>
      </c>
      <c r="EU27" s="51" t="str">
        <f t="shared" si="79"/>
        <v/>
      </c>
      <c r="EV27" s="56" t="str">
        <f t="shared" si="80"/>
        <v/>
      </c>
      <c r="EW27" s="57" t="str">
        <f t="shared" si="81"/>
        <v/>
      </c>
      <c r="EX27" s="57" t="str">
        <f t="shared" si="82"/>
        <v/>
      </c>
      <c r="EY27" s="57" t="str">
        <f t="shared" si="83"/>
        <v/>
      </c>
      <c r="EZ27" s="57" t="str">
        <f t="shared" si="84"/>
        <v/>
      </c>
      <c r="FA27" s="57" t="str">
        <f t="shared" si="85"/>
        <v/>
      </c>
      <c r="FB27" s="57" t="str">
        <f t="shared" si="86"/>
        <v/>
      </c>
      <c r="FC27" s="57" t="str">
        <f t="shared" si="87"/>
        <v/>
      </c>
      <c r="FD27" s="57" t="str">
        <f t="shared" si="88"/>
        <v/>
      </c>
      <c r="FE27" s="57"/>
      <c r="FF27" s="58">
        <f t="shared" si="89"/>
        <v>0</v>
      </c>
      <c r="FG27" s="55" t="e">
        <f t="shared" si="90"/>
        <v>#N/A</v>
      </c>
      <c r="FH27" s="58"/>
      <c r="FI27" s="59" t="e">
        <f>IF(ER27&gt;100,"",IF(ER27&gt;DQ$1,"sangat baik dalam "&amp;FG27,IF(ER27&gt;=DQ$2,"baik dalam "&amp;FG27,IF(ER27&gt;=DQ$3,"cukup dalam "&amp;FG27,IF(ER27&lt;DQ$3,"dengan bimbingan dapat meningkatkan dalam "&amp;FG27,IF(ER27&lt;1," ",””))))))</f>
        <v>#N/A</v>
      </c>
      <c r="FJ27" s="58"/>
      <c r="FK27" s="57" t="str">
        <f t="shared" si="91"/>
        <v/>
      </c>
      <c r="FL27" s="57" t="str">
        <f t="shared" si="92"/>
        <v/>
      </c>
      <c r="FM27" s="57" t="str">
        <f t="shared" si="93"/>
        <v/>
      </c>
      <c r="FN27" s="57" t="str">
        <f t="shared" si="94"/>
        <v/>
      </c>
      <c r="FO27" s="57" t="str">
        <f t="shared" si="95"/>
        <v/>
      </c>
      <c r="FP27" s="57" t="str">
        <f t="shared" si="96"/>
        <v/>
      </c>
      <c r="FQ27" s="57" t="str">
        <f t="shared" si="97"/>
        <v/>
      </c>
      <c r="FR27" s="57" t="str">
        <f t="shared" si="98"/>
        <v/>
      </c>
      <c r="FS27" s="57" t="str">
        <f t="shared" si="99"/>
        <v/>
      </c>
      <c r="FT27" s="57"/>
      <c r="FU27" s="59" t="e">
        <f t="shared" si="100"/>
        <v>#N/A</v>
      </c>
      <c r="FV27" s="59" t="e">
        <f>IF(ES27&gt;100,"",IF(ES27&gt;DQ$1,"sangat baik dalam "&amp;FU27,IF(ES27&gt;=DQ$2,"baik dalam "&amp;FU27,IF(ES27&gt;=DQ$3,"cukup dalam "&amp;FU27,IF(ES27&lt;DQ$3,"dengan bimbingan dapat meningkatkan dalam "&amp;FU27,IF(ES27&lt;1," ",””))))))</f>
        <v>#N/A</v>
      </c>
      <c r="FW27" s="61"/>
      <c r="FX27" s="62" t="e">
        <f t="shared" si="101"/>
        <v>#N/A</v>
      </c>
      <c r="FY27" s="57" t="str">
        <f t="shared" si="102"/>
        <v/>
      </c>
      <c r="FZ27" s="57" t="str">
        <f t="shared" si="43"/>
        <v/>
      </c>
      <c r="GA27" s="57" t="str">
        <f t="shared" si="44"/>
        <v/>
      </c>
      <c r="GB27" s="57"/>
      <c r="GC27" s="57"/>
      <c r="GD27" s="57"/>
      <c r="GE27" s="59" t="str">
        <f t="shared" si="45"/>
        <v>perlu bimbingan dalam mengklasifikasi informasi yang didapat dari buku ke dalam aspek: apa, di mana, kapan, siapa, mengapa, dan bagaimana</v>
      </c>
      <c r="GF27" s="60"/>
      <c r="GG27" s="61"/>
      <c r="GH27" s="62" t="str">
        <f t="shared" si="103"/>
        <v>, perlu bimbingan dalam mengklasifikasi informasi yang didapat dari buku ke dalam aspek: apa, di mana, kapan, siapa, mengapa, dan bagaimana</v>
      </c>
      <c r="GI27" s="4" t="str">
        <f t="shared" si="104"/>
        <v xml:space="preserve">  FALSEFALSEFALSE      </v>
      </c>
    </row>
    <row r="28" spans="1:191" ht="42" customHeight="1">
      <c r="A28" s="39">
        <v>21</v>
      </c>
      <c r="B28" s="283">
        <f>SISWA!B26</f>
        <v>0</v>
      </c>
      <c r="C28" s="123"/>
      <c r="D28" s="123"/>
      <c r="E28" s="123"/>
      <c r="F28" s="123"/>
      <c r="G28" s="123"/>
      <c r="H28" s="123"/>
      <c r="I28" s="123"/>
      <c r="J28" s="123"/>
      <c r="K28" s="123"/>
      <c r="L28" s="256"/>
      <c r="M28" s="256"/>
      <c r="N28" s="256"/>
      <c r="O28" s="256"/>
      <c r="P28" s="256"/>
      <c r="Q28" s="256"/>
      <c r="R28" s="256"/>
      <c r="S28" s="256"/>
      <c r="T28" s="256"/>
      <c r="U28" s="123"/>
      <c r="V28" s="123"/>
      <c r="W28" s="123"/>
      <c r="X28" s="123"/>
      <c r="Y28" s="123"/>
      <c r="Z28" s="123"/>
      <c r="AA28" s="123"/>
      <c r="AB28" s="123"/>
      <c r="AC28" s="123"/>
      <c r="AD28" s="256"/>
      <c r="AE28" s="256"/>
      <c r="AF28" s="256"/>
      <c r="AG28" s="256"/>
      <c r="AH28" s="256"/>
      <c r="AI28" s="256"/>
      <c r="AJ28" s="256"/>
      <c r="AK28" s="256"/>
      <c r="AL28" s="256"/>
      <c r="AM28" s="123"/>
      <c r="AN28" s="123"/>
      <c r="AO28" s="123"/>
      <c r="AP28" s="123"/>
      <c r="AQ28" s="123"/>
      <c r="AR28" s="123"/>
      <c r="AS28" s="123"/>
      <c r="AT28" s="123"/>
      <c r="AU28" s="123"/>
      <c r="AV28" s="256"/>
      <c r="AW28" s="256"/>
      <c r="AX28" s="256"/>
      <c r="AY28" s="256"/>
      <c r="AZ28" s="256"/>
      <c r="BA28" s="256"/>
      <c r="BB28" s="256"/>
      <c r="BC28" s="256"/>
      <c r="BD28" s="256"/>
      <c r="BE28" s="123"/>
      <c r="BF28" s="123"/>
      <c r="BG28" s="123"/>
      <c r="BH28" s="123"/>
      <c r="BI28" s="123"/>
      <c r="BJ28" s="123"/>
      <c r="BK28" s="123"/>
      <c r="BL28" s="123"/>
      <c r="BM28" s="123"/>
      <c r="BN28" s="256"/>
      <c r="BO28" s="256"/>
      <c r="BP28" s="256"/>
      <c r="BQ28" s="256"/>
      <c r="BR28" s="256"/>
      <c r="BS28" s="256"/>
      <c r="BT28" s="256"/>
      <c r="BU28" s="256"/>
      <c r="BV28" s="256"/>
      <c r="BW28" s="460"/>
      <c r="BX28" s="460"/>
      <c r="BY28" s="460"/>
      <c r="BZ28" s="460"/>
      <c r="CA28" s="460"/>
      <c r="CB28" s="460"/>
      <c r="CC28" s="460"/>
      <c r="CD28" s="460"/>
      <c r="CE28" s="460"/>
      <c r="CF28" s="346"/>
      <c r="CG28" s="346"/>
      <c r="CH28" s="346"/>
      <c r="CI28" s="346"/>
      <c r="CJ28" s="346"/>
      <c r="CK28" s="346"/>
      <c r="CL28" s="346"/>
      <c r="CM28" s="346"/>
      <c r="CN28" s="346"/>
      <c r="CO28" s="260" t="str">
        <f t="shared" si="46"/>
        <v xml:space="preserve"> </v>
      </c>
      <c r="CP28" s="260" t="str">
        <f t="shared" si="47"/>
        <v xml:space="preserve"> </v>
      </c>
      <c r="CQ28" s="260" t="str">
        <f t="shared" si="48"/>
        <v xml:space="preserve"> </v>
      </c>
      <c r="CR28" s="260" t="str">
        <f t="shared" si="49"/>
        <v xml:space="preserve"> </v>
      </c>
      <c r="CS28" s="260" t="str">
        <f t="shared" si="50"/>
        <v xml:space="preserve"> </v>
      </c>
      <c r="CT28" s="260" t="str">
        <f t="shared" si="51"/>
        <v xml:space="preserve"> </v>
      </c>
      <c r="CU28" s="260" t="str">
        <f t="shared" si="52"/>
        <v xml:space="preserve"> </v>
      </c>
      <c r="CV28" s="260" t="str">
        <f t="shared" si="53"/>
        <v xml:space="preserve"> </v>
      </c>
      <c r="CW28" s="260" t="str">
        <f t="shared" si="54"/>
        <v xml:space="preserve"> </v>
      </c>
      <c r="CX28" s="547"/>
      <c r="CY28" s="547"/>
      <c r="CZ28" s="547"/>
      <c r="DA28" s="547"/>
      <c r="DB28" s="547"/>
      <c r="DC28" s="547"/>
      <c r="DD28" s="547"/>
      <c r="DE28" s="547"/>
      <c r="DF28" s="547"/>
      <c r="DG28" s="548"/>
      <c r="DH28" s="548"/>
      <c r="DI28" s="548"/>
      <c r="DJ28" s="548"/>
      <c r="DK28" s="548"/>
      <c r="DL28" s="548"/>
      <c r="DM28" s="548"/>
      <c r="DN28" s="548"/>
      <c r="DO28" s="548"/>
      <c r="DP28" s="550" t="str">
        <f t="shared" si="55"/>
        <v xml:space="preserve"> </v>
      </c>
      <c r="DQ28" s="291" t="str">
        <f t="shared" si="56"/>
        <v xml:space="preserve">  </v>
      </c>
      <c r="DR28" s="553" t="str">
        <f t="shared" si="57"/>
        <v xml:space="preserve"> </v>
      </c>
      <c r="DS28" s="282"/>
      <c r="DT28" s="51"/>
      <c r="DU28" s="46" t="str">
        <f t="shared" si="58"/>
        <v xml:space="preserve"> </v>
      </c>
      <c r="DV28" s="46" t="str">
        <f t="shared" si="59"/>
        <v xml:space="preserve"> </v>
      </c>
      <c r="DW28" s="46" t="str">
        <f t="shared" si="60"/>
        <v xml:space="preserve"> </v>
      </c>
      <c r="DX28" s="46" t="str">
        <f t="shared" si="61"/>
        <v xml:space="preserve"> </v>
      </c>
      <c r="DY28" s="46" t="str">
        <f t="shared" si="62"/>
        <v xml:space="preserve"> </v>
      </c>
      <c r="DZ28" s="46" t="str">
        <f t="shared" si="63"/>
        <v xml:space="preserve"> </v>
      </c>
      <c r="EA28" s="46" t="str">
        <f t="shared" si="64"/>
        <v xml:space="preserve"> </v>
      </c>
      <c r="EB28" s="46" t="str">
        <f t="shared" si="65"/>
        <v xml:space="preserve"> </v>
      </c>
      <c r="EC28" s="46" t="str">
        <f t="shared" si="66"/>
        <v xml:space="preserve"> </v>
      </c>
      <c r="ED28" s="46"/>
      <c r="EE28" s="52">
        <f>[2]uts!J27</f>
        <v>81</v>
      </c>
      <c r="EF28" s="51"/>
      <c r="EG28" s="53" t="str">
        <f t="shared" si="67"/>
        <v xml:space="preserve">  </v>
      </c>
      <c r="EH28" s="53" t="str">
        <f t="shared" si="68"/>
        <v xml:space="preserve">  </v>
      </c>
      <c r="EI28" s="53" t="str">
        <f t="shared" si="69"/>
        <v xml:space="preserve">  </v>
      </c>
      <c r="EJ28" s="53" t="str">
        <f t="shared" si="70"/>
        <v xml:space="preserve">  </v>
      </c>
      <c r="EK28" s="53" t="str">
        <f t="shared" si="71"/>
        <v xml:space="preserve">  </v>
      </c>
      <c r="EL28" s="53" t="str">
        <f t="shared" si="72"/>
        <v xml:space="preserve">  </v>
      </c>
      <c r="EM28" s="53" t="str">
        <f t="shared" si="73"/>
        <v xml:space="preserve">  </v>
      </c>
      <c r="EN28" s="53" t="str">
        <f t="shared" si="74"/>
        <v xml:space="preserve">  </v>
      </c>
      <c r="EO28" s="53" t="str">
        <f t="shared" si="75"/>
        <v xml:space="preserve">  </v>
      </c>
      <c r="EP28" s="53"/>
      <c r="EQ28" s="52" t="str">
        <f t="shared" si="76"/>
        <v xml:space="preserve"> </v>
      </c>
      <c r="ER28" s="55">
        <f t="shared" si="77"/>
        <v>0</v>
      </c>
      <c r="ES28" s="55">
        <f t="shared" si="78"/>
        <v>0</v>
      </c>
      <c r="ET28" s="51">
        <f>SISWA!E26</f>
        <v>0</v>
      </c>
      <c r="EU28" s="51" t="str">
        <f t="shared" si="79"/>
        <v/>
      </c>
      <c r="EV28" s="56" t="str">
        <f t="shared" si="80"/>
        <v/>
      </c>
      <c r="EW28" s="57" t="str">
        <f t="shared" si="81"/>
        <v/>
      </c>
      <c r="EX28" s="57" t="str">
        <f t="shared" si="82"/>
        <v/>
      </c>
      <c r="EY28" s="57" t="str">
        <f t="shared" si="83"/>
        <v/>
      </c>
      <c r="EZ28" s="57" t="str">
        <f t="shared" si="84"/>
        <v/>
      </c>
      <c r="FA28" s="57" t="str">
        <f t="shared" si="85"/>
        <v/>
      </c>
      <c r="FB28" s="57" t="str">
        <f t="shared" si="86"/>
        <v/>
      </c>
      <c r="FC28" s="57" t="str">
        <f t="shared" si="87"/>
        <v/>
      </c>
      <c r="FD28" s="57" t="str">
        <f t="shared" si="88"/>
        <v/>
      </c>
      <c r="FE28" s="57"/>
      <c r="FF28" s="58">
        <f t="shared" si="89"/>
        <v>0</v>
      </c>
      <c r="FG28" s="55" t="e">
        <f t="shared" si="90"/>
        <v>#N/A</v>
      </c>
      <c r="FH28" s="58"/>
      <c r="FI28" s="59" t="e">
        <f>IF(ER28&gt;100,"",IF(ER28&gt;DQ$1,"sangat baik dalam "&amp;FG28,IF(ER28&gt;=DQ$2,"baik dalam "&amp;FG28,IF(ER28&gt;=DQ$3,"cukup dalam "&amp;FG28,IF(ER28&lt;DQ$3,"dengan bimbingan dapat meningkatkan dalam "&amp;FG28,IF(ER28&lt;1," ",””))))))</f>
        <v>#N/A</v>
      </c>
      <c r="FJ28" s="58"/>
      <c r="FK28" s="57" t="str">
        <f t="shared" si="91"/>
        <v/>
      </c>
      <c r="FL28" s="57" t="str">
        <f t="shared" si="92"/>
        <v/>
      </c>
      <c r="FM28" s="57" t="str">
        <f t="shared" si="93"/>
        <v/>
      </c>
      <c r="FN28" s="57" t="str">
        <f t="shared" si="94"/>
        <v/>
      </c>
      <c r="FO28" s="57" t="str">
        <f t="shared" si="95"/>
        <v/>
      </c>
      <c r="FP28" s="57" t="str">
        <f t="shared" si="96"/>
        <v/>
      </c>
      <c r="FQ28" s="57" t="str">
        <f t="shared" si="97"/>
        <v/>
      </c>
      <c r="FR28" s="57" t="str">
        <f t="shared" si="98"/>
        <v/>
      </c>
      <c r="FS28" s="57" t="str">
        <f t="shared" si="99"/>
        <v/>
      </c>
      <c r="FT28" s="57"/>
      <c r="FU28" s="59" t="e">
        <f t="shared" si="100"/>
        <v>#N/A</v>
      </c>
      <c r="FV28" s="59" t="e">
        <f>IF(ES28&gt;100,"",IF(ES28&gt;DQ$1,"sangat baik dalam "&amp;FU28,IF(ES28&gt;=DQ$2,"baik dalam "&amp;FU28,IF(ES28&gt;=DQ$3,"cukup dalam "&amp;FU28,IF(ES28&lt;DQ$3,"dengan bimbingan dapat meningkatkan dalam "&amp;FU28,IF(ES28&lt;1," ",””))))))</f>
        <v>#N/A</v>
      </c>
      <c r="FW28" s="61"/>
      <c r="FX28" s="62" t="e">
        <f t="shared" si="101"/>
        <v>#N/A</v>
      </c>
      <c r="FY28" s="57" t="str">
        <f t="shared" si="102"/>
        <v/>
      </c>
      <c r="FZ28" s="57" t="str">
        <f t="shared" si="43"/>
        <v/>
      </c>
      <c r="GA28" s="57" t="str">
        <f t="shared" si="44"/>
        <v/>
      </c>
      <c r="GB28" s="57"/>
      <c r="GC28" s="57"/>
      <c r="GD28" s="57"/>
      <c r="GE28" s="59" t="str">
        <f t="shared" si="45"/>
        <v>perlu bimbingan dalam mengklasifikasi informasi yang didapat dari buku ke dalam aspek: apa, di mana, kapan, siapa, mengapa, dan bagaimana</v>
      </c>
      <c r="GF28" s="60"/>
      <c r="GG28" s="61"/>
      <c r="GH28" s="62" t="str">
        <f t="shared" si="103"/>
        <v>, perlu bimbingan dalam mengklasifikasi informasi yang didapat dari buku ke dalam aspek: apa, di mana, kapan, siapa, mengapa, dan bagaimana</v>
      </c>
    </row>
    <row r="29" spans="1:191" ht="42" customHeight="1">
      <c r="A29" s="39">
        <v>22</v>
      </c>
      <c r="B29" s="283">
        <f>SISWA!B27</f>
        <v>0</v>
      </c>
      <c r="C29" s="123"/>
      <c r="D29" s="123"/>
      <c r="E29" s="123"/>
      <c r="F29" s="123"/>
      <c r="G29" s="123"/>
      <c r="H29" s="123"/>
      <c r="I29" s="123"/>
      <c r="J29" s="123"/>
      <c r="K29" s="123"/>
      <c r="L29" s="256"/>
      <c r="M29" s="256"/>
      <c r="N29" s="256"/>
      <c r="O29" s="256"/>
      <c r="P29" s="256"/>
      <c r="Q29" s="256"/>
      <c r="R29" s="256"/>
      <c r="S29" s="256"/>
      <c r="T29" s="256"/>
      <c r="U29" s="123"/>
      <c r="V29" s="123"/>
      <c r="W29" s="123"/>
      <c r="X29" s="123"/>
      <c r="Y29" s="123"/>
      <c r="Z29" s="123"/>
      <c r="AA29" s="123"/>
      <c r="AB29" s="123"/>
      <c r="AC29" s="123"/>
      <c r="AD29" s="256"/>
      <c r="AE29" s="256"/>
      <c r="AF29" s="256"/>
      <c r="AG29" s="256"/>
      <c r="AH29" s="256"/>
      <c r="AI29" s="256"/>
      <c r="AJ29" s="256"/>
      <c r="AK29" s="256"/>
      <c r="AL29" s="256"/>
      <c r="AM29" s="123"/>
      <c r="AN29" s="123"/>
      <c r="AO29" s="123"/>
      <c r="AP29" s="123"/>
      <c r="AQ29" s="123"/>
      <c r="AR29" s="123"/>
      <c r="AS29" s="123"/>
      <c r="AT29" s="123"/>
      <c r="AU29" s="123"/>
      <c r="AV29" s="256"/>
      <c r="AW29" s="256"/>
      <c r="AX29" s="256"/>
      <c r="AY29" s="256"/>
      <c r="AZ29" s="256"/>
      <c r="BA29" s="256"/>
      <c r="BB29" s="256"/>
      <c r="BC29" s="256"/>
      <c r="BD29" s="256"/>
      <c r="BE29" s="123"/>
      <c r="BF29" s="123"/>
      <c r="BG29" s="123"/>
      <c r="BH29" s="123"/>
      <c r="BI29" s="123"/>
      <c r="BJ29" s="123"/>
      <c r="BK29" s="123"/>
      <c r="BL29" s="123"/>
      <c r="BM29" s="123"/>
      <c r="BN29" s="256"/>
      <c r="BO29" s="256"/>
      <c r="BP29" s="256"/>
      <c r="BQ29" s="256"/>
      <c r="BR29" s="256"/>
      <c r="BS29" s="256"/>
      <c r="BT29" s="256"/>
      <c r="BU29" s="256"/>
      <c r="BV29" s="256"/>
      <c r="BW29" s="460"/>
      <c r="BX29" s="460"/>
      <c r="BY29" s="460"/>
      <c r="BZ29" s="460"/>
      <c r="CA29" s="460"/>
      <c r="CB29" s="460"/>
      <c r="CC29" s="460"/>
      <c r="CD29" s="460"/>
      <c r="CE29" s="460"/>
      <c r="CF29" s="346"/>
      <c r="CG29" s="346"/>
      <c r="CH29" s="346"/>
      <c r="CI29" s="346"/>
      <c r="CJ29" s="346"/>
      <c r="CK29" s="346"/>
      <c r="CL29" s="346"/>
      <c r="CM29" s="346"/>
      <c r="CN29" s="346"/>
      <c r="CO29" s="260" t="str">
        <f t="shared" si="46"/>
        <v xml:space="preserve"> </v>
      </c>
      <c r="CP29" s="260" t="str">
        <f t="shared" si="47"/>
        <v xml:space="preserve"> </v>
      </c>
      <c r="CQ29" s="260" t="str">
        <f t="shared" si="48"/>
        <v xml:space="preserve"> </v>
      </c>
      <c r="CR29" s="260" t="str">
        <f t="shared" si="49"/>
        <v xml:space="preserve"> </v>
      </c>
      <c r="CS29" s="260" t="str">
        <f t="shared" si="50"/>
        <v xml:space="preserve"> </v>
      </c>
      <c r="CT29" s="260" t="str">
        <f t="shared" si="51"/>
        <v xml:space="preserve"> </v>
      </c>
      <c r="CU29" s="260" t="str">
        <f t="shared" si="52"/>
        <v xml:space="preserve"> </v>
      </c>
      <c r="CV29" s="260" t="str">
        <f t="shared" si="53"/>
        <v xml:space="preserve"> </v>
      </c>
      <c r="CW29" s="260" t="str">
        <f t="shared" si="54"/>
        <v xml:space="preserve"> </v>
      </c>
      <c r="CX29" s="547"/>
      <c r="CY29" s="547"/>
      <c r="CZ29" s="547"/>
      <c r="DA29" s="547"/>
      <c r="DB29" s="547"/>
      <c r="DC29" s="547"/>
      <c r="DD29" s="547"/>
      <c r="DE29" s="547"/>
      <c r="DF29" s="547"/>
      <c r="DG29" s="548"/>
      <c r="DH29" s="548"/>
      <c r="DI29" s="548"/>
      <c r="DJ29" s="548"/>
      <c r="DK29" s="548"/>
      <c r="DL29" s="548"/>
      <c r="DM29" s="548"/>
      <c r="DN29" s="548"/>
      <c r="DO29" s="548"/>
      <c r="DP29" s="550" t="str">
        <f t="shared" si="55"/>
        <v xml:space="preserve"> </v>
      </c>
      <c r="DQ29" s="291" t="str">
        <f t="shared" si="56"/>
        <v xml:space="preserve">  </v>
      </c>
      <c r="DR29" s="553" t="str">
        <f t="shared" si="57"/>
        <v xml:space="preserve"> </v>
      </c>
      <c r="DS29" s="282"/>
      <c r="DT29" s="51"/>
      <c r="DU29" s="46" t="str">
        <f t="shared" si="58"/>
        <v xml:space="preserve"> </v>
      </c>
      <c r="DV29" s="46" t="str">
        <f t="shared" si="59"/>
        <v xml:space="preserve"> </v>
      </c>
      <c r="DW29" s="46" t="str">
        <f t="shared" si="60"/>
        <v xml:space="preserve"> </v>
      </c>
      <c r="DX29" s="46" t="str">
        <f t="shared" si="61"/>
        <v xml:space="preserve"> </v>
      </c>
      <c r="DY29" s="46" t="str">
        <f t="shared" si="62"/>
        <v xml:space="preserve"> </v>
      </c>
      <c r="DZ29" s="46" t="str">
        <f t="shared" si="63"/>
        <v xml:space="preserve"> </v>
      </c>
      <c r="EA29" s="46" t="str">
        <f t="shared" si="64"/>
        <v xml:space="preserve"> </v>
      </c>
      <c r="EB29" s="46" t="str">
        <f t="shared" si="65"/>
        <v xml:space="preserve"> </v>
      </c>
      <c r="EC29" s="46" t="str">
        <f t="shared" si="66"/>
        <v xml:space="preserve"> </v>
      </c>
      <c r="ED29" s="46"/>
      <c r="EE29" s="52">
        <f>[2]uts!J28</f>
        <v>77</v>
      </c>
      <c r="EF29" s="51"/>
      <c r="EG29" s="53" t="str">
        <f t="shared" si="67"/>
        <v xml:space="preserve">  </v>
      </c>
      <c r="EH29" s="53" t="str">
        <f t="shared" si="68"/>
        <v xml:space="preserve">  </v>
      </c>
      <c r="EI29" s="53" t="str">
        <f t="shared" si="69"/>
        <v xml:space="preserve">  </v>
      </c>
      <c r="EJ29" s="53" t="str">
        <f t="shared" si="70"/>
        <v xml:space="preserve">  </v>
      </c>
      <c r="EK29" s="53" t="str">
        <f t="shared" si="71"/>
        <v xml:space="preserve">  </v>
      </c>
      <c r="EL29" s="53" t="str">
        <f t="shared" si="72"/>
        <v xml:space="preserve">  </v>
      </c>
      <c r="EM29" s="53" t="str">
        <f t="shared" si="73"/>
        <v xml:space="preserve">  </v>
      </c>
      <c r="EN29" s="53" t="str">
        <f t="shared" si="74"/>
        <v xml:space="preserve">  </v>
      </c>
      <c r="EO29" s="53" t="str">
        <f t="shared" si="75"/>
        <v xml:space="preserve">  </v>
      </c>
      <c r="EP29" s="53"/>
      <c r="EQ29" s="52" t="str">
        <f t="shared" si="76"/>
        <v xml:space="preserve"> </v>
      </c>
      <c r="ER29" s="55">
        <f t="shared" si="77"/>
        <v>0</v>
      </c>
      <c r="ES29" s="55">
        <f t="shared" si="78"/>
        <v>0</v>
      </c>
      <c r="ET29" s="51">
        <f>SISWA!E27</f>
        <v>0</v>
      </c>
      <c r="EU29" s="51" t="str">
        <f t="shared" si="79"/>
        <v/>
      </c>
      <c r="EV29" s="56" t="str">
        <f t="shared" si="80"/>
        <v/>
      </c>
      <c r="EW29" s="57" t="str">
        <f t="shared" si="81"/>
        <v/>
      </c>
      <c r="EX29" s="57" t="str">
        <f t="shared" si="82"/>
        <v/>
      </c>
      <c r="EY29" s="57" t="str">
        <f t="shared" si="83"/>
        <v/>
      </c>
      <c r="EZ29" s="57" t="str">
        <f t="shared" si="84"/>
        <v/>
      </c>
      <c r="FA29" s="57" t="str">
        <f t="shared" si="85"/>
        <v/>
      </c>
      <c r="FB29" s="57" t="str">
        <f t="shared" si="86"/>
        <v/>
      </c>
      <c r="FC29" s="57" t="str">
        <f t="shared" si="87"/>
        <v/>
      </c>
      <c r="FD29" s="57" t="str">
        <f t="shared" si="88"/>
        <v/>
      </c>
      <c r="FE29" s="57"/>
      <c r="FF29" s="58">
        <f t="shared" si="89"/>
        <v>0</v>
      </c>
      <c r="FG29" s="55" t="e">
        <f t="shared" si="90"/>
        <v>#N/A</v>
      </c>
      <c r="FH29" s="58"/>
      <c r="FI29" s="59" t="e">
        <f>IF(ER29&gt;100,"",IF(ER29&gt;DQ$1,"sangat baik dalam "&amp;FG29,IF(ER29&gt;=DQ$2,"baik dalam "&amp;FG29,IF(ER29&gt;=DQ$3,"cukup dalam "&amp;FG29,IF(ER29&lt;DQ$3,"dengan bimbingan dapat meningkatkan dalam "&amp;FG29,IF(ER29&lt;1," ",””))))))</f>
        <v>#N/A</v>
      </c>
      <c r="FJ29" s="58"/>
      <c r="FK29" s="57" t="str">
        <f t="shared" si="91"/>
        <v/>
      </c>
      <c r="FL29" s="57" t="str">
        <f t="shared" si="92"/>
        <v/>
      </c>
      <c r="FM29" s="57" t="str">
        <f t="shared" si="93"/>
        <v/>
      </c>
      <c r="FN29" s="57" t="str">
        <f t="shared" si="94"/>
        <v/>
      </c>
      <c r="FO29" s="57" t="str">
        <f t="shared" si="95"/>
        <v/>
      </c>
      <c r="FP29" s="57" t="str">
        <f t="shared" si="96"/>
        <v/>
      </c>
      <c r="FQ29" s="57" t="str">
        <f t="shared" si="97"/>
        <v/>
      </c>
      <c r="FR29" s="57" t="str">
        <f t="shared" si="98"/>
        <v/>
      </c>
      <c r="FS29" s="57" t="str">
        <f t="shared" si="99"/>
        <v/>
      </c>
      <c r="FT29" s="57"/>
      <c r="FU29" s="59" t="e">
        <f t="shared" si="100"/>
        <v>#N/A</v>
      </c>
      <c r="FV29" s="59" t="e">
        <f>IF(ES29&gt;100,"",IF(ES29&gt;DQ$1,"sangat baik dalam "&amp;FU29,IF(ES29&gt;=DQ$2,"baik dalam "&amp;FU29,IF(ES29&gt;=DQ$3,"cukup dalam "&amp;FU29,IF(ES29&lt;DQ$3,"dengan bimbingan dapat meningkatkan dalam "&amp;FU29,IF(ES29&lt;1," ",””))))))</f>
        <v>#N/A</v>
      </c>
      <c r="FW29" s="61"/>
      <c r="FX29" s="62" t="e">
        <f t="shared" si="101"/>
        <v>#N/A</v>
      </c>
      <c r="FY29" s="57" t="str">
        <f t="shared" si="102"/>
        <v/>
      </c>
      <c r="FZ29" s="57" t="str">
        <f t="shared" si="43"/>
        <v/>
      </c>
      <c r="GA29" s="57" t="str">
        <f t="shared" si="44"/>
        <v/>
      </c>
      <c r="GB29" s="57"/>
      <c r="GC29" s="57"/>
      <c r="GD29" s="57"/>
      <c r="GE29" s="59" t="str">
        <f t="shared" si="45"/>
        <v>perlu bimbingan dalam mengklasifikasi informasi yang didapat dari buku ke dalam aspek: apa, di mana, kapan, siapa, mengapa, dan bagaimana</v>
      </c>
      <c r="GF29" s="60"/>
      <c r="GG29" s="61"/>
      <c r="GH29" s="62" t="str">
        <f t="shared" si="103"/>
        <v>, perlu bimbingan dalam mengklasifikasi informasi yang didapat dari buku ke dalam aspek: apa, di mana, kapan, siapa, mengapa, dan bagaimana</v>
      </c>
    </row>
    <row r="30" spans="1:191" ht="42" customHeight="1">
      <c r="A30" s="39">
        <v>23</v>
      </c>
      <c r="B30" s="283">
        <f>SISWA!B28</f>
        <v>0</v>
      </c>
      <c r="C30" s="123"/>
      <c r="D30" s="123"/>
      <c r="E30" s="123"/>
      <c r="F30" s="123"/>
      <c r="G30" s="123"/>
      <c r="H30" s="123"/>
      <c r="I30" s="123"/>
      <c r="J30" s="123"/>
      <c r="K30" s="123"/>
      <c r="L30" s="256"/>
      <c r="M30" s="256"/>
      <c r="N30" s="256"/>
      <c r="O30" s="256"/>
      <c r="P30" s="256"/>
      <c r="Q30" s="256"/>
      <c r="R30" s="256"/>
      <c r="S30" s="256"/>
      <c r="T30" s="256"/>
      <c r="U30" s="123"/>
      <c r="V30" s="123"/>
      <c r="W30" s="123"/>
      <c r="X30" s="123"/>
      <c r="Y30" s="123"/>
      <c r="Z30" s="123"/>
      <c r="AA30" s="123"/>
      <c r="AB30" s="123"/>
      <c r="AC30" s="123"/>
      <c r="AD30" s="256"/>
      <c r="AE30" s="256"/>
      <c r="AF30" s="256"/>
      <c r="AG30" s="256"/>
      <c r="AH30" s="256"/>
      <c r="AI30" s="256"/>
      <c r="AJ30" s="256"/>
      <c r="AK30" s="256"/>
      <c r="AL30" s="256"/>
      <c r="AM30" s="123"/>
      <c r="AN30" s="123"/>
      <c r="AO30" s="123"/>
      <c r="AP30" s="123"/>
      <c r="AQ30" s="123"/>
      <c r="AR30" s="123"/>
      <c r="AS30" s="123"/>
      <c r="AT30" s="123"/>
      <c r="AU30" s="123"/>
      <c r="AV30" s="256"/>
      <c r="AW30" s="256"/>
      <c r="AX30" s="256"/>
      <c r="AY30" s="256"/>
      <c r="AZ30" s="256"/>
      <c r="BA30" s="256"/>
      <c r="BB30" s="256"/>
      <c r="BC30" s="256"/>
      <c r="BD30" s="256"/>
      <c r="BE30" s="123"/>
      <c r="BF30" s="123"/>
      <c r="BG30" s="123"/>
      <c r="BH30" s="123"/>
      <c r="BI30" s="123"/>
      <c r="BJ30" s="123"/>
      <c r="BK30" s="123"/>
      <c r="BL30" s="123"/>
      <c r="BM30" s="123"/>
      <c r="BN30" s="256"/>
      <c r="BO30" s="256"/>
      <c r="BP30" s="256"/>
      <c r="BQ30" s="256"/>
      <c r="BR30" s="256"/>
      <c r="BS30" s="256"/>
      <c r="BT30" s="256"/>
      <c r="BU30" s="256"/>
      <c r="BV30" s="256"/>
      <c r="BW30" s="460"/>
      <c r="BX30" s="460"/>
      <c r="BY30" s="460"/>
      <c r="BZ30" s="460"/>
      <c r="CA30" s="460"/>
      <c r="CB30" s="460"/>
      <c r="CC30" s="460"/>
      <c r="CD30" s="460"/>
      <c r="CE30" s="460"/>
      <c r="CF30" s="346"/>
      <c r="CG30" s="346"/>
      <c r="CH30" s="346"/>
      <c r="CI30" s="346"/>
      <c r="CJ30" s="346"/>
      <c r="CK30" s="346"/>
      <c r="CL30" s="346"/>
      <c r="CM30" s="346"/>
      <c r="CN30" s="346"/>
      <c r="CO30" s="260" t="str">
        <f t="shared" si="46"/>
        <v xml:space="preserve"> </v>
      </c>
      <c r="CP30" s="260" t="str">
        <f t="shared" si="47"/>
        <v xml:space="preserve"> </v>
      </c>
      <c r="CQ30" s="260" t="str">
        <f t="shared" si="48"/>
        <v xml:space="preserve"> </v>
      </c>
      <c r="CR30" s="260" t="str">
        <f t="shared" si="49"/>
        <v xml:space="preserve"> </v>
      </c>
      <c r="CS30" s="260" t="str">
        <f t="shared" si="50"/>
        <v xml:space="preserve"> </v>
      </c>
      <c r="CT30" s="260" t="str">
        <f t="shared" si="51"/>
        <v xml:space="preserve"> </v>
      </c>
      <c r="CU30" s="260" t="str">
        <f t="shared" si="52"/>
        <v xml:space="preserve"> </v>
      </c>
      <c r="CV30" s="260" t="str">
        <f t="shared" si="53"/>
        <v xml:space="preserve"> </v>
      </c>
      <c r="CW30" s="260" t="str">
        <f t="shared" si="54"/>
        <v xml:space="preserve"> </v>
      </c>
      <c r="CX30" s="547"/>
      <c r="CY30" s="547"/>
      <c r="CZ30" s="547"/>
      <c r="DA30" s="547"/>
      <c r="DB30" s="547"/>
      <c r="DC30" s="547"/>
      <c r="DD30" s="547"/>
      <c r="DE30" s="547"/>
      <c r="DF30" s="547"/>
      <c r="DG30" s="548"/>
      <c r="DH30" s="548"/>
      <c r="DI30" s="548"/>
      <c r="DJ30" s="548"/>
      <c r="DK30" s="548"/>
      <c r="DL30" s="548"/>
      <c r="DM30" s="548"/>
      <c r="DN30" s="548"/>
      <c r="DO30" s="548"/>
      <c r="DP30" s="550" t="str">
        <f t="shared" si="55"/>
        <v xml:space="preserve"> </v>
      </c>
      <c r="DQ30" s="291" t="str">
        <f t="shared" si="56"/>
        <v xml:space="preserve">  </v>
      </c>
      <c r="DR30" s="553" t="str">
        <f t="shared" si="57"/>
        <v xml:space="preserve"> </v>
      </c>
      <c r="DS30" s="282"/>
      <c r="DT30" s="51"/>
      <c r="DU30" s="46" t="str">
        <f t="shared" si="58"/>
        <v xml:space="preserve"> </v>
      </c>
      <c r="DV30" s="46" t="str">
        <f t="shared" si="59"/>
        <v xml:space="preserve"> </v>
      </c>
      <c r="DW30" s="46" t="str">
        <f t="shared" si="60"/>
        <v xml:space="preserve"> </v>
      </c>
      <c r="DX30" s="46" t="str">
        <f t="shared" si="61"/>
        <v xml:space="preserve"> </v>
      </c>
      <c r="DY30" s="46" t="str">
        <f t="shared" si="62"/>
        <v xml:space="preserve"> </v>
      </c>
      <c r="DZ30" s="46" t="str">
        <f t="shared" si="63"/>
        <v xml:space="preserve"> </v>
      </c>
      <c r="EA30" s="46" t="str">
        <f t="shared" si="64"/>
        <v xml:space="preserve"> </v>
      </c>
      <c r="EB30" s="46" t="str">
        <f t="shared" si="65"/>
        <v xml:space="preserve"> </v>
      </c>
      <c r="EC30" s="46" t="str">
        <f t="shared" si="66"/>
        <v xml:space="preserve"> </v>
      </c>
      <c r="ED30" s="46"/>
      <c r="EE30" s="52">
        <f>[2]uts!J29</f>
        <v>81</v>
      </c>
      <c r="EF30" s="51"/>
      <c r="EG30" s="53" t="str">
        <f t="shared" si="67"/>
        <v xml:space="preserve">  </v>
      </c>
      <c r="EH30" s="53" t="str">
        <f t="shared" si="68"/>
        <v xml:space="preserve">  </v>
      </c>
      <c r="EI30" s="53" t="str">
        <f t="shared" si="69"/>
        <v xml:space="preserve">  </v>
      </c>
      <c r="EJ30" s="53" t="str">
        <f t="shared" si="70"/>
        <v xml:space="preserve">  </v>
      </c>
      <c r="EK30" s="53" t="str">
        <f t="shared" si="71"/>
        <v xml:space="preserve">  </v>
      </c>
      <c r="EL30" s="53" t="str">
        <f t="shared" si="72"/>
        <v xml:space="preserve">  </v>
      </c>
      <c r="EM30" s="53" t="str">
        <f t="shared" si="73"/>
        <v xml:space="preserve">  </v>
      </c>
      <c r="EN30" s="53" t="str">
        <f t="shared" si="74"/>
        <v xml:space="preserve">  </v>
      </c>
      <c r="EO30" s="53" t="str">
        <f t="shared" si="75"/>
        <v xml:space="preserve">  </v>
      </c>
      <c r="EP30" s="53"/>
      <c r="EQ30" s="52" t="str">
        <f t="shared" si="76"/>
        <v xml:space="preserve"> </v>
      </c>
      <c r="ER30" s="55">
        <f t="shared" si="77"/>
        <v>0</v>
      </c>
      <c r="ES30" s="55">
        <f t="shared" si="78"/>
        <v>0</v>
      </c>
      <c r="ET30" s="51">
        <f>SISWA!E28</f>
        <v>0</v>
      </c>
      <c r="EU30" s="51" t="str">
        <f t="shared" si="79"/>
        <v/>
      </c>
      <c r="EV30" s="56" t="str">
        <f t="shared" si="80"/>
        <v/>
      </c>
      <c r="EW30" s="57" t="str">
        <f t="shared" si="81"/>
        <v/>
      </c>
      <c r="EX30" s="57" t="str">
        <f t="shared" si="82"/>
        <v/>
      </c>
      <c r="EY30" s="57" t="str">
        <f t="shared" si="83"/>
        <v/>
      </c>
      <c r="EZ30" s="57" t="str">
        <f t="shared" si="84"/>
        <v/>
      </c>
      <c r="FA30" s="57" t="str">
        <f t="shared" si="85"/>
        <v/>
      </c>
      <c r="FB30" s="57" t="str">
        <f t="shared" si="86"/>
        <v/>
      </c>
      <c r="FC30" s="57" t="str">
        <f t="shared" si="87"/>
        <v/>
      </c>
      <c r="FD30" s="57" t="str">
        <f t="shared" si="88"/>
        <v/>
      </c>
      <c r="FE30" s="57"/>
      <c r="FF30" s="58">
        <f t="shared" si="89"/>
        <v>0</v>
      </c>
      <c r="FG30" s="55" t="e">
        <f t="shared" si="90"/>
        <v>#N/A</v>
      </c>
      <c r="FH30" s="58"/>
      <c r="FI30" s="59" t="e">
        <f>IF(ER30&gt;100,"",IF(ER30&gt;DQ$1,"sangat baik dalam "&amp;FG30,IF(ER30&gt;=DQ$2,"baik dalam "&amp;FG30,IF(ER30&gt;=DQ$3,"cukup dalam "&amp;FG30,IF(ER30&lt;DQ$3,"dengan bimbingan dapat meningkatkan dalam "&amp;FG30,IF(ER30&lt;1," ",””))))))</f>
        <v>#N/A</v>
      </c>
      <c r="FJ30" s="58"/>
      <c r="FK30" s="57" t="str">
        <f t="shared" si="91"/>
        <v/>
      </c>
      <c r="FL30" s="57" t="str">
        <f t="shared" si="92"/>
        <v/>
      </c>
      <c r="FM30" s="57" t="str">
        <f t="shared" si="93"/>
        <v/>
      </c>
      <c r="FN30" s="57" t="str">
        <f t="shared" si="94"/>
        <v/>
      </c>
      <c r="FO30" s="57" t="str">
        <f t="shared" si="95"/>
        <v/>
      </c>
      <c r="FP30" s="57" t="str">
        <f t="shared" si="96"/>
        <v/>
      </c>
      <c r="FQ30" s="57" t="str">
        <f t="shared" si="97"/>
        <v/>
      </c>
      <c r="FR30" s="57" t="str">
        <f t="shared" si="98"/>
        <v/>
      </c>
      <c r="FS30" s="57" t="str">
        <f t="shared" si="99"/>
        <v/>
      </c>
      <c r="FT30" s="57"/>
      <c r="FU30" s="59" t="e">
        <f t="shared" si="100"/>
        <v>#N/A</v>
      </c>
      <c r="FV30" s="59" t="e">
        <f>IF(ES30&gt;100,"",IF(ES30&gt;DQ$1,"sangat baik dalam "&amp;FU30,IF(ES30&gt;=DQ$2,"baik dalam "&amp;FU30,IF(ES30&gt;=DQ$3,"cukup dalam "&amp;FU30,IF(ES30&lt;DQ$3,"dengan bimbingan dapat meningkatkan dalam "&amp;FU30,IF(ES30&lt;1," ",””))))))</f>
        <v>#N/A</v>
      </c>
      <c r="FW30" s="61"/>
      <c r="FX30" s="62" t="e">
        <f t="shared" si="101"/>
        <v>#N/A</v>
      </c>
      <c r="FY30" s="57" t="str">
        <f t="shared" si="102"/>
        <v/>
      </c>
      <c r="FZ30" s="57" t="str">
        <f t="shared" si="43"/>
        <v/>
      </c>
      <c r="GA30" s="57" t="str">
        <f t="shared" si="44"/>
        <v/>
      </c>
      <c r="GB30" s="57"/>
      <c r="GC30" s="57"/>
      <c r="GD30" s="57"/>
      <c r="GE30" s="59" t="str">
        <f t="shared" si="45"/>
        <v>perlu bimbingan dalam mengklasifikasi informasi yang didapat dari buku ke dalam aspek: apa, di mana, kapan, siapa, mengapa, dan bagaimana</v>
      </c>
      <c r="GF30" s="60"/>
      <c r="GG30" s="61"/>
      <c r="GH30" s="62" t="str">
        <f t="shared" si="103"/>
        <v>, perlu bimbingan dalam mengklasifikasi informasi yang didapat dari buku ke dalam aspek: apa, di mana, kapan, siapa, mengapa, dan bagaimana</v>
      </c>
    </row>
    <row r="31" spans="1:191" ht="42" customHeight="1">
      <c r="A31" s="39">
        <v>24</v>
      </c>
      <c r="B31" s="283">
        <f>SISWA!B29</f>
        <v>0</v>
      </c>
      <c r="C31" s="123"/>
      <c r="D31" s="123"/>
      <c r="E31" s="123"/>
      <c r="F31" s="123"/>
      <c r="G31" s="123"/>
      <c r="H31" s="123"/>
      <c r="I31" s="123"/>
      <c r="J31" s="123"/>
      <c r="K31" s="123"/>
      <c r="L31" s="256"/>
      <c r="M31" s="256"/>
      <c r="N31" s="256"/>
      <c r="O31" s="256"/>
      <c r="P31" s="256"/>
      <c r="Q31" s="256"/>
      <c r="R31" s="256"/>
      <c r="S31" s="256"/>
      <c r="T31" s="256"/>
      <c r="U31" s="123"/>
      <c r="V31" s="123"/>
      <c r="W31" s="123"/>
      <c r="X31" s="123"/>
      <c r="Y31" s="123"/>
      <c r="Z31" s="123"/>
      <c r="AA31" s="123"/>
      <c r="AB31" s="123"/>
      <c r="AC31" s="123"/>
      <c r="AD31" s="256"/>
      <c r="AE31" s="256"/>
      <c r="AF31" s="256"/>
      <c r="AG31" s="256"/>
      <c r="AH31" s="256"/>
      <c r="AI31" s="256"/>
      <c r="AJ31" s="256"/>
      <c r="AK31" s="256"/>
      <c r="AL31" s="256"/>
      <c r="AM31" s="123"/>
      <c r="AN31" s="123"/>
      <c r="AO31" s="123"/>
      <c r="AP31" s="123"/>
      <c r="AQ31" s="123"/>
      <c r="AR31" s="123"/>
      <c r="AS31" s="123"/>
      <c r="AT31" s="123"/>
      <c r="AU31" s="123"/>
      <c r="AV31" s="256"/>
      <c r="AW31" s="256"/>
      <c r="AX31" s="256"/>
      <c r="AY31" s="256"/>
      <c r="AZ31" s="256"/>
      <c r="BA31" s="256"/>
      <c r="BB31" s="256"/>
      <c r="BC31" s="256"/>
      <c r="BD31" s="256"/>
      <c r="BE31" s="123"/>
      <c r="BF31" s="123"/>
      <c r="BG31" s="123"/>
      <c r="BH31" s="123"/>
      <c r="BI31" s="123"/>
      <c r="BJ31" s="123"/>
      <c r="BK31" s="123"/>
      <c r="BL31" s="123"/>
      <c r="BM31" s="123"/>
      <c r="BN31" s="256"/>
      <c r="BO31" s="256"/>
      <c r="BP31" s="256"/>
      <c r="BQ31" s="256"/>
      <c r="BR31" s="256"/>
      <c r="BS31" s="256"/>
      <c r="BT31" s="256"/>
      <c r="BU31" s="256"/>
      <c r="BV31" s="256"/>
      <c r="BW31" s="460"/>
      <c r="BX31" s="460"/>
      <c r="BY31" s="460"/>
      <c r="BZ31" s="460"/>
      <c r="CA31" s="460"/>
      <c r="CB31" s="460"/>
      <c r="CC31" s="460"/>
      <c r="CD31" s="460"/>
      <c r="CE31" s="460"/>
      <c r="CF31" s="346"/>
      <c r="CG31" s="346"/>
      <c r="CH31" s="346"/>
      <c r="CI31" s="346"/>
      <c r="CJ31" s="346"/>
      <c r="CK31" s="346"/>
      <c r="CL31" s="346"/>
      <c r="CM31" s="346"/>
      <c r="CN31" s="346"/>
      <c r="CO31" s="260" t="str">
        <f t="shared" si="46"/>
        <v xml:space="preserve"> </v>
      </c>
      <c r="CP31" s="260" t="str">
        <f t="shared" si="47"/>
        <v xml:space="preserve"> </v>
      </c>
      <c r="CQ31" s="260" t="str">
        <f t="shared" si="48"/>
        <v xml:space="preserve"> </v>
      </c>
      <c r="CR31" s="260" t="str">
        <f t="shared" si="49"/>
        <v xml:space="preserve"> </v>
      </c>
      <c r="CS31" s="260" t="str">
        <f t="shared" si="50"/>
        <v xml:space="preserve"> </v>
      </c>
      <c r="CT31" s="260" t="str">
        <f t="shared" si="51"/>
        <v xml:space="preserve"> </v>
      </c>
      <c r="CU31" s="260" t="str">
        <f t="shared" si="52"/>
        <v xml:space="preserve"> </v>
      </c>
      <c r="CV31" s="260" t="str">
        <f t="shared" si="53"/>
        <v xml:space="preserve"> </v>
      </c>
      <c r="CW31" s="260" t="str">
        <f t="shared" si="54"/>
        <v xml:space="preserve"> </v>
      </c>
      <c r="CX31" s="547"/>
      <c r="CY31" s="547"/>
      <c r="CZ31" s="547"/>
      <c r="DA31" s="547"/>
      <c r="DB31" s="547"/>
      <c r="DC31" s="547"/>
      <c r="DD31" s="547"/>
      <c r="DE31" s="547"/>
      <c r="DF31" s="547"/>
      <c r="DG31" s="548"/>
      <c r="DH31" s="548"/>
      <c r="DI31" s="548"/>
      <c r="DJ31" s="548"/>
      <c r="DK31" s="548"/>
      <c r="DL31" s="548"/>
      <c r="DM31" s="548"/>
      <c r="DN31" s="548"/>
      <c r="DO31" s="548"/>
      <c r="DP31" s="550" t="str">
        <f t="shared" si="55"/>
        <v xml:space="preserve"> </v>
      </c>
      <c r="DQ31" s="291" t="str">
        <f t="shared" si="56"/>
        <v xml:space="preserve">  </v>
      </c>
      <c r="DR31" s="553" t="str">
        <f t="shared" si="57"/>
        <v xml:space="preserve"> </v>
      </c>
      <c r="DS31" s="282"/>
      <c r="DT31" s="51"/>
      <c r="DU31" s="46" t="str">
        <f t="shared" si="58"/>
        <v xml:space="preserve"> </v>
      </c>
      <c r="DV31" s="46" t="str">
        <f t="shared" si="59"/>
        <v xml:space="preserve"> </v>
      </c>
      <c r="DW31" s="46" t="str">
        <f t="shared" si="60"/>
        <v xml:space="preserve"> </v>
      </c>
      <c r="DX31" s="46" t="str">
        <f t="shared" si="61"/>
        <v xml:space="preserve"> </v>
      </c>
      <c r="DY31" s="46" t="str">
        <f t="shared" si="62"/>
        <v xml:space="preserve"> </v>
      </c>
      <c r="DZ31" s="46" t="str">
        <f t="shared" si="63"/>
        <v xml:space="preserve"> </v>
      </c>
      <c r="EA31" s="46" t="str">
        <f t="shared" si="64"/>
        <v xml:space="preserve"> </v>
      </c>
      <c r="EB31" s="46" t="str">
        <f t="shared" si="65"/>
        <v xml:space="preserve"> </v>
      </c>
      <c r="EC31" s="46" t="str">
        <f t="shared" si="66"/>
        <v xml:space="preserve"> </v>
      </c>
      <c r="ED31" s="46"/>
      <c r="EE31" s="52">
        <f>[2]uts!J30</f>
        <v>78.333333333333329</v>
      </c>
      <c r="EF31" s="51"/>
      <c r="EG31" s="53" t="str">
        <f t="shared" si="67"/>
        <v xml:space="preserve">  </v>
      </c>
      <c r="EH31" s="53" t="str">
        <f t="shared" si="68"/>
        <v xml:space="preserve">  </v>
      </c>
      <c r="EI31" s="53" t="str">
        <f t="shared" si="69"/>
        <v xml:space="preserve">  </v>
      </c>
      <c r="EJ31" s="53" t="str">
        <f t="shared" si="70"/>
        <v xml:space="preserve">  </v>
      </c>
      <c r="EK31" s="53" t="str">
        <f t="shared" si="71"/>
        <v xml:space="preserve">  </v>
      </c>
      <c r="EL31" s="53" t="str">
        <f t="shared" si="72"/>
        <v xml:space="preserve">  </v>
      </c>
      <c r="EM31" s="53" t="str">
        <f t="shared" si="73"/>
        <v xml:space="preserve">  </v>
      </c>
      <c r="EN31" s="53" t="str">
        <f t="shared" si="74"/>
        <v xml:space="preserve">  </v>
      </c>
      <c r="EO31" s="53" t="str">
        <f t="shared" si="75"/>
        <v xml:space="preserve">  </v>
      </c>
      <c r="EP31" s="53"/>
      <c r="EQ31" s="52" t="str">
        <f t="shared" si="76"/>
        <v xml:space="preserve"> </v>
      </c>
      <c r="ER31" s="55">
        <f t="shared" si="77"/>
        <v>0</v>
      </c>
      <c r="ES31" s="55">
        <f t="shared" si="78"/>
        <v>0</v>
      </c>
      <c r="ET31" s="51">
        <f>SISWA!E29</f>
        <v>0</v>
      </c>
      <c r="EU31" s="51" t="str">
        <f t="shared" si="79"/>
        <v/>
      </c>
      <c r="EV31" s="56" t="str">
        <f t="shared" si="80"/>
        <v/>
      </c>
      <c r="EW31" s="57" t="str">
        <f t="shared" si="81"/>
        <v/>
      </c>
      <c r="EX31" s="57" t="str">
        <f t="shared" si="82"/>
        <v/>
      </c>
      <c r="EY31" s="57" t="str">
        <f t="shared" si="83"/>
        <v/>
      </c>
      <c r="EZ31" s="57" t="str">
        <f t="shared" si="84"/>
        <v/>
      </c>
      <c r="FA31" s="57" t="str">
        <f t="shared" si="85"/>
        <v/>
      </c>
      <c r="FB31" s="57" t="str">
        <f t="shared" si="86"/>
        <v/>
      </c>
      <c r="FC31" s="57" t="str">
        <f t="shared" si="87"/>
        <v/>
      </c>
      <c r="FD31" s="57" t="str">
        <f t="shared" si="88"/>
        <v/>
      </c>
      <c r="FE31" s="57"/>
      <c r="FF31" s="58">
        <f t="shared" si="89"/>
        <v>0</v>
      </c>
      <c r="FG31" s="55" t="e">
        <f t="shared" si="90"/>
        <v>#N/A</v>
      </c>
      <c r="FH31" s="58"/>
      <c r="FI31" s="59" t="e">
        <f>IF(ER31&gt;100,"",IF(ER31&gt;DQ$1,"sangat baik dalam "&amp;FG31,IF(ER31&gt;=DQ$2,"baik dalam "&amp;FG31,IF(ER31&gt;=DQ$3,"cukup dalam "&amp;FG31,IF(ER31&lt;DQ$3,"dengan bimbingan dapat meningkatkan dalam "&amp;FG31,IF(ER31&lt;1," ",””))))))</f>
        <v>#N/A</v>
      </c>
      <c r="FJ31" s="58"/>
      <c r="FK31" s="57" t="str">
        <f t="shared" si="91"/>
        <v/>
      </c>
      <c r="FL31" s="57" t="str">
        <f t="shared" si="92"/>
        <v/>
      </c>
      <c r="FM31" s="57" t="str">
        <f t="shared" si="93"/>
        <v/>
      </c>
      <c r="FN31" s="57" t="str">
        <f t="shared" si="94"/>
        <v/>
      </c>
      <c r="FO31" s="57" t="str">
        <f t="shared" si="95"/>
        <v/>
      </c>
      <c r="FP31" s="57" t="str">
        <f t="shared" si="96"/>
        <v/>
      </c>
      <c r="FQ31" s="57" t="str">
        <f t="shared" si="97"/>
        <v/>
      </c>
      <c r="FR31" s="57" t="str">
        <f t="shared" si="98"/>
        <v/>
      </c>
      <c r="FS31" s="57" t="str">
        <f t="shared" si="99"/>
        <v/>
      </c>
      <c r="FT31" s="57"/>
      <c r="FU31" s="59" t="e">
        <f t="shared" si="100"/>
        <v>#N/A</v>
      </c>
      <c r="FV31" s="59" t="e">
        <f>IF(ES31&gt;100,"",IF(ES31&gt;DQ$1,"sangat baik dalam "&amp;FU31,IF(ES31&gt;=DQ$2,"baik dalam "&amp;FU31,IF(ES31&gt;=DQ$3,"cukup dalam "&amp;FU31,IF(ES31&lt;DQ$3,"dengan bimbingan dapat meningkatkan dalam "&amp;FU31,IF(ES31&lt;1," ",””))))))</f>
        <v>#N/A</v>
      </c>
      <c r="FW31" s="61"/>
      <c r="FX31" s="62" t="e">
        <f t="shared" si="101"/>
        <v>#N/A</v>
      </c>
      <c r="FY31" s="57" t="str">
        <f t="shared" si="102"/>
        <v/>
      </c>
      <c r="FZ31" s="57" t="str">
        <f t="shared" si="43"/>
        <v/>
      </c>
      <c r="GA31" s="57" t="str">
        <f t="shared" si="44"/>
        <v/>
      </c>
      <c r="GB31" s="57"/>
      <c r="GC31" s="57"/>
      <c r="GD31" s="57"/>
      <c r="GE31" s="59" t="str">
        <f t="shared" si="45"/>
        <v>perlu bimbingan dalam mengklasifikasi informasi yang didapat dari buku ke dalam aspek: apa, di mana, kapan, siapa, mengapa, dan bagaimana</v>
      </c>
      <c r="GF31" s="60"/>
      <c r="GG31" s="61"/>
      <c r="GH31" s="62" t="str">
        <f t="shared" si="103"/>
        <v>, perlu bimbingan dalam mengklasifikasi informasi yang didapat dari buku ke dalam aspek: apa, di mana, kapan, siapa, mengapa, dan bagaimana</v>
      </c>
    </row>
    <row r="32" spans="1:191" ht="42" customHeight="1">
      <c r="A32" s="39">
        <v>25</v>
      </c>
      <c r="B32" s="283">
        <f>SISWA!B30</f>
        <v>0</v>
      </c>
      <c r="C32" s="123"/>
      <c r="D32" s="123"/>
      <c r="E32" s="123"/>
      <c r="F32" s="123"/>
      <c r="G32" s="123"/>
      <c r="H32" s="123"/>
      <c r="I32" s="123"/>
      <c r="J32" s="123"/>
      <c r="K32" s="123"/>
      <c r="L32" s="256"/>
      <c r="M32" s="256"/>
      <c r="N32" s="256"/>
      <c r="O32" s="256"/>
      <c r="P32" s="256"/>
      <c r="Q32" s="256"/>
      <c r="R32" s="256"/>
      <c r="S32" s="256"/>
      <c r="T32" s="256"/>
      <c r="U32" s="123"/>
      <c r="V32" s="123"/>
      <c r="W32" s="123"/>
      <c r="X32" s="123"/>
      <c r="Y32" s="123"/>
      <c r="Z32" s="123"/>
      <c r="AA32" s="123"/>
      <c r="AB32" s="123"/>
      <c r="AC32" s="123"/>
      <c r="AD32" s="256"/>
      <c r="AE32" s="256"/>
      <c r="AF32" s="256"/>
      <c r="AG32" s="256"/>
      <c r="AH32" s="256"/>
      <c r="AI32" s="256"/>
      <c r="AJ32" s="256"/>
      <c r="AK32" s="256"/>
      <c r="AL32" s="256"/>
      <c r="AM32" s="123"/>
      <c r="AN32" s="123"/>
      <c r="AO32" s="123"/>
      <c r="AP32" s="123"/>
      <c r="AQ32" s="123"/>
      <c r="AR32" s="123"/>
      <c r="AS32" s="123"/>
      <c r="AT32" s="123"/>
      <c r="AU32" s="123"/>
      <c r="AV32" s="256"/>
      <c r="AW32" s="256"/>
      <c r="AX32" s="256"/>
      <c r="AY32" s="256"/>
      <c r="AZ32" s="256"/>
      <c r="BA32" s="256"/>
      <c r="BB32" s="256"/>
      <c r="BC32" s="256"/>
      <c r="BD32" s="256"/>
      <c r="BE32" s="123"/>
      <c r="BF32" s="123"/>
      <c r="BG32" s="123"/>
      <c r="BH32" s="123"/>
      <c r="BI32" s="123"/>
      <c r="BJ32" s="123"/>
      <c r="BK32" s="123"/>
      <c r="BL32" s="123"/>
      <c r="BM32" s="123"/>
      <c r="BN32" s="256"/>
      <c r="BO32" s="256"/>
      <c r="BP32" s="256"/>
      <c r="BQ32" s="256"/>
      <c r="BR32" s="256"/>
      <c r="BS32" s="256"/>
      <c r="BT32" s="256"/>
      <c r="BU32" s="256"/>
      <c r="BV32" s="256"/>
      <c r="BW32" s="460"/>
      <c r="BX32" s="460"/>
      <c r="BY32" s="460"/>
      <c r="BZ32" s="460"/>
      <c r="CA32" s="460"/>
      <c r="CB32" s="460"/>
      <c r="CC32" s="460"/>
      <c r="CD32" s="460"/>
      <c r="CE32" s="460"/>
      <c r="CF32" s="346"/>
      <c r="CG32" s="346"/>
      <c r="CH32" s="346"/>
      <c r="CI32" s="346"/>
      <c r="CJ32" s="346"/>
      <c r="CK32" s="346"/>
      <c r="CL32" s="346"/>
      <c r="CM32" s="346"/>
      <c r="CN32" s="346"/>
      <c r="CO32" s="260" t="str">
        <f t="shared" si="46"/>
        <v xml:space="preserve"> </v>
      </c>
      <c r="CP32" s="260" t="str">
        <f t="shared" si="47"/>
        <v xml:space="preserve"> </v>
      </c>
      <c r="CQ32" s="260" t="str">
        <f t="shared" si="48"/>
        <v xml:space="preserve"> </v>
      </c>
      <c r="CR32" s="260" t="str">
        <f t="shared" si="49"/>
        <v xml:space="preserve"> </v>
      </c>
      <c r="CS32" s="260" t="str">
        <f t="shared" si="50"/>
        <v xml:space="preserve"> </v>
      </c>
      <c r="CT32" s="260" t="str">
        <f t="shared" si="51"/>
        <v xml:space="preserve"> </v>
      </c>
      <c r="CU32" s="260" t="str">
        <f t="shared" si="52"/>
        <v xml:space="preserve"> </v>
      </c>
      <c r="CV32" s="260" t="str">
        <f t="shared" si="53"/>
        <v xml:space="preserve"> </v>
      </c>
      <c r="CW32" s="260" t="str">
        <f t="shared" si="54"/>
        <v xml:space="preserve"> </v>
      </c>
      <c r="CX32" s="547"/>
      <c r="CY32" s="547"/>
      <c r="CZ32" s="547"/>
      <c r="DA32" s="547"/>
      <c r="DB32" s="547"/>
      <c r="DC32" s="547"/>
      <c r="DD32" s="547"/>
      <c r="DE32" s="547"/>
      <c r="DF32" s="547"/>
      <c r="DG32" s="548"/>
      <c r="DH32" s="548"/>
      <c r="DI32" s="548"/>
      <c r="DJ32" s="548"/>
      <c r="DK32" s="548"/>
      <c r="DL32" s="548"/>
      <c r="DM32" s="548"/>
      <c r="DN32" s="548"/>
      <c r="DO32" s="548"/>
      <c r="DP32" s="550" t="str">
        <f t="shared" si="55"/>
        <v xml:space="preserve"> </v>
      </c>
      <c r="DQ32" s="291" t="str">
        <f t="shared" si="56"/>
        <v xml:space="preserve">  </v>
      </c>
      <c r="DR32" s="553" t="str">
        <f t="shared" si="57"/>
        <v xml:space="preserve"> </v>
      </c>
      <c r="DS32" s="282"/>
      <c r="DT32" s="51"/>
      <c r="DU32" s="46" t="str">
        <f t="shared" si="58"/>
        <v xml:space="preserve"> </v>
      </c>
      <c r="DV32" s="46" t="str">
        <f t="shared" si="59"/>
        <v xml:space="preserve"> </v>
      </c>
      <c r="DW32" s="46" t="str">
        <f t="shared" si="60"/>
        <v xml:space="preserve"> </v>
      </c>
      <c r="DX32" s="46" t="str">
        <f t="shared" si="61"/>
        <v xml:space="preserve"> </v>
      </c>
      <c r="DY32" s="46" t="str">
        <f t="shared" si="62"/>
        <v xml:space="preserve"> </v>
      </c>
      <c r="DZ32" s="46" t="str">
        <f t="shared" si="63"/>
        <v xml:space="preserve"> </v>
      </c>
      <c r="EA32" s="46" t="str">
        <f t="shared" si="64"/>
        <v xml:space="preserve"> </v>
      </c>
      <c r="EB32" s="46" t="str">
        <f t="shared" si="65"/>
        <v xml:space="preserve"> </v>
      </c>
      <c r="EC32" s="46" t="str">
        <f t="shared" si="66"/>
        <v xml:space="preserve"> </v>
      </c>
      <c r="ED32" s="46"/>
      <c r="EE32" s="52">
        <f>[2]uts!J31</f>
        <v>68.666666666666671</v>
      </c>
      <c r="EF32" s="51"/>
      <c r="EG32" s="53" t="str">
        <f t="shared" si="67"/>
        <v xml:space="preserve">  </v>
      </c>
      <c r="EH32" s="53" t="str">
        <f t="shared" si="68"/>
        <v xml:space="preserve">  </v>
      </c>
      <c r="EI32" s="53" t="str">
        <f t="shared" si="69"/>
        <v xml:space="preserve">  </v>
      </c>
      <c r="EJ32" s="53" t="str">
        <f t="shared" si="70"/>
        <v xml:space="preserve">  </v>
      </c>
      <c r="EK32" s="53" t="str">
        <f t="shared" si="71"/>
        <v xml:space="preserve">  </v>
      </c>
      <c r="EL32" s="53" t="str">
        <f t="shared" si="72"/>
        <v xml:space="preserve">  </v>
      </c>
      <c r="EM32" s="53" t="str">
        <f t="shared" si="73"/>
        <v xml:space="preserve">  </v>
      </c>
      <c r="EN32" s="53" t="str">
        <f t="shared" si="74"/>
        <v xml:space="preserve">  </v>
      </c>
      <c r="EO32" s="53" t="str">
        <f t="shared" si="75"/>
        <v xml:space="preserve">  </v>
      </c>
      <c r="EP32" s="53"/>
      <c r="EQ32" s="52" t="str">
        <f t="shared" si="76"/>
        <v xml:space="preserve"> </v>
      </c>
      <c r="ER32" s="55">
        <f t="shared" si="77"/>
        <v>0</v>
      </c>
      <c r="ES32" s="55">
        <f t="shared" si="78"/>
        <v>0</v>
      </c>
      <c r="ET32" s="51">
        <f>SISWA!E30</f>
        <v>0</v>
      </c>
      <c r="EU32" s="51" t="str">
        <f t="shared" si="79"/>
        <v/>
      </c>
      <c r="EV32" s="56" t="str">
        <f t="shared" si="80"/>
        <v/>
      </c>
      <c r="EW32" s="57" t="str">
        <f t="shared" si="81"/>
        <v/>
      </c>
      <c r="EX32" s="57" t="str">
        <f t="shared" si="82"/>
        <v/>
      </c>
      <c r="EY32" s="57" t="str">
        <f t="shared" si="83"/>
        <v/>
      </c>
      <c r="EZ32" s="57" t="str">
        <f t="shared" si="84"/>
        <v/>
      </c>
      <c r="FA32" s="57" t="str">
        <f t="shared" si="85"/>
        <v/>
      </c>
      <c r="FB32" s="57" t="str">
        <f t="shared" si="86"/>
        <v/>
      </c>
      <c r="FC32" s="57" t="str">
        <f t="shared" si="87"/>
        <v/>
      </c>
      <c r="FD32" s="57" t="str">
        <f t="shared" si="88"/>
        <v/>
      </c>
      <c r="FE32" s="57"/>
      <c r="FF32" s="58">
        <f t="shared" si="89"/>
        <v>0</v>
      </c>
      <c r="FG32" s="55" t="e">
        <f t="shared" si="90"/>
        <v>#N/A</v>
      </c>
      <c r="FH32" s="58"/>
      <c r="FI32" s="59" t="e">
        <f>IF(ER32&gt;100,"",IF(ER32&gt;DQ$1,"sangat baik dalam "&amp;FG32,IF(ER32&gt;=DQ$2,"baik dalam "&amp;FG32,IF(ER32&gt;=DQ$3,"cukup dalam "&amp;FG32,IF(ER32&lt;DQ$3,"dengan bimbingan dapat meningkatkan dalam "&amp;FG32,IF(ER32&lt;1," ",””))))))</f>
        <v>#N/A</v>
      </c>
      <c r="FJ32" s="58"/>
      <c r="FK32" s="57" t="str">
        <f t="shared" si="91"/>
        <v/>
      </c>
      <c r="FL32" s="57" t="str">
        <f t="shared" si="92"/>
        <v/>
      </c>
      <c r="FM32" s="57" t="str">
        <f t="shared" si="93"/>
        <v/>
      </c>
      <c r="FN32" s="57" t="str">
        <f t="shared" si="94"/>
        <v/>
      </c>
      <c r="FO32" s="57" t="str">
        <f t="shared" si="95"/>
        <v/>
      </c>
      <c r="FP32" s="57" t="str">
        <f t="shared" si="96"/>
        <v/>
      </c>
      <c r="FQ32" s="57" t="str">
        <f t="shared" si="97"/>
        <v/>
      </c>
      <c r="FR32" s="57" t="str">
        <f t="shared" si="98"/>
        <v/>
      </c>
      <c r="FS32" s="57" t="str">
        <f t="shared" si="99"/>
        <v/>
      </c>
      <c r="FT32" s="57"/>
      <c r="FU32" s="59" t="e">
        <f t="shared" si="100"/>
        <v>#N/A</v>
      </c>
      <c r="FV32" s="59" t="e">
        <f>IF(ES32&gt;100,"",IF(ES32&gt;DQ$1,"sangat baik dalam "&amp;FU32,IF(ES32&gt;=DQ$2,"baik dalam "&amp;FU32,IF(ES32&gt;=DQ$3,"cukup dalam "&amp;FU32,IF(ES32&lt;DQ$3,"dengan bimbingan dapat meningkatkan dalam "&amp;FU32,IF(ES32&lt;1," ",””))))))</f>
        <v>#N/A</v>
      </c>
      <c r="FW32" s="61"/>
      <c r="FX32" s="62" t="e">
        <f t="shared" si="101"/>
        <v>#N/A</v>
      </c>
      <c r="FY32" s="57" t="str">
        <f t="shared" si="102"/>
        <v/>
      </c>
      <c r="FZ32" s="57" t="str">
        <f t="shared" si="43"/>
        <v/>
      </c>
      <c r="GA32" s="57" t="str">
        <f t="shared" si="44"/>
        <v/>
      </c>
      <c r="GB32" s="57"/>
      <c r="GC32" s="57"/>
      <c r="GD32" s="57"/>
      <c r="GE32" s="59" t="str">
        <f t="shared" si="45"/>
        <v>perlu bimbingan dalam mengklasifikasi informasi yang didapat dari buku ke dalam aspek: apa, di mana, kapan, siapa, mengapa, dan bagaimana</v>
      </c>
      <c r="GF32" s="60"/>
      <c r="GG32" s="61"/>
      <c r="GH32" s="62" t="str">
        <f t="shared" si="103"/>
        <v>, perlu bimbingan dalam mengklasifikasi informasi yang didapat dari buku ke dalam aspek: apa, di mana, kapan, siapa, mengapa, dan bagaimana</v>
      </c>
    </row>
    <row r="33" spans="1:190" ht="42" customHeight="1">
      <c r="A33" s="39">
        <v>26</v>
      </c>
      <c r="B33" s="283">
        <f>SISWA!B31</f>
        <v>0</v>
      </c>
      <c r="C33" s="123"/>
      <c r="D33" s="123"/>
      <c r="E33" s="123"/>
      <c r="F33" s="123"/>
      <c r="G33" s="123"/>
      <c r="H33" s="123"/>
      <c r="I33" s="123"/>
      <c r="J33" s="123"/>
      <c r="K33" s="123"/>
      <c r="L33" s="256"/>
      <c r="M33" s="256"/>
      <c r="N33" s="256"/>
      <c r="O33" s="256"/>
      <c r="P33" s="256"/>
      <c r="Q33" s="256"/>
      <c r="R33" s="256"/>
      <c r="S33" s="256"/>
      <c r="T33" s="256"/>
      <c r="U33" s="123"/>
      <c r="V33" s="123"/>
      <c r="W33" s="123"/>
      <c r="X33" s="123"/>
      <c r="Y33" s="123"/>
      <c r="Z33" s="123"/>
      <c r="AA33" s="123"/>
      <c r="AB33" s="123"/>
      <c r="AC33" s="123"/>
      <c r="AD33" s="256"/>
      <c r="AE33" s="256"/>
      <c r="AF33" s="256"/>
      <c r="AG33" s="256"/>
      <c r="AH33" s="256"/>
      <c r="AI33" s="256"/>
      <c r="AJ33" s="256"/>
      <c r="AK33" s="256"/>
      <c r="AL33" s="256"/>
      <c r="AM33" s="123"/>
      <c r="AN33" s="123"/>
      <c r="AO33" s="123"/>
      <c r="AP33" s="123"/>
      <c r="AQ33" s="123"/>
      <c r="AR33" s="123"/>
      <c r="AS33" s="123"/>
      <c r="AT33" s="123"/>
      <c r="AU33" s="123"/>
      <c r="AV33" s="256"/>
      <c r="AW33" s="256"/>
      <c r="AX33" s="256"/>
      <c r="AY33" s="256"/>
      <c r="AZ33" s="256"/>
      <c r="BA33" s="256"/>
      <c r="BB33" s="256"/>
      <c r="BC33" s="256"/>
      <c r="BD33" s="256"/>
      <c r="BE33" s="123"/>
      <c r="BF33" s="123"/>
      <c r="BG33" s="123"/>
      <c r="BH33" s="123"/>
      <c r="BI33" s="123"/>
      <c r="BJ33" s="123"/>
      <c r="BK33" s="123"/>
      <c r="BL33" s="123"/>
      <c r="BM33" s="123"/>
      <c r="BN33" s="256"/>
      <c r="BO33" s="256"/>
      <c r="BP33" s="256"/>
      <c r="BQ33" s="256"/>
      <c r="BR33" s="256"/>
      <c r="BS33" s="256"/>
      <c r="BT33" s="256"/>
      <c r="BU33" s="256"/>
      <c r="BV33" s="256"/>
      <c r="BW33" s="460"/>
      <c r="BX33" s="460"/>
      <c r="BY33" s="460"/>
      <c r="BZ33" s="460"/>
      <c r="CA33" s="460"/>
      <c r="CB33" s="460"/>
      <c r="CC33" s="460"/>
      <c r="CD33" s="460"/>
      <c r="CE33" s="460"/>
      <c r="CF33" s="346"/>
      <c r="CG33" s="346"/>
      <c r="CH33" s="346"/>
      <c r="CI33" s="346"/>
      <c r="CJ33" s="346"/>
      <c r="CK33" s="346"/>
      <c r="CL33" s="346"/>
      <c r="CM33" s="346"/>
      <c r="CN33" s="346"/>
      <c r="CO33" s="260" t="str">
        <f t="shared" si="46"/>
        <v xml:space="preserve"> </v>
      </c>
      <c r="CP33" s="260" t="str">
        <f t="shared" si="47"/>
        <v xml:space="preserve"> </v>
      </c>
      <c r="CQ33" s="260" t="str">
        <f t="shared" si="48"/>
        <v xml:space="preserve"> </v>
      </c>
      <c r="CR33" s="260" t="str">
        <f t="shared" si="49"/>
        <v xml:space="preserve"> </v>
      </c>
      <c r="CS33" s="260" t="str">
        <f t="shared" si="50"/>
        <v xml:space="preserve"> </v>
      </c>
      <c r="CT33" s="260" t="str">
        <f t="shared" si="51"/>
        <v xml:space="preserve"> </v>
      </c>
      <c r="CU33" s="260" t="str">
        <f t="shared" si="52"/>
        <v xml:space="preserve"> </v>
      </c>
      <c r="CV33" s="260" t="str">
        <f t="shared" si="53"/>
        <v xml:space="preserve"> </v>
      </c>
      <c r="CW33" s="260" t="str">
        <f t="shared" si="54"/>
        <v xml:space="preserve"> </v>
      </c>
      <c r="CX33" s="547"/>
      <c r="CY33" s="547"/>
      <c r="CZ33" s="547"/>
      <c r="DA33" s="547"/>
      <c r="DB33" s="547"/>
      <c r="DC33" s="547"/>
      <c r="DD33" s="547"/>
      <c r="DE33" s="547"/>
      <c r="DF33" s="547"/>
      <c r="DG33" s="548"/>
      <c r="DH33" s="548"/>
      <c r="DI33" s="548"/>
      <c r="DJ33" s="548"/>
      <c r="DK33" s="548"/>
      <c r="DL33" s="548"/>
      <c r="DM33" s="548"/>
      <c r="DN33" s="548"/>
      <c r="DO33" s="548"/>
      <c r="DP33" s="550" t="str">
        <f t="shared" si="55"/>
        <v xml:space="preserve"> </v>
      </c>
      <c r="DQ33" s="291" t="str">
        <f t="shared" si="56"/>
        <v xml:space="preserve">  </v>
      </c>
      <c r="DR33" s="553" t="str">
        <f t="shared" si="57"/>
        <v xml:space="preserve"> </v>
      </c>
      <c r="DS33" s="282"/>
      <c r="DT33" s="51"/>
      <c r="DU33" s="46" t="str">
        <f t="shared" si="58"/>
        <v xml:space="preserve"> </v>
      </c>
      <c r="DV33" s="46" t="str">
        <f t="shared" si="59"/>
        <v xml:space="preserve"> </v>
      </c>
      <c r="DW33" s="46" t="str">
        <f t="shared" si="60"/>
        <v xml:space="preserve"> </v>
      </c>
      <c r="DX33" s="46" t="str">
        <f t="shared" si="61"/>
        <v xml:space="preserve"> </v>
      </c>
      <c r="DY33" s="46" t="str">
        <f t="shared" si="62"/>
        <v xml:space="preserve"> </v>
      </c>
      <c r="DZ33" s="46" t="str">
        <f t="shared" si="63"/>
        <v xml:space="preserve"> </v>
      </c>
      <c r="EA33" s="46" t="str">
        <f t="shared" si="64"/>
        <v xml:space="preserve"> </v>
      </c>
      <c r="EB33" s="46" t="str">
        <f t="shared" si="65"/>
        <v xml:space="preserve"> </v>
      </c>
      <c r="EC33" s="46" t="str">
        <f t="shared" si="66"/>
        <v xml:space="preserve"> </v>
      </c>
      <c r="ED33" s="46"/>
      <c r="EE33" s="52">
        <f>[2]uts!J32</f>
        <v>75</v>
      </c>
      <c r="EF33" s="51"/>
      <c r="EG33" s="53" t="str">
        <f t="shared" si="67"/>
        <v xml:space="preserve">  </v>
      </c>
      <c r="EH33" s="53" t="str">
        <f t="shared" si="68"/>
        <v xml:space="preserve">  </v>
      </c>
      <c r="EI33" s="53" t="str">
        <f t="shared" si="69"/>
        <v xml:space="preserve">  </v>
      </c>
      <c r="EJ33" s="53" t="str">
        <f t="shared" si="70"/>
        <v xml:space="preserve">  </v>
      </c>
      <c r="EK33" s="53" t="str">
        <f t="shared" si="71"/>
        <v xml:space="preserve">  </v>
      </c>
      <c r="EL33" s="53" t="str">
        <f t="shared" si="72"/>
        <v xml:space="preserve">  </v>
      </c>
      <c r="EM33" s="53" t="str">
        <f t="shared" si="73"/>
        <v xml:space="preserve">  </v>
      </c>
      <c r="EN33" s="53" t="str">
        <f t="shared" si="74"/>
        <v xml:space="preserve">  </v>
      </c>
      <c r="EO33" s="53" t="str">
        <f t="shared" si="75"/>
        <v xml:space="preserve">  </v>
      </c>
      <c r="EP33" s="53"/>
      <c r="EQ33" s="52" t="str">
        <f t="shared" si="76"/>
        <v xml:space="preserve"> </v>
      </c>
      <c r="ER33" s="55">
        <f t="shared" si="77"/>
        <v>0</v>
      </c>
      <c r="ES33" s="55">
        <f t="shared" si="78"/>
        <v>0</v>
      </c>
      <c r="ET33" s="51">
        <f>SISWA!E31</f>
        <v>0</v>
      </c>
      <c r="EU33" s="51" t="str">
        <f t="shared" si="79"/>
        <v/>
      </c>
      <c r="EV33" s="56" t="str">
        <f t="shared" si="80"/>
        <v/>
      </c>
      <c r="EW33" s="57" t="str">
        <f t="shared" si="81"/>
        <v/>
      </c>
      <c r="EX33" s="57" t="str">
        <f t="shared" si="82"/>
        <v/>
      </c>
      <c r="EY33" s="57" t="str">
        <f t="shared" si="83"/>
        <v/>
      </c>
      <c r="EZ33" s="57" t="str">
        <f t="shared" si="84"/>
        <v/>
      </c>
      <c r="FA33" s="57" t="str">
        <f t="shared" si="85"/>
        <v/>
      </c>
      <c r="FB33" s="57" t="str">
        <f t="shared" si="86"/>
        <v/>
      </c>
      <c r="FC33" s="57" t="str">
        <f t="shared" si="87"/>
        <v/>
      </c>
      <c r="FD33" s="57" t="str">
        <f t="shared" si="88"/>
        <v/>
      </c>
      <c r="FE33" s="57"/>
      <c r="FF33" s="58">
        <f t="shared" si="89"/>
        <v>0</v>
      </c>
      <c r="FG33" s="55" t="e">
        <f t="shared" si="90"/>
        <v>#N/A</v>
      </c>
      <c r="FH33" s="58"/>
      <c r="FI33" s="59" t="e">
        <f>IF(ER33&gt;100,"",IF(ER33&gt;DQ$1,"sangat baik dalam "&amp;FG33,IF(ER33&gt;=DQ$2,"baik dalam "&amp;FG33,IF(ER33&gt;=DQ$3,"cukup dalam "&amp;FG33,IF(ER33&lt;DQ$3,"dengan bimbingan dapat meningkatkan dalam "&amp;FG33,IF(ER33&lt;1," ",””))))))</f>
        <v>#N/A</v>
      </c>
      <c r="FJ33" s="58"/>
      <c r="FK33" s="57" t="str">
        <f t="shared" si="91"/>
        <v/>
      </c>
      <c r="FL33" s="57" t="str">
        <f t="shared" si="92"/>
        <v/>
      </c>
      <c r="FM33" s="57" t="str">
        <f t="shared" si="93"/>
        <v/>
      </c>
      <c r="FN33" s="57" t="str">
        <f t="shared" si="94"/>
        <v/>
      </c>
      <c r="FO33" s="57" t="str">
        <f t="shared" si="95"/>
        <v/>
      </c>
      <c r="FP33" s="57" t="str">
        <f t="shared" si="96"/>
        <v/>
      </c>
      <c r="FQ33" s="57" t="str">
        <f t="shared" si="97"/>
        <v/>
      </c>
      <c r="FR33" s="57" t="str">
        <f t="shared" si="98"/>
        <v/>
      </c>
      <c r="FS33" s="57" t="str">
        <f t="shared" si="99"/>
        <v/>
      </c>
      <c r="FT33" s="57"/>
      <c r="FU33" s="59" t="e">
        <f t="shared" si="100"/>
        <v>#N/A</v>
      </c>
      <c r="FV33" s="59" t="e">
        <f>IF(ES33&gt;100,"",IF(ES33&gt;DQ$1,"sangat baik dalam "&amp;FU33,IF(ES33&gt;=DQ$2,"baik dalam "&amp;FU33,IF(ES33&gt;=DQ$3,"cukup dalam "&amp;FU33,IF(ES33&lt;DQ$3,"dengan bimbingan dapat meningkatkan dalam "&amp;FU33,IF(ES33&lt;1," ",””))))))</f>
        <v>#N/A</v>
      </c>
      <c r="FW33" s="61"/>
      <c r="FX33" s="62" t="e">
        <f t="shared" si="101"/>
        <v>#N/A</v>
      </c>
      <c r="FY33" s="57" t="str">
        <f t="shared" si="102"/>
        <v/>
      </c>
      <c r="FZ33" s="57" t="str">
        <f t="shared" si="43"/>
        <v/>
      </c>
      <c r="GA33" s="57" t="str">
        <f t="shared" si="44"/>
        <v/>
      </c>
      <c r="GB33" s="57"/>
      <c r="GC33" s="57"/>
      <c r="GD33" s="57"/>
      <c r="GE33" s="59" t="str">
        <f t="shared" si="45"/>
        <v>perlu bimbingan dalam mengklasifikasi informasi yang didapat dari buku ke dalam aspek: apa, di mana, kapan, siapa, mengapa, dan bagaimana</v>
      </c>
      <c r="GF33" s="60"/>
      <c r="GG33" s="61"/>
      <c r="GH33" s="62" t="str">
        <f t="shared" si="103"/>
        <v>, perlu bimbingan dalam mengklasifikasi informasi yang didapat dari buku ke dalam aspek: apa, di mana, kapan, siapa, mengapa, dan bagaimana</v>
      </c>
    </row>
    <row r="34" spans="1:190" ht="42" customHeight="1">
      <c r="A34" s="39">
        <v>27</v>
      </c>
      <c r="B34" s="283">
        <f>SISWA!B32</f>
        <v>0</v>
      </c>
      <c r="C34" s="123"/>
      <c r="D34" s="123"/>
      <c r="E34" s="123"/>
      <c r="F34" s="123"/>
      <c r="G34" s="123"/>
      <c r="H34" s="123"/>
      <c r="I34" s="123"/>
      <c r="J34" s="123"/>
      <c r="K34" s="123"/>
      <c r="L34" s="256"/>
      <c r="M34" s="256"/>
      <c r="N34" s="256"/>
      <c r="O34" s="256"/>
      <c r="P34" s="256"/>
      <c r="Q34" s="256"/>
      <c r="R34" s="256"/>
      <c r="S34" s="256"/>
      <c r="T34" s="256"/>
      <c r="U34" s="123"/>
      <c r="V34" s="123"/>
      <c r="W34" s="123"/>
      <c r="X34" s="123"/>
      <c r="Y34" s="123"/>
      <c r="Z34" s="123"/>
      <c r="AA34" s="123"/>
      <c r="AB34" s="123"/>
      <c r="AC34" s="123"/>
      <c r="AD34" s="256"/>
      <c r="AE34" s="256"/>
      <c r="AF34" s="256"/>
      <c r="AG34" s="256"/>
      <c r="AH34" s="256"/>
      <c r="AI34" s="256"/>
      <c r="AJ34" s="256"/>
      <c r="AK34" s="256"/>
      <c r="AL34" s="256"/>
      <c r="AM34" s="123"/>
      <c r="AN34" s="123"/>
      <c r="AO34" s="123"/>
      <c r="AP34" s="123"/>
      <c r="AQ34" s="123"/>
      <c r="AR34" s="123"/>
      <c r="AS34" s="123"/>
      <c r="AT34" s="123"/>
      <c r="AU34" s="123"/>
      <c r="AV34" s="256"/>
      <c r="AW34" s="256"/>
      <c r="AX34" s="256"/>
      <c r="AY34" s="256"/>
      <c r="AZ34" s="256"/>
      <c r="BA34" s="256"/>
      <c r="BB34" s="256"/>
      <c r="BC34" s="256"/>
      <c r="BD34" s="256"/>
      <c r="BE34" s="123"/>
      <c r="BF34" s="123"/>
      <c r="BG34" s="123"/>
      <c r="BH34" s="123"/>
      <c r="BI34" s="123"/>
      <c r="BJ34" s="123"/>
      <c r="BK34" s="123"/>
      <c r="BL34" s="123"/>
      <c r="BM34" s="123"/>
      <c r="BN34" s="256"/>
      <c r="BO34" s="256"/>
      <c r="BP34" s="256"/>
      <c r="BQ34" s="256"/>
      <c r="BR34" s="256"/>
      <c r="BS34" s="256"/>
      <c r="BT34" s="256"/>
      <c r="BU34" s="256"/>
      <c r="BV34" s="256"/>
      <c r="BW34" s="460"/>
      <c r="BX34" s="460"/>
      <c r="BY34" s="460"/>
      <c r="BZ34" s="460"/>
      <c r="CA34" s="460"/>
      <c r="CB34" s="460"/>
      <c r="CC34" s="460"/>
      <c r="CD34" s="460"/>
      <c r="CE34" s="460"/>
      <c r="CF34" s="346"/>
      <c r="CG34" s="346"/>
      <c r="CH34" s="346"/>
      <c r="CI34" s="346"/>
      <c r="CJ34" s="346"/>
      <c r="CK34" s="346"/>
      <c r="CL34" s="346"/>
      <c r="CM34" s="346"/>
      <c r="CN34" s="346"/>
      <c r="CO34" s="260" t="str">
        <f t="shared" si="46"/>
        <v xml:space="preserve"> </v>
      </c>
      <c r="CP34" s="260" t="str">
        <f t="shared" si="47"/>
        <v xml:space="preserve"> </v>
      </c>
      <c r="CQ34" s="260" t="str">
        <f t="shared" si="48"/>
        <v xml:space="preserve"> </v>
      </c>
      <c r="CR34" s="260" t="str">
        <f t="shared" si="49"/>
        <v xml:space="preserve"> </v>
      </c>
      <c r="CS34" s="260" t="str">
        <f t="shared" si="50"/>
        <v xml:space="preserve"> </v>
      </c>
      <c r="CT34" s="260" t="str">
        <f t="shared" si="51"/>
        <v xml:space="preserve"> </v>
      </c>
      <c r="CU34" s="260" t="str">
        <f t="shared" si="52"/>
        <v xml:space="preserve"> </v>
      </c>
      <c r="CV34" s="260" t="str">
        <f t="shared" si="53"/>
        <v xml:space="preserve"> </v>
      </c>
      <c r="CW34" s="260" t="str">
        <f t="shared" si="54"/>
        <v xml:space="preserve"> </v>
      </c>
      <c r="CX34" s="547"/>
      <c r="CY34" s="547"/>
      <c r="CZ34" s="547"/>
      <c r="DA34" s="547"/>
      <c r="DB34" s="547"/>
      <c r="DC34" s="547"/>
      <c r="DD34" s="547"/>
      <c r="DE34" s="547"/>
      <c r="DF34" s="547"/>
      <c r="DG34" s="548"/>
      <c r="DH34" s="548"/>
      <c r="DI34" s="548"/>
      <c r="DJ34" s="548"/>
      <c r="DK34" s="548"/>
      <c r="DL34" s="548"/>
      <c r="DM34" s="548"/>
      <c r="DN34" s="548"/>
      <c r="DO34" s="548"/>
      <c r="DP34" s="550" t="str">
        <f t="shared" si="55"/>
        <v xml:space="preserve"> </v>
      </c>
      <c r="DQ34" s="291" t="str">
        <f t="shared" si="56"/>
        <v xml:space="preserve">  </v>
      </c>
      <c r="DR34" s="553" t="str">
        <f t="shared" si="57"/>
        <v xml:space="preserve"> </v>
      </c>
      <c r="DS34" s="282"/>
      <c r="DT34" s="51"/>
      <c r="DU34" s="46" t="str">
        <f t="shared" si="58"/>
        <v xml:space="preserve"> </v>
      </c>
      <c r="DV34" s="46" t="str">
        <f t="shared" si="59"/>
        <v xml:space="preserve"> </v>
      </c>
      <c r="DW34" s="46" t="str">
        <f t="shared" si="60"/>
        <v xml:space="preserve"> </v>
      </c>
      <c r="DX34" s="46" t="str">
        <f t="shared" si="61"/>
        <v xml:space="preserve"> </v>
      </c>
      <c r="DY34" s="46" t="str">
        <f t="shared" si="62"/>
        <v xml:space="preserve"> </v>
      </c>
      <c r="DZ34" s="46" t="str">
        <f t="shared" si="63"/>
        <v xml:space="preserve"> </v>
      </c>
      <c r="EA34" s="46" t="str">
        <f t="shared" si="64"/>
        <v xml:space="preserve"> </v>
      </c>
      <c r="EB34" s="46" t="str">
        <f t="shared" si="65"/>
        <v xml:space="preserve"> </v>
      </c>
      <c r="EC34" s="46" t="str">
        <f t="shared" si="66"/>
        <v xml:space="preserve"> </v>
      </c>
      <c r="ED34" s="46"/>
      <c r="EE34" s="52">
        <f>[2]uts!J33</f>
        <v>76.333333333333329</v>
      </c>
      <c r="EF34" s="51"/>
      <c r="EG34" s="53" t="str">
        <f t="shared" si="67"/>
        <v xml:space="preserve">  </v>
      </c>
      <c r="EH34" s="53" t="str">
        <f t="shared" si="68"/>
        <v xml:space="preserve">  </v>
      </c>
      <c r="EI34" s="53" t="str">
        <f t="shared" si="69"/>
        <v xml:space="preserve">  </v>
      </c>
      <c r="EJ34" s="53" t="str">
        <f t="shared" si="70"/>
        <v xml:space="preserve">  </v>
      </c>
      <c r="EK34" s="53" t="str">
        <f t="shared" si="71"/>
        <v xml:space="preserve">  </v>
      </c>
      <c r="EL34" s="53" t="str">
        <f t="shared" si="72"/>
        <v xml:space="preserve">  </v>
      </c>
      <c r="EM34" s="53" t="str">
        <f t="shared" si="73"/>
        <v xml:space="preserve">  </v>
      </c>
      <c r="EN34" s="53" t="str">
        <f t="shared" si="74"/>
        <v xml:space="preserve">  </v>
      </c>
      <c r="EO34" s="53" t="str">
        <f t="shared" si="75"/>
        <v xml:space="preserve">  </v>
      </c>
      <c r="EP34" s="53"/>
      <c r="EQ34" s="52" t="str">
        <f t="shared" si="76"/>
        <v xml:space="preserve"> </v>
      </c>
      <c r="ER34" s="55">
        <f t="shared" si="77"/>
        <v>0</v>
      </c>
      <c r="ES34" s="55">
        <f t="shared" si="78"/>
        <v>0</v>
      </c>
      <c r="ET34" s="51">
        <f>SISWA!E32</f>
        <v>0</v>
      </c>
      <c r="EU34" s="51" t="str">
        <f t="shared" si="79"/>
        <v/>
      </c>
      <c r="EV34" s="56" t="str">
        <f t="shared" si="80"/>
        <v/>
      </c>
      <c r="EW34" s="57" t="str">
        <f t="shared" si="81"/>
        <v/>
      </c>
      <c r="EX34" s="57" t="str">
        <f t="shared" si="82"/>
        <v/>
      </c>
      <c r="EY34" s="57" t="str">
        <f t="shared" si="83"/>
        <v/>
      </c>
      <c r="EZ34" s="57" t="str">
        <f t="shared" si="84"/>
        <v/>
      </c>
      <c r="FA34" s="57" t="str">
        <f t="shared" si="85"/>
        <v/>
      </c>
      <c r="FB34" s="57" t="str">
        <f t="shared" si="86"/>
        <v/>
      </c>
      <c r="FC34" s="57" t="str">
        <f t="shared" si="87"/>
        <v/>
      </c>
      <c r="FD34" s="57" t="str">
        <f t="shared" si="88"/>
        <v/>
      </c>
      <c r="FE34" s="57"/>
      <c r="FF34" s="58">
        <f t="shared" si="89"/>
        <v>0</v>
      </c>
      <c r="FG34" s="55" t="e">
        <f t="shared" si="90"/>
        <v>#N/A</v>
      </c>
      <c r="FH34" s="58"/>
      <c r="FI34" s="59" t="e">
        <f>IF(ER34&gt;100,"",IF(ER34&gt;DQ$1,"sangat baik dalam "&amp;FG34,IF(ER34&gt;=DQ$2,"baik dalam "&amp;FG34,IF(ER34&gt;=DQ$3,"cukup dalam "&amp;FG34,IF(ER34&lt;DQ$3,"dengan bimbingan dapat meningkatkan dalam "&amp;FG34,IF(ER34&lt;1," ",””))))))</f>
        <v>#N/A</v>
      </c>
      <c r="FJ34" s="58"/>
      <c r="FK34" s="57" t="str">
        <f t="shared" si="91"/>
        <v/>
      </c>
      <c r="FL34" s="57" t="str">
        <f t="shared" si="92"/>
        <v/>
      </c>
      <c r="FM34" s="57" t="str">
        <f t="shared" si="93"/>
        <v/>
      </c>
      <c r="FN34" s="57" t="str">
        <f t="shared" si="94"/>
        <v/>
      </c>
      <c r="FO34" s="57" t="str">
        <f t="shared" si="95"/>
        <v/>
      </c>
      <c r="FP34" s="57" t="str">
        <f t="shared" si="96"/>
        <v/>
      </c>
      <c r="FQ34" s="57" t="str">
        <f t="shared" si="97"/>
        <v/>
      </c>
      <c r="FR34" s="57" t="str">
        <f t="shared" si="98"/>
        <v/>
      </c>
      <c r="FS34" s="57" t="str">
        <f t="shared" si="99"/>
        <v/>
      </c>
      <c r="FT34" s="57"/>
      <c r="FU34" s="59" t="e">
        <f t="shared" si="100"/>
        <v>#N/A</v>
      </c>
      <c r="FV34" s="59" t="e">
        <f>IF(ES34&gt;100,"",IF(ES34&gt;DQ$1,"sangat baik dalam "&amp;FU34,IF(ES34&gt;=DQ$2,"baik dalam "&amp;FU34,IF(ES34&gt;=DQ$3,"cukup dalam "&amp;FU34,IF(ES34&lt;DQ$3,"dengan bimbingan dapat meningkatkan dalam "&amp;FU34,IF(ES34&lt;1," ",””))))))</f>
        <v>#N/A</v>
      </c>
      <c r="FW34" s="61"/>
      <c r="FX34" s="62" t="e">
        <f t="shared" si="101"/>
        <v>#N/A</v>
      </c>
      <c r="FY34" s="57" t="str">
        <f t="shared" si="102"/>
        <v/>
      </c>
      <c r="FZ34" s="57" t="str">
        <f t="shared" si="43"/>
        <v/>
      </c>
      <c r="GA34" s="57" t="str">
        <f t="shared" si="44"/>
        <v/>
      </c>
      <c r="GB34" s="57"/>
      <c r="GC34" s="57"/>
      <c r="GD34" s="57"/>
      <c r="GE34" s="59" t="str">
        <f t="shared" si="45"/>
        <v>perlu bimbingan dalam mengklasifikasi informasi yang didapat dari buku ke dalam aspek: apa, di mana, kapan, siapa, mengapa, dan bagaimana</v>
      </c>
      <c r="GF34" s="60"/>
      <c r="GG34" s="61"/>
      <c r="GH34" s="62" t="str">
        <f t="shared" si="103"/>
        <v>, perlu bimbingan dalam mengklasifikasi informasi yang didapat dari buku ke dalam aspek: apa, di mana, kapan, siapa, mengapa, dan bagaimana</v>
      </c>
    </row>
    <row r="35" spans="1:190" ht="42" customHeight="1">
      <c r="A35" s="39">
        <v>28</v>
      </c>
      <c r="B35" s="283">
        <f>SISWA!B33</f>
        <v>0</v>
      </c>
      <c r="C35" s="123"/>
      <c r="D35" s="123"/>
      <c r="E35" s="123"/>
      <c r="F35" s="123"/>
      <c r="G35" s="123"/>
      <c r="H35" s="123"/>
      <c r="I35" s="123"/>
      <c r="J35" s="123"/>
      <c r="K35" s="123"/>
      <c r="L35" s="256"/>
      <c r="M35" s="256"/>
      <c r="N35" s="256"/>
      <c r="O35" s="256"/>
      <c r="P35" s="256"/>
      <c r="Q35" s="256"/>
      <c r="R35" s="256"/>
      <c r="S35" s="256"/>
      <c r="T35" s="256"/>
      <c r="U35" s="123"/>
      <c r="V35" s="123"/>
      <c r="W35" s="123"/>
      <c r="X35" s="123"/>
      <c r="Y35" s="123"/>
      <c r="Z35" s="123"/>
      <c r="AA35" s="123"/>
      <c r="AB35" s="123"/>
      <c r="AC35" s="123"/>
      <c r="AD35" s="256"/>
      <c r="AE35" s="256"/>
      <c r="AF35" s="256"/>
      <c r="AG35" s="256"/>
      <c r="AH35" s="256"/>
      <c r="AI35" s="256"/>
      <c r="AJ35" s="256"/>
      <c r="AK35" s="256"/>
      <c r="AL35" s="256"/>
      <c r="AM35" s="123"/>
      <c r="AN35" s="123"/>
      <c r="AO35" s="123"/>
      <c r="AP35" s="123"/>
      <c r="AQ35" s="123"/>
      <c r="AR35" s="123"/>
      <c r="AS35" s="123"/>
      <c r="AT35" s="123"/>
      <c r="AU35" s="123"/>
      <c r="AV35" s="256"/>
      <c r="AW35" s="256"/>
      <c r="AX35" s="256"/>
      <c r="AY35" s="256"/>
      <c r="AZ35" s="256"/>
      <c r="BA35" s="256"/>
      <c r="BB35" s="256"/>
      <c r="BC35" s="256"/>
      <c r="BD35" s="256"/>
      <c r="BE35" s="123"/>
      <c r="BF35" s="123"/>
      <c r="BG35" s="123"/>
      <c r="BH35" s="123"/>
      <c r="BI35" s="123"/>
      <c r="BJ35" s="123"/>
      <c r="BK35" s="123"/>
      <c r="BL35" s="123"/>
      <c r="BM35" s="123"/>
      <c r="BN35" s="256"/>
      <c r="BO35" s="256"/>
      <c r="BP35" s="256"/>
      <c r="BQ35" s="256"/>
      <c r="BR35" s="256"/>
      <c r="BS35" s="256"/>
      <c r="BT35" s="256"/>
      <c r="BU35" s="256"/>
      <c r="BV35" s="256"/>
      <c r="BW35" s="460"/>
      <c r="BX35" s="460"/>
      <c r="BY35" s="460"/>
      <c r="BZ35" s="460"/>
      <c r="CA35" s="460"/>
      <c r="CB35" s="460"/>
      <c r="CC35" s="460"/>
      <c r="CD35" s="460"/>
      <c r="CE35" s="460"/>
      <c r="CF35" s="346"/>
      <c r="CG35" s="346"/>
      <c r="CH35" s="346"/>
      <c r="CI35" s="346"/>
      <c r="CJ35" s="346"/>
      <c r="CK35" s="346"/>
      <c r="CL35" s="346"/>
      <c r="CM35" s="346"/>
      <c r="CN35" s="346"/>
      <c r="CO35" s="260" t="str">
        <f t="shared" si="46"/>
        <v xml:space="preserve"> </v>
      </c>
      <c r="CP35" s="260" t="str">
        <f t="shared" si="47"/>
        <v xml:space="preserve"> </v>
      </c>
      <c r="CQ35" s="260" t="str">
        <f t="shared" si="48"/>
        <v xml:space="preserve"> </v>
      </c>
      <c r="CR35" s="260" t="str">
        <f t="shared" si="49"/>
        <v xml:space="preserve"> </v>
      </c>
      <c r="CS35" s="260" t="str">
        <f t="shared" si="50"/>
        <v xml:space="preserve"> </v>
      </c>
      <c r="CT35" s="260" t="str">
        <f t="shared" si="51"/>
        <v xml:space="preserve"> </v>
      </c>
      <c r="CU35" s="260" t="str">
        <f t="shared" si="52"/>
        <v xml:space="preserve"> </v>
      </c>
      <c r="CV35" s="260" t="str">
        <f t="shared" si="53"/>
        <v xml:space="preserve"> </v>
      </c>
      <c r="CW35" s="260" t="str">
        <f t="shared" si="54"/>
        <v xml:space="preserve"> </v>
      </c>
      <c r="CX35" s="547"/>
      <c r="CY35" s="547"/>
      <c r="CZ35" s="547"/>
      <c r="DA35" s="547"/>
      <c r="DB35" s="547"/>
      <c r="DC35" s="547"/>
      <c r="DD35" s="547"/>
      <c r="DE35" s="547"/>
      <c r="DF35" s="547"/>
      <c r="DG35" s="548"/>
      <c r="DH35" s="548"/>
      <c r="DI35" s="548"/>
      <c r="DJ35" s="548"/>
      <c r="DK35" s="548"/>
      <c r="DL35" s="548"/>
      <c r="DM35" s="548"/>
      <c r="DN35" s="548"/>
      <c r="DO35" s="548"/>
      <c r="DP35" s="550" t="str">
        <f t="shared" si="55"/>
        <v xml:space="preserve"> </v>
      </c>
      <c r="DQ35" s="291" t="str">
        <f t="shared" si="56"/>
        <v xml:space="preserve">  </v>
      </c>
      <c r="DR35" s="553" t="str">
        <f t="shared" si="57"/>
        <v xml:space="preserve"> </v>
      </c>
      <c r="DS35" s="282"/>
      <c r="DT35" s="51"/>
      <c r="DU35" s="46" t="str">
        <f t="shared" si="58"/>
        <v xml:space="preserve"> </v>
      </c>
      <c r="DV35" s="46" t="str">
        <f t="shared" si="59"/>
        <v xml:space="preserve"> </v>
      </c>
      <c r="DW35" s="46" t="str">
        <f t="shared" si="60"/>
        <v xml:space="preserve"> </v>
      </c>
      <c r="DX35" s="46" t="str">
        <f t="shared" si="61"/>
        <v xml:space="preserve"> </v>
      </c>
      <c r="DY35" s="46" t="str">
        <f t="shared" si="62"/>
        <v xml:space="preserve"> </v>
      </c>
      <c r="DZ35" s="46" t="str">
        <f t="shared" si="63"/>
        <v xml:space="preserve"> </v>
      </c>
      <c r="EA35" s="46" t="str">
        <f t="shared" si="64"/>
        <v xml:space="preserve"> </v>
      </c>
      <c r="EB35" s="46" t="str">
        <f t="shared" si="65"/>
        <v xml:space="preserve"> </v>
      </c>
      <c r="EC35" s="46" t="str">
        <f t="shared" si="66"/>
        <v xml:space="preserve"> </v>
      </c>
      <c r="ED35" s="46"/>
      <c r="EE35" s="52">
        <f>[2]uts!J34</f>
        <v>73</v>
      </c>
      <c r="EF35" s="51"/>
      <c r="EG35" s="53" t="str">
        <f t="shared" si="67"/>
        <v xml:space="preserve">  </v>
      </c>
      <c r="EH35" s="53" t="str">
        <f t="shared" si="68"/>
        <v xml:space="preserve">  </v>
      </c>
      <c r="EI35" s="53" t="str">
        <f t="shared" si="69"/>
        <v xml:space="preserve">  </v>
      </c>
      <c r="EJ35" s="53" t="str">
        <f t="shared" si="70"/>
        <v xml:space="preserve">  </v>
      </c>
      <c r="EK35" s="53" t="str">
        <f t="shared" si="71"/>
        <v xml:space="preserve">  </v>
      </c>
      <c r="EL35" s="53" t="str">
        <f t="shared" si="72"/>
        <v xml:space="preserve">  </v>
      </c>
      <c r="EM35" s="53" t="str">
        <f t="shared" si="73"/>
        <v xml:space="preserve">  </v>
      </c>
      <c r="EN35" s="53" t="str">
        <f t="shared" si="74"/>
        <v xml:space="preserve">  </v>
      </c>
      <c r="EO35" s="53" t="str">
        <f t="shared" si="75"/>
        <v xml:space="preserve">  </v>
      </c>
      <c r="EP35" s="53"/>
      <c r="EQ35" s="52" t="str">
        <f t="shared" si="76"/>
        <v xml:space="preserve"> </v>
      </c>
      <c r="ER35" s="55">
        <f t="shared" si="77"/>
        <v>0</v>
      </c>
      <c r="ES35" s="55">
        <f t="shared" si="78"/>
        <v>0</v>
      </c>
      <c r="ET35" s="51">
        <f>SISWA!E33</f>
        <v>0</v>
      </c>
      <c r="EU35" s="51" t="str">
        <f t="shared" si="79"/>
        <v/>
      </c>
      <c r="EV35" s="56" t="str">
        <f t="shared" si="80"/>
        <v/>
      </c>
      <c r="EW35" s="57" t="str">
        <f t="shared" si="81"/>
        <v/>
      </c>
      <c r="EX35" s="57" t="str">
        <f t="shared" si="82"/>
        <v/>
      </c>
      <c r="EY35" s="57" t="str">
        <f t="shared" si="83"/>
        <v/>
      </c>
      <c r="EZ35" s="57" t="str">
        <f t="shared" si="84"/>
        <v/>
      </c>
      <c r="FA35" s="57" t="str">
        <f t="shared" si="85"/>
        <v/>
      </c>
      <c r="FB35" s="57" t="str">
        <f t="shared" si="86"/>
        <v/>
      </c>
      <c r="FC35" s="57" t="str">
        <f t="shared" si="87"/>
        <v/>
      </c>
      <c r="FD35" s="57" t="str">
        <f t="shared" si="88"/>
        <v/>
      </c>
      <c r="FE35" s="57"/>
      <c r="FF35" s="58">
        <f t="shared" si="89"/>
        <v>0</v>
      </c>
      <c r="FG35" s="55" t="e">
        <f t="shared" si="90"/>
        <v>#N/A</v>
      </c>
      <c r="FH35" s="58"/>
      <c r="FI35" s="59" t="e">
        <f>IF(ER35&gt;100,"",IF(ER35&gt;DQ$1,"sangat baik dalam "&amp;FG35,IF(ER35&gt;=DQ$2,"baik dalam "&amp;FG35,IF(ER35&gt;=DQ$3,"cukup dalam "&amp;FG35,IF(ER35&lt;DQ$3,"dengan bimbingan dapat meningkatkan dalam "&amp;FG35,IF(ER35&lt;1," ",””))))))</f>
        <v>#N/A</v>
      </c>
      <c r="FJ35" s="58"/>
      <c r="FK35" s="57" t="str">
        <f t="shared" si="91"/>
        <v/>
      </c>
      <c r="FL35" s="57" t="str">
        <f t="shared" si="92"/>
        <v/>
      </c>
      <c r="FM35" s="57" t="str">
        <f t="shared" si="93"/>
        <v/>
      </c>
      <c r="FN35" s="57" t="str">
        <f t="shared" si="94"/>
        <v/>
      </c>
      <c r="FO35" s="57" t="str">
        <f t="shared" si="95"/>
        <v/>
      </c>
      <c r="FP35" s="57" t="str">
        <f t="shared" si="96"/>
        <v/>
      </c>
      <c r="FQ35" s="57" t="str">
        <f t="shared" si="97"/>
        <v/>
      </c>
      <c r="FR35" s="57" t="str">
        <f t="shared" si="98"/>
        <v/>
      </c>
      <c r="FS35" s="57" t="str">
        <f t="shared" si="99"/>
        <v/>
      </c>
      <c r="FT35" s="57"/>
      <c r="FU35" s="59" t="e">
        <f t="shared" si="100"/>
        <v>#N/A</v>
      </c>
      <c r="FV35" s="59" t="e">
        <f>IF(ES35&gt;100,"",IF(ES35&gt;DQ$1,"sangat baik dalam "&amp;FU35,IF(ES35&gt;=DQ$2,"baik dalam "&amp;FU35,IF(ES35&gt;=DQ$3,"cukup dalam "&amp;FU35,IF(ES35&lt;DQ$3,"dengan bimbingan dapat meningkatkan dalam "&amp;FU35,IF(ES35&lt;1," ",””))))))</f>
        <v>#N/A</v>
      </c>
      <c r="FW35" s="61"/>
      <c r="FX35" s="62" t="e">
        <f t="shared" si="101"/>
        <v>#N/A</v>
      </c>
      <c r="FY35" s="57" t="str">
        <f t="shared" si="102"/>
        <v/>
      </c>
      <c r="FZ35" s="57" t="str">
        <f t="shared" si="43"/>
        <v/>
      </c>
      <c r="GA35" s="57" t="str">
        <f t="shared" si="44"/>
        <v/>
      </c>
      <c r="GB35" s="57"/>
      <c r="GC35" s="57"/>
      <c r="GD35" s="57"/>
      <c r="GE35" s="59" t="str">
        <f t="shared" si="45"/>
        <v>perlu bimbingan dalam mengklasifikasi informasi yang didapat dari buku ke dalam aspek: apa, di mana, kapan, siapa, mengapa, dan bagaimana</v>
      </c>
      <c r="GF35" s="60"/>
      <c r="GG35" s="61"/>
      <c r="GH35" s="62" t="str">
        <f t="shared" si="103"/>
        <v>, perlu bimbingan dalam mengklasifikasi informasi yang didapat dari buku ke dalam aspek: apa, di mana, kapan, siapa, mengapa, dan bagaimana</v>
      </c>
    </row>
    <row r="36" spans="1:190" ht="42" customHeight="1">
      <c r="A36" s="39">
        <v>29</v>
      </c>
      <c r="B36" s="283">
        <f>SISWA!B34</f>
        <v>0</v>
      </c>
      <c r="C36" s="123"/>
      <c r="D36" s="123"/>
      <c r="E36" s="123"/>
      <c r="F36" s="123"/>
      <c r="G36" s="123"/>
      <c r="H36" s="123"/>
      <c r="I36" s="123"/>
      <c r="J36" s="123"/>
      <c r="K36" s="123"/>
      <c r="L36" s="256"/>
      <c r="M36" s="256"/>
      <c r="N36" s="256"/>
      <c r="O36" s="256"/>
      <c r="P36" s="256"/>
      <c r="Q36" s="256"/>
      <c r="R36" s="256"/>
      <c r="S36" s="256"/>
      <c r="T36" s="256"/>
      <c r="U36" s="123"/>
      <c r="V36" s="123"/>
      <c r="W36" s="123"/>
      <c r="X36" s="123"/>
      <c r="Y36" s="123"/>
      <c r="Z36" s="123"/>
      <c r="AA36" s="123"/>
      <c r="AB36" s="123"/>
      <c r="AC36" s="123"/>
      <c r="AD36" s="256"/>
      <c r="AE36" s="256"/>
      <c r="AF36" s="256"/>
      <c r="AG36" s="256"/>
      <c r="AH36" s="256"/>
      <c r="AI36" s="256"/>
      <c r="AJ36" s="256"/>
      <c r="AK36" s="256"/>
      <c r="AL36" s="256"/>
      <c r="AM36" s="123"/>
      <c r="AN36" s="123"/>
      <c r="AO36" s="123"/>
      <c r="AP36" s="123"/>
      <c r="AQ36" s="123"/>
      <c r="AR36" s="123"/>
      <c r="AS36" s="123"/>
      <c r="AT36" s="123"/>
      <c r="AU36" s="123"/>
      <c r="AV36" s="256"/>
      <c r="AW36" s="256"/>
      <c r="AX36" s="256"/>
      <c r="AY36" s="256"/>
      <c r="AZ36" s="256"/>
      <c r="BA36" s="256"/>
      <c r="BB36" s="256"/>
      <c r="BC36" s="256"/>
      <c r="BD36" s="256"/>
      <c r="BE36" s="123"/>
      <c r="BF36" s="123"/>
      <c r="BG36" s="123"/>
      <c r="BH36" s="123"/>
      <c r="BI36" s="123"/>
      <c r="BJ36" s="123"/>
      <c r="BK36" s="123"/>
      <c r="BL36" s="123"/>
      <c r="BM36" s="123"/>
      <c r="BN36" s="256"/>
      <c r="BO36" s="256"/>
      <c r="BP36" s="256"/>
      <c r="BQ36" s="256"/>
      <c r="BR36" s="256"/>
      <c r="BS36" s="256"/>
      <c r="BT36" s="256"/>
      <c r="BU36" s="256"/>
      <c r="BV36" s="256"/>
      <c r="BW36" s="460"/>
      <c r="BX36" s="460"/>
      <c r="BY36" s="460"/>
      <c r="BZ36" s="460"/>
      <c r="CA36" s="460"/>
      <c r="CB36" s="460"/>
      <c r="CC36" s="460"/>
      <c r="CD36" s="460"/>
      <c r="CE36" s="460"/>
      <c r="CF36" s="346"/>
      <c r="CG36" s="346"/>
      <c r="CH36" s="346"/>
      <c r="CI36" s="346"/>
      <c r="CJ36" s="346"/>
      <c r="CK36" s="346"/>
      <c r="CL36" s="346"/>
      <c r="CM36" s="346"/>
      <c r="CN36" s="346"/>
      <c r="CO36" s="260" t="str">
        <f t="shared" si="46"/>
        <v xml:space="preserve"> </v>
      </c>
      <c r="CP36" s="260" t="str">
        <f t="shared" si="47"/>
        <v xml:space="preserve"> </v>
      </c>
      <c r="CQ36" s="260" t="str">
        <f t="shared" si="48"/>
        <v xml:space="preserve"> </v>
      </c>
      <c r="CR36" s="260" t="str">
        <f t="shared" si="49"/>
        <v xml:space="preserve"> </v>
      </c>
      <c r="CS36" s="260" t="str">
        <f t="shared" si="50"/>
        <v xml:space="preserve"> </v>
      </c>
      <c r="CT36" s="260" t="str">
        <f t="shared" si="51"/>
        <v xml:space="preserve"> </v>
      </c>
      <c r="CU36" s="260" t="str">
        <f t="shared" si="52"/>
        <v xml:space="preserve"> </v>
      </c>
      <c r="CV36" s="260" t="str">
        <f t="shared" si="53"/>
        <v xml:space="preserve"> </v>
      </c>
      <c r="CW36" s="260" t="str">
        <f t="shared" si="54"/>
        <v xml:space="preserve"> </v>
      </c>
      <c r="CX36" s="547"/>
      <c r="CY36" s="547"/>
      <c r="CZ36" s="547"/>
      <c r="DA36" s="547"/>
      <c r="DB36" s="547"/>
      <c r="DC36" s="547"/>
      <c r="DD36" s="547"/>
      <c r="DE36" s="547"/>
      <c r="DF36" s="547"/>
      <c r="DG36" s="548"/>
      <c r="DH36" s="548"/>
      <c r="DI36" s="548"/>
      <c r="DJ36" s="548"/>
      <c r="DK36" s="548"/>
      <c r="DL36" s="548"/>
      <c r="DM36" s="548"/>
      <c r="DN36" s="548"/>
      <c r="DO36" s="548"/>
      <c r="DP36" s="550" t="str">
        <f t="shared" si="55"/>
        <v xml:space="preserve"> </v>
      </c>
      <c r="DQ36" s="291" t="str">
        <f t="shared" si="56"/>
        <v xml:space="preserve">  </v>
      </c>
      <c r="DR36" s="553" t="str">
        <f t="shared" si="57"/>
        <v xml:space="preserve"> </v>
      </c>
      <c r="DS36" s="282"/>
      <c r="DT36" s="51"/>
      <c r="DU36" s="46" t="str">
        <f t="shared" si="58"/>
        <v xml:space="preserve"> </v>
      </c>
      <c r="DV36" s="46" t="str">
        <f t="shared" si="59"/>
        <v xml:space="preserve"> </v>
      </c>
      <c r="DW36" s="46" t="str">
        <f t="shared" si="60"/>
        <v xml:space="preserve"> </v>
      </c>
      <c r="DX36" s="46" t="str">
        <f t="shared" si="61"/>
        <v xml:space="preserve"> </v>
      </c>
      <c r="DY36" s="46" t="str">
        <f t="shared" si="62"/>
        <v xml:space="preserve"> </v>
      </c>
      <c r="DZ36" s="46" t="str">
        <f t="shared" si="63"/>
        <v xml:space="preserve"> </v>
      </c>
      <c r="EA36" s="46" t="str">
        <f t="shared" si="64"/>
        <v xml:space="preserve"> </v>
      </c>
      <c r="EB36" s="46" t="str">
        <f t="shared" si="65"/>
        <v xml:space="preserve"> </v>
      </c>
      <c r="EC36" s="46" t="str">
        <f t="shared" si="66"/>
        <v xml:space="preserve"> </v>
      </c>
      <c r="ED36" s="46"/>
      <c r="EE36" s="52" t="str">
        <f>[2]uts!J35</f>
        <v/>
      </c>
      <c r="EF36" s="51"/>
      <c r="EG36" s="53" t="str">
        <f t="shared" si="67"/>
        <v xml:space="preserve">  </v>
      </c>
      <c r="EH36" s="53" t="str">
        <f t="shared" si="68"/>
        <v xml:space="preserve">  </v>
      </c>
      <c r="EI36" s="53" t="str">
        <f t="shared" si="69"/>
        <v xml:space="preserve">  </v>
      </c>
      <c r="EJ36" s="53" t="str">
        <f t="shared" si="70"/>
        <v xml:space="preserve">  </v>
      </c>
      <c r="EK36" s="53" t="str">
        <f t="shared" si="71"/>
        <v xml:space="preserve">  </v>
      </c>
      <c r="EL36" s="53" t="str">
        <f t="shared" si="72"/>
        <v xml:space="preserve">  </v>
      </c>
      <c r="EM36" s="53" t="str">
        <f t="shared" si="73"/>
        <v xml:space="preserve">  </v>
      </c>
      <c r="EN36" s="53" t="str">
        <f t="shared" si="74"/>
        <v xml:space="preserve">  </v>
      </c>
      <c r="EO36" s="53" t="str">
        <f t="shared" si="75"/>
        <v xml:space="preserve">  </v>
      </c>
      <c r="EP36" s="53"/>
      <c r="EQ36" s="52" t="str">
        <f t="shared" si="76"/>
        <v xml:space="preserve"> </v>
      </c>
      <c r="ER36" s="55">
        <f t="shared" si="77"/>
        <v>0</v>
      </c>
      <c r="ES36" s="55">
        <f t="shared" si="78"/>
        <v>0</v>
      </c>
      <c r="ET36" s="51">
        <f>SISWA!E34</f>
        <v>0</v>
      </c>
      <c r="EU36" s="51" t="str">
        <f t="shared" si="79"/>
        <v/>
      </c>
      <c r="EV36" s="56" t="str">
        <f t="shared" si="80"/>
        <v/>
      </c>
      <c r="EW36" s="57" t="str">
        <f t="shared" si="81"/>
        <v/>
      </c>
      <c r="EX36" s="57" t="str">
        <f t="shared" si="82"/>
        <v/>
      </c>
      <c r="EY36" s="57" t="str">
        <f t="shared" si="83"/>
        <v/>
      </c>
      <c r="EZ36" s="57" t="str">
        <f t="shared" si="84"/>
        <v/>
      </c>
      <c r="FA36" s="57" t="str">
        <f t="shared" si="85"/>
        <v/>
      </c>
      <c r="FB36" s="57" t="str">
        <f t="shared" si="86"/>
        <v/>
      </c>
      <c r="FC36" s="57" t="str">
        <f t="shared" si="87"/>
        <v/>
      </c>
      <c r="FD36" s="57" t="str">
        <f t="shared" si="88"/>
        <v/>
      </c>
      <c r="FE36" s="57"/>
      <c r="FF36" s="58">
        <f t="shared" si="89"/>
        <v>0</v>
      </c>
      <c r="FG36" s="55" t="e">
        <f t="shared" si="90"/>
        <v>#N/A</v>
      </c>
      <c r="FH36" s="58"/>
      <c r="FI36" s="59" t="e">
        <f>IF(ER36&gt;100,"",IF(ER36&gt;DQ$1,"sangat baik dalam "&amp;FG36,IF(ER36&gt;=DQ$2,"baik dalam "&amp;FG36,IF(ER36&gt;=DQ$3,"cukup dalam "&amp;FG36,IF(ER36&lt;DQ$3,"dengan bimbingan dapat meningkatkan dalam "&amp;FG36,IF(ER36&lt;1," ",””))))))</f>
        <v>#N/A</v>
      </c>
      <c r="FJ36" s="58"/>
      <c r="FK36" s="57" t="str">
        <f t="shared" si="91"/>
        <v/>
      </c>
      <c r="FL36" s="57" t="str">
        <f t="shared" si="92"/>
        <v/>
      </c>
      <c r="FM36" s="57" t="str">
        <f t="shared" si="93"/>
        <v/>
      </c>
      <c r="FN36" s="57" t="str">
        <f t="shared" si="94"/>
        <v/>
      </c>
      <c r="FO36" s="57" t="str">
        <f t="shared" si="95"/>
        <v/>
      </c>
      <c r="FP36" s="57" t="str">
        <f t="shared" si="96"/>
        <v/>
      </c>
      <c r="FQ36" s="57" t="str">
        <f t="shared" si="97"/>
        <v/>
      </c>
      <c r="FR36" s="57" t="str">
        <f t="shared" si="98"/>
        <v/>
      </c>
      <c r="FS36" s="57" t="str">
        <f t="shared" si="99"/>
        <v/>
      </c>
      <c r="FT36" s="57"/>
      <c r="FU36" s="59" t="e">
        <f t="shared" si="100"/>
        <v>#N/A</v>
      </c>
      <c r="FV36" s="59" t="e">
        <f>IF(ES36&gt;100,"",IF(ES36&gt;DQ$1,"sangat baik dalam "&amp;FU36,IF(ES36&gt;=DQ$2,"baik dalam "&amp;FU36,IF(ES36&gt;=DQ$3,"cukup dalam "&amp;FU36,IF(ES36&lt;DQ$3,"dengan bimbingan dapat meningkatkan dalam "&amp;FU36,IF(ES36&lt;1," ",””))))))</f>
        <v>#N/A</v>
      </c>
      <c r="FW36" s="61"/>
      <c r="FX36" s="62" t="e">
        <f t="shared" si="101"/>
        <v>#N/A</v>
      </c>
      <c r="FY36" s="57" t="str">
        <f t="shared" si="102"/>
        <v/>
      </c>
      <c r="FZ36" s="57" t="str">
        <f t="shared" si="43"/>
        <v/>
      </c>
      <c r="GA36" s="57" t="str">
        <f t="shared" si="44"/>
        <v/>
      </c>
      <c r="GB36" s="57"/>
      <c r="GC36" s="57"/>
      <c r="GD36" s="57"/>
      <c r="GE36" s="59" t="str">
        <f t="shared" si="45"/>
        <v>perlu bimbingan dalam mengklasifikasi informasi yang didapat dari buku ke dalam aspek: apa, di mana, kapan, siapa, mengapa, dan bagaimana</v>
      </c>
      <c r="GF36" s="60"/>
      <c r="GG36" s="61"/>
      <c r="GH36" s="62" t="str">
        <f t="shared" si="103"/>
        <v>, perlu bimbingan dalam mengklasifikasi informasi yang didapat dari buku ke dalam aspek: apa, di mana, kapan, siapa, mengapa, dan bagaimana</v>
      </c>
    </row>
    <row r="37" spans="1:190" ht="42" customHeight="1">
      <c r="A37" s="39">
        <v>30</v>
      </c>
      <c r="B37" s="283">
        <f>SISWA!B35</f>
        <v>0</v>
      </c>
      <c r="C37" s="123"/>
      <c r="D37" s="123"/>
      <c r="E37" s="123"/>
      <c r="F37" s="123"/>
      <c r="G37" s="123"/>
      <c r="H37" s="123"/>
      <c r="I37" s="123"/>
      <c r="J37" s="123"/>
      <c r="K37" s="123"/>
      <c r="L37" s="256"/>
      <c r="M37" s="256"/>
      <c r="N37" s="256"/>
      <c r="O37" s="256"/>
      <c r="P37" s="256"/>
      <c r="Q37" s="256"/>
      <c r="R37" s="256"/>
      <c r="S37" s="256"/>
      <c r="T37" s="256"/>
      <c r="U37" s="123"/>
      <c r="V37" s="123"/>
      <c r="W37" s="123"/>
      <c r="X37" s="123"/>
      <c r="Y37" s="123"/>
      <c r="Z37" s="123"/>
      <c r="AA37" s="123"/>
      <c r="AB37" s="123"/>
      <c r="AC37" s="123"/>
      <c r="AD37" s="256"/>
      <c r="AE37" s="256"/>
      <c r="AF37" s="256"/>
      <c r="AG37" s="256"/>
      <c r="AH37" s="256"/>
      <c r="AI37" s="256"/>
      <c r="AJ37" s="256"/>
      <c r="AK37" s="256"/>
      <c r="AL37" s="256"/>
      <c r="AM37" s="123"/>
      <c r="AN37" s="123"/>
      <c r="AO37" s="123"/>
      <c r="AP37" s="123"/>
      <c r="AQ37" s="123"/>
      <c r="AR37" s="123"/>
      <c r="AS37" s="123"/>
      <c r="AT37" s="123"/>
      <c r="AU37" s="123"/>
      <c r="AV37" s="256"/>
      <c r="AW37" s="256"/>
      <c r="AX37" s="256"/>
      <c r="AY37" s="256"/>
      <c r="AZ37" s="256"/>
      <c r="BA37" s="256"/>
      <c r="BB37" s="256"/>
      <c r="BC37" s="256"/>
      <c r="BD37" s="256"/>
      <c r="BE37" s="123"/>
      <c r="BF37" s="123"/>
      <c r="BG37" s="123"/>
      <c r="BH37" s="123"/>
      <c r="BI37" s="123"/>
      <c r="BJ37" s="123"/>
      <c r="BK37" s="123"/>
      <c r="BL37" s="123"/>
      <c r="BM37" s="123"/>
      <c r="BN37" s="256"/>
      <c r="BO37" s="256"/>
      <c r="BP37" s="256"/>
      <c r="BQ37" s="256"/>
      <c r="BR37" s="256"/>
      <c r="BS37" s="256"/>
      <c r="BT37" s="256"/>
      <c r="BU37" s="256"/>
      <c r="BV37" s="256"/>
      <c r="BW37" s="460"/>
      <c r="BX37" s="460"/>
      <c r="BY37" s="460"/>
      <c r="BZ37" s="460"/>
      <c r="CA37" s="460"/>
      <c r="CB37" s="460"/>
      <c r="CC37" s="460"/>
      <c r="CD37" s="460"/>
      <c r="CE37" s="460"/>
      <c r="CF37" s="346"/>
      <c r="CG37" s="346"/>
      <c r="CH37" s="346"/>
      <c r="CI37" s="346"/>
      <c r="CJ37" s="346"/>
      <c r="CK37" s="346"/>
      <c r="CL37" s="346"/>
      <c r="CM37" s="346"/>
      <c r="CN37" s="346"/>
      <c r="CO37" s="260" t="str">
        <f t="shared" si="46"/>
        <v xml:space="preserve"> </v>
      </c>
      <c r="CP37" s="260" t="str">
        <f t="shared" si="47"/>
        <v xml:space="preserve"> </v>
      </c>
      <c r="CQ37" s="260" t="str">
        <f t="shared" si="48"/>
        <v xml:space="preserve"> </v>
      </c>
      <c r="CR37" s="260" t="str">
        <f t="shared" si="49"/>
        <v xml:space="preserve"> </v>
      </c>
      <c r="CS37" s="260" t="str">
        <f t="shared" si="50"/>
        <v xml:space="preserve"> </v>
      </c>
      <c r="CT37" s="260" t="str">
        <f t="shared" si="51"/>
        <v xml:space="preserve"> </v>
      </c>
      <c r="CU37" s="260" t="str">
        <f t="shared" si="52"/>
        <v xml:space="preserve"> </v>
      </c>
      <c r="CV37" s="260" t="str">
        <f t="shared" si="53"/>
        <v xml:space="preserve"> </v>
      </c>
      <c r="CW37" s="260" t="str">
        <f t="shared" si="54"/>
        <v xml:space="preserve"> </v>
      </c>
      <c r="CX37" s="547"/>
      <c r="CY37" s="547"/>
      <c r="CZ37" s="547"/>
      <c r="DA37" s="547"/>
      <c r="DB37" s="547"/>
      <c r="DC37" s="547"/>
      <c r="DD37" s="547"/>
      <c r="DE37" s="547"/>
      <c r="DF37" s="547"/>
      <c r="DG37" s="548"/>
      <c r="DH37" s="548"/>
      <c r="DI37" s="548"/>
      <c r="DJ37" s="548"/>
      <c r="DK37" s="548"/>
      <c r="DL37" s="548"/>
      <c r="DM37" s="548"/>
      <c r="DN37" s="548"/>
      <c r="DO37" s="548"/>
      <c r="DP37" s="550" t="str">
        <f t="shared" si="55"/>
        <v xml:space="preserve"> </v>
      </c>
      <c r="DQ37" s="291" t="str">
        <f t="shared" si="56"/>
        <v xml:space="preserve">  </v>
      </c>
      <c r="DR37" s="553" t="str">
        <f t="shared" si="57"/>
        <v xml:space="preserve"> </v>
      </c>
      <c r="DS37" s="282"/>
      <c r="DT37" s="51"/>
      <c r="DU37" s="46" t="str">
        <f t="shared" si="58"/>
        <v xml:space="preserve"> </v>
      </c>
      <c r="DV37" s="46" t="str">
        <f t="shared" si="59"/>
        <v xml:space="preserve"> </v>
      </c>
      <c r="DW37" s="46" t="str">
        <f t="shared" si="60"/>
        <v xml:space="preserve"> </v>
      </c>
      <c r="DX37" s="46" t="str">
        <f t="shared" si="61"/>
        <v xml:space="preserve"> </v>
      </c>
      <c r="DY37" s="46" t="str">
        <f t="shared" si="62"/>
        <v xml:space="preserve"> </v>
      </c>
      <c r="DZ37" s="46" t="str">
        <f t="shared" si="63"/>
        <v xml:space="preserve"> </v>
      </c>
      <c r="EA37" s="46" t="str">
        <f t="shared" si="64"/>
        <v xml:space="preserve"> </v>
      </c>
      <c r="EB37" s="46" t="str">
        <f t="shared" si="65"/>
        <v xml:space="preserve"> </v>
      </c>
      <c r="EC37" s="46" t="str">
        <f t="shared" si="66"/>
        <v xml:space="preserve"> </v>
      </c>
      <c r="ED37" s="46"/>
      <c r="EE37" s="52" t="str">
        <f>[2]uts!J36</f>
        <v/>
      </c>
      <c r="EF37" s="51"/>
      <c r="EG37" s="53" t="str">
        <f t="shared" si="67"/>
        <v xml:space="preserve">  </v>
      </c>
      <c r="EH37" s="53" t="str">
        <f t="shared" si="68"/>
        <v xml:space="preserve">  </v>
      </c>
      <c r="EI37" s="53" t="str">
        <f t="shared" si="69"/>
        <v xml:space="preserve">  </v>
      </c>
      <c r="EJ37" s="53" t="str">
        <f t="shared" si="70"/>
        <v xml:space="preserve">  </v>
      </c>
      <c r="EK37" s="53" t="str">
        <f t="shared" si="71"/>
        <v xml:space="preserve">  </v>
      </c>
      <c r="EL37" s="53" t="str">
        <f t="shared" si="72"/>
        <v xml:space="preserve">  </v>
      </c>
      <c r="EM37" s="53" t="str">
        <f t="shared" si="73"/>
        <v xml:space="preserve">  </v>
      </c>
      <c r="EN37" s="53" t="str">
        <f t="shared" si="74"/>
        <v xml:space="preserve">  </v>
      </c>
      <c r="EO37" s="53" t="str">
        <f t="shared" si="75"/>
        <v xml:space="preserve">  </v>
      </c>
      <c r="EP37" s="53"/>
      <c r="EQ37" s="52" t="str">
        <f t="shared" si="76"/>
        <v xml:space="preserve"> </v>
      </c>
      <c r="ER37" s="55">
        <f t="shared" si="77"/>
        <v>0</v>
      </c>
      <c r="ES37" s="55">
        <f t="shared" si="78"/>
        <v>0</v>
      </c>
      <c r="ET37" s="51">
        <f>SISWA!E35</f>
        <v>0</v>
      </c>
      <c r="EU37" s="51" t="str">
        <f t="shared" si="79"/>
        <v/>
      </c>
      <c r="EV37" s="56" t="str">
        <f t="shared" si="80"/>
        <v/>
      </c>
      <c r="EW37" s="57" t="str">
        <f t="shared" si="81"/>
        <v/>
      </c>
      <c r="EX37" s="57" t="str">
        <f t="shared" si="82"/>
        <v/>
      </c>
      <c r="EY37" s="57" t="str">
        <f t="shared" si="83"/>
        <v/>
      </c>
      <c r="EZ37" s="57" t="str">
        <f t="shared" si="84"/>
        <v/>
      </c>
      <c r="FA37" s="57" t="str">
        <f t="shared" si="85"/>
        <v/>
      </c>
      <c r="FB37" s="57" t="str">
        <f t="shared" si="86"/>
        <v/>
      </c>
      <c r="FC37" s="57" t="str">
        <f t="shared" si="87"/>
        <v/>
      </c>
      <c r="FD37" s="57" t="str">
        <f t="shared" si="88"/>
        <v/>
      </c>
      <c r="FE37" s="57"/>
      <c r="FF37" s="58">
        <f t="shared" si="89"/>
        <v>0</v>
      </c>
      <c r="FG37" s="55" t="e">
        <f t="shared" si="90"/>
        <v>#N/A</v>
      </c>
      <c r="FH37" s="58"/>
      <c r="FI37" s="59" t="e">
        <f>IF(ER37&gt;100,"",IF(ER37&gt;DQ$1,"sangat baik dalam "&amp;FG37,IF(ER37&gt;=DQ$2,"baik dalam "&amp;FG37,IF(ER37&gt;=DQ$3,"cukup dalam "&amp;FG37,IF(ER37&lt;DQ$3,"dengan bimbingan dapat meningkatkan dalam "&amp;FG37,IF(ER37&lt;1," ",””))))))</f>
        <v>#N/A</v>
      </c>
      <c r="FJ37" s="58"/>
      <c r="FK37" s="57" t="str">
        <f t="shared" si="91"/>
        <v/>
      </c>
      <c r="FL37" s="57" t="str">
        <f t="shared" si="92"/>
        <v/>
      </c>
      <c r="FM37" s="57" t="str">
        <f t="shared" si="93"/>
        <v/>
      </c>
      <c r="FN37" s="57" t="str">
        <f t="shared" si="94"/>
        <v/>
      </c>
      <c r="FO37" s="57" t="str">
        <f t="shared" si="95"/>
        <v/>
      </c>
      <c r="FP37" s="57" t="str">
        <f t="shared" si="96"/>
        <v/>
      </c>
      <c r="FQ37" s="57" t="str">
        <f t="shared" si="97"/>
        <v/>
      </c>
      <c r="FR37" s="57" t="str">
        <f t="shared" si="98"/>
        <v/>
      </c>
      <c r="FS37" s="57" t="str">
        <f t="shared" si="99"/>
        <v/>
      </c>
      <c r="FT37" s="57"/>
      <c r="FU37" s="59" t="e">
        <f t="shared" si="100"/>
        <v>#N/A</v>
      </c>
      <c r="FV37" s="59" t="e">
        <f>IF(ES37&gt;100,"",IF(ES37&gt;DQ$1,"sangat baik dalam "&amp;FU37,IF(ES37&gt;=DQ$2,"baik dalam "&amp;FU37,IF(ES37&gt;=DQ$3,"cukup dalam "&amp;FU37,IF(ES37&lt;DQ$3,"dengan bimbingan dapat meningkatkan dalam "&amp;FU37,IF(ES37&lt;1," ",””))))))</f>
        <v>#N/A</v>
      </c>
      <c r="FW37" s="61"/>
      <c r="FX37" s="62" t="e">
        <f t="shared" si="101"/>
        <v>#N/A</v>
      </c>
      <c r="FY37" s="57" t="str">
        <f t="shared" si="102"/>
        <v/>
      </c>
      <c r="FZ37" s="57" t="str">
        <f t="shared" si="43"/>
        <v/>
      </c>
      <c r="GA37" s="57" t="str">
        <f t="shared" si="44"/>
        <v/>
      </c>
      <c r="GB37" s="57"/>
      <c r="GC37" s="57"/>
      <c r="GD37" s="57"/>
      <c r="GE37" s="59" t="str">
        <f t="shared" si="45"/>
        <v>perlu bimbingan dalam mengklasifikasi informasi yang didapat dari buku ke dalam aspek: apa, di mana, kapan, siapa, mengapa, dan bagaimana</v>
      </c>
      <c r="GF37" s="60"/>
      <c r="GG37" s="61"/>
      <c r="GH37" s="62" t="str">
        <f t="shared" si="103"/>
        <v>, perlu bimbingan dalam mengklasifikasi informasi yang didapat dari buku ke dalam aspek: apa, di mana, kapan, siapa, mengapa, dan bagaimana</v>
      </c>
    </row>
    <row r="38" spans="1:190" ht="42" customHeight="1">
      <c r="A38" s="39">
        <v>31</v>
      </c>
      <c r="B38" s="283">
        <f>SISWA!B36</f>
        <v>0</v>
      </c>
      <c r="C38" s="123"/>
      <c r="D38" s="123"/>
      <c r="E38" s="123"/>
      <c r="F38" s="123"/>
      <c r="G38" s="123"/>
      <c r="H38" s="123"/>
      <c r="I38" s="123"/>
      <c r="J38" s="123"/>
      <c r="K38" s="123"/>
      <c r="L38" s="256"/>
      <c r="M38" s="256"/>
      <c r="N38" s="256"/>
      <c r="O38" s="256"/>
      <c r="P38" s="256"/>
      <c r="Q38" s="256"/>
      <c r="R38" s="256"/>
      <c r="S38" s="256"/>
      <c r="T38" s="256"/>
      <c r="U38" s="123"/>
      <c r="V38" s="123"/>
      <c r="W38" s="123"/>
      <c r="X38" s="123"/>
      <c r="Y38" s="123"/>
      <c r="Z38" s="123"/>
      <c r="AA38" s="123"/>
      <c r="AB38" s="123"/>
      <c r="AC38" s="123"/>
      <c r="AD38" s="256"/>
      <c r="AE38" s="256"/>
      <c r="AF38" s="256"/>
      <c r="AG38" s="256"/>
      <c r="AH38" s="256"/>
      <c r="AI38" s="256"/>
      <c r="AJ38" s="256"/>
      <c r="AK38" s="256"/>
      <c r="AL38" s="256"/>
      <c r="AM38" s="123"/>
      <c r="AN38" s="123"/>
      <c r="AO38" s="123"/>
      <c r="AP38" s="123"/>
      <c r="AQ38" s="123"/>
      <c r="AR38" s="123"/>
      <c r="AS38" s="123"/>
      <c r="AT38" s="123"/>
      <c r="AU38" s="123"/>
      <c r="AV38" s="256"/>
      <c r="AW38" s="256"/>
      <c r="AX38" s="256"/>
      <c r="AY38" s="256"/>
      <c r="AZ38" s="256"/>
      <c r="BA38" s="256"/>
      <c r="BB38" s="256"/>
      <c r="BC38" s="256"/>
      <c r="BD38" s="256"/>
      <c r="BE38" s="123"/>
      <c r="BF38" s="123"/>
      <c r="BG38" s="123"/>
      <c r="BH38" s="123"/>
      <c r="BI38" s="123"/>
      <c r="BJ38" s="123"/>
      <c r="BK38" s="123"/>
      <c r="BL38" s="123"/>
      <c r="BM38" s="123"/>
      <c r="BN38" s="256"/>
      <c r="BO38" s="256"/>
      <c r="BP38" s="256"/>
      <c r="BQ38" s="256"/>
      <c r="BR38" s="256"/>
      <c r="BS38" s="256"/>
      <c r="BT38" s="256"/>
      <c r="BU38" s="256"/>
      <c r="BV38" s="256"/>
      <c r="BW38" s="460"/>
      <c r="BX38" s="460"/>
      <c r="BY38" s="460"/>
      <c r="BZ38" s="460"/>
      <c r="CA38" s="460"/>
      <c r="CB38" s="460"/>
      <c r="CC38" s="460"/>
      <c r="CD38" s="460"/>
      <c r="CE38" s="460"/>
      <c r="CF38" s="346"/>
      <c r="CG38" s="346"/>
      <c r="CH38" s="346"/>
      <c r="CI38" s="346"/>
      <c r="CJ38" s="346"/>
      <c r="CK38" s="346"/>
      <c r="CL38" s="346"/>
      <c r="CM38" s="346"/>
      <c r="CN38" s="346"/>
      <c r="CO38" s="260" t="str">
        <f t="shared" si="46"/>
        <v xml:space="preserve"> </v>
      </c>
      <c r="CP38" s="260" t="str">
        <f t="shared" si="47"/>
        <v xml:space="preserve"> </v>
      </c>
      <c r="CQ38" s="260" t="str">
        <f t="shared" si="48"/>
        <v xml:space="preserve"> </v>
      </c>
      <c r="CR38" s="260" t="str">
        <f t="shared" si="49"/>
        <v xml:space="preserve"> </v>
      </c>
      <c r="CS38" s="260" t="str">
        <f t="shared" si="50"/>
        <v xml:space="preserve"> </v>
      </c>
      <c r="CT38" s="260" t="str">
        <f t="shared" si="51"/>
        <v xml:space="preserve"> </v>
      </c>
      <c r="CU38" s="260" t="str">
        <f t="shared" si="52"/>
        <v xml:space="preserve"> </v>
      </c>
      <c r="CV38" s="260" t="str">
        <f t="shared" si="53"/>
        <v xml:space="preserve"> </v>
      </c>
      <c r="CW38" s="260" t="str">
        <f t="shared" si="54"/>
        <v xml:space="preserve"> </v>
      </c>
      <c r="CX38" s="547"/>
      <c r="CY38" s="547"/>
      <c r="CZ38" s="547"/>
      <c r="DA38" s="547"/>
      <c r="DB38" s="547"/>
      <c r="DC38" s="547"/>
      <c r="DD38" s="547"/>
      <c r="DE38" s="547"/>
      <c r="DF38" s="547"/>
      <c r="DG38" s="548"/>
      <c r="DH38" s="548"/>
      <c r="DI38" s="548"/>
      <c r="DJ38" s="548"/>
      <c r="DK38" s="548"/>
      <c r="DL38" s="548"/>
      <c r="DM38" s="548"/>
      <c r="DN38" s="548"/>
      <c r="DO38" s="548"/>
      <c r="DP38" s="550" t="str">
        <f t="shared" si="55"/>
        <v xml:space="preserve"> </v>
      </c>
      <c r="DQ38" s="291" t="str">
        <f t="shared" si="56"/>
        <v xml:space="preserve">  </v>
      </c>
      <c r="DR38" s="553" t="str">
        <f t="shared" si="57"/>
        <v xml:space="preserve"> </v>
      </c>
      <c r="DS38" s="282"/>
      <c r="DT38" s="51"/>
      <c r="DU38" s="46" t="str">
        <f t="shared" si="58"/>
        <v xml:space="preserve"> </v>
      </c>
      <c r="DV38" s="46" t="str">
        <f t="shared" si="59"/>
        <v xml:space="preserve"> </v>
      </c>
      <c r="DW38" s="46" t="str">
        <f t="shared" si="60"/>
        <v xml:space="preserve"> </v>
      </c>
      <c r="DX38" s="46" t="str">
        <f t="shared" si="61"/>
        <v xml:space="preserve"> </v>
      </c>
      <c r="DY38" s="46" t="str">
        <f t="shared" si="62"/>
        <v xml:space="preserve"> </v>
      </c>
      <c r="DZ38" s="46" t="str">
        <f t="shared" si="63"/>
        <v xml:space="preserve"> </v>
      </c>
      <c r="EA38" s="46" t="str">
        <f t="shared" si="64"/>
        <v xml:space="preserve"> </v>
      </c>
      <c r="EB38" s="46" t="str">
        <f t="shared" si="65"/>
        <v xml:space="preserve"> </v>
      </c>
      <c r="EC38" s="46" t="str">
        <f t="shared" si="66"/>
        <v xml:space="preserve"> </v>
      </c>
      <c r="ED38" s="46"/>
      <c r="EE38" s="52" t="str">
        <f>[2]uts!J37</f>
        <v/>
      </c>
      <c r="EF38" s="51"/>
      <c r="EG38" s="53" t="str">
        <f t="shared" si="67"/>
        <v xml:space="preserve">  </v>
      </c>
      <c r="EH38" s="53" t="str">
        <f t="shared" si="68"/>
        <v xml:space="preserve">  </v>
      </c>
      <c r="EI38" s="53" t="str">
        <f t="shared" si="69"/>
        <v xml:space="preserve">  </v>
      </c>
      <c r="EJ38" s="53" t="str">
        <f t="shared" si="70"/>
        <v xml:space="preserve">  </v>
      </c>
      <c r="EK38" s="53" t="str">
        <f t="shared" si="71"/>
        <v xml:space="preserve">  </v>
      </c>
      <c r="EL38" s="53" t="str">
        <f t="shared" si="72"/>
        <v xml:space="preserve">  </v>
      </c>
      <c r="EM38" s="53" t="str">
        <f t="shared" si="73"/>
        <v xml:space="preserve">  </v>
      </c>
      <c r="EN38" s="53" t="str">
        <f t="shared" si="74"/>
        <v xml:space="preserve">  </v>
      </c>
      <c r="EO38" s="53" t="str">
        <f t="shared" si="75"/>
        <v xml:space="preserve">  </v>
      </c>
      <c r="EP38" s="53"/>
      <c r="EQ38" s="52" t="str">
        <f t="shared" si="76"/>
        <v xml:space="preserve"> </v>
      </c>
      <c r="ER38" s="55">
        <f t="shared" si="77"/>
        <v>0</v>
      </c>
      <c r="ES38" s="55">
        <f t="shared" si="78"/>
        <v>0</v>
      </c>
      <c r="ET38" s="51">
        <f>SISWA!E36</f>
        <v>0</v>
      </c>
      <c r="EU38" s="51" t="str">
        <f t="shared" si="79"/>
        <v/>
      </c>
      <c r="EV38" s="56" t="str">
        <f t="shared" si="80"/>
        <v/>
      </c>
      <c r="EW38" s="57" t="str">
        <f t="shared" si="81"/>
        <v/>
      </c>
      <c r="EX38" s="57" t="str">
        <f t="shared" si="82"/>
        <v/>
      </c>
      <c r="EY38" s="57" t="str">
        <f t="shared" si="83"/>
        <v/>
      </c>
      <c r="EZ38" s="57" t="str">
        <f t="shared" si="84"/>
        <v/>
      </c>
      <c r="FA38" s="57" t="str">
        <f t="shared" si="85"/>
        <v/>
      </c>
      <c r="FB38" s="57" t="str">
        <f t="shared" si="86"/>
        <v/>
      </c>
      <c r="FC38" s="57" t="str">
        <f t="shared" si="87"/>
        <v/>
      </c>
      <c r="FD38" s="57" t="str">
        <f t="shared" si="88"/>
        <v/>
      </c>
      <c r="FE38" s="57"/>
      <c r="FF38" s="58">
        <f t="shared" si="89"/>
        <v>0</v>
      </c>
      <c r="FG38" s="55" t="e">
        <f t="shared" si="90"/>
        <v>#N/A</v>
      </c>
      <c r="FH38" s="58"/>
      <c r="FI38" s="59" t="e">
        <f>IF(ER38&gt;100,"",IF(ER38&gt;DQ$1,"sangat baik dalam "&amp;FG38,IF(ER38&gt;=DQ$2,"baik dalam "&amp;FG38,IF(ER38&gt;=DQ$3,"cukup dalam "&amp;FG38,IF(ER38&lt;DQ$3,"dengan bimbingan dapat meningkatkan dalam "&amp;FG38,IF(ER38&lt;1," ",””))))))</f>
        <v>#N/A</v>
      </c>
      <c r="FJ38" s="58"/>
      <c r="FK38" s="57" t="str">
        <f t="shared" si="91"/>
        <v/>
      </c>
      <c r="FL38" s="57" t="str">
        <f t="shared" si="92"/>
        <v/>
      </c>
      <c r="FM38" s="57" t="str">
        <f t="shared" si="93"/>
        <v/>
      </c>
      <c r="FN38" s="57" t="str">
        <f t="shared" si="94"/>
        <v/>
      </c>
      <c r="FO38" s="57" t="str">
        <f t="shared" si="95"/>
        <v/>
      </c>
      <c r="FP38" s="57" t="str">
        <f t="shared" si="96"/>
        <v/>
      </c>
      <c r="FQ38" s="57" t="str">
        <f t="shared" si="97"/>
        <v/>
      </c>
      <c r="FR38" s="57" t="str">
        <f t="shared" si="98"/>
        <v/>
      </c>
      <c r="FS38" s="57" t="str">
        <f t="shared" si="99"/>
        <v/>
      </c>
      <c r="FT38" s="57"/>
      <c r="FU38" s="59" t="e">
        <f t="shared" si="100"/>
        <v>#N/A</v>
      </c>
      <c r="FV38" s="59" t="e">
        <f>IF(ES38&gt;100,"",IF(ES38&gt;DQ$1,"sangat baik dalam "&amp;FU38,IF(ES38&gt;=DQ$2,"baik dalam "&amp;FU38,IF(ES38&gt;=DQ$3,"cukup dalam "&amp;FU38,IF(ES38&lt;DQ$3,"dengan bimbingan dapat meningkatkan dalam "&amp;FU38,IF(ES38&lt;1," ",””))))))</f>
        <v>#N/A</v>
      </c>
      <c r="FW38" s="61"/>
      <c r="FX38" s="62" t="e">
        <f t="shared" si="101"/>
        <v>#N/A</v>
      </c>
      <c r="FY38" s="57" t="str">
        <f t="shared" si="102"/>
        <v/>
      </c>
      <c r="FZ38" s="57" t="str">
        <f t="shared" si="43"/>
        <v/>
      </c>
      <c r="GA38" s="57" t="str">
        <f t="shared" si="44"/>
        <v/>
      </c>
      <c r="GB38" s="57"/>
      <c r="GC38" s="57"/>
      <c r="GD38" s="57"/>
      <c r="GE38" s="59" t="str">
        <f t="shared" si="45"/>
        <v>perlu bimbingan dalam mengklasifikasi informasi yang didapat dari buku ke dalam aspek: apa, di mana, kapan, siapa, mengapa, dan bagaimana</v>
      </c>
      <c r="GF38" s="60"/>
      <c r="GG38" s="61"/>
      <c r="GH38" s="62" t="str">
        <f t="shared" si="103"/>
        <v>, perlu bimbingan dalam mengklasifikasi informasi yang didapat dari buku ke dalam aspek: apa, di mana, kapan, siapa, mengapa, dan bagaimana</v>
      </c>
    </row>
    <row r="39" spans="1:190" ht="42" customHeight="1">
      <c r="A39" s="39">
        <v>32</v>
      </c>
      <c r="B39" s="283">
        <f>SISWA!B37</f>
        <v>0</v>
      </c>
      <c r="C39" s="123"/>
      <c r="D39" s="123"/>
      <c r="E39" s="123"/>
      <c r="F39" s="123"/>
      <c r="G39" s="123"/>
      <c r="H39" s="123"/>
      <c r="I39" s="123"/>
      <c r="J39" s="123"/>
      <c r="K39" s="123"/>
      <c r="L39" s="256"/>
      <c r="M39" s="256"/>
      <c r="N39" s="256"/>
      <c r="O39" s="256"/>
      <c r="P39" s="256"/>
      <c r="Q39" s="256"/>
      <c r="R39" s="256"/>
      <c r="S39" s="256"/>
      <c r="T39" s="256"/>
      <c r="U39" s="123"/>
      <c r="V39" s="123"/>
      <c r="W39" s="123"/>
      <c r="X39" s="123"/>
      <c r="Y39" s="123"/>
      <c r="Z39" s="123"/>
      <c r="AA39" s="123"/>
      <c r="AB39" s="123"/>
      <c r="AC39" s="123"/>
      <c r="AD39" s="256"/>
      <c r="AE39" s="256"/>
      <c r="AF39" s="256"/>
      <c r="AG39" s="256"/>
      <c r="AH39" s="256"/>
      <c r="AI39" s="256"/>
      <c r="AJ39" s="256"/>
      <c r="AK39" s="256"/>
      <c r="AL39" s="256"/>
      <c r="AM39" s="123"/>
      <c r="AN39" s="123"/>
      <c r="AO39" s="123"/>
      <c r="AP39" s="123"/>
      <c r="AQ39" s="123"/>
      <c r="AR39" s="123"/>
      <c r="AS39" s="123"/>
      <c r="AT39" s="123"/>
      <c r="AU39" s="123"/>
      <c r="AV39" s="256"/>
      <c r="AW39" s="256"/>
      <c r="AX39" s="256"/>
      <c r="AY39" s="256"/>
      <c r="AZ39" s="256"/>
      <c r="BA39" s="256"/>
      <c r="BB39" s="256"/>
      <c r="BC39" s="256"/>
      <c r="BD39" s="256"/>
      <c r="BE39" s="123"/>
      <c r="BF39" s="123"/>
      <c r="BG39" s="123"/>
      <c r="BH39" s="123"/>
      <c r="BI39" s="123"/>
      <c r="BJ39" s="123"/>
      <c r="BK39" s="123"/>
      <c r="BL39" s="123"/>
      <c r="BM39" s="123"/>
      <c r="BN39" s="256"/>
      <c r="BO39" s="256"/>
      <c r="BP39" s="256"/>
      <c r="BQ39" s="256"/>
      <c r="BR39" s="256"/>
      <c r="BS39" s="256"/>
      <c r="BT39" s="256"/>
      <c r="BU39" s="256"/>
      <c r="BV39" s="256"/>
      <c r="BW39" s="460"/>
      <c r="BX39" s="460"/>
      <c r="BY39" s="460"/>
      <c r="BZ39" s="460"/>
      <c r="CA39" s="460"/>
      <c r="CB39" s="460"/>
      <c r="CC39" s="460"/>
      <c r="CD39" s="460"/>
      <c r="CE39" s="460"/>
      <c r="CF39" s="346"/>
      <c r="CG39" s="346"/>
      <c r="CH39" s="346"/>
      <c r="CI39" s="346"/>
      <c r="CJ39" s="346"/>
      <c r="CK39" s="346"/>
      <c r="CL39" s="346"/>
      <c r="CM39" s="346"/>
      <c r="CN39" s="346"/>
      <c r="CO39" s="260" t="str">
        <f t="shared" si="46"/>
        <v xml:space="preserve"> </v>
      </c>
      <c r="CP39" s="260" t="str">
        <f t="shared" si="47"/>
        <v xml:space="preserve"> </v>
      </c>
      <c r="CQ39" s="260" t="str">
        <f t="shared" si="48"/>
        <v xml:space="preserve"> </v>
      </c>
      <c r="CR39" s="260" t="str">
        <f t="shared" si="49"/>
        <v xml:space="preserve"> </v>
      </c>
      <c r="CS39" s="260" t="str">
        <f t="shared" si="50"/>
        <v xml:space="preserve"> </v>
      </c>
      <c r="CT39" s="260" t="str">
        <f t="shared" si="51"/>
        <v xml:space="preserve"> </v>
      </c>
      <c r="CU39" s="260" t="str">
        <f t="shared" si="52"/>
        <v xml:space="preserve"> </v>
      </c>
      <c r="CV39" s="260" t="str">
        <f t="shared" si="53"/>
        <v xml:space="preserve"> </v>
      </c>
      <c r="CW39" s="260" t="str">
        <f t="shared" si="54"/>
        <v xml:space="preserve"> </v>
      </c>
      <c r="CX39" s="547"/>
      <c r="CY39" s="547"/>
      <c r="CZ39" s="547"/>
      <c r="DA39" s="547"/>
      <c r="DB39" s="547"/>
      <c r="DC39" s="547"/>
      <c r="DD39" s="547"/>
      <c r="DE39" s="547"/>
      <c r="DF39" s="547"/>
      <c r="DG39" s="548"/>
      <c r="DH39" s="548"/>
      <c r="DI39" s="548"/>
      <c r="DJ39" s="548"/>
      <c r="DK39" s="548"/>
      <c r="DL39" s="548"/>
      <c r="DM39" s="548"/>
      <c r="DN39" s="548"/>
      <c r="DO39" s="548"/>
      <c r="DP39" s="550" t="str">
        <f t="shared" si="55"/>
        <v xml:space="preserve"> </v>
      </c>
      <c r="DQ39" s="291" t="str">
        <f t="shared" si="56"/>
        <v xml:space="preserve">  </v>
      </c>
      <c r="DR39" s="553" t="str">
        <f t="shared" si="57"/>
        <v xml:space="preserve"> </v>
      </c>
      <c r="DS39" s="282"/>
      <c r="DT39" s="51"/>
      <c r="DU39" s="46" t="str">
        <f t="shared" si="58"/>
        <v xml:space="preserve"> </v>
      </c>
      <c r="DV39" s="46" t="str">
        <f t="shared" si="59"/>
        <v xml:space="preserve"> </v>
      </c>
      <c r="DW39" s="46" t="str">
        <f t="shared" si="60"/>
        <v xml:space="preserve"> </v>
      </c>
      <c r="DX39" s="46" t="str">
        <f t="shared" si="61"/>
        <v xml:space="preserve"> </v>
      </c>
      <c r="DY39" s="46" t="str">
        <f t="shared" si="62"/>
        <v xml:space="preserve"> </v>
      </c>
      <c r="DZ39" s="46" t="str">
        <f t="shared" si="63"/>
        <v xml:space="preserve"> </v>
      </c>
      <c r="EA39" s="46" t="str">
        <f t="shared" si="64"/>
        <v xml:space="preserve"> </v>
      </c>
      <c r="EB39" s="46" t="str">
        <f t="shared" si="65"/>
        <v xml:space="preserve"> </v>
      </c>
      <c r="EC39" s="46" t="str">
        <f t="shared" si="66"/>
        <v xml:space="preserve"> </v>
      </c>
      <c r="ED39" s="46"/>
      <c r="EE39" s="52" t="str">
        <f>[2]uts!J38</f>
        <v/>
      </c>
      <c r="EF39" s="51"/>
      <c r="EG39" s="53" t="str">
        <f t="shared" si="67"/>
        <v xml:space="preserve">  </v>
      </c>
      <c r="EH39" s="53" t="str">
        <f t="shared" si="68"/>
        <v xml:space="preserve">  </v>
      </c>
      <c r="EI39" s="53" t="str">
        <f t="shared" si="69"/>
        <v xml:space="preserve">  </v>
      </c>
      <c r="EJ39" s="53" t="str">
        <f t="shared" si="70"/>
        <v xml:space="preserve">  </v>
      </c>
      <c r="EK39" s="53" t="str">
        <f t="shared" si="71"/>
        <v xml:space="preserve">  </v>
      </c>
      <c r="EL39" s="53" t="str">
        <f t="shared" si="72"/>
        <v xml:space="preserve">  </v>
      </c>
      <c r="EM39" s="53" t="str">
        <f t="shared" si="73"/>
        <v xml:space="preserve">  </v>
      </c>
      <c r="EN39" s="53" t="str">
        <f t="shared" si="74"/>
        <v xml:space="preserve">  </v>
      </c>
      <c r="EO39" s="53" t="str">
        <f t="shared" si="75"/>
        <v xml:space="preserve">  </v>
      </c>
      <c r="EP39" s="53"/>
      <c r="EQ39" s="52" t="str">
        <f t="shared" si="76"/>
        <v xml:space="preserve"> </v>
      </c>
      <c r="ER39" s="55">
        <f t="shared" si="77"/>
        <v>0</v>
      </c>
      <c r="ES39" s="55">
        <f t="shared" si="78"/>
        <v>0</v>
      </c>
      <c r="ET39" s="51">
        <f>SISWA!E37</f>
        <v>0</v>
      </c>
      <c r="EU39" s="51" t="str">
        <f t="shared" si="79"/>
        <v/>
      </c>
      <c r="EV39" s="56" t="str">
        <f t="shared" si="80"/>
        <v/>
      </c>
      <c r="EW39" s="57" t="str">
        <f t="shared" si="81"/>
        <v/>
      </c>
      <c r="EX39" s="57" t="str">
        <f t="shared" si="82"/>
        <v/>
      </c>
      <c r="EY39" s="57" t="str">
        <f t="shared" si="83"/>
        <v/>
      </c>
      <c r="EZ39" s="57" t="str">
        <f t="shared" si="84"/>
        <v/>
      </c>
      <c r="FA39" s="57" t="str">
        <f t="shared" si="85"/>
        <v/>
      </c>
      <c r="FB39" s="57" t="str">
        <f t="shared" si="86"/>
        <v/>
      </c>
      <c r="FC39" s="57" t="str">
        <f t="shared" si="87"/>
        <v/>
      </c>
      <c r="FD39" s="57" t="str">
        <f t="shared" si="88"/>
        <v/>
      </c>
      <c r="FE39" s="57"/>
      <c r="FF39" s="58">
        <f t="shared" si="89"/>
        <v>0</v>
      </c>
      <c r="FG39" s="55" t="e">
        <f t="shared" si="90"/>
        <v>#N/A</v>
      </c>
      <c r="FH39" s="58"/>
      <c r="FI39" s="59" t="e">
        <f>IF(ER39&gt;100,"",IF(ER39&gt;DQ$1,"sangat baik dalam "&amp;FG39,IF(ER39&gt;=DQ$2,"baik dalam "&amp;FG39,IF(ER39&gt;=DQ$3,"cukup dalam "&amp;FG39,IF(ER39&lt;DQ$3,"dengan bimbingan dapat meningkatkan dalam "&amp;FG39,IF(ER39&lt;1," ",””))))))</f>
        <v>#N/A</v>
      </c>
      <c r="FJ39" s="58"/>
      <c r="FK39" s="57" t="str">
        <f t="shared" si="91"/>
        <v/>
      </c>
      <c r="FL39" s="57" t="str">
        <f t="shared" si="92"/>
        <v/>
      </c>
      <c r="FM39" s="57" t="str">
        <f t="shared" si="93"/>
        <v/>
      </c>
      <c r="FN39" s="57" t="str">
        <f t="shared" si="94"/>
        <v/>
      </c>
      <c r="FO39" s="57" t="str">
        <f t="shared" si="95"/>
        <v/>
      </c>
      <c r="FP39" s="57" t="str">
        <f t="shared" si="96"/>
        <v/>
      </c>
      <c r="FQ39" s="57" t="str">
        <f t="shared" si="97"/>
        <v/>
      </c>
      <c r="FR39" s="57" t="str">
        <f t="shared" si="98"/>
        <v/>
      </c>
      <c r="FS39" s="57" t="str">
        <f t="shared" si="99"/>
        <v/>
      </c>
      <c r="FT39" s="57"/>
      <c r="FU39" s="59" t="e">
        <f t="shared" si="100"/>
        <v>#N/A</v>
      </c>
      <c r="FV39" s="59" t="e">
        <f>IF(ES39&gt;100,"",IF(ES39&gt;DQ$1,"sangat baik dalam "&amp;FU39,IF(ES39&gt;=DQ$2,"baik dalam "&amp;FU39,IF(ES39&gt;=DQ$3,"cukup dalam "&amp;FU39,IF(ES39&lt;DQ$3,"dengan bimbingan dapat meningkatkan dalam "&amp;FU39,IF(ES39&lt;1," ",””))))))</f>
        <v>#N/A</v>
      </c>
      <c r="FW39" s="61"/>
      <c r="FX39" s="62" t="e">
        <f t="shared" si="101"/>
        <v>#N/A</v>
      </c>
      <c r="FY39" s="57" t="str">
        <f t="shared" si="102"/>
        <v/>
      </c>
      <c r="FZ39" s="57" t="str">
        <f t="shared" si="43"/>
        <v/>
      </c>
      <c r="GA39" s="57" t="str">
        <f t="shared" si="44"/>
        <v/>
      </c>
      <c r="GB39" s="57"/>
      <c r="GC39" s="57"/>
      <c r="GD39" s="57"/>
      <c r="GE39" s="59" t="str">
        <f t="shared" si="45"/>
        <v>perlu bimbingan dalam mengklasifikasi informasi yang didapat dari buku ke dalam aspek: apa, di mana, kapan, siapa, mengapa, dan bagaimana</v>
      </c>
      <c r="GF39" s="60"/>
      <c r="GG39" s="61"/>
      <c r="GH39" s="62" t="str">
        <f t="shared" si="103"/>
        <v>, perlu bimbingan dalam mengklasifikasi informasi yang didapat dari buku ke dalam aspek: apa, di mana, kapan, siapa, mengapa, dan bagaimana</v>
      </c>
    </row>
    <row r="40" spans="1:190" ht="42" customHeight="1">
      <c r="A40" s="39">
        <v>33</v>
      </c>
      <c r="B40" s="283">
        <f>SISWA!B38</f>
        <v>0</v>
      </c>
      <c r="C40" s="123"/>
      <c r="D40" s="123"/>
      <c r="E40" s="123"/>
      <c r="F40" s="123"/>
      <c r="G40" s="123"/>
      <c r="H40" s="123"/>
      <c r="I40" s="123"/>
      <c r="J40" s="123"/>
      <c r="K40" s="123"/>
      <c r="L40" s="256"/>
      <c r="M40" s="256"/>
      <c r="N40" s="256"/>
      <c r="O40" s="256"/>
      <c r="P40" s="256"/>
      <c r="Q40" s="256"/>
      <c r="R40" s="256"/>
      <c r="S40" s="256"/>
      <c r="T40" s="256"/>
      <c r="U40" s="123"/>
      <c r="V40" s="123"/>
      <c r="W40" s="123"/>
      <c r="X40" s="123"/>
      <c r="Y40" s="123"/>
      <c r="Z40" s="123"/>
      <c r="AA40" s="123"/>
      <c r="AB40" s="123"/>
      <c r="AC40" s="123"/>
      <c r="AD40" s="256"/>
      <c r="AE40" s="256"/>
      <c r="AF40" s="256"/>
      <c r="AG40" s="256"/>
      <c r="AH40" s="256"/>
      <c r="AI40" s="256"/>
      <c r="AJ40" s="256"/>
      <c r="AK40" s="256"/>
      <c r="AL40" s="256"/>
      <c r="AM40" s="123"/>
      <c r="AN40" s="123"/>
      <c r="AO40" s="123"/>
      <c r="AP40" s="123"/>
      <c r="AQ40" s="123"/>
      <c r="AR40" s="123"/>
      <c r="AS40" s="123"/>
      <c r="AT40" s="123"/>
      <c r="AU40" s="123"/>
      <c r="AV40" s="256"/>
      <c r="AW40" s="256"/>
      <c r="AX40" s="256"/>
      <c r="AY40" s="256"/>
      <c r="AZ40" s="256"/>
      <c r="BA40" s="256"/>
      <c r="BB40" s="256"/>
      <c r="BC40" s="256"/>
      <c r="BD40" s="256"/>
      <c r="BE40" s="123"/>
      <c r="BF40" s="123"/>
      <c r="BG40" s="123"/>
      <c r="BH40" s="123"/>
      <c r="BI40" s="123"/>
      <c r="BJ40" s="123"/>
      <c r="BK40" s="123"/>
      <c r="BL40" s="123"/>
      <c r="BM40" s="123"/>
      <c r="BN40" s="256"/>
      <c r="BO40" s="256"/>
      <c r="BP40" s="256"/>
      <c r="BQ40" s="256"/>
      <c r="BR40" s="256"/>
      <c r="BS40" s="256"/>
      <c r="BT40" s="256"/>
      <c r="BU40" s="256"/>
      <c r="BV40" s="256"/>
      <c r="BW40" s="460"/>
      <c r="BX40" s="460"/>
      <c r="BY40" s="460"/>
      <c r="BZ40" s="460"/>
      <c r="CA40" s="460"/>
      <c r="CB40" s="460"/>
      <c r="CC40" s="460"/>
      <c r="CD40" s="460"/>
      <c r="CE40" s="460"/>
      <c r="CF40" s="346"/>
      <c r="CG40" s="346"/>
      <c r="CH40" s="346"/>
      <c r="CI40" s="346"/>
      <c r="CJ40" s="346"/>
      <c r="CK40" s="346"/>
      <c r="CL40" s="346"/>
      <c r="CM40" s="346"/>
      <c r="CN40" s="346"/>
      <c r="CO40" s="260" t="str">
        <f t="shared" si="46"/>
        <v xml:space="preserve"> </v>
      </c>
      <c r="CP40" s="260" t="str">
        <f t="shared" si="47"/>
        <v xml:space="preserve"> </v>
      </c>
      <c r="CQ40" s="260" t="str">
        <f t="shared" si="48"/>
        <v xml:space="preserve"> </v>
      </c>
      <c r="CR40" s="260" t="str">
        <f t="shared" si="49"/>
        <v xml:space="preserve"> </v>
      </c>
      <c r="CS40" s="260" t="str">
        <f t="shared" si="50"/>
        <v xml:space="preserve"> </v>
      </c>
      <c r="CT40" s="260" t="str">
        <f t="shared" si="51"/>
        <v xml:space="preserve"> </v>
      </c>
      <c r="CU40" s="260" t="str">
        <f t="shared" si="52"/>
        <v xml:space="preserve"> </v>
      </c>
      <c r="CV40" s="260" t="str">
        <f t="shared" si="53"/>
        <v xml:space="preserve"> </v>
      </c>
      <c r="CW40" s="260" t="str">
        <f t="shared" si="54"/>
        <v xml:space="preserve"> </v>
      </c>
      <c r="CX40" s="547"/>
      <c r="CY40" s="547"/>
      <c r="CZ40" s="547"/>
      <c r="DA40" s="547"/>
      <c r="DB40" s="547"/>
      <c r="DC40" s="547"/>
      <c r="DD40" s="547"/>
      <c r="DE40" s="547"/>
      <c r="DF40" s="547"/>
      <c r="DG40" s="548"/>
      <c r="DH40" s="548"/>
      <c r="DI40" s="548"/>
      <c r="DJ40" s="548"/>
      <c r="DK40" s="548"/>
      <c r="DL40" s="548"/>
      <c r="DM40" s="548"/>
      <c r="DN40" s="548"/>
      <c r="DO40" s="548"/>
      <c r="DP40" s="550" t="str">
        <f t="shared" si="55"/>
        <v xml:space="preserve"> </v>
      </c>
      <c r="DQ40" s="291" t="str">
        <f t="shared" si="56"/>
        <v xml:space="preserve">  </v>
      </c>
      <c r="DR40" s="553" t="str">
        <f t="shared" si="57"/>
        <v xml:space="preserve"> </v>
      </c>
      <c r="DS40" s="282"/>
      <c r="DT40" s="51"/>
      <c r="DU40" s="46" t="str">
        <f t="shared" si="58"/>
        <v xml:space="preserve"> </v>
      </c>
      <c r="DV40" s="46" t="str">
        <f t="shared" si="59"/>
        <v xml:space="preserve"> </v>
      </c>
      <c r="DW40" s="46" t="str">
        <f t="shared" si="60"/>
        <v xml:space="preserve"> </v>
      </c>
      <c r="DX40" s="46" t="str">
        <f t="shared" si="61"/>
        <v xml:space="preserve"> </v>
      </c>
      <c r="DY40" s="46" t="str">
        <f t="shared" si="62"/>
        <v xml:space="preserve"> </v>
      </c>
      <c r="DZ40" s="46" t="str">
        <f t="shared" si="63"/>
        <v xml:space="preserve"> </v>
      </c>
      <c r="EA40" s="46" t="str">
        <f t="shared" si="64"/>
        <v xml:space="preserve"> </v>
      </c>
      <c r="EB40" s="46" t="str">
        <f t="shared" si="65"/>
        <v xml:space="preserve"> </v>
      </c>
      <c r="EC40" s="46" t="str">
        <f t="shared" si="66"/>
        <v xml:space="preserve"> </v>
      </c>
      <c r="ED40" s="46"/>
      <c r="EE40" s="52" t="str">
        <f>[2]uts!J39</f>
        <v/>
      </c>
      <c r="EF40" s="51"/>
      <c r="EG40" s="53" t="str">
        <f t="shared" si="67"/>
        <v xml:space="preserve">  </v>
      </c>
      <c r="EH40" s="53" t="str">
        <f t="shared" si="68"/>
        <v xml:space="preserve">  </v>
      </c>
      <c r="EI40" s="53" t="str">
        <f t="shared" si="69"/>
        <v xml:space="preserve">  </v>
      </c>
      <c r="EJ40" s="53" t="str">
        <f t="shared" si="70"/>
        <v xml:space="preserve">  </v>
      </c>
      <c r="EK40" s="53" t="str">
        <f t="shared" si="71"/>
        <v xml:space="preserve">  </v>
      </c>
      <c r="EL40" s="53" t="str">
        <f t="shared" si="72"/>
        <v xml:space="preserve">  </v>
      </c>
      <c r="EM40" s="53" t="str">
        <f t="shared" si="73"/>
        <v xml:space="preserve">  </v>
      </c>
      <c r="EN40" s="53" t="str">
        <f t="shared" si="74"/>
        <v xml:space="preserve">  </v>
      </c>
      <c r="EO40" s="53" t="str">
        <f t="shared" si="75"/>
        <v xml:space="preserve">  </v>
      </c>
      <c r="EP40" s="53"/>
      <c r="EQ40" s="52" t="str">
        <f t="shared" si="76"/>
        <v xml:space="preserve"> </v>
      </c>
      <c r="ER40" s="55">
        <f t="shared" si="77"/>
        <v>0</v>
      </c>
      <c r="ES40" s="55">
        <f t="shared" si="78"/>
        <v>0</v>
      </c>
      <c r="ET40" s="51">
        <f>SISWA!E38</f>
        <v>0</v>
      </c>
      <c r="EU40" s="51" t="str">
        <f t="shared" si="79"/>
        <v/>
      </c>
      <c r="EV40" s="56" t="str">
        <f t="shared" si="80"/>
        <v/>
      </c>
      <c r="EW40" s="57" t="str">
        <f t="shared" si="81"/>
        <v/>
      </c>
      <c r="EX40" s="57" t="str">
        <f t="shared" si="82"/>
        <v/>
      </c>
      <c r="EY40" s="57" t="str">
        <f t="shared" si="83"/>
        <v/>
      </c>
      <c r="EZ40" s="57" t="str">
        <f t="shared" si="84"/>
        <v/>
      </c>
      <c r="FA40" s="57" t="str">
        <f t="shared" si="85"/>
        <v/>
      </c>
      <c r="FB40" s="57" t="str">
        <f t="shared" si="86"/>
        <v/>
      </c>
      <c r="FC40" s="57" t="str">
        <f t="shared" si="87"/>
        <v/>
      </c>
      <c r="FD40" s="57" t="str">
        <f t="shared" si="88"/>
        <v/>
      </c>
      <c r="FE40" s="57"/>
      <c r="FF40" s="58">
        <f t="shared" si="89"/>
        <v>0</v>
      </c>
      <c r="FG40" s="55" t="e">
        <f t="shared" si="90"/>
        <v>#N/A</v>
      </c>
      <c r="FH40" s="58"/>
      <c r="FI40" s="59" t="e">
        <f>IF(ER40&gt;100,"",IF(ER40&gt;DQ$1,"sangat baik dalam "&amp;FG40,IF(ER40&gt;=DQ$2,"baik dalam "&amp;FG40,IF(ER40&gt;=DQ$3,"cukup dalam "&amp;FG40,IF(ER40&lt;DQ$3,"dengan bimbingan dapat meningkatkan dalam "&amp;FG40,IF(ER40&lt;1," ",””))))))</f>
        <v>#N/A</v>
      </c>
      <c r="FJ40" s="58"/>
      <c r="FK40" s="57" t="str">
        <f t="shared" si="91"/>
        <v/>
      </c>
      <c r="FL40" s="57" t="str">
        <f t="shared" si="92"/>
        <v/>
      </c>
      <c r="FM40" s="57" t="str">
        <f t="shared" si="93"/>
        <v/>
      </c>
      <c r="FN40" s="57" t="str">
        <f t="shared" si="94"/>
        <v/>
      </c>
      <c r="FO40" s="57" t="str">
        <f t="shared" si="95"/>
        <v/>
      </c>
      <c r="FP40" s="57" t="str">
        <f t="shared" si="96"/>
        <v/>
      </c>
      <c r="FQ40" s="57" t="str">
        <f t="shared" si="97"/>
        <v/>
      </c>
      <c r="FR40" s="57" t="str">
        <f t="shared" si="98"/>
        <v/>
      </c>
      <c r="FS40" s="57" t="str">
        <f t="shared" si="99"/>
        <v/>
      </c>
      <c r="FT40" s="57"/>
      <c r="FU40" s="59" t="e">
        <f t="shared" si="100"/>
        <v>#N/A</v>
      </c>
      <c r="FV40" s="59" t="e">
        <f>IF(ES40&gt;100,"",IF(ES40&gt;DQ$1,"sangat baik dalam "&amp;FU40,IF(ES40&gt;=DQ$2,"baik dalam "&amp;FU40,IF(ES40&gt;=DQ$3,"cukup dalam "&amp;FU40,IF(ES40&lt;DQ$3,"dengan bimbingan dapat meningkatkan dalam "&amp;FU40,IF(ES40&lt;1," ",””))))))</f>
        <v>#N/A</v>
      </c>
      <c r="FW40" s="61"/>
      <c r="FX40" s="62" t="e">
        <f t="shared" si="101"/>
        <v>#N/A</v>
      </c>
      <c r="FY40" s="57" t="str">
        <f t="shared" si="102"/>
        <v/>
      </c>
      <c r="FZ40" s="57" t="str">
        <f t="shared" si="43"/>
        <v/>
      </c>
      <c r="GA40" s="57" t="str">
        <f t="shared" si="44"/>
        <v/>
      </c>
      <c r="GB40" s="57"/>
      <c r="GC40" s="57"/>
      <c r="GD40" s="57"/>
      <c r="GE40" s="59" t="str">
        <f t="shared" si="45"/>
        <v>perlu bimbingan dalam mengklasifikasi informasi yang didapat dari buku ke dalam aspek: apa, di mana, kapan, siapa, mengapa, dan bagaimana</v>
      </c>
      <c r="GF40" s="60"/>
      <c r="GG40" s="61"/>
      <c r="GH40" s="62" t="str">
        <f t="shared" si="103"/>
        <v>, perlu bimbingan dalam mengklasifikasi informasi yang didapat dari buku ke dalam aspek: apa, di mana, kapan, siapa, mengapa, dan bagaimana</v>
      </c>
    </row>
    <row r="41" spans="1:190" ht="42" customHeight="1">
      <c r="A41" s="39">
        <v>34</v>
      </c>
      <c r="B41" s="283">
        <f>SISWA!B39</f>
        <v>0</v>
      </c>
      <c r="C41" s="123"/>
      <c r="D41" s="123"/>
      <c r="E41" s="123"/>
      <c r="F41" s="123"/>
      <c r="G41" s="123"/>
      <c r="H41" s="123"/>
      <c r="I41" s="123"/>
      <c r="J41" s="123"/>
      <c r="K41" s="123"/>
      <c r="L41" s="256"/>
      <c r="M41" s="256"/>
      <c r="N41" s="256"/>
      <c r="O41" s="256"/>
      <c r="P41" s="256"/>
      <c r="Q41" s="256"/>
      <c r="R41" s="256"/>
      <c r="S41" s="256"/>
      <c r="T41" s="256"/>
      <c r="U41" s="123"/>
      <c r="V41" s="123"/>
      <c r="W41" s="123"/>
      <c r="X41" s="123"/>
      <c r="Y41" s="123"/>
      <c r="Z41" s="123"/>
      <c r="AA41" s="123"/>
      <c r="AB41" s="123"/>
      <c r="AC41" s="123"/>
      <c r="AD41" s="256"/>
      <c r="AE41" s="256"/>
      <c r="AF41" s="256"/>
      <c r="AG41" s="256"/>
      <c r="AH41" s="256"/>
      <c r="AI41" s="256"/>
      <c r="AJ41" s="256"/>
      <c r="AK41" s="256"/>
      <c r="AL41" s="256"/>
      <c r="AM41" s="123"/>
      <c r="AN41" s="123"/>
      <c r="AO41" s="123"/>
      <c r="AP41" s="123"/>
      <c r="AQ41" s="123"/>
      <c r="AR41" s="123"/>
      <c r="AS41" s="123"/>
      <c r="AT41" s="123"/>
      <c r="AU41" s="123"/>
      <c r="AV41" s="256"/>
      <c r="AW41" s="256"/>
      <c r="AX41" s="256"/>
      <c r="AY41" s="256"/>
      <c r="AZ41" s="256"/>
      <c r="BA41" s="256"/>
      <c r="BB41" s="256"/>
      <c r="BC41" s="256"/>
      <c r="BD41" s="256"/>
      <c r="BE41" s="123"/>
      <c r="BF41" s="123"/>
      <c r="BG41" s="123"/>
      <c r="BH41" s="123"/>
      <c r="BI41" s="123"/>
      <c r="BJ41" s="123"/>
      <c r="BK41" s="123"/>
      <c r="BL41" s="123"/>
      <c r="BM41" s="123"/>
      <c r="BN41" s="256"/>
      <c r="BO41" s="256"/>
      <c r="BP41" s="256"/>
      <c r="BQ41" s="256"/>
      <c r="BR41" s="256"/>
      <c r="BS41" s="256"/>
      <c r="BT41" s="256"/>
      <c r="BU41" s="256"/>
      <c r="BV41" s="256"/>
      <c r="BW41" s="460"/>
      <c r="BX41" s="460"/>
      <c r="BY41" s="460"/>
      <c r="BZ41" s="460"/>
      <c r="CA41" s="460"/>
      <c r="CB41" s="460"/>
      <c r="CC41" s="460"/>
      <c r="CD41" s="460"/>
      <c r="CE41" s="460"/>
      <c r="CF41" s="346"/>
      <c r="CG41" s="346"/>
      <c r="CH41" s="346"/>
      <c r="CI41" s="346"/>
      <c r="CJ41" s="346"/>
      <c r="CK41" s="346"/>
      <c r="CL41" s="346"/>
      <c r="CM41" s="346"/>
      <c r="CN41" s="346"/>
      <c r="CO41" s="260" t="str">
        <f t="shared" si="46"/>
        <v xml:space="preserve"> </v>
      </c>
      <c r="CP41" s="260" t="str">
        <f t="shared" si="47"/>
        <v xml:space="preserve"> </v>
      </c>
      <c r="CQ41" s="260" t="str">
        <f t="shared" si="48"/>
        <v xml:space="preserve"> </v>
      </c>
      <c r="CR41" s="260" t="str">
        <f t="shared" si="49"/>
        <v xml:space="preserve"> </v>
      </c>
      <c r="CS41" s="260" t="str">
        <f t="shared" si="50"/>
        <v xml:space="preserve"> </v>
      </c>
      <c r="CT41" s="260" t="str">
        <f t="shared" si="51"/>
        <v xml:space="preserve"> </v>
      </c>
      <c r="CU41" s="260" t="str">
        <f t="shared" si="52"/>
        <v xml:space="preserve"> </v>
      </c>
      <c r="CV41" s="260" t="str">
        <f t="shared" si="53"/>
        <v xml:space="preserve"> </v>
      </c>
      <c r="CW41" s="260" t="str">
        <f t="shared" si="54"/>
        <v xml:space="preserve"> </v>
      </c>
      <c r="CX41" s="547"/>
      <c r="CY41" s="547"/>
      <c r="CZ41" s="547"/>
      <c r="DA41" s="547"/>
      <c r="DB41" s="547"/>
      <c r="DC41" s="547"/>
      <c r="DD41" s="547"/>
      <c r="DE41" s="547"/>
      <c r="DF41" s="547"/>
      <c r="DG41" s="548"/>
      <c r="DH41" s="548"/>
      <c r="DI41" s="548"/>
      <c r="DJ41" s="548"/>
      <c r="DK41" s="548"/>
      <c r="DL41" s="548"/>
      <c r="DM41" s="548"/>
      <c r="DN41" s="548"/>
      <c r="DO41" s="548"/>
      <c r="DP41" s="550" t="str">
        <f t="shared" si="55"/>
        <v xml:space="preserve"> </v>
      </c>
      <c r="DQ41" s="291" t="str">
        <f t="shared" si="56"/>
        <v xml:space="preserve">  </v>
      </c>
      <c r="DR41" s="553" t="str">
        <f t="shared" si="57"/>
        <v xml:space="preserve"> </v>
      </c>
      <c r="DS41" s="282"/>
      <c r="DT41" s="51"/>
      <c r="DU41" s="46" t="str">
        <f t="shared" si="58"/>
        <v xml:space="preserve"> </v>
      </c>
      <c r="DV41" s="46" t="str">
        <f t="shared" si="59"/>
        <v xml:space="preserve"> </v>
      </c>
      <c r="DW41" s="46" t="str">
        <f t="shared" si="60"/>
        <v xml:space="preserve"> </v>
      </c>
      <c r="DX41" s="46" t="str">
        <f t="shared" si="61"/>
        <v xml:space="preserve"> </v>
      </c>
      <c r="DY41" s="46" t="str">
        <f t="shared" si="62"/>
        <v xml:space="preserve"> </v>
      </c>
      <c r="DZ41" s="46" t="str">
        <f t="shared" si="63"/>
        <v xml:space="preserve"> </v>
      </c>
      <c r="EA41" s="46" t="str">
        <f t="shared" si="64"/>
        <v xml:space="preserve"> </v>
      </c>
      <c r="EB41" s="46" t="str">
        <f t="shared" si="65"/>
        <v xml:space="preserve"> </v>
      </c>
      <c r="EC41" s="46" t="str">
        <f t="shared" si="66"/>
        <v xml:space="preserve"> </v>
      </c>
      <c r="ED41" s="46"/>
      <c r="EE41" s="52" t="str">
        <f>[2]uts!J40</f>
        <v/>
      </c>
      <c r="EF41" s="51"/>
      <c r="EG41" s="53" t="str">
        <f t="shared" si="67"/>
        <v xml:space="preserve">  </v>
      </c>
      <c r="EH41" s="53" t="str">
        <f t="shared" si="68"/>
        <v xml:space="preserve">  </v>
      </c>
      <c r="EI41" s="53" t="str">
        <f t="shared" si="69"/>
        <v xml:space="preserve">  </v>
      </c>
      <c r="EJ41" s="53" t="str">
        <f t="shared" si="70"/>
        <v xml:space="preserve">  </v>
      </c>
      <c r="EK41" s="53" t="str">
        <f t="shared" si="71"/>
        <v xml:space="preserve">  </v>
      </c>
      <c r="EL41" s="53" t="str">
        <f t="shared" si="72"/>
        <v xml:space="preserve">  </v>
      </c>
      <c r="EM41" s="53" t="str">
        <f t="shared" si="73"/>
        <v xml:space="preserve">  </v>
      </c>
      <c r="EN41" s="53" t="str">
        <f t="shared" si="74"/>
        <v xml:space="preserve">  </v>
      </c>
      <c r="EO41" s="53" t="str">
        <f t="shared" si="75"/>
        <v xml:space="preserve">  </v>
      </c>
      <c r="EP41" s="53"/>
      <c r="EQ41" s="52" t="str">
        <f t="shared" si="76"/>
        <v xml:space="preserve"> </v>
      </c>
      <c r="ER41" s="55">
        <f t="shared" si="77"/>
        <v>0</v>
      </c>
      <c r="ES41" s="55">
        <f t="shared" si="78"/>
        <v>0</v>
      </c>
      <c r="ET41" s="51">
        <f>SISWA!E39</f>
        <v>0</v>
      </c>
      <c r="EU41" s="51" t="str">
        <f t="shared" si="79"/>
        <v/>
      </c>
      <c r="EV41" s="56" t="str">
        <f t="shared" si="80"/>
        <v/>
      </c>
      <c r="EW41" s="57" t="str">
        <f t="shared" si="81"/>
        <v/>
      </c>
      <c r="EX41" s="57" t="str">
        <f t="shared" si="82"/>
        <v/>
      </c>
      <c r="EY41" s="57" t="str">
        <f t="shared" si="83"/>
        <v/>
      </c>
      <c r="EZ41" s="57" t="str">
        <f t="shared" si="84"/>
        <v/>
      </c>
      <c r="FA41" s="57" t="str">
        <f t="shared" si="85"/>
        <v/>
      </c>
      <c r="FB41" s="57" t="str">
        <f t="shared" si="86"/>
        <v/>
      </c>
      <c r="FC41" s="57" t="str">
        <f t="shared" si="87"/>
        <v/>
      </c>
      <c r="FD41" s="57" t="str">
        <f t="shared" si="88"/>
        <v/>
      </c>
      <c r="FE41" s="57"/>
      <c r="FF41" s="58">
        <f t="shared" si="89"/>
        <v>0</v>
      </c>
      <c r="FG41" s="55" t="e">
        <f t="shared" si="90"/>
        <v>#N/A</v>
      </c>
      <c r="FH41" s="58"/>
      <c r="FI41" s="59" t="e">
        <f>IF(ER41&gt;100,"",IF(ER41&gt;DQ$1,"sangat baik dalam "&amp;FG41,IF(ER41&gt;=DQ$2,"baik dalam "&amp;FG41,IF(ER41&gt;=DQ$3,"cukup dalam "&amp;FG41,IF(ER41&lt;DQ$3,"dengan bimbingan dapat meningkatkan dalam "&amp;FG41,IF(ER41&lt;1," ",””))))))</f>
        <v>#N/A</v>
      </c>
      <c r="FJ41" s="58"/>
      <c r="FK41" s="57" t="str">
        <f t="shared" si="91"/>
        <v/>
      </c>
      <c r="FL41" s="57" t="str">
        <f t="shared" si="92"/>
        <v/>
      </c>
      <c r="FM41" s="57" t="str">
        <f t="shared" si="93"/>
        <v/>
      </c>
      <c r="FN41" s="57" t="str">
        <f t="shared" si="94"/>
        <v/>
      </c>
      <c r="FO41" s="57" t="str">
        <f t="shared" si="95"/>
        <v/>
      </c>
      <c r="FP41" s="57" t="str">
        <f t="shared" si="96"/>
        <v/>
      </c>
      <c r="FQ41" s="57" t="str">
        <f t="shared" si="97"/>
        <v/>
      </c>
      <c r="FR41" s="57" t="str">
        <f t="shared" si="98"/>
        <v/>
      </c>
      <c r="FS41" s="57" t="str">
        <f t="shared" si="99"/>
        <v/>
      </c>
      <c r="FT41" s="57"/>
      <c r="FU41" s="59" t="e">
        <f t="shared" si="100"/>
        <v>#N/A</v>
      </c>
      <c r="FV41" s="59" t="e">
        <f>IF(ES41&gt;100,"",IF(ES41&gt;DQ$1,"sangat baik dalam "&amp;FU41,IF(ES41&gt;=DQ$2,"baik dalam "&amp;FU41,IF(ES41&gt;=DQ$3,"cukup dalam "&amp;FU41,IF(ES41&lt;DQ$3,"dengan bimbingan dapat meningkatkan dalam "&amp;FU41,IF(ES41&lt;1," ",””))))))</f>
        <v>#N/A</v>
      </c>
      <c r="FW41" s="61"/>
      <c r="FX41" s="62" t="e">
        <f t="shared" si="101"/>
        <v>#N/A</v>
      </c>
      <c r="FY41" s="57" t="str">
        <f t="shared" si="102"/>
        <v/>
      </c>
      <c r="FZ41" s="57" t="str">
        <f t="shared" si="43"/>
        <v/>
      </c>
      <c r="GA41" s="57" t="str">
        <f t="shared" si="44"/>
        <v/>
      </c>
      <c r="GB41" s="57"/>
      <c r="GC41" s="57"/>
      <c r="GD41" s="57"/>
      <c r="GE41" s="59" t="str">
        <f t="shared" si="45"/>
        <v>perlu bimbingan dalam mengklasifikasi informasi yang didapat dari buku ke dalam aspek: apa, di mana, kapan, siapa, mengapa, dan bagaimana</v>
      </c>
      <c r="GF41" s="60"/>
      <c r="GG41" s="61"/>
      <c r="GH41" s="62" t="str">
        <f t="shared" si="103"/>
        <v>, perlu bimbingan dalam mengklasifikasi informasi yang didapat dari buku ke dalam aspek: apa, di mana, kapan, siapa, mengapa, dan bagaimana</v>
      </c>
    </row>
    <row r="42" spans="1:190" ht="42" customHeight="1">
      <c r="A42" s="39">
        <v>35</v>
      </c>
      <c r="B42" s="283">
        <f>SISWA!B40</f>
        <v>0</v>
      </c>
      <c r="C42" s="123"/>
      <c r="D42" s="123"/>
      <c r="E42" s="123"/>
      <c r="F42" s="123"/>
      <c r="G42" s="123"/>
      <c r="H42" s="123"/>
      <c r="I42" s="123"/>
      <c r="J42" s="123"/>
      <c r="K42" s="123"/>
      <c r="L42" s="256"/>
      <c r="M42" s="256"/>
      <c r="N42" s="256"/>
      <c r="O42" s="256"/>
      <c r="P42" s="256"/>
      <c r="Q42" s="256"/>
      <c r="R42" s="256"/>
      <c r="S42" s="256"/>
      <c r="T42" s="256"/>
      <c r="U42" s="123"/>
      <c r="V42" s="123"/>
      <c r="W42" s="123"/>
      <c r="X42" s="123"/>
      <c r="Y42" s="123"/>
      <c r="Z42" s="123"/>
      <c r="AA42" s="123"/>
      <c r="AB42" s="123"/>
      <c r="AC42" s="123"/>
      <c r="AD42" s="256"/>
      <c r="AE42" s="256"/>
      <c r="AF42" s="256"/>
      <c r="AG42" s="256"/>
      <c r="AH42" s="256"/>
      <c r="AI42" s="256"/>
      <c r="AJ42" s="256"/>
      <c r="AK42" s="256"/>
      <c r="AL42" s="256"/>
      <c r="AM42" s="123"/>
      <c r="AN42" s="123"/>
      <c r="AO42" s="123"/>
      <c r="AP42" s="123"/>
      <c r="AQ42" s="123"/>
      <c r="AR42" s="123"/>
      <c r="AS42" s="123"/>
      <c r="AT42" s="123"/>
      <c r="AU42" s="123"/>
      <c r="AV42" s="256"/>
      <c r="AW42" s="256"/>
      <c r="AX42" s="256"/>
      <c r="AY42" s="256"/>
      <c r="AZ42" s="256"/>
      <c r="BA42" s="256"/>
      <c r="BB42" s="256"/>
      <c r="BC42" s="256"/>
      <c r="BD42" s="256"/>
      <c r="BE42" s="123"/>
      <c r="BF42" s="123"/>
      <c r="BG42" s="123"/>
      <c r="BH42" s="123"/>
      <c r="BI42" s="123"/>
      <c r="BJ42" s="123"/>
      <c r="BK42" s="123"/>
      <c r="BL42" s="123"/>
      <c r="BM42" s="123"/>
      <c r="BN42" s="256"/>
      <c r="BO42" s="256"/>
      <c r="BP42" s="256"/>
      <c r="BQ42" s="256"/>
      <c r="BR42" s="256"/>
      <c r="BS42" s="256"/>
      <c r="BT42" s="256"/>
      <c r="BU42" s="256"/>
      <c r="BV42" s="256"/>
      <c r="BW42" s="460"/>
      <c r="BX42" s="460"/>
      <c r="BY42" s="460"/>
      <c r="BZ42" s="460"/>
      <c r="CA42" s="460"/>
      <c r="CB42" s="460"/>
      <c r="CC42" s="460"/>
      <c r="CD42" s="460"/>
      <c r="CE42" s="460"/>
      <c r="CF42" s="346"/>
      <c r="CG42" s="346"/>
      <c r="CH42" s="346"/>
      <c r="CI42" s="346"/>
      <c r="CJ42" s="346"/>
      <c r="CK42" s="346"/>
      <c r="CL42" s="346"/>
      <c r="CM42" s="346"/>
      <c r="CN42" s="346"/>
      <c r="CO42" s="260" t="str">
        <f t="shared" si="46"/>
        <v xml:space="preserve"> </v>
      </c>
      <c r="CP42" s="260" t="str">
        <f t="shared" si="47"/>
        <v xml:space="preserve"> </v>
      </c>
      <c r="CQ42" s="260" t="str">
        <f t="shared" si="48"/>
        <v xml:space="preserve"> </v>
      </c>
      <c r="CR42" s="260" t="str">
        <f t="shared" si="49"/>
        <v xml:space="preserve"> </v>
      </c>
      <c r="CS42" s="260" t="str">
        <f t="shared" si="50"/>
        <v xml:space="preserve"> </v>
      </c>
      <c r="CT42" s="260" t="str">
        <f t="shared" si="51"/>
        <v xml:space="preserve"> </v>
      </c>
      <c r="CU42" s="260" t="str">
        <f t="shared" si="52"/>
        <v xml:space="preserve"> </v>
      </c>
      <c r="CV42" s="260" t="str">
        <f t="shared" si="53"/>
        <v xml:space="preserve"> </v>
      </c>
      <c r="CW42" s="260" t="str">
        <f t="shared" si="54"/>
        <v xml:space="preserve"> </v>
      </c>
      <c r="CX42" s="547"/>
      <c r="CY42" s="547"/>
      <c r="CZ42" s="547"/>
      <c r="DA42" s="547"/>
      <c r="DB42" s="547"/>
      <c r="DC42" s="547"/>
      <c r="DD42" s="547"/>
      <c r="DE42" s="547"/>
      <c r="DF42" s="547"/>
      <c r="DG42" s="548"/>
      <c r="DH42" s="548"/>
      <c r="DI42" s="548"/>
      <c r="DJ42" s="548"/>
      <c r="DK42" s="548"/>
      <c r="DL42" s="548"/>
      <c r="DM42" s="548"/>
      <c r="DN42" s="548"/>
      <c r="DO42" s="548"/>
      <c r="DP42" s="550" t="str">
        <f t="shared" si="55"/>
        <v xml:space="preserve"> </v>
      </c>
      <c r="DQ42" s="291" t="str">
        <f t="shared" si="56"/>
        <v xml:space="preserve">  </v>
      </c>
      <c r="DR42" s="553" t="str">
        <f t="shared" si="57"/>
        <v xml:space="preserve"> </v>
      </c>
      <c r="DS42" s="282"/>
      <c r="DT42" s="51"/>
      <c r="DU42" s="46" t="str">
        <f t="shared" si="58"/>
        <v xml:space="preserve"> </v>
      </c>
      <c r="DV42" s="46" t="str">
        <f t="shared" si="59"/>
        <v xml:space="preserve"> </v>
      </c>
      <c r="DW42" s="46" t="str">
        <f t="shared" si="60"/>
        <v xml:space="preserve"> </v>
      </c>
      <c r="DX42" s="46" t="str">
        <f t="shared" si="61"/>
        <v xml:space="preserve"> </v>
      </c>
      <c r="DY42" s="46" t="str">
        <f t="shared" si="62"/>
        <v xml:space="preserve"> </v>
      </c>
      <c r="DZ42" s="46" t="str">
        <f t="shared" si="63"/>
        <v xml:space="preserve"> </v>
      </c>
      <c r="EA42" s="46" t="str">
        <f t="shared" si="64"/>
        <v xml:space="preserve"> </v>
      </c>
      <c r="EB42" s="46" t="str">
        <f t="shared" si="65"/>
        <v xml:space="preserve"> </v>
      </c>
      <c r="EC42" s="46" t="str">
        <f t="shared" si="66"/>
        <v xml:space="preserve"> </v>
      </c>
      <c r="ED42" s="46"/>
      <c r="EE42" s="52" t="str">
        <f>[2]uts!J41</f>
        <v/>
      </c>
      <c r="EF42" s="51"/>
      <c r="EG42" s="53" t="str">
        <f t="shared" si="67"/>
        <v xml:space="preserve">  </v>
      </c>
      <c r="EH42" s="53" t="str">
        <f t="shared" si="68"/>
        <v xml:space="preserve">  </v>
      </c>
      <c r="EI42" s="53" t="str">
        <f t="shared" si="69"/>
        <v xml:space="preserve">  </v>
      </c>
      <c r="EJ42" s="53" t="str">
        <f t="shared" si="70"/>
        <v xml:space="preserve">  </v>
      </c>
      <c r="EK42" s="53" t="str">
        <f t="shared" si="71"/>
        <v xml:space="preserve">  </v>
      </c>
      <c r="EL42" s="53" t="str">
        <f t="shared" si="72"/>
        <v xml:space="preserve">  </v>
      </c>
      <c r="EM42" s="53" t="str">
        <f t="shared" si="73"/>
        <v xml:space="preserve">  </v>
      </c>
      <c r="EN42" s="53" t="str">
        <f t="shared" si="74"/>
        <v xml:space="preserve">  </v>
      </c>
      <c r="EO42" s="53" t="str">
        <f t="shared" si="75"/>
        <v xml:space="preserve">  </v>
      </c>
      <c r="EP42" s="53"/>
      <c r="EQ42" s="52" t="str">
        <f t="shared" si="76"/>
        <v xml:space="preserve"> </v>
      </c>
      <c r="ER42" s="55">
        <f t="shared" si="77"/>
        <v>0</v>
      </c>
      <c r="ES42" s="55">
        <f t="shared" si="78"/>
        <v>0</v>
      </c>
      <c r="ET42" s="51">
        <f>SISWA!E40</f>
        <v>0</v>
      </c>
      <c r="EU42" s="51" t="str">
        <f t="shared" si="79"/>
        <v/>
      </c>
      <c r="EV42" s="56" t="str">
        <f t="shared" si="80"/>
        <v/>
      </c>
      <c r="EW42" s="57" t="str">
        <f t="shared" si="81"/>
        <v/>
      </c>
      <c r="EX42" s="57" t="str">
        <f t="shared" si="82"/>
        <v/>
      </c>
      <c r="EY42" s="57" t="str">
        <f t="shared" si="83"/>
        <v/>
      </c>
      <c r="EZ42" s="57" t="str">
        <f t="shared" si="84"/>
        <v/>
      </c>
      <c r="FA42" s="57" t="str">
        <f t="shared" si="85"/>
        <v/>
      </c>
      <c r="FB42" s="57" t="str">
        <f t="shared" si="86"/>
        <v/>
      </c>
      <c r="FC42" s="57" t="str">
        <f t="shared" si="87"/>
        <v/>
      </c>
      <c r="FD42" s="57" t="str">
        <f t="shared" si="88"/>
        <v/>
      </c>
      <c r="FE42" s="57"/>
      <c r="FF42" s="58">
        <f t="shared" si="89"/>
        <v>0</v>
      </c>
      <c r="FG42" s="55" t="e">
        <f t="shared" si="90"/>
        <v>#N/A</v>
      </c>
      <c r="FH42" s="58"/>
      <c r="FI42" s="59" t="e">
        <f>IF(ER42&gt;100,"",IF(ER42&gt;DQ$1,"sangat baik dalam "&amp;FG42,IF(ER42&gt;=DQ$2,"baik dalam "&amp;FG42,IF(ER42&gt;=DQ$3,"cukup dalam "&amp;FG42,IF(ER42&lt;DQ$3,"dengan bimbingan dapat meningkatkan dalam "&amp;FG42,IF(ER42&lt;1," ",””))))))</f>
        <v>#N/A</v>
      </c>
      <c r="FJ42" s="58"/>
      <c r="FK42" s="57" t="str">
        <f t="shared" si="91"/>
        <v/>
      </c>
      <c r="FL42" s="57" t="str">
        <f t="shared" si="92"/>
        <v/>
      </c>
      <c r="FM42" s="57" t="str">
        <f t="shared" si="93"/>
        <v/>
      </c>
      <c r="FN42" s="57" t="str">
        <f t="shared" si="94"/>
        <v/>
      </c>
      <c r="FO42" s="57" t="str">
        <f t="shared" si="95"/>
        <v/>
      </c>
      <c r="FP42" s="57" t="str">
        <f t="shared" si="96"/>
        <v/>
      </c>
      <c r="FQ42" s="57" t="str">
        <f t="shared" si="97"/>
        <v/>
      </c>
      <c r="FR42" s="57" t="str">
        <f t="shared" si="98"/>
        <v/>
      </c>
      <c r="FS42" s="57" t="str">
        <f t="shared" si="99"/>
        <v/>
      </c>
      <c r="FT42" s="57"/>
      <c r="FU42" s="59" t="e">
        <f t="shared" si="100"/>
        <v>#N/A</v>
      </c>
      <c r="FV42" s="59" t="e">
        <f>IF(ES42&gt;100,"",IF(ES42&gt;DQ$1,"sangat baik dalam "&amp;FU42,IF(ES42&gt;=DQ$2,"baik dalam "&amp;FU42,IF(ES42&gt;=DQ$3,"cukup dalam "&amp;FU42,IF(ES42&lt;DQ$3,"dengan bimbingan dapat meningkatkan dalam "&amp;FU42,IF(ES42&lt;1," ",””))))))</f>
        <v>#N/A</v>
      </c>
      <c r="FW42" s="61"/>
      <c r="FX42" s="62" t="e">
        <f t="shared" si="101"/>
        <v>#N/A</v>
      </c>
      <c r="FY42" s="57" t="str">
        <f t="shared" si="102"/>
        <v/>
      </c>
      <c r="FZ42" s="57" t="str">
        <f t="shared" si="43"/>
        <v/>
      </c>
      <c r="GA42" s="57" t="str">
        <f t="shared" si="44"/>
        <v/>
      </c>
      <c r="GB42" s="57"/>
      <c r="GC42" s="57"/>
      <c r="GD42" s="57"/>
      <c r="GE42" s="59" t="str">
        <f t="shared" si="45"/>
        <v>perlu bimbingan dalam mengklasifikasi informasi yang didapat dari buku ke dalam aspek: apa, di mana, kapan, siapa, mengapa, dan bagaimana</v>
      </c>
      <c r="GF42" s="60"/>
      <c r="GG42" s="61"/>
      <c r="GH42" s="62" t="str">
        <f t="shared" si="103"/>
        <v>, perlu bimbingan dalam mengklasifikasi informasi yang didapat dari buku ke dalam aspek: apa, di mana, kapan, siapa, mengapa, dan bagaimana</v>
      </c>
    </row>
    <row r="43" spans="1:190"/>
    <row r="44" spans="1:190">
      <c r="B44" s="1167" t="str">
        <f>"Kompetensi Dasar "&amp;C2&amp;" :"</f>
        <v>Kompetensi Dasar BAHASA INDONESIA :</v>
      </c>
      <c r="C44" s="1168"/>
      <c r="D44" s="1168"/>
      <c r="E44" s="1168"/>
      <c r="F44" s="1168"/>
      <c r="G44" s="1168"/>
      <c r="H44" s="1168"/>
      <c r="I44" s="1168"/>
      <c r="J44" s="1168"/>
      <c r="K44" s="1168"/>
      <c r="L44" s="1168"/>
      <c r="M44" s="1168"/>
      <c r="N44" s="1168"/>
      <c r="O44" s="1168"/>
      <c r="P44" s="1168"/>
      <c r="Q44" s="1168"/>
      <c r="R44" s="1168"/>
      <c r="S44" s="1168"/>
      <c r="T44" s="1168"/>
      <c r="U44" s="1168"/>
      <c r="V44" s="1168"/>
      <c r="W44" s="1168"/>
      <c r="X44" s="1168"/>
      <c r="Y44" s="1168"/>
      <c r="Z44" s="1168"/>
      <c r="AA44" s="1168"/>
      <c r="AB44" s="1168"/>
      <c r="AC44" s="1168"/>
      <c r="AD44" s="1168"/>
      <c r="AE44" s="1168"/>
      <c r="AF44" s="1168"/>
    </row>
    <row r="45" spans="1:190">
      <c r="A45" s="357" t="str">
        <f>'KDKI-3'!A5</f>
        <v>3.1</v>
      </c>
      <c r="B45" s="357" t="str">
        <f>'KDKI-3'!B5</f>
        <v>menentukan pokok pikiran dalam teks lisan dan tulis</v>
      </c>
      <c r="C45" s="284"/>
      <c r="D45" s="284"/>
      <c r="E45" s="284"/>
      <c r="F45" s="284"/>
      <c r="G45" s="284"/>
      <c r="H45" s="284"/>
      <c r="I45" s="284"/>
      <c r="J45" s="284"/>
      <c r="K45" s="284"/>
      <c r="L45" s="284"/>
      <c r="M45" s="284"/>
      <c r="N45" s="284"/>
      <c r="O45" s="284"/>
      <c r="P45" s="284"/>
      <c r="Q45" s="284"/>
      <c r="R45" s="284"/>
      <c r="S45" s="284"/>
      <c r="T45" s="284"/>
      <c r="U45" s="284"/>
      <c r="V45" s="284"/>
      <c r="W45" s="284"/>
      <c r="X45" s="284"/>
      <c r="Y45" s="284"/>
      <c r="Z45" s="284"/>
      <c r="AA45" s="284"/>
      <c r="AB45" s="284"/>
      <c r="AC45" s="284"/>
      <c r="AD45" s="284"/>
      <c r="AE45" s="284"/>
      <c r="AF45" s="284"/>
      <c r="AG45" s="284"/>
      <c r="AH45" s="70"/>
      <c r="AI45" s="70"/>
      <c r="AJ45" s="70"/>
      <c r="AK45" s="70"/>
      <c r="AL45" s="70"/>
      <c r="AM45" s="70"/>
      <c r="AN45" s="70"/>
      <c r="AO45" s="70"/>
      <c r="AP45" s="70"/>
      <c r="AQ45" s="70"/>
      <c r="AR45" s="70"/>
      <c r="AS45" s="71"/>
      <c r="AT45" s="72"/>
      <c r="AU45" s="72"/>
    </row>
    <row r="46" spans="1:190">
      <c r="A46" s="357" t="str">
        <f>'KDKI-3'!A6</f>
        <v>3.2</v>
      </c>
      <c r="B46" s="357" t="str">
        <f>'KDKI-3'!B6</f>
        <v>mengklasifikasi informasi yang didapat dari buku ke dalam aspek: apa, di mana, kapan, siapa, mengapa, dan bagaimana</v>
      </c>
      <c r="C46" s="285"/>
      <c r="D46" s="285"/>
      <c r="E46" s="285"/>
      <c r="F46" s="285"/>
      <c r="G46" s="285"/>
      <c r="H46" s="285"/>
      <c r="I46" s="285"/>
      <c r="J46" s="285"/>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74"/>
      <c r="AI46" s="74"/>
      <c r="AJ46" s="74"/>
      <c r="AK46" s="74"/>
      <c r="AL46" s="74"/>
      <c r="AM46" s="74"/>
      <c r="AN46" s="74"/>
      <c r="AO46" s="74"/>
      <c r="AP46" s="74"/>
      <c r="AQ46" s="74"/>
      <c r="AR46" s="74"/>
      <c r="AS46" s="75"/>
      <c r="AT46" s="72"/>
      <c r="AU46" s="72"/>
    </row>
    <row r="47" spans="1:190">
      <c r="A47" s="357" t="str">
        <f>'KDKI-3'!A7</f>
        <v>3.3</v>
      </c>
      <c r="B47" s="357" t="str">
        <f>'KDKI-3'!B7</f>
        <v>meringkas teks penjelasan (eksplanasi) dari media cetak atau elektronik</v>
      </c>
      <c r="C47" s="286"/>
      <c r="D47" s="286"/>
      <c r="E47" s="286"/>
      <c r="F47" s="286"/>
      <c r="G47" s="286"/>
      <c r="H47" s="286"/>
      <c r="I47" s="286"/>
      <c r="J47" s="286"/>
      <c r="K47" s="286"/>
      <c r="L47" s="286"/>
      <c r="M47" s="286"/>
      <c r="N47" s="286"/>
      <c r="O47" s="286"/>
      <c r="P47" s="286"/>
      <c r="Q47" s="286"/>
      <c r="R47" s="286"/>
      <c r="S47" s="286"/>
      <c r="T47" s="286"/>
      <c r="U47" s="286"/>
      <c r="V47" s="286"/>
      <c r="W47" s="286"/>
      <c r="X47" s="286"/>
      <c r="Y47" s="286"/>
      <c r="Z47" s="286"/>
      <c r="AA47" s="286"/>
      <c r="AB47" s="286"/>
      <c r="AC47" s="286"/>
      <c r="AD47" s="286"/>
      <c r="AE47" s="286"/>
      <c r="AF47" s="286"/>
      <c r="AG47" s="286"/>
      <c r="AH47" s="72"/>
      <c r="AI47" s="72"/>
      <c r="AJ47" s="72"/>
      <c r="AK47" s="72"/>
      <c r="AL47" s="72"/>
      <c r="AM47" s="72"/>
      <c r="AN47" s="72"/>
      <c r="AO47" s="72"/>
      <c r="AP47" s="72"/>
      <c r="AQ47" s="72"/>
      <c r="AR47" s="72"/>
      <c r="AS47" s="76"/>
      <c r="AT47" s="72"/>
      <c r="AU47" s="72"/>
    </row>
    <row r="48" spans="1:190">
      <c r="A48" s="357" t="str">
        <f>'KDKI-3'!A8</f>
        <v>3.4</v>
      </c>
      <c r="B48" s="357" t="str">
        <f>'KDKI-3'!B8</f>
        <v>enganalisis informasi yang disampaikan paparan iklan dari media cetak atau elektronik</v>
      </c>
      <c r="C48" s="285"/>
      <c r="D48" s="285"/>
      <c r="E48" s="285"/>
      <c r="F48" s="285"/>
      <c r="G48" s="285"/>
      <c r="H48" s="285"/>
      <c r="I48" s="285"/>
      <c r="J48" s="285"/>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74"/>
      <c r="AI48" s="74"/>
      <c r="AJ48" s="74"/>
      <c r="AK48" s="74"/>
      <c r="AL48" s="74"/>
      <c r="AM48" s="74"/>
      <c r="AN48" s="74"/>
      <c r="AO48" s="74"/>
      <c r="AP48" s="74"/>
      <c r="AQ48" s="74"/>
      <c r="AR48" s="74"/>
      <c r="AS48" s="75"/>
      <c r="AT48" s="72"/>
      <c r="AU48" s="72"/>
    </row>
    <row r="49" spans="1:47">
      <c r="A49" s="357" t="str">
        <f>'KDKI-3'!A9</f>
        <v>3.5</v>
      </c>
      <c r="B49" s="357" t="str">
        <f>'KDKI-3'!B9</f>
        <v>menggali informasi penting dari teks narasi sejarah yang disajikan secara lisan dan tulis menggunakan aspek: apa, di mana, kapan, siapa, mengapa, dan bagaimana</v>
      </c>
      <c r="C49" s="285"/>
      <c r="D49" s="285"/>
      <c r="E49" s="285"/>
      <c r="F49" s="285"/>
      <c r="G49" s="285"/>
      <c r="H49" s="285"/>
      <c r="I49" s="285"/>
      <c r="J49" s="285"/>
      <c r="K49" s="285"/>
      <c r="L49" s="285"/>
      <c r="M49" s="285"/>
      <c r="N49" s="285"/>
      <c r="O49" s="285"/>
      <c r="P49" s="285"/>
      <c r="Q49" s="285"/>
      <c r="R49" s="285"/>
      <c r="S49" s="285"/>
      <c r="T49" s="285"/>
      <c r="U49" s="285"/>
      <c r="V49" s="285"/>
      <c r="W49" s="285"/>
      <c r="X49" s="285"/>
      <c r="Y49" s="285"/>
      <c r="Z49" s="285"/>
      <c r="AA49" s="285"/>
      <c r="AB49" s="285"/>
      <c r="AC49" s="285"/>
      <c r="AD49" s="285"/>
      <c r="AE49" s="285"/>
      <c r="AF49" s="285"/>
      <c r="AG49" s="285"/>
      <c r="AH49" s="74"/>
      <c r="AI49" s="74"/>
      <c r="AJ49" s="74"/>
      <c r="AK49" s="74"/>
      <c r="AL49" s="74"/>
      <c r="AM49" s="74"/>
      <c r="AN49" s="74"/>
      <c r="AO49" s="74"/>
      <c r="AP49" s="74"/>
      <c r="AQ49" s="74"/>
      <c r="AR49" s="74"/>
      <c r="AS49" s="75"/>
      <c r="AT49" s="72"/>
      <c r="AU49" s="72"/>
    </row>
    <row r="50" spans="1:47">
      <c r="A50" s="357" t="str">
        <f>'KDKI-3'!A10</f>
        <v>3.6</v>
      </c>
      <c r="B50" s="357" t="str">
        <f>'KDKI-3'!B10</f>
        <v>menggali isi dan amanat pantun yang disajikan secara lisan dan tulis dengan tujuan untuk kesenangan</v>
      </c>
      <c r="C50" s="286"/>
      <c r="D50" s="286"/>
      <c r="E50" s="286"/>
      <c r="F50" s="286"/>
      <c r="G50" s="286"/>
      <c r="H50" s="286"/>
      <c r="I50" s="286"/>
      <c r="J50" s="286"/>
      <c r="K50" s="286"/>
      <c r="L50" s="286"/>
      <c r="M50" s="286"/>
      <c r="N50" s="286"/>
      <c r="O50" s="286"/>
      <c r="P50" s="286"/>
      <c r="Q50" s="286"/>
      <c r="R50" s="286"/>
      <c r="S50" s="286"/>
      <c r="T50" s="286"/>
      <c r="U50" s="286"/>
      <c r="V50" s="286"/>
      <c r="W50" s="286"/>
      <c r="X50" s="286"/>
      <c r="Y50" s="286"/>
      <c r="Z50" s="286"/>
      <c r="AA50" s="286"/>
      <c r="AB50" s="286"/>
      <c r="AC50" s="286"/>
      <c r="AD50" s="286"/>
      <c r="AE50" s="286"/>
      <c r="AF50" s="286"/>
      <c r="AG50" s="286"/>
      <c r="AH50" s="72"/>
      <c r="AI50" s="72"/>
      <c r="AJ50" s="72"/>
      <c r="AK50" s="72"/>
      <c r="AL50" s="72"/>
      <c r="AM50" s="72"/>
      <c r="AN50" s="72"/>
      <c r="AO50" s="72"/>
      <c r="AP50" s="72"/>
      <c r="AQ50" s="72"/>
      <c r="AR50" s="72"/>
      <c r="AS50" s="76"/>
      <c r="AT50" s="72"/>
      <c r="AU50" s="72"/>
    </row>
    <row r="51" spans="1:47">
      <c r="A51" s="357" t="str">
        <f>'KDKI-3'!A11</f>
        <v>3.7</v>
      </c>
      <c r="B51" s="357" t="str">
        <f>'KDKI-3'!B11</f>
        <v>menguraikan konsep-konsep yang saling berkaitan pada teks nonfiksi</v>
      </c>
      <c r="C51" s="285"/>
      <c r="D51" s="285"/>
      <c r="E51" s="285"/>
      <c r="F51" s="285"/>
      <c r="G51" s="285"/>
      <c r="H51" s="285"/>
      <c r="I51" s="285"/>
      <c r="J51" s="285"/>
      <c r="K51" s="285"/>
      <c r="L51" s="285"/>
      <c r="M51" s="285"/>
      <c r="N51" s="285"/>
      <c r="O51" s="285"/>
      <c r="P51" s="285"/>
      <c r="Q51" s="285"/>
      <c r="R51" s="285"/>
      <c r="S51" s="285"/>
      <c r="T51" s="285"/>
      <c r="U51" s="285"/>
      <c r="V51" s="285"/>
      <c r="W51" s="285"/>
      <c r="X51" s="285"/>
      <c r="Y51" s="285"/>
      <c r="Z51" s="285"/>
      <c r="AA51" s="285"/>
      <c r="AB51" s="285"/>
      <c r="AC51" s="285"/>
      <c r="AD51" s="285"/>
      <c r="AE51" s="285"/>
      <c r="AF51" s="285"/>
      <c r="AG51" s="285"/>
      <c r="AH51" s="74"/>
      <c r="AI51" s="74"/>
      <c r="AJ51" s="74"/>
      <c r="AK51" s="74"/>
      <c r="AL51" s="74"/>
      <c r="AM51" s="74"/>
      <c r="AN51" s="74"/>
      <c r="AO51" s="74"/>
      <c r="AP51" s="74"/>
      <c r="AQ51" s="74"/>
      <c r="AR51" s="74"/>
      <c r="AS51" s="75"/>
      <c r="AT51" s="72"/>
      <c r="AU51" s="72"/>
    </row>
    <row r="52" spans="1:47">
      <c r="A52" s="357" t="str">
        <f>'KDKI-3'!A12</f>
        <v>3.8</v>
      </c>
      <c r="B52" s="357" t="str">
        <f>'KDKI-3'!B12</f>
        <v>menguraikan urutan peristiwa atau tindakan yang terdapat pada teks nonfiksi</v>
      </c>
      <c r="C52" s="286"/>
      <c r="D52" s="286"/>
      <c r="E52" s="286"/>
      <c r="F52" s="286"/>
      <c r="G52" s="286"/>
      <c r="H52" s="286"/>
      <c r="I52" s="286"/>
      <c r="J52" s="286"/>
      <c r="K52" s="286"/>
      <c r="L52" s="286"/>
      <c r="M52" s="286"/>
      <c r="N52" s="286"/>
      <c r="O52" s="286"/>
      <c r="P52" s="286"/>
      <c r="Q52" s="286"/>
      <c r="R52" s="286"/>
      <c r="S52" s="286"/>
      <c r="T52" s="286"/>
      <c r="U52" s="286"/>
      <c r="V52" s="286"/>
      <c r="W52" s="286"/>
      <c r="X52" s="286"/>
      <c r="Y52" s="286"/>
      <c r="Z52" s="286"/>
      <c r="AA52" s="286"/>
      <c r="AB52" s="286"/>
      <c r="AC52" s="286"/>
      <c r="AD52" s="286"/>
      <c r="AE52" s="286"/>
      <c r="AF52" s="286"/>
      <c r="AG52" s="286"/>
      <c r="AH52" s="72"/>
      <c r="AI52" s="72"/>
      <c r="AJ52" s="72"/>
      <c r="AK52" s="72"/>
      <c r="AL52" s="72"/>
      <c r="AM52" s="72"/>
      <c r="AN52" s="72"/>
      <c r="AO52" s="72"/>
      <c r="AP52" s="72"/>
      <c r="AQ52" s="72"/>
      <c r="AR52" s="72"/>
      <c r="AS52" s="76"/>
      <c r="AT52" s="72"/>
      <c r="AU52" s="72"/>
    </row>
    <row r="53" spans="1:47">
      <c r="A53" s="357" t="str">
        <f>'KDKI-3'!A13</f>
        <v>3.9</v>
      </c>
      <c r="B53" s="357" t="str">
        <f>'KDKI-3'!B13</f>
        <v>mencermati penggunaan kalimat efektif dan ejaan dalam surat undangan (ulang tahun, kegiatan sekolah, kenaikan kelas, dll.)</v>
      </c>
      <c r="C53" s="285"/>
      <c r="D53" s="285"/>
      <c r="E53" s="285"/>
      <c r="F53" s="285"/>
      <c r="G53" s="285"/>
      <c r="H53" s="285"/>
      <c r="I53" s="285"/>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74"/>
      <c r="AI53" s="74"/>
      <c r="AJ53" s="74"/>
      <c r="AK53" s="74"/>
      <c r="AL53" s="74"/>
      <c r="AM53" s="74"/>
      <c r="AN53" s="74"/>
      <c r="AO53" s="74"/>
      <c r="AP53" s="74"/>
      <c r="AQ53" s="74"/>
      <c r="AR53" s="74"/>
      <c r="AS53" s="75"/>
      <c r="AT53" s="72"/>
      <c r="AU53" s="72"/>
    </row>
    <row r="54" spans="1:47">
      <c r="A54" s="360"/>
      <c r="B54" s="361"/>
      <c r="C54" s="287"/>
      <c r="D54" s="287"/>
      <c r="E54" s="287"/>
      <c r="F54" s="287"/>
      <c r="G54" s="287"/>
      <c r="H54" s="287"/>
      <c r="I54" s="287"/>
      <c r="J54" s="287"/>
      <c r="K54" s="287"/>
      <c r="L54" s="287"/>
      <c r="M54" s="287"/>
      <c r="N54" s="287"/>
      <c r="O54" s="287"/>
      <c r="P54" s="287"/>
      <c r="Q54" s="287"/>
      <c r="R54" s="287"/>
      <c r="S54" s="287"/>
      <c r="T54" s="287"/>
      <c r="U54" s="287"/>
      <c r="V54" s="287"/>
      <c r="W54" s="287"/>
      <c r="X54" s="287"/>
      <c r="Y54" s="287"/>
      <c r="Z54" s="287"/>
      <c r="AA54" s="287"/>
      <c r="AB54" s="287"/>
      <c r="AC54" s="287"/>
      <c r="AD54" s="287"/>
      <c r="AE54" s="287"/>
      <c r="AF54" s="287"/>
      <c r="AG54" s="287"/>
      <c r="AH54" s="84"/>
      <c r="AI54" s="84"/>
      <c r="AJ54" s="84"/>
      <c r="AK54" s="84"/>
      <c r="AL54" s="84"/>
      <c r="AM54" s="84"/>
      <c r="AN54" s="84"/>
      <c r="AO54" s="84"/>
      <c r="AP54" s="84"/>
      <c r="AQ54" s="84"/>
      <c r="AR54" s="84"/>
      <c r="AS54" s="85"/>
      <c r="AT54" s="72"/>
      <c r="AU54" s="72"/>
    </row>
    <row r="55" spans="1:47"/>
    <row r="56" spans="1:47"/>
    <row r="57" spans="1:47"/>
    <row r="58" spans="1:47"/>
    <row r="59" spans="1:47"/>
    <row r="60" spans="1:47"/>
    <row r="61" spans="1:47"/>
  </sheetData>
  <sheetProtection password="CA9C" sheet="1" objects="1" scenarios="1" formatCells="0" formatRows="0"/>
  <mergeCells count="62">
    <mergeCell ref="C3:T3"/>
    <mergeCell ref="B1:AF1"/>
    <mergeCell ref="C2:L2"/>
    <mergeCell ref="AG3:AN3"/>
    <mergeCell ref="A5:A7"/>
    <mergeCell ref="B5:B7"/>
    <mergeCell ref="C5:T5"/>
    <mergeCell ref="U5:AL5"/>
    <mergeCell ref="AM5:BD5"/>
    <mergeCell ref="C4:L4"/>
    <mergeCell ref="CO5:CW5"/>
    <mergeCell ref="BW5:CN5"/>
    <mergeCell ref="BW6:CE6"/>
    <mergeCell ref="CF6:CN6"/>
    <mergeCell ref="DG5:DO5"/>
    <mergeCell ref="CX5:DF5"/>
    <mergeCell ref="BE5:BV5"/>
    <mergeCell ref="C6:K6"/>
    <mergeCell ref="L6:T6"/>
    <mergeCell ref="U6:AC6"/>
    <mergeCell ref="AD6:AL6"/>
    <mergeCell ref="AM6:AU6"/>
    <mergeCell ref="AV6:BD6"/>
    <mergeCell ref="BE6:BM6"/>
    <mergeCell ref="BN6:BV6"/>
    <mergeCell ref="GE6:GE7"/>
    <mergeCell ref="B44:AF44"/>
    <mergeCell ref="FU6:FU7"/>
    <mergeCell ref="FV6:FV7"/>
    <mergeCell ref="FG6:FG7"/>
    <mergeCell ref="FI6:FI7"/>
    <mergeCell ref="FK6:FK7"/>
    <mergeCell ref="DQ5:DQ7"/>
    <mergeCell ref="DR5:DR7"/>
    <mergeCell ref="EE5:EE7"/>
    <mergeCell ref="FZ6:FZ7"/>
    <mergeCell ref="FL6:FL7"/>
    <mergeCell ref="FM6:FM7"/>
    <mergeCell ref="FN6:FN7"/>
    <mergeCell ref="FO6:FO7"/>
    <mergeCell ref="FQ6:FQ7"/>
    <mergeCell ref="FR6:FR7"/>
    <mergeCell ref="GA6:GA7"/>
    <mergeCell ref="GB6:GB7"/>
    <mergeCell ref="GC6:GC7"/>
    <mergeCell ref="GD6:GD7"/>
    <mergeCell ref="FS6:FS7"/>
    <mergeCell ref="FT6:FT7"/>
    <mergeCell ref="FX4:FX7"/>
    <mergeCell ref="DU5:ED5"/>
    <mergeCell ref="EG5:EO5"/>
    <mergeCell ref="EV6:EV7"/>
    <mergeCell ref="EW6:EW7"/>
    <mergeCell ref="EX6:EX7"/>
    <mergeCell ref="FD6:FD7"/>
    <mergeCell ref="FE6:FE7"/>
    <mergeCell ref="FP6:FP7"/>
    <mergeCell ref="EY6:EY7"/>
    <mergeCell ref="EZ6:EZ7"/>
    <mergeCell ref="FA6:FA7"/>
    <mergeCell ref="FB6:FB7"/>
    <mergeCell ref="FC6:FC7"/>
  </mergeCells>
  <pageMargins left="0.7" right="0.7" top="0.75" bottom="0.75" header="0.3" footer="0.3"/>
  <pageSetup paperSize="512" orientation="portrait" horizontalDpi="0"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00B0F0"/>
  </sheetPr>
  <dimension ref="A1:JB63"/>
  <sheetViews>
    <sheetView showRowColHeaders="0" showZeros="0" workbookViewId="0">
      <pane xSplit="2" ySplit="7" topLeftCell="EN8" activePane="bottomRight" state="frozen"/>
      <selection pane="topRight" activeCell="C1" sqref="C1"/>
      <selection pane="bottomLeft" activeCell="A8" sqref="A8"/>
      <selection pane="bottomRight" activeCell="FF9" sqref="FF9"/>
    </sheetView>
  </sheetViews>
  <sheetFormatPr defaultColWidth="0" defaultRowHeight="15" zeroHeight="1"/>
  <cols>
    <col min="1" max="1" width="4.7109375" customWidth="1"/>
    <col min="2" max="2" width="31" customWidth="1"/>
    <col min="3" max="28" width="3.7109375" customWidth="1"/>
    <col min="29" max="132" width="3.7109375" hidden="1" customWidth="1"/>
    <col min="133" max="145" width="3.7109375" customWidth="1"/>
    <col min="146" max="171" width="4.7109375" customWidth="1"/>
    <col min="172" max="173" width="6.7109375" customWidth="1"/>
    <col min="174" max="174" width="100.7109375" customWidth="1"/>
    <col min="175" max="175" width="3.7109375" customWidth="1"/>
    <col min="176" max="205" width="3.7109375" hidden="1" customWidth="1"/>
    <col min="206" max="207" width="3.7109375" style="323" hidden="1" customWidth="1"/>
    <col min="208" max="246" width="3.7109375" hidden="1" customWidth="1"/>
    <col min="247" max="247" width="15.7109375" hidden="1" customWidth="1"/>
    <col min="248" max="249" width="5.7109375" hidden="1"/>
    <col min="250" max="251" width="15.7109375" hidden="1"/>
    <col min="252" max="255" width="5.7109375" hidden="1"/>
    <col min="256" max="256" width="15.7109375" hidden="1"/>
    <col min="257" max="258" width="5.7109375" hidden="1"/>
    <col min="259" max="262" width="15.7109375" hidden="1"/>
  </cols>
  <sheetData>
    <row r="1" spans="1:247" ht="15.75">
      <c r="A1" s="22"/>
      <c r="B1" s="894" t="s">
        <v>0</v>
      </c>
      <c r="C1" s="894"/>
      <c r="D1" s="894"/>
      <c r="E1" s="894"/>
      <c r="F1" s="894"/>
      <c r="G1" s="894"/>
      <c r="H1" s="894"/>
      <c r="I1" s="894"/>
      <c r="J1" s="894"/>
      <c r="K1" s="894"/>
      <c r="L1" s="894"/>
      <c r="M1" s="894"/>
      <c r="N1" s="894"/>
      <c r="O1" s="894"/>
      <c r="P1" s="894"/>
      <c r="Q1" s="894"/>
      <c r="R1" s="894"/>
      <c r="S1" s="894"/>
      <c r="T1" s="894"/>
      <c r="U1" s="894"/>
      <c r="V1" s="894"/>
      <c r="W1" s="894"/>
      <c r="X1" s="894"/>
      <c r="Y1" s="894"/>
      <c r="Z1" s="894"/>
      <c r="AA1" s="894"/>
      <c r="AB1" s="894"/>
      <c r="AC1" s="894"/>
      <c r="AD1" s="894"/>
      <c r="AE1" s="894"/>
      <c r="AF1" s="894"/>
      <c r="AG1" s="894"/>
      <c r="AH1" s="894"/>
      <c r="AI1" s="894"/>
      <c r="AJ1" s="894"/>
      <c r="AK1" s="894"/>
      <c r="AL1" s="894"/>
      <c r="AM1" s="894"/>
      <c r="AN1" s="894"/>
      <c r="AO1" s="894"/>
      <c r="AP1" s="894"/>
      <c r="AQ1" s="894"/>
      <c r="AR1" s="894"/>
      <c r="FP1" t="s">
        <v>1</v>
      </c>
      <c r="FQ1">
        <f>KKM!D29</f>
        <v>92</v>
      </c>
      <c r="FT1">
        <v>100</v>
      </c>
      <c r="GK1" s="2"/>
      <c r="GL1" s="2"/>
      <c r="GM1" s="2"/>
      <c r="GN1" s="25"/>
      <c r="GW1" s="4"/>
      <c r="GX1" s="325"/>
      <c r="GY1" s="325"/>
      <c r="GZ1" s="26"/>
      <c r="HA1" s="4"/>
      <c r="HB1" s="4"/>
      <c r="HC1" s="4"/>
      <c r="HD1" s="4"/>
      <c r="HE1" s="4"/>
      <c r="HF1" s="4"/>
      <c r="HG1" s="4"/>
      <c r="HH1" s="4"/>
      <c r="HI1" s="4"/>
      <c r="HJ1" s="4"/>
      <c r="HK1" s="4"/>
      <c r="HL1" s="4"/>
      <c r="HM1" s="4"/>
      <c r="HN1" s="4"/>
      <c r="HO1" s="4"/>
      <c r="HP1" s="4"/>
      <c r="HQ1" s="4"/>
      <c r="HR1" s="4"/>
      <c r="HS1" s="4"/>
      <c r="HT1" s="4"/>
      <c r="HU1" s="4"/>
      <c r="HV1" s="4"/>
      <c r="HW1" s="4"/>
      <c r="HX1" s="4"/>
      <c r="HY1" s="4"/>
      <c r="HZ1" s="4"/>
      <c r="IA1" s="4"/>
      <c r="IB1" s="4"/>
      <c r="IC1" s="4"/>
      <c r="ID1" s="4"/>
      <c r="IE1" s="4"/>
      <c r="IF1" s="4"/>
      <c r="IG1" s="4"/>
      <c r="IH1" s="4"/>
      <c r="II1" s="4"/>
      <c r="IJ1" s="4"/>
      <c r="IK1" s="4"/>
      <c r="IL1" s="4"/>
      <c r="IM1" s="4"/>
    </row>
    <row r="2" spans="1:247" ht="15.75">
      <c r="A2" s="22"/>
      <c r="B2" s="7" t="s">
        <v>3</v>
      </c>
      <c r="C2" s="1181" t="s">
        <v>191</v>
      </c>
      <c r="D2" s="996"/>
      <c r="E2" s="996"/>
      <c r="F2" s="996"/>
      <c r="G2" s="996"/>
      <c r="H2" s="996"/>
      <c r="I2" s="996"/>
      <c r="J2" s="996"/>
      <c r="K2" s="996"/>
      <c r="L2" s="996"/>
      <c r="M2" s="996"/>
      <c r="N2" s="996"/>
      <c r="O2" s="996"/>
      <c r="P2" s="996"/>
      <c r="Q2" s="8"/>
      <c r="R2" s="9"/>
      <c r="S2" s="9"/>
      <c r="T2" s="9"/>
      <c r="U2" s="9"/>
      <c r="V2" s="9"/>
      <c r="W2" s="9"/>
      <c r="X2" s="9"/>
      <c r="Y2" s="9"/>
      <c r="Z2" s="9"/>
      <c r="AA2" s="9"/>
      <c r="AB2" s="9"/>
      <c r="AC2" s="9"/>
      <c r="AD2" s="9"/>
      <c r="AE2" s="10"/>
      <c r="AF2" s="10"/>
      <c r="AP2" s="9"/>
      <c r="AQ2" s="11"/>
      <c r="AR2" s="12"/>
      <c r="FP2" t="s">
        <v>2</v>
      </c>
      <c r="FQ2">
        <f>KKM!D30</f>
        <v>83</v>
      </c>
      <c r="FT2">
        <f>(FT1-FQ2)/2</f>
        <v>8.5</v>
      </c>
      <c r="GK2" s="2"/>
      <c r="GL2" s="2"/>
      <c r="GM2" s="2"/>
      <c r="GN2" s="25"/>
      <c r="GW2" s="4"/>
      <c r="GX2" s="13"/>
      <c r="GY2" s="13"/>
      <c r="GZ2" s="13"/>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row>
    <row r="3" spans="1:247" ht="15.75">
      <c r="A3" s="22"/>
      <c r="B3" s="14" t="s">
        <v>7</v>
      </c>
      <c r="C3" s="992" t="str">
        <f>MENU!N20</f>
        <v>V ( Lima )</v>
      </c>
      <c r="D3" s="992"/>
      <c r="E3" s="992"/>
      <c r="F3" s="992"/>
      <c r="G3" s="992"/>
      <c r="H3" s="992"/>
      <c r="I3" s="992"/>
      <c r="J3" s="992"/>
      <c r="K3" s="992"/>
      <c r="L3" s="992"/>
      <c r="M3" s="992"/>
      <c r="N3" s="992"/>
      <c r="O3" s="992"/>
      <c r="P3" s="992"/>
      <c r="Q3" s="992"/>
      <c r="R3" s="20"/>
      <c r="S3" s="20" t="s">
        <v>35</v>
      </c>
      <c r="T3" t="str">
        <f>MENU!N22</f>
        <v>2019/2020</v>
      </c>
      <c r="AC3" s="9"/>
      <c r="AD3" s="9"/>
      <c r="AE3" s="21"/>
      <c r="AF3" s="8"/>
      <c r="AG3" s="8"/>
      <c r="AH3" s="8"/>
      <c r="AI3" s="8"/>
      <c r="AJ3" s="8"/>
      <c r="AK3" s="8"/>
      <c r="AL3" s="8"/>
      <c r="AM3" s="8"/>
      <c r="AN3" s="8"/>
      <c r="AO3" s="8"/>
      <c r="AP3" s="8"/>
      <c r="AQ3" s="8"/>
      <c r="AS3" s="997"/>
      <c r="AT3" s="997"/>
      <c r="AU3" s="997"/>
      <c r="AV3" s="997"/>
      <c r="AW3" s="997"/>
      <c r="AX3" s="997"/>
      <c r="AY3" s="997"/>
      <c r="AZ3" s="997"/>
      <c r="BA3" s="997"/>
      <c r="BB3" s="997"/>
      <c r="BC3" s="997"/>
      <c r="BD3" s="997"/>
      <c r="BQ3" s="23"/>
      <c r="FP3" t="s">
        <v>64</v>
      </c>
      <c r="FQ3">
        <f>KKM!D31</f>
        <v>75</v>
      </c>
      <c r="GK3" s="2"/>
      <c r="GL3" s="2"/>
      <c r="GM3" s="2"/>
      <c r="GN3" s="25"/>
      <c r="GW3" s="4"/>
      <c r="GX3" s="999"/>
      <c r="GY3" s="999"/>
      <c r="GZ3" s="1000"/>
      <c r="HA3" s="26"/>
      <c r="HB3" s="26"/>
      <c r="HC3" s="26"/>
      <c r="HD3" s="26"/>
      <c r="HE3" s="26"/>
      <c r="HF3" s="26"/>
      <c r="HG3" s="26"/>
      <c r="HH3" s="26"/>
      <c r="HI3" s="26"/>
      <c r="HJ3" s="26"/>
      <c r="HK3" s="26"/>
      <c r="HL3" s="326"/>
      <c r="HM3" s="499"/>
      <c r="HN3" s="499"/>
      <c r="HO3" s="26"/>
      <c r="HP3" s="26"/>
      <c r="HQ3" s="26"/>
      <c r="HR3" s="26"/>
      <c r="HS3" s="26"/>
      <c r="HT3" s="26"/>
      <c r="HU3" s="26"/>
      <c r="HV3" s="26"/>
      <c r="HW3" s="26"/>
      <c r="HX3" s="26"/>
      <c r="HY3" s="26"/>
      <c r="HZ3" s="26"/>
      <c r="IA3" s="26"/>
      <c r="IB3" s="26"/>
      <c r="IC3" s="26"/>
      <c r="ID3" s="326"/>
      <c r="IE3" s="499"/>
      <c r="IF3" s="326"/>
      <c r="IG3" s="499"/>
      <c r="IH3" s="499"/>
      <c r="II3" s="26"/>
      <c r="IJ3" s="26"/>
      <c r="IK3" s="26"/>
      <c r="IL3" s="26"/>
      <c r="IM3" s="2"/>
    </row>
    <row r="4" spans="1:247">
      <c r="B4" s="121" t="s">
        <v>383</v>
      </c>
      <c r="C4" s="993">
        <f>KKM!C20</f>
        <v>75</v>
      </c>
      <c r="D4" s="993"/>
      <c r="E4" s="993"/>
      <c r="F4" s="993"/>
      <c r="G4" s="993"/>
      <c r="H4" s="993"/>
      <c r="I4" s="993"/>
      <c r="J4" s="993"/>
      <c r="K4" s="993"/>
      <c r="L4" s="993"/>
      <c r="M4" s="993"/>
      <c r="N4" s="993"/>
      <c r="O4" s="993"/>
      <c r="P4" s="993"/>
      <c r="Q4" s="993"/>
      <c r="R4" s="993"/>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FP4" t="s">
        <v>146</v>
      </c>
      <c r="GW4" s="4"/>
      <c r="GX4" s="349"/>
      <c r="GY4" s="349"/>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row>
    <row r="5" spans="1:247" ht="14.1" customHeight="1">
      <c r="A5" s="900" t="s">
        <v>9</v>
      </c>
      <c r="B5" s="900" t="s">
        <v>10</v>
      </c>
      <c r="C5" s="1001" t="s">
        <v>468</v>
      </c>
      <c r="D5" s="1002"/>
      <c r="E5" s="1002"/>
      <c r="F5" s="1002"/>
      <c r="G5" s="1002"/>
      <c r="H5" s="1002"/>
      <c r="I5" s="1002"/>
      <c r="J5" s="1002"/>
      <c r="K5" s="1002"/>
      <c r="L5" s="1002"/>
      <c r="M5" s="1002"/>
      <c r="N5" s="1002"/>
      <c r="O5" s="1002"/>
      <c r="P5" s="1002"/>
      <c r="Q5" s="1002"/>
      <c r="R5" s="1002"/>
      <c r="S5" s="1002"/>
      <c r="T5" s="1002"/>
      <c r="U5" s="1002"/>
      <c r="V5" s="1002"/>
      <c r="W5" s="1002"/>
      <c r="X5" s="1002"/>
      <c r="Y5" s="1002"/>
      <c r="Z5" s="1002"/>
      <c r="AA5" s="1002"/>
      <c r="AB5" s="1174"/>
      <c r="AC5" s="1186" t="s">
        <v>270</v>
      </c>
      <c r="AD5" s="1187"/>
      <c r="AE5" s="1187"/>
      <c r="AF5" s="1187"/>
      <c r="AG5" s="1187"/>
      <c r="AH5" s="1187"/>
      <c r="AI5" s="1187"/>
      <c r="AJ5" s="1187"/>
      <c r="AK5" s="1187"/>
      <c r="AL5" s="1187"/>
      <c r="AM5" s="1187"/>
      <c r="AN5" s="1187"/>
      <c r="AO5" s="1187"/>
      <c r="AP5" s="1187"/>
      <c r="AQ5" s="1187"/>
      <c r="AR5" s="1187"/>
      <c r="AS5" s="1187"/>
      <c r="AT5" s="1187"/>
      <c r="AU5" s="1187"/>
      <c r="AV5" s="1187"/>
      <c r="AW5" s="1187"/>
      <c r="AX5" s="1187"/>
      <c r="AY5" s="1187"/>
      <c r="AZ5" s="1188"/>
      <c r="BA5" s="464"/>
      <c r="BB5" s="464"/>
      <c r="BC5" s="1001" t="s">
        <v>271</v>
      </c>
      <c r="BD5" s="1002"/>
      <c r="BE5" s="1002"/>
      <c r="BF5" s="1002"/>
      <c r="BG5" s="1002"/>
      <c r="BH5" s="1002"/>
      <c r="BI5" s="1002"/>
      <c r="BJ5" s="1002"/>
      <c r="BK5" s="1002"/>
      <c r="BL5" s="1002"/>
      <c r="BM5" s="1002"/>
      <c r="BN5" s="1002"/>
      <c r="BO5" s="1002"/>
      <c r="BP5" s="1002"/>
      <c r="BQ5" s="1002"/>
      <c r="BR5" s="1002"/>
      <c r="BS5" s="1002"/>
      <c r="BT5" s="1002"/>
      <c r="BU5" s="1002"/>
      <c r="BV5" s="1002"/>
      <c r="BW5" s="1002"/>
      <c r="BX5" s="1002"/>
      <c r="BY5" s="1002"/>
      <c r="BZ5" s="1174"/>
      <c r="CA5" s="463"/>
      <c r="CB5" s="463"/>
      <c r="CC5" s="1186" t="s">
        <v>272</v>
      </c>
      <c r="CD5" s="1187"/>
      <c r="CE5" s="1187"/>
      <c r="CF5" s="1187"/>
      <c r="CG5" s="1187"/>
      <c r="CH5" s="1187"/>
      <c r="CI5" s="1187"/>
      <c r="CJ5" s="1187"/>
      <c r="CK5" s="1187"/>
      <c r="CL5" s="1187"/>
      <c r="CM5" s="1187"/>
      <c r="CN5" s="1187"/>
      <c r="CO5" s="1187"/>
      <c r="CP5" s="1187"/>
      <c r="CQ5" s="1187"/>
      <c r="CR5" s="1187"/>
      <c r="CS5" s="1187"/>
      <c r="CT5" s="1187"/>
      <c r="CU5" s="1187"/>
      <c r="CV5" s="1187"/>
      <c r="CW5" s="1187"/>
      <c r="CX5" s="1187"/>
      <c r="CY5" s="1187"/>
      <c r="CZ5" s="1188"/>
      <c r="DA5" s="464"/>
      <c r="DB5" s="464"/>
      <c r="DC5" s="1001" t="s">
        <v>61</v>
      </c>
      <c r="DD5" s="1002"/>
      <c r="DE5" s="1002"/>
      <c r="DF5" s="1002"/>
      <c r="DG5" s="1002"/>
      <c r="DH5" s="1002"/>
      <c r="DI5" s="1002"/>
      <c r="DJ5" s="1002"/>
      <c r="DK5" s="1002"/>
      <c r="DL5" s="1002"/>
      <c r="DM5" s="1002"/>
      <c r="DN5" s="1002"/>
      <c r="DO5" s="1002"/>
      <c r="DP5" s="1002"/>
      <c r="DQ5" s="1002"/>
      <c r="DR5" s="1002"/>
      <c r="DS5" s="1002"/>
      <c r="DT5" s="1002"/>
      <c r="DU5" s="1002"/>
      <c r="DV5" s="1002"/>
      <c r="DW5" s="1002"/>
      <c r="DX5" s="1002"/>
      <c r="DY5" s="1002"/>
      <c r="DZ5" s="1174"/>
      <c r="EA5" s="463"/>
      <c r="EB5" s="463"/>
      <c r="EC5" s="956" t="s">
        <v>385</v>
      </c>
      <c r="ED5" s="957"/>
      <c r="EE5" s="957"/>
      <c r="EF5" s="957"/>
      <c r="EG5" s="957"/>
      <c r="EH5" s="957"/>
      <c r="EI5" s="957"/>
      <c r="EJ5" s="957"/>
      <c r="EK5" s="957"/>
      <c r="EL5" s="957"/>
      <c r="EM5" s="957"/>
      <c r="EN5" s="957"/>
      <c r="EO5" s="958"/>
      <c r="EP5" s="1198" t="s">
        <v>379</v>
      </c>
      <c r="EQ5" s="1199"/>
      <c r="ER5" s="1199"/>
      <c r="ES5" s="1199"/>
      <c r="ET5" s="1199"/>
      <c r="EU5" s="1199"/>
      <c r="EV5" s="1199"/>
      <c r="EW5" s="1199"/>
      <c r="EX5" s="1199"/>
      <c r="EY5" s="1199"/>
      <c r="EZ5" s="1199"/>
      <c r="FA5" s="1199"/>
      <c r="FB5" s="1200"/>
      <c r="FC5" s="1189" t="s">
        <v>378</v>
      </c>
      <c r="FD5" s="1190"/>
      <c r="FE5" s="1190"/>
      <c r="FF5" s="1190"/>
      <c r="FG5" s="1190"/>
      <c r="FH5" s="1190"/>
      <c r="FI5" s="1190"/>
      <c r="FJ5" s="1190"/>
      <c r="FK5" s="1190"/>
      <c r="FL5" s="1190"/>
      <c r="FM5" s="1190"/>
      <c r="FN5" s="1190"/>
      <c r="FO5" s="1191"/>
      <c r="FP5" s="28" t="s">
        <v>14</v>
      </c>
      <c r="FQ5" s="980" t="s">
        <v>15</v>
      </c>
      <c r="FR5" s="1021" t="s">
        <v>16</v>
      </c>
      <c r="FS5" s="281"/>
      <c r="FT5" s="29"/>
      <c r="FU5" s="1185" t="s">
        <v>380</v>
      </c>
      <c r="FV5" s="1185"/>
      <c r="FW5" s="1185"/>
      <c r="FX5" s="1185"/>
      <c r="FY5" s="1185"/>
      <c r="FZ5" s="1185"/>
      <c r="GA5" s="1185"/>
      <c r="GB5" s="30"/>
      <c r="GC5" s="30"/>
      <c r="GD5" s="30"/>
      <c r="GE5" s="498"/>
      <c r="GF5" s="498"/>
      <c r="GG5" s="324"/>
      <c r="GH5" s="1024" t="s">
        <v>200</v>
      </c>
      <c r="GI5" s="1185" t="s">
        <v>384</v>
      </c>
      <c r="GJ5" s="1185"/>
      <c r="GK5" s="1185"/>
      <c r="GL5" s="1185"/>
      <c r="GM5" s="1185"/>
      <c r="GN5" s="1185"/>
      <c r="GO5" s="1185"/>
      <c r="GP5" s="29"/>
      <c r="GQ5" s="29"/>
      <c r="GR5" s="29"/>
      <c r="GS5" s="29"/>
      <c r="GT5" s="500"/>
      <c r="GU5" s="500"/>
      <c r="GV5" s="29"/>
      <c r="GW5" s="4"/>
      <c r="GX5" s="37"/>
      <c r="GY5" s="37"/>
      <c r="GZ5" s="4"/>
      <c r="HA5" s="4"/>
      <c r="HB5" s="4">
        <v>1</v>
      </c>
      <c r="HC5" s="4">
        <v>2</v>
      </c>
      <c r="HD5" s="4">
        <v>3</v>
      </c>
      <c r="HE5" s="4">
        <v>4</v>
      </c>
      <c r="HF5" s="4">
        <v>5</v>
      </c>
      <c r="HG5" s="4">
        <v>6</v>
      </c>
      <c r="HH5" s="4">
        <v>7</v>
      </c>
      <c r="HI5" s="4">
        <v>8</v>
      </c>
      <c r="HJ5" s="4">
        <v>9</v>
      </c>
      <c r="HK5" s="4">
        <v>10</v>
      </c>
      <c r="HL5" s="4">
        <v>11</v>
      </c>
      <c r="HM5" s="4">
        <v>12</v>
      </c>
      <c r="HN5" s="4"/>
      <c r="HO5" s="4"/>
      <c r="HP5" s="4"/>
      <c r="HQ5" s="4"/>
      <c r="HR5" s="4"/>
      <c r="HS5" s="4"/>
      <c r="HT5" s="4"/>
      <c r="HU5" s="4"/>
      <c r="HV5" s="4"/>
      <c r="HW5" s="4"/>
      <c r="HX5" s="4"/>
      <c r="HY5" s="4"/>
      <c r="HZ5" s="4"/>
      <c r="IA5" s="4"/>
      <c r="IB5" s="4"/>
      <c r="IC5" s="4"/>
      <c r="ID5" s="4"/>
      <c r="IE5" s="4"/>
      <c r="IF5" s="4"/>
      <c r="IG5" s="4"/>
      <c r="IH5" s="4"/>
      <c r="II5" s="4"/>
      <c r="IJ5" s="4"/>
      <c r="IK5" s="4"/>
      <c r="IL5" s="4"/>
      <c r="IM5" s="4"/>
    </row>
    <row r="6" spans="1:247" ht="15.95" customHeight="1">
      <c r="A6" s="900"/>
      <c r="B6" s="900"/>
      <c r="C6" s="1192" t="s">
        <v>380</v>
      </c>
      <c r="D6" s="1193"/>
      <c r="E6" s="1193"/>
      <c r="F6" s="1193"/>
      <c r="G6" s="1193"/>
      <c r="H6" s="1193"/>
      <c r="I6" s="1193"/>
      <c r="J6" s="1193"/>
      <c r="K6" s="1193"/>
      <c r="L6" s="1193"/>
      <c r="M6" s="1193"/>
      <c r="N6" s="1193"/>
      <c r="O6" s="1194"/>
      <c r="P6" s="1195" t="s">
        <v>524</v>
      </c>
      <c r="Q6" s="1196"/>
      <c r="R6" s="1196"/>
      <c r="S6" s="1196"/>
      <c r="T6" s="1196"/>
      <c r="U6" s="1196"/>
      <c r="V6" s="1196"/>
      <c r="W6" s="1196"/>
      <c r="X6" s="1196"/>
      <c r="Y6" s="1196"/>
      <c r="Z6" s="1196"/>
      <c r="AA6" s="1196"/>
      <c r="AB6" s="1197"/>
      <c r="AC6" s="1003" t="s">
        <v>274</v>
      </c>
      <c r="AD6" s="1004"/>
      <c r="AE6" s="1004"/>
      <c r="AF6" s="1004"/>
      <c r="AG6" s="1004"/>
      <c r="AH6" s="1004"/>
      <c r="AI6" s="1004"/>
      <c r="AJ6" s="1004"/>
      <c r="AK6" s="1004"/>
      <c r="AL6" s="1004"/>
      <c r="AM6" s="1172"/>
      <c r="AN6" s="461"/>
      <c r="AO6" s="461"/>
      <c r="AP6" s="1005" t="s">
        <v>278</v>
      </c>
      <c r="AQ6" s="1006"/>
      <c r="AR6" s="1006"/>
      <c r="AS6" s="1006"/>
      <c r="AT6" s="1006"/>
      <c r="AU6" s="1006"/>
      <c r="AV6" s="1006"/>
      <c r="AW6" s="1006"/>
      <c r="AX6" s="1006"/>
      <c r="AY6" s="1006"/>
      <c r="AZ6" s="1173"/>
      <c r="BA6" s="462"/>
      <c r="BB6" s="462"/>
      <c r="BC6" s="1003" t="s">
        <v>274</v>
      </c>
      <c r="BD6" s="1004"/>
      <c r="BE6" s="1004"/>
      <c r="BF6" s="1004"/>
      <c r="BG6" s="1004"/>
      <c r="BH6" s="1004"/>
      <c r="BI6" s="1004"/>
      <c r="BJ6" s="1004"/>
      <c r="BK6" s="1004"/>
      <c r="BL6" s="1004"/>
      <c r="BM6" s="1172"/>
      <c r="BN6" s="461"/>
      <c r="BO6" s="461"/>
      <c r="BP6" s="1005" t="s">
        <v>278</v>
      </c>
      <c r="BQ6" s="1006"/>
      <c r="BR6" s="1006"/>
      <c r="BS6" s="1006"/>
      <c r="BT6" s="1006"/>
      <c r="BU6" s="1006"/>
      <c r="BV6" s="1006"/>
      <c r="BW6" s="1006"/>
      <c r="BX6" s="1006"/>
      <c r="BY6" s="1006"/>
      <c r="BZ6" s="1173"/>
      <c r="CA6" s="462"/>
      <c r="CB6" s="462"/>
      <c r="CC6" s="1003" t="s">
        <v>274</v>
      </c>
      <c r="CD6" s="1004"/>
      <c r="CE6" s="1004"/>
      <c r="CF6" s="1004"/>
      <c r="CG6" s="1004"/>
      <c r="CH6" s="1004"/>
      <c r="CI6" s="1004"/>
      <c r="CJ6" s="1004"/>
      <c r="CK6" s="1004"/>
      <c r="CL6" s="1004"/>
      <c r="CM6" s="1172"/>
      <c r="CN6" s="461"/>
      <c r="CO6" s="461"/>
      <c r="CP6" s="1005" t="s">
        <v>278</v>
      </c>
      <c r="CQ6" s="1006"/>
      <c r="CR6" s="1006"/>
      <c r="CS6" s="1006"/>
      <c r="CT6" s="1006"/>
      <c r="CU6" s="1006"/>
      <c r="CV6" s="1006"/>
      <c r="CW6" s="1006"/>
      <c r="CX6" s="1006"/>
      <c r="CY6" s="1006"/>
      <c r="CZ6" s="1173"/>
      <c r="DA6" s="462"/>
      <c r="DB6" s="462"/>
      <c r="DC6" s="1003" t="s">
        <v>274</v>
      </c>
      <c r="DD6" s="1004"/>
      <c r="DE6" s="1004"/>
      <c r="DF6" s="1004"/>
      <c r="DG6" s="1004"/>
      <c r="DH6" s="1004"/>
      <c r="DI6" s="1004"/>
      <c r="DJ6" s="1004"/>
      <c r="DK6" s="1004"/>
      <c r="DL6" s="1004"/>
      <c r="DM6" s="1172"/>
      <c r="DN6" s="461"/>
      <c r="DO6" s="461"/>
      <c r="DP6" s="1005" t="s">
        <v>278</v>
      </c>
      <c r="DQ6" s="1006"/>
      <c r="DR6" s="1006"/>
      <c r="DS6" s="1006"/>
      <c r="DT6" s="1006"/>
      <c r="DU6" s="1006"/>
      <c r="DV6" s="1006"/>
      <c r="DW6" s="1006"/>
      <c r="DX6" s="1006"/>
      <c r="DY6" s="1006"/>
      <c r="DZ6" s="1173"/>
      <c r="EA6" s="479"/>
      <c r="EB6" s="479"/>
      <c r="EC6" s="32" t="s">
        <v>19</v>
      </c>
      <c r="ED6" s="32" t="s">
        <v>19</v>
      </c>
      <c r="EE6" s="32" t="s">
        <v>19</v>
      </c>
      <c r="EF6" s="32" t="s">
        <v>19</v>
      </c>
      <c r="EG6" s="32" t="s">
        <v>19</v>
      </c>
      <c r="EH6" s="32" t="s">
        <v>19</v>
      </c>
      <c r="EI6" s="32" t="s">
        <v>19</v>
      </c>
      <c r="EJ6" s="32" t="s">
        <v>19</v>
      </c>
      <c r="EK6" s="32" t="s">
        <v>19</v>
      </c>
      <c r="EL6" s="32" t="s">
        <v>19</v>
      </c>
      <c r="EM6" s="32" t="s">
        <v>19</v>
      </c>
      <c r="EN6" s="32" t="s">
        <v>19</v>
      </c>
      <c r="EO6" s="32" t="s">
        <v>19</v>
      </c>
      <c r="EP6" s="558" t="s">
        <v>19</v>
      </c>
      <c r="EQ6" s="558" t="s">
        <v>19</v>
      </c>
      <c r="ER6" s="558" t="s">
        <v>19</v>
      </c>
      <c r="ES6" s="558" t="s">
        <v>19</v>
      </c>
      <c r="ET6" s="558" t="s">
        <v>19</v>
      </c>
      <c r="EU6" s="558" t="s">
        <v>19</v>
      </c>
      <c r="EV6" s="558" t="s">
        <v>19</v>
      </c>
      <c r="EW6" s="558" t="s">
        <v>19</v>
      </c>
      <c r="EX6" s="558" t="s">
        <v>19</v>
      </c>
      <c r="EY6" s="558" t="s">
        <v>19</v>
      </c>
      <c r="EZ6" s="558" t="s">
        <v>19</v>
      </c>
      <c r="FA6" s="558" t="s">
        <v>19</v>
      </c>
      <c r="FB6" s="558" t="s">
        <v>19</v>
      </c>
      <c r="FC6" s="557" t="s">
        <v>19</v>
      </c>
      <c r="FD6" s="557" t="s">
        <v>19</v>
      </c>
      <c r="FE6" s="557" t="s">
        <v>19</v>
      </c>
      <c r="FF6" s="557" t="s">
        <v>19</v>
      </c>
      <c r="FG6" s="557" t="s">
        <v>19</v>
      </c>
      <c r="FH6" s="557" t="s">
        <v>19</v>
      </c>
      <c r="FI6" s="557" t="s">
        <v>19</v>
      </c>
      <c r="FJ6" s="557" t="s">
        <v>19</v>
      </c>
      <c r="FK6" s="557" t="s">
        <v>19</v>
      </c>
      <c r="FL6" s="557" t="s">
        <v>19</v>
      </c>
      <c r="FM6" s="557" t="s">
        <v>19</v>
      </c>
      <c r="FN6" s="557" t="s">
        <v>19</v>
      </c>
      <c r="FO6" s="557" t="s">
        <v>19</v>
      </c>
      <c r="FP6" s="33"/>
      <c r="FQ6" s="1183"/>
      <c r="FR6" s="1022"/>
      <c r="FS6" s="281"/>
      <c r="FT6" s="29"/>
      <c r="FU6" s="32" t="s">
        <v>19</v>
      </c>
      <c r="FV6" s="32" t="s">
        <v>19</v>
      </c>
      <c r="FW6" s="32" t="s">
        <v>19</v>
      </c>
      <c r="FX6" s="32" t="s">
        <v>19</v>
      </c>
      <c r="FY6" s="32" t="s">
        <v>19</v>
      </c>
      <c r="FZ6" s="32" t="s">
        <v>19</v>
      </c>
      <c r="GA6" s="32" t="s">
        <v>19</v>
      </c>
      <c r="GB6" s="32"/>
      <c r="GC6" s="32"/>
      <c r="GD6" s="32"/>
      <c r="GE6" s="347"/>
      <c r="GF6" s="347"/>
      <c r="GG6" s="347"/>
      <c r="GH6" s="1025"/>
      <c r="GI6" s="34" t="s">
        <v>19</v>
      </c>
      <c r="GJ6" s="34" t="s">
        <v>19</v>
      </c>
      <c r="GK6" s="34" t="s">
        <v>19</v>
      </c>
      <c r="GL6" s="34" t="s">
        <v>19</v>
      </c>
      <c r="GM6" s="34" t="s">
        <v>19</v>
      </c>
      <c r="GN6" s="34" t="s">
        <v>19</v>
      </c>
      <c r="GO6" s="34" t="s">
        <v>19</v>
      </c>
      <c r="GP6" s="34" t="s">
        <v>19</v>
      </c>
      <c r="GQ6" s="34" t="s">
        <v>19</v>
      </c>
      <c r="GR6" s="35"/>
      <c r="GS6" s="35"/>
      <c r="GT6" s="35"/>
      <c r="GU6" s="35"/>
      <c r="GV6" s="37"/>
      <c r="GW6" s="4"/>
      <c r="GX6" s="37"/>
      <c r="GY6" s="37"/>
      <c r="GZ6" s="4"/>
      <c r="HA6" s="4"/>
      <c r="HB6" s="987" t="str">
        <f>B45</f>
        <v>menjelaskan dan melakukan penjumlahan dan pengurangan dua pecahan dengan penyebut berbeda</v>
      </c>
      <c r="HC6" s="987" t="str">
        <f>B46</f>
        <v>menjelaskan dan melakukan perkalian dan pembagian pecahan dan desimal</v>
      </c>
      <c r="HD6" s="987" t="str">
        <f>B47</f>
        <v>menjelaskan perbandingan dua besaran yang berbeda (kecepatan sebagai perbandingan jarak dengan waktu, debit sebagai perbandingan volume dan waktu)</v>
      </c>
      <c r="HE6" s="987" t="str">
        <f>B48</f>
        <v>menjelaskan skala melalui denah</v>
      </c>
      <c r="HF6" s="987" t="str">
        <f>B49</f>
        <v>menjelaskan, dan menentukan volume bangun ruang dengan menggunakan satuan volume (seperti kubus satuan) serta hubungan pangkat tiga dengan akar pangkat tiga</v>
      </c>
      <c r="HG6" s="987" t="str">
        <f>IFERROR((B50)," ")</f>
        <v>menjelaskan dan menemukan jaring-jaring bangun ruang sederhana (kubus dan balok)</v>
      </c>
      <c r="HH6" s="987" t="str">
        <f>B51</f>
        <v>menjelaskan data yang berkaitan dengan diri peserta didik atau lingkungan sekitar serta cara pengumpulannya</v>
      </c>
      <c r="HI6" s="989" t="str">
        <f>B52</f>
        <v>menjelaskan penyajian data yang berkaitan dengan diri peserta didik dan membandingkan dengan data dari lingkungan sekitar dalam bentuk daftar, tabel, diagram gambar (piktogram), diagram batang, atau diagram garis</v>
      </c>
      <c r="HJ6" s="989">
        <f>B53</f>
        <v>0</v>
      </c>
      <c r="HK6" s="989">
        <f>B54</f>
        <v>0</v>
      </c>
      <c r="HL6" s="1182">
        <f>B55</f>
        <v>0</v>
      </c>
      <c r="HM6" s="1182">
        <f>B56</f>
        <v>0</v>
      </c>
      <c r="HN6" s="1182">
        <f>B57</f>
        <v>0</v>
      </c>
      <c r="HO6" s="37"/>
      <c r="HP6" s="978" t="s">
        <v>20</v>
      </c>
      <c r="HQ6" s="38"/>
      <c r="HR6" s="1016" t="s">
        <v>21</v>
      </c>
      <c r="HT6" s="981" t="str">
        <f>HB6</f>
        <v>menjelaskan dan melakukan penjumlahan dan pengurangan dua pecahan dengan penyebut berbeda</v>
      </c>
      <c r="HU6" s="981" t="str">
        <f t="shared" ref="HU6:IF6" si="0">HC6</f>
        <v>menjelaskan dan melakukan perkalian dan pembagian pecahan dan desimal</v>
      </c>
      <c r="HV6" s="981" t="str">
        <f t="shared" si="0"/>
        <v>menjelaskan perbandingan dua besaran yang berbeda (kecepatan sebagai perbandingan jarak dengan waktu, debit sebagai perbandingan volume dan waktu)</v>
      </c>
      <c r="HW6" s="981" t="str">
        <f t="shared" si="0"/>
        <v>menjelaskan skala melalui denah</v>
      </c>
      <c r="HX6" s="981" t="str">
        <f t="shared" si="0"/>
        <v>menjelaskan, dan menentukan volume bangun ruang dengan menggunakan satuan volume (seperti kubus satuan) serta hubungan pangkat tiga dengan akar pangkat tiga</v>
      </c>
      <c r="HY6" s="981" t="str">
        <f t="shared" si="0"/>
        <v>menjelaskan dan menemukan jaring-jaring bangun ruang sederhana (kubus dan balok)</v>
      </c>
      <c r="HZ6" s="981" t="str">
        <f t="shared" si="0"/>
        <v>menjelaskan data yang berkaitan dengan diri peserta didik atau lingkungan sekitar serta cara pengumpulannya</v>
      </c>
      <c r="IA6" s="981" t="str">
        <f t="shared" si="0"/>
        <v>menjelaskan penyajian data yang berkaitan dengan diri peserta didik dan membandingkan dengan data dari lingkungan sekitar dalam bentuk daftar, tabel, diagram gambar (piktogram), diagram batang, atau diagram garis</v>
      </c>
      <c r="IB6" s="981">
        <f t="shared" si="0"/>
        <v>0</v>
      </c>
      <c r="IC6" s="981">
        <f t="shared" si="0"/>
        <v>0</v>
      </c>
      <c r="ID6" s="981">
        <f t="shared" si="0"/>
        <v>0</v>
      </c>
      <c r="IE6" s="981">
        <f t="shared" si="0"/>
        <v>0</v>
      </c>
      <c r="IF6" s="981">
        <f t="shared" si="0"/>
        <v>0</v>
      </c>
      <c r="IG6" s="497"/>
      <c r="IH6" s="497"/>
      <c r="II6" s="1012" t="s">
        <v>22</v>
      </c>
      <c r="IK6" s="39"/>
      <c r="IL6" s="40" t="s">
        <v>23</v>
      </c>
      <c r="IM6" s="4"/>
    </row>
    <row r="7" spans="1:247" ht="15" customHeight="1">
      <c r="A7" s="900"/>
      <c r="B7" s="900"/>
      <c r="C7" s="41" t="str">
        <f>A45</f>
        <v>3.1</v>
      </c>
      <c r="D7" s="41" t="str">
        <f>A46</f>
        <v>3.2</v>
      </c>
      <c r="E7" s="41" t="str">
        <f>A47</f>
        <v>3.3</v>
      </c>
      <c r="F7" s="41" t="str">
        <f>A48</f>
        <v>3.4</v>
      </c>
      <c r="G7" s="41" t="str">
        <f>A49</f>
        <v>3.5</v>
      </c>
      <c r="H7" s="41" t="str">
        <f>A50</f>
        <v>3.6</v>
      </c>
      <c r="I7" s="41" t="str">
        <f>A51</f>
        <v>3.7</v>
      </c>
      <c r="J7" s="41" t="str">
        <f>A52</f>
        <v>3.8</v>
      </c>
      <c r="K7" s="41">
        <f>A53</f>
        <v>0</v>
      </c>
      <c r="L7" s="561">
        <f>A54</f>
        <v>0</v>
      </c>
      <c r="M7" s="561">
        <f>A55</f>
        <v>0</v>
      </c>
      <c r="N7" s="41">
        <f>A56</f>
        <v>0</v>
      </c>
      <c r="O7" s="41">
        <f>A57</f>
        <v>0</v>
      </c>
      <c r="P7" s="42" t="str">
        <f t="shared" ref="P7:X7" si="1">C7</f>
        <v>3.1</v>
      </c>
      <c r="Q7" s="42" t="str">
        <f t="shared" si="1"/>
        <v>3.2</v>
      </c>
      <c r="R7" s="42" t="str">
        <f t="shared" si="1"/>
        <v>3.3</v>
      </c>
      <c r="S7" s="42" t="str">
        <f t="shared" si="1"/>
        <v>3.4</v>
      </c>
      <c r="T7" s="42" t="str">
        <f t="shared" si="1"/>
        <v>3.5</v>
      </c>
      <c r="U7" s="42" t="str">
        <f t="shared" si="1"/>
        <v>3.6</v>
      </c>
      <c r="V7" s="42" t="str">
        <f t="shared" si="1"/>
        <v>3.7</v>
      </c>
      <c r="W7" s="42" t="str">
        <f t="shared" si="1"/>
        <v>3.8</v>
      </c>
      <c r="X7" s="42">
        <f t="shared" si="1"/>
        <v>0</v>
      </c>
      <c r="Y7" s="42">
        <f t="shared" ref="Y7:Z7" si="2">L7</f>
        <v>0</v>
      </c>
      <c r="Z7" s="42">
        <f t="shared" si="2"/>
        <v>0</v>
      </c>
      <c r="AA7" s="42">
        <f t="shared" ref="AA7" si="3">N7</f>
        <v>0</v>
      </c>
      <c r="AB7" s="42">
        <f t="shared" ref="AB7" si="4">O7</f>
        <v>0</v>
      </c>
      <c r="AC7" s="42" t="str">
        <f t="shared" ref="AC7:AK7" si="5">P7</f>
        <v>3.1</v>
      </c>
      <c r="AD7" s="42" t="str">
        <f t="shared" si="5"/>
        <v>3.2</v>
      </c>
      <c r="AE7" s="42" t="str">
        <f t="shared" si="5"/>
        <v>3.3</v>
      </c>
      <c r="AF7" s="42" t="str">
        <f t="shared" si="5"/>
        <v>3.4</v>
      </c>
      <c r="AG7" s="42" t="str">
        <f t="shared" si="5"/>
        <v>3.5</v>
      </c>
      <c r="AH7" s="42" t="str">
        <f t="shared" si="5"/>
        <v>3.6</v>
      </c>
      <c r="AI7" s="42" t="str">
        <f t="shared" si="5"/>
        <v>3.7</v>
      </c>
      <c r="AJ7" s="42" t="str">
        <f t="shared" si="5"/>
        <v>3.8</v>
      </c>
      <c r="AK7" s="42">
        <f t="shared" si="5"/>
        <v>0</v>
      </c>
      <c r="AL7" s="42">
        <f t="shared" ref="AL7:AM7" si="6">Y7</f>
        <v>0</v>
      </c>
      <c r="AM7" s="42">
        <f t="shared" si="6"/>
        <v>0</v>
      </c>
      <c r="AN7" s="42">
        <f t="shared" ref="AN7" si="7">AA7</f>
        <v>0</v>
      </c>
      <c r="AO7" s="42">
        <f t="shared" ref="AO7" si="8">AB7</f>
        <v>0</v>
      </c>
      <c r="AP7" s="42" t="str">
        <f t="shared" ref="AP7:AX7" si="9">AC7</f>
        <v>3.1</v>
      </c>
      <c r="AQ7" s="42" t="str">
        <f t="shared" si="9"/>
        <v>3.2</v>
      </c>
      <c r="AR7" s="42" t="str">
        <f t="shared" si="9"/>
        <v>3.3</v>
      </c>
      <c r="AS7" s="42" t="str">
        <f t="shared" si="9"/>
        <v>3.4</v>
      </c>
      <c r="AT7" s="42" t="str">
        <f t="shared" si="9"/>
        <v>3.5</v>
      </c>
      <c r="AU7" s="42" t="str">
        <f t="shared" si="9"/>
        <v>3.6</v>
      </c>
      <c r="AV7" s="42" t="str">
        <f t="shared" si="9"/>
        <v>3.7</v>
      </c>
      <c r="AW7" s="42" t="str">
        <f t="shared" si="9"/>
        <v>3.8</v>
      </c>
      <c r="AX7" s="42">
        <f t="shared" si="9"/>
        <v>0</v>
      </c>
      <c r="AY7" s="42">
        <f t="shared" ref="AY7:AZ7" si="10">AL7</f>
        <v>0</v>
      </c>
      <c r="AZ7" s="42">
        <f t="shared" si="10"/>
        <v>0</v>
      </c>
      <c r="BA7" s="42">
        <f t="shared" ref="BA7" si="11">AN7</f>
        <v>0</v>
      </c>
      <c r="BB7" s="42">
        <f t="shared" ref="BB7" si="12">AO7</f>
        <v>0</v>
      </c>
      <c r="BC7" s="42" t="str">
        <f t="shared" ref="BC7:BK7" si="13">AP7</f>
        <v>3.1</v>
      </c>
      <c r="BD7" s="42" t="str">
        <f t="shared" si="13"/>
        <v>3.2</v>
      </c>
      <c r="BE7" s="42" t="str">
        <f t="shared" si="13"/>
        <v>3.3</v>
      </c>
      <c r="BF7" s="42" t="str">
        <f t="shared" si="13"/>
        <v>3.4</v>
      </c>
      <c r="BG7" s="42" t="str">
        <f t="shared" si="13"/>
        <v>3.5</v>
      </c>
      <c r="BH7" s="42" t="str">
        <f t="shared" si="13"/>
        <v>3.6</v>
      </c>
      <c r="BI7" s="42" t="str">
        <f t="shared" si="13"/>
        <v>3.7</v>
      </c>
      <c r="BJ7" s="42" t="str">
        <f t="shared" si="13"/>
        <v>3.8</v>
      </c>
      <c r="BK7" s="42">
        <f t="shared" si="13"/>
        <v>0</v>
      </c>
      <c r="BL7" s="42">
        <f t="shared" ref="BL7:BM7" si="14">AY7</f>
        <v>0</v>
      </c>
      <c r="BM7" s="42">
        <f t="shared" si="14"/>
        <v>0</v>
      </c>
      <c r="BN7" s="42">
        <f t="shared" ref="BN7" si="15">BA7</f>
        <v>0</v>
      </c>
      <c r="BO7" s="42">
        <f t="shared" ref="BO7" si="16">BB7</f>
        <v>0</v>
      </c>
      <c r="BP7" s="42" t="str">
        <f t="shared" ref="BP7:BX7" si="17">BC7</f>
        <v>3.1</v>
      </c>
      <c r="BQ7" s="42" t="str">
        <f t="shared" si="17"/>
        <v>3.2</v>
      </c>
      <c r="BR7" s="42" t="str">
        <f t="shared" si="17"/>
        <v>3.3</v>
      </c>
      <c r="BS7" s="42" t="str">
        <f t="shared" si="17"/>
        <v>3.4</v>
      </c>
      <c r="BT7" s="42" t="str">
        <f t="shared" si="17"/>
        <v>3.5</v>
      </c>
      <c r="BU7" s="42" t="str">
        <f t="shared" si="17"/>
        <v>3.6</v>
      </c>
      <c r="BV7" s="42" t="str">
        <f t="shared" si="17"/>
        <v>3.7</v>
      </c>
      <c r="BW7" s="42" t="str">
        <f t="shared" si="17"/>
        <v>3.8</v>
      </c>
      <c r="BX7" s="42">
        <f t="shared" si="17"/>
        <v>0</v>
      </c>
      <c r="BY7" s="42">
        <f t="shared" ref="BY7:BZ7" si="18">BL7</f>
        <v>0</v>
      </c>
      <c r="BZ7" s="42">
        <f t="shared" si="18"/>
        <v>0</v>
      </c>
      <c r="CA7" s="42">
        <f t="shared" ref="CA7" si="19">BN7</f>
        <v>0</v>
      </c>
      <c r="CB7" s="42">
        <f t="shared" ref="CB7" si="20">BO7</f>
        <v>0</v>
      </c>
      <c r="CC7" s="42" t="str">
        <f t="shared" ref="CC7:CK7" si="21">BP7</f>
        <v>3.1</v>
      </c>
      <c r="CD7" s="42" t="str">
        <f t="shared" si="21"/>
        <v>3.2</v>
      </c>
      <c r="CE7" s="42" t="str">
        <f t="shared" si="21"/>
        <v>3.3</v>
      </c>
      <c r="CF7" s="42" t="str">
        <f t="shared" si="21"/>
        <v>3.4</v>
      </c>
      <c r="CG7" s="42" t="str">
        <f t="shared" si="21"/>
        <v>3.5</v>
      </c>
      <c r="CH7" s="42" t="str">
        <f t="shared" si="21"/>
        <v>3.6</v>
      </c>
      <c r="CI7" s="42" t="str">
        <f t="shared" si="21"/>
        <v>3.7</v>
      </c>
      <c r="CJ7" s="42" t="str">
        <f t="shared" si="21"/>
        <v>3.8</v>
      </c>
      <c r="CK7" s="42">
        <f t="shared" si="21"/>
        <v>0</v>
      </c>
      <c r="CL7" s="42">
        <f t="shared" ref="CL7:CM7" si="22">BY7</f>
        <v>0</v>
      </c>
      <c r="CM7" s="42">
        <f t="shared" si="22"/>
        <v>0</v>
      </c>
      <c r="CN7" s="42">
        <f t="shared" ref="CN7" si="23">CA7</f>
        <v>0</v>
      </c>
      <c r="CO7" s="42">
        <f t="shared" ref="CO7" si="24">CB7</f>
        <v>0</v>
      </c>
      <c r="CP7" s="42" t="str">
        <f t="shared" ref="CP7:CX7" si="25">CC7</f>
        <v>3.1</v>
      </c>
      <c r="CQ7" s="42" t="str">
        <f t="shared" si="25"/>
        <v>3.2</v>
      </c>
      <c r="CR7" s="42" t="str">
        <f t="shared" si="25"/>
        <v>3.3</v>
      </c>
      <c r="CS7" s="42" t="str">
        <f t="shared" si="25"/>
        <v>3.4</v>
      </c>
      <c r="CT7" s="42" t="str">
        <f t="shared" si="25"/>
        <v>3.5</v>
      </c>
      <c r="CU7" s="42" t="str">
        <f t="shared" si="25"/>
        <v>3.6</v>
      </c>
      <c r="CV7" s="42" t="str">
        <f t="shared" si="25"/>
        <v>3.7</v>
      </c>
      <c r="CW7" s="42" t="str">
        <f t="shared" si="25"/>
        <v>3.8</v>
      </c>
      <c r="CX7" s="42">
        <f t="shared" si="25"/>
        <v>0</v>
      </c>
      <c r="CY7" s="42">
        <f t="shared" ref="CY7" si="26">CL7</f>
        <v>0</v>
      </c>
      <c r="CZ7" s="42">
        <f t="shared" ref="CZ7" si="27">CM7</f>
        <v>0</v>
      </c>
      <c r="DA7" s="42">
        <f t="shared" ref="DA7" si="28">CN7</f>
        <v>0</v>
      </c>
      <c r="DB7" s="42">
        <f t="shared" ref="DB7" si="29">CO7</f>
        <v>0</v>
      </c>
      <c r="DC7" s="42" t="str">
        <f t="shared" ref="DC7" si="30">CP7</f>
        <v>3.1</v>
      </c>
      <c r="DD7" s="42" t="str">
        <f t="shared" ref="DD7" si="31">CQ7</f>
        <v>3.2</v>
      </c>
      <c r="DE7" s="42" t="str">
        <f t="shared" ref="DE7" si="32">CR7</f>
        <v>3.3</v>
      </c>
      <c r="DF7" s="42" t="str">
        <f t="shared" ref="DF7" si="33">CS7</f>
        <v>3.4</v>
      </c>
      <c r="DG7" s="42" t="str">
        <f t="shared" ref="DG7" si="34">CT7</f>
        <v>3.5</v>
      </c>
      <c r="DH7" s="42" t="str">
        <f t="shared" ref="DH7" si="35">CU7</f>
        <v>3.6</v>
      </c>
      <c r="DI7" s="42" t="str">
        <f t="shared" ref="DI7" si="36">CV7</f>
        <v>3.7</v>
      </c>
      <c r="DJ7" s="42" t="str">
        <f t="shared" ref="DJ7" si="37">CW7</f>
        <v>3.8</v>
      </c>
      <c r="DK7" s="42">
        <f t="shared" ref="DK7" si="38">CX7</f>
        <v>0</v>
      </c>
      <c r="DL7" s="42">
        <f t="shared" ref="DL7" si="39">CY7</f>
        <v>0</v>
      </c>
      <c r="DM7" s="42">
        <f t="shared" ref="DM7" si="40">CZ7</f>
        <v>0</v>
      </c>
      <c r="DN7" s="42">
        <f t="shared" ref="DN7" si="41">DA7</f>
        <v>0</v>
      </c>
      <c r="DO7" s="42">
        <f t="shared" ref="DO7" si="42">DB7</f>
        <v>0</v>
      </c>
      <c r="DP7" s="42" t="str">
        <f t="shared" ref="DP7" si="43">DC7</f>
        <v>3.1</v>
      </c>
      <c r="DQ7" s="42" t="str">
        <f t="shared" ref="DQ7" si="44">DD7</f>
        <v>3.2</v>
      </c>
      <c r="DR7" s="42" t="str">
        <f t="shared" ref="DR7" si="45">DE7</f>
        <v>3.3</v>
      </c>
      <c r="DS7" s="42" t="str">
        <f t="shared" ref="DS7" si="46">DF7</f>
        <v>3.4</v>
      </c>
      <c r="DT7" s="42" t="str">
        <f t="shared" ref="DT7" si="47">DG7</f>
        <v>3.5</v>
      </c>
      <c r="DU7" s="42" t="str">
        <f t="shared" ref="DU7" si="48">DH7</f>
        <v>3.6</v>
      </c>
      <c r="DV7" s="42" t="str">
        <f t="shared" ref="DV7" si="49">DI7</f>
        <v>3.7</v>
      </c>
      <c r="DW7" s="42" t="str">
        <f t="shared" ref="DW7" si="50">DJ7</f>
        <v>3.8</v>
      </c>
      <c r="DX7" s="42">
        <f t="shared" ref="DX7" si="51">DK7</f>
        <v>0</v>
      </c>
      <c r="DY7" s="42">
        <f t="shared" ref="DY7" si="52">DL7</f>
        <v>0</v>
      </c>
      <c r="DZ7" s="42">
        <f t="shared" ref="DZ7" si="53">DM7</f>
        <v>0</v>
      </c>
      <c r="EA7" s="42">
        <f t="shared" ref="EA7" si="54">DN7</f>
        <v>0</v>
      </c>
      <c r="EB7" s="42">
        <f t="shared" ref="EB7" si="55">DO7</f>
        <v>0</v>
      </c>
      <c r="EC7" s="43" t="str">
        <f>CP7</f>
        <v>3.1</v>
      </c>
      <c r="ED7" s="43" t="str">
        <f t="shared" ref="ED7:EK7" si="56">CQ7</f>
        <v>3.2</v>
      </c>
      <c r="EE7" s="43" t="str">
        <f t="shared" si="56"/>
        <v>3.3</v>
      </c>
      <c r="EF7" s="43" t="str">
        <f t="shared" si="56"/>
        <v>3.4</v>
      </c>
      <c r="EG7" s="43" t="str">
        <f t="shared" si="56"/>
        <v>3.5</v>
      </c>
      <c r="EH7" s="43" t="str">
        <f t="shared" si="56"/>
        <v>3.6</v>
      </c>
      <c r="EI7" s="43" t="str">
        <f t="shared" si="56"/>
        <v>3.7</v>
      </c>
      <c r="EJ7" s="43" t="str">
        <f t="shared" si="56"/>
        <v>3.8</v>
      </c>
      <c r="EK7" s="43">
        <f t="shared" si="56"/>
        <v>0</v>
      </c>
      <c r="EL7" s="43">
        <f t="shared" ref="EL7" si="57">CY7</f>
        <v>0</v>
      </c>
      <c r="EM7" s="43">
        <f t="shared" ref="EM7" si="58">CZ7</f>
        <v>0</v>
      </c>
      <c r="EN7" s="43">
        <f t="shared" ref="EN7" si="59">DA7</f>
        <v>0</v>
      </c>
      <c r="EO7" s="43">
        <f t="shared" ref="EO7" si="60">DB7</f>
        <v>0</v>
      </c>
      <c r="EP7" s="559" t="str">
        <f>DC7</f>
        <v>3.1</v>
      </c>
      <c r="EQ7" s="559" t="str">
        <f t="shared" ref="EQ7" si="61">DD7</f>
        <v>3.2</v>
      </c>
      <c r="ER7" s="559" t="str">
        <f t="shared" ref="ER7" si="62">DE7</f>
        <v>3.3</v>
      </c>
      <c r="ES7" s="559" t="str">
        <f t="shared" ref="ES7" si="63">DF7</f>
        <v>3.4</v>
      </c>
      <c r="ET7" s="559" t="str">
        <f t="shared" ref="ET7" si="64">DG7</f>
        <v>3.5</v>
      </c>
      <c r="EU7" s="559" t="str">
        <f t="shared" ref="EU7" si="65">DH7</f>
        <v>3.6</v>
      </c>
      <c r="EV7" s="559" t="str">
        <f t="shared" ref="EV7" si="66">DI7</f>
        <v>3.7</v>
      </c>
      <c r="EW7" s="559" t="str">
        <f t="shared" ref="EW7" si="67">DJ7</f>
        <v>3.8</v>
      </c>
      <c r="EX7" s="559">
        <f t="shared" ref="EX7" si="68">DK7</f>
        <v>0</v>
      </c>
      <c r="EY7" s="559">
        <f t="shared" ref="EY7" si="69">DL7</f>
        <v>0</v>
      </c>
      <c r="EZ7" s="559">
        <f t="shared" ref="EZ7" si="70">DM7</f>
        <v>0</v>
      </c>
      <c r="FA7" s="559">
        <f t="shared" ref="FA7" si="71">DN7</f>
        <v>0</v>
      </c>
      <c r="FB7" s="559">
        <f t="shared" ref="FB7" si="72">DO7</f>
        <v>0</v>
      </c>
      <c r="FC7" s="43" t="str">
        <f>DP7</f>
        <v>3.1</v>
      </c>
      <c r="FD7" s="43" t="str">
        <f t="shared" ref="FD7" si="73">DQ7</f>
        <v>3.2</v>
      </c>
      <c r="FE7" s="43" t="str">
        <f t="shared" ref="FE7" si="74">DR7</f>
        <v>3.3</v>
      </c>
      <c r="FF7" s="43" t="str">
        <f t="shared" ref="FF7" si="75">DS7</f>
        <v>3.4</v>
      </c>
      <c r="FG7" s="43" t="str">
        <f t="shared" ref="FG7" si="76">DT7</f>
        <v>3.5</v>
      </c>
      <c r="FH7" s="43" t="str">
        <f t="shared" ref="FH7" si="77">DU7</f>
        <v>3.6</v>
      </c>
      <c r="FI7" s="43" t="str">
        <f t="shared" ref="FI7" si="78">DV7</f>
        <v>3.7</v>
      </c>
      <c r="FJ7" s="43" t="str">
        <f t="shared" ref="FJ7" si="79">DW7</f>
        <v>3.8</v>
      </c>
      <c r="FK7" s="43">
        <f t="shared" ref="FK7" si="80">DX7</f>
        <v>0</v>
      </c>
      <c r="FL7" s="43">
        <f t="shared" ref="FL7" si="81">DY7</f>
        <v>0</v>
      </c>
      <c r="FM7" s="43">
        <f t="shared" ref="FM7" si="82">DZ7</f>
        <v>0</v>
      </c>
      <c r="FN7" s="43">
        <f t="shared" ref="FN7" si="83">EA7</f>
        <v>0</v>
      </c>
      <c r="FO7" s="43">
        <f t="shared" ref="FO7" si="84">EB7</f>
        <v>0</v>
      </c>
      <c r="FP7" s="44"/>
      <c r="FQ7" s="1184"/>
      <c r="FR7" s="1023"/>
      <c r="FS7" s="281"/>
      <c r="FT7" s="29"/>
      <c r="FU7" s="43" t="str">
        <f>A45</f>
        <v>3.1</v>
      </c>
      <c r="FV7" s="43" t="str">
        <f>A46</f>
        <v>3.2</v>
      </c>
      <c r="FW7" s="43" t="str">
        <f>A47</f>
        <v>3.3</v>
      </c>
      <c r="FX7" s="43" t="str">
        <f>A48</f>
        <v>3.4</v>
      </c>
      <c r="FY7" s="43" t="str">
        <f>A49</f>
        <v>3.5</v>
      </c>
      <c r="FZ7" s="43" t="str">
        <f>A50</f>
        <v>3.6</v>
      </c>
      <c r="GA7" s="43" t="str">
        <f>A51</f>
        <v>3.7</v>
      </c>
      <c r="GB7" s="43" t="str">
        <f>A52</f>
        <v>3.8</v>
      </c>
      <c r="GC7" s="43">
        <f>A53</f>
        <v>0</v>
      </c>
      <c r="GD7" s="43">
        <f>A54</f>
        <v>0</v>
      </c>
      <c r="GE7" s="348">
        <f>A55</f>
        <v>0</v>
      </c>
      <c r="GF7" s="348">
        <f>A56</f>
        <v>0</v>
      </c>
      <c r="GG7" s="348">
        <f>A57</f>
        <v>0</v>
      </c>
      <c r="GH7" s="1026"/>
      <c r="GI7" s="45" t="str">
        <f>A45</f>
        <v>3.1</v>
      </c>
      <c r="GJ7" s="45" t="str">
        <f>A46</f>
        <v>3.2</v>
      </c>
      <c r="GK7" s="45" t="str">
        <f>A47</f>
        <v>3.3</v>
      </c>
      <c r="GL7" s="45" t="str">
        <f>A48</f>
        <v>3.4</v>
      </c>
      <c r="GM7" s="45" t="str">
        <f>A49</f>
        <v>3.5</v>
      </c>
      <c r="GN7" s="45" t="str">
        <f>A50</f>
        <v>3.6</v>
      </c>
      <c r="GO7" s="45" t="str">
        <f>A51</f>
        <v>3.7</v>
      </c>
      <c r="GP7" s="45" t="str">
        <f>A52</f>
        <v>3.8</v>
      </c>
      <c r="GQ7" s="45">
        <f>A53</f>
        <v>0</v>
      </c>
      <c r="GR7" s="45">
        <f>A54</f>
        <v>0</v>
      </c>
      <c r="GS7" s="45">
        <f>A55</f>
        <v>0</v>
      </c>
      <c r="GT7" s="45">
        <f>A56</f>
        <v>0</v>
      </c>
      <c r="GU7" s="45">
        <f>A57</f>
        <v>0</v>
      </c>
      <c r="GV7" s="43" t="s">
        <v>200</v>
      </c>
      <c r="GW7" s="4"/>
      <c r="GX7" s="350" t="s">
        <v>24</v>
      </c>
      <c r="GY7" s="350" t="s">
        <v>25</v>
      </c>
      <c r="HA7" s="49"/>
      <c r="HB7" s="988"/>
      <c r="HC7" s="988"/>
      <c r="HD7" s="988"/>
      <c r="HE7" s="988"/>
      <c r="HF7" s="988"/>
      <c r="HG7" s="988"/>
      <c r="HH7" s="988"/>
      <c r="HI7" s="989"/>
      <c r="HJ7" s="989"/>
      <c r="HK7" s="989"/>
      <c r="HL7" s="1182"/>
      <c r="HM7" s="1182"/>
      <c r="HN7" s="1182"/>
      <c r="HO7" s="49"/>
      <c r="HP7" s="1015"/>
      <c r="HQ7" s="38"/>
      <c r="HR7" s="1017"/>
      <c r="HT7" s="981"/>
      <c r="HU7" s="981"/>
      <c r="HV7" s="981"/>
      <c r="HW7" s="981"/>
      <c r="HX7" s="981"/>
      <c r="HY7" s="981"/>
      <c r="HZ7" s="981"/>
      <c r="IA7" s="981"/>
      <c r="IB7" s="981"/>
      <c r="IC7" s="981"/>
      <c r="ID7" s="981"/>
      <c r="IE7" s="981"/>
      <c r="IF7" s="981"/>
      <c r="IG7" s="497"/>
      <c r="IH7" s="497" t="s">
        <v>393</v>
      </c>
      <c r="II7" s="1012"/>
      <c r="IL7" s="49"/>
      <c r="IM7" s="4"/>
    </row>
    <row r="8" spans="1:247" s="63" customFormat="1" ht="30" customHeight="1">
      <c r="A8" s="359">
        <v>1</v>
      </c>
      <c r="B8" s="283" t="str">
        <f>SISWA!B6</f>
        <v>Afif Rafiudin</v>
      </c>
      <c r="C8" s="259">
        <v>80</v>
      </c>
      <c r="D8" s="259">
        <v>80</v>
      </c>
      <c r="E8" s="259">
        <v>75</v>
      </c>
      <c r="F8" s="259">
        <v>87</v>
      </c>
      <c r="G8" s="259"/>
      <c r="H8" s="259"/>
      <c r="I8" s="259"/>
      <c r="J8" s="259"/>
      <c r="K8" s="259"/>
      <c r="L8" s="259"/>
      <c r="M8" s="259"/>
      <c r="N8" s="259"/>
      <c r="O8" s="259"/>
      <c r="P8" s="256">
        <v>100</v>
      </c>
      <c r="Q8" s="256">
        <v>75</v>
      </c>
      <c r="R8" s="256">
        <v>80</v>
      </c>
      <c r="S8" s="256">
        <v>75</v>
      </c>
      <c r="T8" s="256"/>
      <c r="U8" s="256"/>
      <c r="V8" s="256"/>
      <c r="W8" s="256"/>
      <c r="X8" s="256"/>
      <c r="Y8" s="256"/>
      <c r="Z8" s="256"/>
      <c r="AA8" s="256"/>
      <c r="AB8" s="256"/>
      <c r="AC8" s="679"/>
      <c r="AD8" s="679"/>
      <c r="AE8" s="679"/>
      <c r="AF8" s="679"/>
      <c r="AG8" s="679"/>
      <c r="AH8" s="679"/>
      <c r="AI8" s="679"/>
      <c r="AJ8" s="679"/>
      <c r="AK8" s="679"/>
      <c r="AL8" s="679"/>
      <c r="AM8" s="679"/>
      <c r="AN8" s="679"/>
      <c r="AO8" s="679"/>
      <c r="AP8" s="680"/>
      <c r="AQ8" s="680"/>
      <c r="AR8" s="680"/>
      <c r="AS8" s="680"/>
      <c r="AT8" s="680"/>
      <c r="AU8" s="680"/>
      <c r="AV8" s="680"/>
      <c r="AW8" s="680"/>
      <c r="AX8" s="680"/>
      <c r="AY8" s="680"/>
      <c r="AZ8" s="680"/>
      <c r="BA8" s="680"/>
      <c r="BB8" s="680"/>
      <c r="BC8" s="679"/>
      <c r="BD8" s="679"/>
      <c r="BE8" s="679"/>
      <c r="BF8" s="679"/>
      <c r="BG8" s="679"/>
      <c r="BH8" s="679"/>
      <c r="BI8" s="679"/>
      <c r="BJ8" s="679"/>
      <c r="BK8" s="679"/>
      <c r="BL8" s="679"/>
      <c r="BM8" s="679"/>
      <c r="BN8" s="679"/>
      <c r="BO8" s="679"/>
      <c r="BP8" s="680"/>
      <c r="BQ8" s="680"/>
      <c r="BR8" s="680"/>
      <c r="BS8" s="680"/>
      <c r="BT8" s="680"/>
      <c r="BU8" s="680"/>
      <c r="BV8" s="680"/>
      <c r="BW8" s="680"/>
      <c r="BX8" s="680"/>
      <c r="BY8" s="680"/>
      <c r="BZ8" s="680"/>
      <c r="CA8" s="680"/>
      <c r="CB8" s="680"/>
      <c r="CC8" s="679"/>
      <c r="CD8" s="679"/>
      <c r="CE8" s="679"/>
      <c r="CF8" s="679"/>
      <c r="CG8" s="679"/>
      <c r="CH8" s="679"/>
      <c r="CI8" s="679"/>
      <c r="CJ8" s="679"/>
      <c r="CK8" s="679"/>
      <c r="CL8" s="679"/>
      <c r="CM8" s="679"/>
      <c r="CN8" s="679"/>
      <c r="CO8" s="679"/>
      <c r="CP8" s="680"/>
      <c r="CQ8" s="680"/>
      <c r="CR8" s="680"/>
      <c r="CS8" s="680"/>
      <c r="CT8" s="680"/>
      <c r="CU8" s="680"/>
      <c r="CV8" s="680"/>
      <c r="CW8" s="680"/>
      <c r="CX8" s="680"/>
      <c r="CY8" s="681"/>
      <c r="CZ8" s="681"/>
      <c r="DA8" s="681"/>
      <c r="DB8" s="681"/>
      <c r="DC8" s="682"/>
      <c r="DD8" s="682"/>
      <c r="DE8" s="682"/>
      <c r="DF8" s="682"/>
      <c r="DG8" s="682"/>
      <c r="DH8" s="682"/>
      <c r="DI8" s="682"/>
      <c r="DJ8" s="682"/>
      <c r="DK8" s="682"/>
      <c r="DL8" s="682"/>
      <c r="DM8" s="682"/>
      <c r="DN8" s="682"/>
      <c r="DO8" s="682"/>
      <c r="DP8" s="681"/>
      <c r="DQ8" s="681"/>
      <c r="DR8" s="681"/>
      <c r="DS8" s="681"/>
      <c r="DT8" s="681"/>
      <c r="DU8" s="681"/>
      <c r="DV8" s="681"/>
      <c r="DW8" s="681"/>
      <c r="DX8" s="681"/>
      <c r="DY8" s="681"/>
      <c r="DZ8" s="681"/>
      <c r="EA8" s="681"/>
      <c r="EB8" s="681"/>
      <c r="EC8" s="260">
        <f t="shared" ref="EC8:EM8" si="85">IFERROR(AVERAGE(C8,P8,AC8,AP8,BC8,BP8,CC8,CP8,DC8,DP8)," ")</f>
        <v>90</v>
      </c>
      <c r="ED8" s="260">
        <f t="shared" si="85"/>
        <v>77.5</v>
      </c>
      <c r="EE8" s="260">
        <f t="shared" si="85"/>
        <v>77.5</v>
      </c>
      <c r="EF8" s="260">
        <f t="shared" si="85"/>
        <v>81</v>
      </c>
      <c r="EG8" s="260" t="str">
        <f t="shared" si="85"/>
        <v xml:space="preserve"> </v>
      </c>
      <c r="EH8" s="260" t="str">
        <f t="shared" si="85"/>
        <v xml:space="preserve"> </v>
      </c>
      <c r="EI8" s="260" t="str">
        <f t="shared" si="85"/>
        <v xml:space="preserve"> </v>
      </c>
      <c r="EJ8" s="260" t="str">
        <f t="shared" si="85"/>
        <v xml:space="preserve"> </v>
      </c>
      <c r="EK8" s="260" t="str">
        <f t="shared" si="85"/>
        <v xml:space="preserve"> </v>
      </c>
      <c r="EL8" s="260" t="str">
        <f t="shared" si="85"/>
        <v xml:space="preserve"> </v>
      </c>
      <c r="EM8" s="260" t="str">
        <f t="shared" si="85"/>
        <v xml:space="preserve"> </v>
      </c>
      <c r="EN8" s="260" t="str">
        <f t="shared" ref="EN8:EO8" si="86">IFERROR(AVERAGE(N8,AA8,AN8,BA8,BN8,CA8,CN8,DA8,DN8,EA8)," ")</f>
        <v xml:space="preserve"> </v>
      </c>
      <c r="EO8" s="260" t="str">
        <f t="shared" si="86"/>
        <v xml:space="preserve"> </v>
      </c>
      <c r="EP8" s="547">
        <v>75</v>
      </c>
      <c r="EQ8" s="547">
        <v>75</v>
      </c>
      <c r="ER8" s="547"/>
      <c r="ES8" s="547"/>
      <c r="ET8" s="547"/>
      <c r="EU8" s="547"/>
      <c r="EV8" s="547"/>
      <c r="EW8" s="547"/>
      <c r="EX8" s="547"/>
      <c r="EY8" s="547"/>
      <c r="EZ8" s="547"/>
      <c r="FA8" s="547"/>
      <c r="FB8" s="547"/>
      <c r="FC8" s="560">
        <v>75</v>
      </c>
      <c r="FD8" s="560">
        <v>75</v>
      </c>
      <c r="FE8" s="560">
        <v>75</v>
      </c>
      <c r="FF8" s="560">
        <v>80</v>
      </c>
      <c r="FG8" s="560"/>
      <c r="FH8" s="560"/>
      <c r="FI8" s="560"/>
      <c r="FJ8" s="560"/>
      <c r="FK8" s="560"/>
      <c r="FL8" s="560"/>
      <c r="FM8" s="560"/>
      <c r="FN8" s="560"/>
      <c r="FO8" s="560"/>
      <c r="FP8" s="549">
        <f>IFERROR(GV8," ")</f>
        <v>79</v>
      </c>
      <c r="FQ8" s="291" t="str">
        <f>IF(FP8&gt;100,"  ",IF(FP8&gt;=FQ$1,"A",IF(FP8&gt;=FQ$2,"B",IF(FP8&gt;=FQ$3,"C",IF(FP8&gt;=1,"D","")))))</f>
        <v>C</v>
      </c>
      <c r="FR8" s="50" t="str">
        <f>IFERROR(IL8," ")</f>
        <v>Ananda Afif cukup dalam menjelaskan dan melakukan penjumlahan dan pengurangan dua pecahan dengan penyebut berbeda, cukup dalam menjelaskan dan melakukan perkalian dan pembagian pecahan dan desimal.</v>
      </c>
      <c r="FS8" s="282"/>
      <c r="FT8" s="51"/>
      <c r="FU8" s="46">
        <f>EC8</f>
        <v>90</v>
      </c>
      <c r="FV8" s="46">
        <f t="shared" ref="FV8:GG8" si="87">ED8</f>
        <v>77.5</v>
      </c>
      <c r="FW8" s="46">
        <f t="shared" si="87"/>
        <v>77.5</v>
      </c>
      <c r="FX8" s="46">
        <f t="shared" si="87"/>
        <v>81</v>
      </c>
      <c r="FY8" s="46" t="str">
        <f t="shared" si="87"/>
        <v xml:space="preserve"> </v>
      </c>
      <c r="FZ8" s="46" t="str">
        <f t="shared" si="87"/>
        <v xml:space="preserve"> </v>
      </c>
      <c r="GA8" s="46" t="str">
        <f t="shared" si="87"/>
        <v xml:space="preserve"> </v>
      </c>
      <c r="GB8" s="46" t="str">
        <f t="shared" si="87"/>
        <v xml:space="preserve"> </v>
      </c>
      <c r="GC8" s="46" t="str">
        <f t="shared" si="87"/>
        <v xml:space="preserve"> </v>
      </c>
      <c r="GD8" s="46" t="str">
        <f t="shared" si="87"/>
        <v xml:space="preserve"> </v>
      </c>
      <c r="GE8" s="46" t="str">
        <f t="shared" si="87"/>
        <v xml:space="preserve"> </v>
      </c>
      <c r="GF8" s="46" t="str">
        <f t="shared" si="87"/>
        <v xml:space="preserve"> </v>
      </c>
      <c r="GG8" s="46" t="str">
        <f t="shared" si="87"/>
        <v xml:space="preserve"> </v>
      </c>
      <c r="GH8" s="46"/>
      <c r="GI8" s="53">
        <f>IFERROR(AVERAGE(EC8,EP8,FC8,FU8),"  ")</f>
        <v>82.5</v>
      </c>
      <c r="GJ8" s="53">
        <f t="shared" ref="GJ8:GU8" si="88">IFERROR(AVERAGE(ED8,EQ8,FD8,FV8),"  ")</f>
        <v>76.25</v>
      </c>
      <c r="GK8" s="53">
        <f t="shared" si="88"/>
        <v>76.666666666666671</v>
      </c>
      <c r="GL8" s="53">
        <f t="shared" si="88"/>
        <v>80.666666666666671</v>
      </c>
      <c r="GM8" s="53" t="str">
        <f t="shared" si="88"/>
        <v xml:space="preserve">  </v>
      </c>
      <c r="GN8" s="53" t="str">
        <f t="shared" si="88"/>
        <v xml:space="preserve">  </v>
      </c>
      <c r="GO8" s="53" t="str">
        <f t="shared" si="88"/>
        <v xml:space="preserve">  </v>
      </c>
      <c r="GP8" s="53" t="str">
        <f t="shared" si="88"/>
        <v xml:space="preserve">  </v>
      </c>
      <c r="GQ8" s="53" t="str">
        <f t="shared" si="88"/>
        <v xml:space="preserve">  </v>
      </c>
      <c r="GR8" s="53" t="str">
        <f t="shared" si="88"/>
        <v xml:space="preserve">  </v>
      </c>
      <c r="GS8" s="53" t="str">
        <f t="shared" si="88"/>
        <v xml:space="preserve">  </v>
      </c>
      <c r="GT8" s="53" t="str">
        <f t="shared" si="88"/>
        <v xml:space="preserve">  </v>
      </c>
      <c r="GU8" s="53" t="str">
        <f t="shared" si="88"/>
        <v xml:space="preserve">  </v>
      </c>
      <c r="GV8" s="54">
        <f>IFERROR(ROUND(AVERAGE(GI8:GU8),0)," ")</f>
        <v>79</v>
      </c>
      <c r="GW8" s="51"/>
      <c r="GX8" s="351">
        <f>MAX(GI8:GU8)</f>
        <v>82.5</v>
      </c>
      <c r="GY8" s="351">
        <f>MIN(GI8:GU8)</f>
        <v>76.25</v>
      </c>
      <c r="GZ8" s="51" t="str">
        <f>SISWA!E6</f>
        <v>Afif</v>
      </c>
      <c r="HA8" s="51" t="str">
        <f>IF(HO8&gt;1,"Ananda "&amp;GZ8&amp;" ","")</f>
        <v xml:space="preserve">Ananda Afif </v>
      </c>
      <c r="HB8" s="56">
        <f>IF(GI8=$GX8,$GX8,"")</f>
        <v>82.5</v>
      </c>
      <c r="HC8" s="56" t="str">
        <f t="shared" ref="HC8:HN8" si="89">IF(GJ8=$GX8,$GX8,"")</f>
        <v/>
      </c>
      <c r="HD8" s="56" t="str">
        <f t="shared" si="89"/>
        <v/>
      </c>
      <c r="HE8" s="56" t="str">
        <f t="shared" si="89"/>
        <v/>
      </c>
      <c r="HF8" s="56" t="str">
        <f t="shared" si="89"/>
        <v/>
      </c>
      <c r="HG8" s="56" t="str">
        <f t="shared" si="89"/>
        <v/>
      </c>
      <c r="HH8" s="56" t="str">
        <f t="shared" si="89"/>
        <v/>
      </c>
      <c r="HI8" s="56" t="str">
        <f t="shared" si="89"/>
        <v/>
      </c>
      <c r="HJ8" s="56" t="str">
        <f t="shared" si="89"/>
        <v/>
      </c>
      <c r="HK8" s="56" t="str">
        <f t="shared" si="89"/>
        <v/>
      </c>
      <c r="HL8" s="56" t="str">
        <f t="shared" si="89"/>
        <v/>
      </c>
      <c r="HM8" s="56" t="str">
        <f t="shared" si="89"/>
        <v/>
      </c>
      <c r="HN8" s="56" t="str">
        <f t="shared" si="89"/>
        <v/>
      </c>
      <c r="HO8" s="58">
        <f>SUM(HB8:HN8)</f>
        <v>82.5</v>
      </c>
      <c r="HP8" s="55" t="str">
        <f>LOOKUP(GX8,(HB8:HN8),($HB$6:$HN$6))</f>
        <v>menjelaskan dan melakukan penjumlahan dan pengurangan dua pecahan dengan penyebut berbeda</v>
      </c>
      <c r="HQ8" s="58"/>
      <c r="HR8" s="59" t="str">
        <f>IF(GX8&gt;100,"",IF(GX8&gt;FQ$1,"sangat baik dalam "&amp;HP8,IF(GX8&gt;=FQ$2," baik dalam "&amp;HP8,IF(GX8&gt;=FQ$3,"cukup dalam "&amp;HP8,IF(GX8&lt;FQ$3,"dengan bimbingan dapat meningkatkan dalam "&amp;HP8,IF(GX8&lt;1," ",””))))))</f>
        <v>cukup dalam menjelaskan dan melakukan penjumlahan dan pengurangan dua pecahan dengan penyebut berbeda</v>
      </c>
      <c r="HS8" s="58"/>
      <c r="HT8" s="57" t="str">
        <f>IF(GI8=$GY8,$GY8,"")</f>
        <v/>
      </c>
      <c r="HU8" s="57">
        <f t="shared" ref="HU8:IF8" si="90">IF(GJ8=$GY8,$GY8,"")</f>
        <v>76.25</v>
      </c>
      <c r="HV8" s="57" t="str">
        <f t="shared" si="90"/>
        <v/>
      </c>
      <c r="HW8" s="57" t="str">
        <f t="shared" si="90"/>
        <v/>
      </c>
      <c r="HX8" s="57" t="str">
        <f t="shared" si="90"/>
        <v/>
      </c>
      <c r="HY8" s="57" t="str">
        <f t="shared" si="90"/>
        <v/>
      </c>
      <c r="HZ8" s="57" t="str">
        <f t="shared" si="90"/>
        <v/>
      </c>
      <c r="IA8" s="57" t="str">
        <f t="shared" si="90"/>
        <v/>
      </c>
      <c r="IB8" s="57" t="str">
        <f t="shared" si="90"/>
        <v/>
      </c>
      <c r="IC8" s="57" t="str">
        <f t="shared" si="90"/>
        <v/>
      </c>
      <c r="ID8" s="57" t="str">
        <f t="shared" si="90"/>
        <v/>
      </c>
      <c r="IE8" s="57" t="str">
        <f t="shared" si="90"/>
        <v/>
      </c>
      <c r="IF8" s="57" t="str">
        <f t="shared" si="90"/>
        <v/>
      </c>
      <c r="IG8" s="57"/>
      <c r="IH8" s="55" t="str">
        <f>LOOKUP(GY8,(HT8:IF8),($HT$6:$IF$6))</f>
        <v>menjelaskan dan melakukan perkalian dan pembagian pecahan dan desimal</v>
      </c>
      <c r="II8" s="59" t="str">
        <f>IF(GY8&gt;100,"",IF(GY8&gt;FQ$1,"sangat baik dalam "&amp;IH8,IF(GY8&gt;=FQ$2," baik dalam "&amp;IH8,IF(GY8&gt;=FQ$3,"cukup dalam "&amp;IH8,IF(GY8&lt;FQ$3,"dengan bimbingan dapat meningkatkan dalam "&amp;IH8,IF(GY8&lt;1," ",””))))))</f>
        <v>cukup dalam menjelaskan dan melakukan perkalian dan pembagian pecahan dan desimal</v>
      </c>
      <c r="IJ8" s="60"/>
      <c r="IK8" s="61" t="s">
        <v>201</v>
      </c>
      <c r="IL8" s="62" t="str">
        <f>CONCATENATE(HA8&amp;HR8&amp;", "&amp;II8&amp;".")</f>
        <v>Ananda Afif cukup dalam menjelaskan dan melakukan penjumlahan dan pengurangan dua pecahan dengan penyebut berbeda, cukup dalam menjelaskan dan melakukan perkalian dan pembagian pecahan dan desimal.</v>
      </c>
      <c r="IM8" s="51"/>
    </row>
    <row r="9" spans="1:247" ht="45">
      <c r="A9" s="39">
        <v>2</v>
      </c>
      <c r="B9" s="283" t="str">
        <f>SISWA!B7</f>
        <v>Ahmad Faiq Athaya</v>
      </c>
      <c r="C9" s="123">
        <v>100</v>
      </c>
      <c r="D9" s="123">
        <v>87</v>
      </c>
      <c r="E9" s="123">
        <v>75</v>
      </c>
      <c r="F9" s="123">
        <v>80</v>
      </c>
      <c r="G9" s="123"/>
      <c r="H9" s="123"/>
      <c r="I9" s="123"/>
      <c r="J9" s="123"/>
      <c r="K9" s="123"/>
      <c r="L9" s="123"/>
      <c r="M9" s="123"/>
      <c r="N9" s="123"/>
      <c r="O9" s="123"/>
      <c r="P9" s="256">
        <v>97</v>
      </c>
      <c r="Q9" s="256">
        <v>93</v>
      </c>
      <c r="R9" s="256">
        <v>75</v>
      </c>
      <c r="S9" s="256">
        <v>80</v>
      </c>
      <c r="T9" s="256"/>
      <c r="U9" s="256"/>
      <c r="V9" s="256"/>
      <c r="W9" s="256"/>
      <c r="X9" s="256"/>
      <c r="Y9" s="256"/>
      <c r="Z9" s="256"/>
      <c r="AA9" s="256"/>
      <c r="AB9" s="256"/>
      <c r="AC9" s="683"/>
      <c r="AD9" s="683"/>
      <c r="AE9" s="683"/>
      <c r="AF9" s="683"/>
      <c r="AG9" s="683"/>
      <c r="AH9" s="683"/>
      <c r="AI9" s="683"/>
      <c r="AJ9" s="683"/>
      <c r="AK9" s="683"/>
      <c r="AL9" s="683"/>
      <c r="AM9" s="683"/>
      <c r="AN9" s="683"/>
      <c r="AO9" s="683"/>
      <c r="AP9" s="680"/>
      <c r="AQ9" s="680"/>
      <c r="AR9" s="680"/>
      <c r="AS9" s="680"/>
      <c r="AT9" s="680"/>
      <c r="AU9" s="680"/>
      <c r="AV9" s="680"/>
      <c r="AW9" s="680"/>
      <c r="AX9" s="680"/>
      <c r="AY9" s="680"/>
      <c r="AZ9" s="680"/>
      <c r="BA9" s="680"/>
      <c r="BB9" s="680"/>
      <c r="BC9" s="683"/>
      <c r="BD9" s="683"/>
      <c r="BE9" s="683"/>
      <c r="BF9" s="683"/>
      <c r="BG9" s="683"/>
      <c r="BH9" s="683"/>
      <c r="BI9" s="683"/>
      <c r="BJ9" s="683"/>
      <c r="BK9" s="683"/>
      <c r="BL9" s="683"/>
      <c r="BM9" s="683"/>
      <c r="BN9" s="683"/>
      <c r="BO9" s="683"/>
      <c r="BP9" s="680"/>
      <c r="BQ9" s="680"/>
      <c r="BR9" s="680"/>
      <c r="BS9" s="680"/>
      <c r="BT9" s="680"/>
      <c r="BU9" s="680"/>
      <c r="BV9" s="680"/>
      <c r="BW9" s="680"/>
      <c r="BX9" s="680"/>
      <c r="BY9" s="680"/>
      <c r="BZ9" s="680"/>
      <c r="CA9" s="680"/>
      <c r="CB9" s="680"/>
      <c r="CC9" s="683"/>
      <c r="CD9" s="683"/>
      <c r="CE9" s="683"/>
      <c r="CF9" s="683"/>
      <c r="CG9" s="683"/>
      <c r="CH9" s="683"/>
      <c r="CI9" s="683"/>
      <c r="CJ9" s="683"/>
      <c r="CK9" s="683"/>
      <c r="CL9" s="683"/>
      <c r="CM9" s="683"/>
      <c r="CN9" s="683"/>
      <c r="CO9" s="683"/>
      <c r="CP9" s="680"/>
      <c r="CQ9" s="680"/>
      <c r="CR9" s="680"/>
      <c r="CS9" s="680"/>
      <c r="CT9" s="680"/>
      <c r="CU9" s="680"/>
      <c r="CV9" s="680"/>
      <c r="CW9" s="680"/>
      <c r="CX9" s="680"/>
      <c r="CY9" s="681"/>
      <c r="CZ9" s="681"/>
      <c r="DA9" s="681"/>
      <c r="DB9" s="681"/>
      <c r="DC9" s="682"/>
      <c r="DD9" s="682"/>
      <c r="DE9" s="682"/>
      <c r="DF9" s="682"/>
      <c r="DG9" s="682"/>
      <c r="DH9" s="682"/>
      <c r="DI9" s="682"/>
      <c r="DJ9" s="682"/>
      <c r="DK9" s="682"/>
      <c r="DL9" s="682"/>
      <c r="DM9" s="682"/>
      <c r="DN9" s="682"/>
      <c r="DO9" s="682"/>
      <c r="DP9" s="681"/>
      <c r="DQ9" s="681"/>
      <c r="DR9" s="681"/>
      <c r="DS9" s="681"/>
      <c r="DT9" s="681"/>
      <c r="DU9" s="681"/>
      <c r="DV9" s="681"/>
      <c r="DW9" s="681"/>
      <c r="DX9" s="681"/>
      <c r="DY9" s="681"/>
      <c r="DZ9" s="681"/>
      <c r="EA9" s="681"/>
      <c r="EB9" s="681"/>
      <c r="EC9" s="260">
        <f t="shared" ref="EC9:EC42" si="91">IFERROR(AVERAGE(C9,P9,AC9,AP9,BC9,BP9,CC9,CP9,DC9,DP9)," ")</f>
        <v>98.5</v>
      </c>
      <c r="ED9" s="260">
        <f t="shared" ref="ED9:ED42" si="92">IFERROR(AVERAGE(D9,Q9,AD9,AQ9,BD9,BQ9,CD9,CQ9,DD9,DQ9)," ")</f>
        <v>90</v>
      </c>
      <c r="EE9" s="260">
        <f t="shared" ref="EE9:EE42" si="93">IFERROR(AVERAGE(E9,R9,AE9,AR9,BE9,BR9,CE9,CR9,DE9,DR9)," ")</f>
        <v>75</v>
      </c>
      <c r="EF9" s="260">
        <f t="shared" ref="EF9:EF42" si="94">IFERROR(AVERAGE(F9,S9,AF9,AS9,BF9,BS9,CF9,CS9,DF9,DS9)," ")</f>
        <v>80</v>
      </c>
      <c r="EG9" s="260" t="str">
        <f t="shared" ref="EG9:EG42" si="95">IFERROR(AVERAGE(G9,T9,AG9,AT9,BG9,BT9,CG9,CT9,DG9,DT9)," ")</f>
        <v xml:space="preserve"> </v>
      </c>
      <c r="EH9" s="260" t="str">
        <f t="shared" ref="EH9:EH42" si="96">IFERROR(AVERAGE(H9,U9,AH9,AU9,BH9,BU9,CH9,CU9,DH9,DU9)," ")</f>
        <v xml:space="preserve"> </v>
      </c>
      <c r="EI9" s="260" t="str">
        <f t="shared" ref="EI9:EI42" si="97">IFERROR(AVERAGE(I9,V9,AI9,AV9,BI9,BV9,CI9,CV9,DI9,DV9)," ")</f>
        <v xml:space="preserve"> </v>
      </c>
      <c r="EJ9" s="260" t="str">
        <f t="shared" ref="EJ9:EJ42" si="98">IFERROR(AVERAGE(J9,W9,AJ9,AW9,BJ9,BW9,CJ9,CW9,DJ9,DW9)," ")</f>
        <v xml:space="preserve"> </v>
      </c>
      <c r="EK9" s="260" t="str">
        <f t="shared" ref="EK9:EK42" si="99">IFERROR(AVERAGE(K9,X9,AK9,AX9,BK9,BX9,CK9,CX9,DK9,DX9)," ")</f>
        <v xml:space="preserve"> </v>
      </c>
      <c r="EL9" s="260" t="str">
        <f t="shared" ref="EL9:EL42" si="100">IFERROR(AVERAGE(L9,Y9,AL9,AY9,BL9,BY9,CL9,CY9,DL9,DY9)," ")</f>
        <v xml:space="preserve"> </v>
      </c>
      <c r="EM9" s="260" t="str">
        <f t="shared" ref="EM9:EM42" si="101">IFERROR(AVERAGE(M9,Z9,AM9,AZ9,BM9,BZ9,CM9,CZ9,DM9,DZ9)," ")</f>
        <v xml:space="preserve"> </v>
      </c>
      <c r="EN9" s="260" t="str">
        <f t="shared" ref="EN9:EN42" si="102">IFERROR(AVERAGE(N9,AA9,AN9,BA9,BN9,CA9,CN9,DA9,DN9,EA9)," ")</f>
        <v xml:space="preserve"> </v>
      </c>
      <c r="EO9" s="260" t="str">
        <f t="shared" ref="EO9:EO42" si="103">IFERROR(AVERAGE(O9,AB9,AO9,BB9,BO9,CB9,CO9,DB9,DO9,EB9)," ")</f>
        <v xml:space="preserve"> </v>
      </c>
      <c r="EP9" s="547">
        <v>75</v>
      </c>
      <c r="EQ9" s="547">
        <v>76</v>
      </c>
      <c r="ER9" s="547"/>
      <c r="ES9" s="547"/>
      <c r="ET9" s="547"/>
      <c r="EU9" s="547"/>
      <c r="EV9" s="547"/>
      <c r="EW9" s="547"/>
      <c r="EX9" s="547"/>
      <c r="EY9" s="547"/>
      <c r="EZ9" s="547"/>
      <c r="FA9" s="547"/>
      <c r="FB9" s="547"/>
      <c r="FC9" s="560">
        <v>75</v>
      </c>
      <c r="FD9" s="560">
        <v>77</v>
      </c>
      <c r="FE9" s="560">
        <v>83</v>
      </c>
      <c r="FF9" s="560">
        <v>92</v>
      </c>
      <c r="FG9" s="560"/>
      <c r="FH9" s="560"/>
      <c r="FI9" s="560"/>
      <c r="FJ9" s="560"/>
      <c r="FK9" s="560"/>
      <c r="FL9" s="560"/>
      <c r="FM9" s="560"/>
      <c r="FN9" s="560"/>
      <c r="FO9" s="560"/>
      <c r="FP9" s="549">
        <f t="shared" ref="FP9:FP42" si="104">IFERROR(GV9," ")</f>
        <v>83</v>
      </c>
      <c r="FQ9" s="291" t="str">
        <f t="shared" ref="FQ9:FQ42" si="105">IF(FP9&gt;100,"  ",IF(FP9&gt;=FQ$1,"A",IF(FP9&gt;=FQ$2,"B",IF(FP9&gt;=FQ$3,"C",IF(FP9&gt;=1,"D","")))))</f>
        <v>B</v>
      </c>
      <c r="FR9" s="50" t="str">
        <f t="shared" ref="FR9:FR42" si="106">IFERROR(IL9," ")</f>
        <v>Ananda Athaya  baik dalam menjelaskan dan melakukan penjumlahan dan pengurangan dua pecahan dengan penyebut berbeda, cukup dalam menjelaskan perbandingan dua besaran yang berbeda (kecepatan sebagai perbandingan jarak dengan waktu, debit sebagai perbandingan volume dan waktu).</v>
      </c>
      <c r="FS9" s="282"/>
      <c r="FT9" s="51"/>
      <c r="FU9" s="46">
        <f t="shared" ref="FU9:FU42" si="107">EC9</f>
        <v>98.5</v>
      </c>
      <c r="FV9" s="46">
        <f t="shared" ref="FV9:FV42" si="108">ED9</f>
        <v>90</v>
      </c>
      <c r="FW9" s="46">
        <f t="shared" ref="FW9:FW42" si="109">EE9</f>
        <v>75</v>
      </c>
      <c r="FX9" s="46">
        <f t="shared" ref="FX9:FX42" si="110">EF9</f>
        <v>80</v>
      </c>
      <c r="FY9" s="46" t="str">
        <f t="shared" ref="FY9:FY42" si="111">EG9</f>
        <v xml:space="preserve"> </v>
      </c>
      <c r="FZ9" s="46" t="str">
        <f t="shared" ref="FZ9:FZ42" si="112">EH9</f>
        <v xml:space="preserve"> </v>
      </c>
      <c r="GA9" s="46" t="str">
        <f t="shared" ref="GA9:GA42" si="113">EI9</f>
        <v xml:space="preserve"> </v>
      </c>
      <c r="GB9" s="46" t="str">
        <f t="shared" ref="GB9:GB42" si="114">EJ9</f>
        <v xml:space="preserve"> </v>
      </c>
      <c r="GC9" s="46" t="str">
        <f t="shared" ref="GC9:GC42" si="115">EK9</f>
        <v xml:space="preserve"> </v>
      </c>
      <c r="GD9" s="46" t="str">
        <f t="shared" ref="GD9:GD42" si="116">EL9</f>
        <v xml:space="preserve"> </v>
      </c>
      <c r="GE9" s="46" t="str">
        <f t="shared" ref="GE9:GE42" si="117">EM9</f>
        <v xml:space="preserve"> </v>
      </c>
      <c r="GF9" s="46" t="str">
        <f t="shared" ref="GF9:GF42" si="118">EN9</f>
        <v xml:space="preserve"> </v>
      </c>
      <c r="GG9" s="46" t="str">
        <f t="shared" ref="GG9:GG42" si="119">EO9</f>
        <v xml:space="preserve"> </v>
      </c>
      <c r="GH9" s="46"/>
      <c r="GI9" s="53">
        <f t="shared" ref="GI9:GI42" si="120">IFERROR(AVERAGE(EC9,EP9,FC9,FU9),"  ")</f>
        <v>86.75</v>
      </c>
      <c r="GJ9" s="53">
        <f t="shared" ref="GJ9:GJ42" si="121">IFERROR(AVERAGE(ED9,EQ9,FD9,FV9),"  ")</f>
        <v>83.25</v>
      </c>
      <c r="GK9" s="53">
        <f t="shared" ref="GK9:GK42" si="122">IFERROR(AVERAGE(EE9,ER9,FE9,FW9),"  ")</f>
        <v>77.666666666666671</v>
      </c>
      <c r="GL9" s="53">
        <f t="shared" ref="GL9:GL42" si="123">IFERROR(AVERAGE(EF9,ES9,FF9,FX9),"  ")</f>
        <v>84</v>
      </c>
      <c r="GM9" s="53" t="str">
        <f t="shared" ref="GM9:GM42" si="124">IFERROR(AVERAGE(EG9,ET9,FG9,FY9),"  ")</f>
        <v xml:space="preserve">  </v>
      </c>
      <c r="GN9" s="53" t="str">
        <f t="shared" ref="GN9:GN42" si="125">IFERROR(AVERAGE(EH9,EU9,FH9,FZ9),"  ")</f>
        <v xml:space="preserve">  </v>
      </c>
      <c r="GO9" s="53" t="str">
        <f t="shared" ref="GO9:GO42" si="126">IFERROR(AVERAGE(EI9,EV9,FI9,GA9),"  ")</f>
        <v xml:space="preserve">  </v>
      </c>
      <c r="GP9" s="53" t="str">
        <f t="shared" ref="GP9:GP42" si="127">IFERROR(AVERAGE(EJ9,EW9,FJ9,GB9),"  ")</f>
        <v xml:space="preserve">  </v>
      </c>
      <c r="GQ9" s="53" t="str">
        <f t="shared" ref="GQ9:GQ42" si="128">IFERROR(AVERAGE(EK9,EX9,FK9,GC9),"  ")</f>
        <v xml:space="preserve">  </v>
      </c>
      <c r="GR9" s="53" t="str">
        <f t="shared" ref="GR9:GR42" si="129">IFERROR(AVERAGE(EL9,EY9,FL9,GD9),"  ")</f>
        <v xml:space="preserve">  </v>
      </c>
      <c r="GS9" s="53" t="str">
        <f t="shared" ref="GS9:GS42" si="130">IFERROR(AVERAGE(EM9,EZ9,FM9,GE9),"  ")</f>
        <v xml:space="preserve">  </v>
      </c>
      <c r="GT9" s="53" t="str">
        <f t="shared" ref="GT9:GT42" si="131">IFERROR(AVERAGE(EN9,FA9,FN9,GF9),"  ")</f>
        <v xml:space="preserve">  </v>
      </c>
      <c r="GU9" s="53" t="str">
        <f t="shared" ref="GU9:GU42" si="132">IFERROR(AVERAGE(EO9,FB9,FO9,GG9),"  ")</f>
        <v xml:space="preserve">  </v>
      </c>
      <c r="GV9" s="54">
        <f t="shared" ref="GV9:GV42" si="133">IFERROR(ROUND(AVERAGE(GI9:GU9),0)," ")</f>
        <v>83</v>
      </c>
      <c r="GW9" s="51"/>
      <c r="GX9" s="351">
        <f t="shared" ref="GX9:GX42" si="134">MAX(GI9:GU9)</f>
        <v>86.75</v>
      </c>
      <c r="GY9" s="351">
        <f t="shared" ref="GY9:GY42" si="135">MIN(GI9:GU9)</f>
        <v>77.666666666666671</v>
      </c>
      <c r="GZ9" s="51" t="str">
        <f>SISWA!E7</f>
        <v>Athaya</v>
      </c>
      <c r="HA9" s="51" t="str">
        <f t="shared" ref="HA9:HA42" si="136">IF(HO9&gt;1,"Ananda "&amp;GZ9&amp;" ","")</f>
        <v xml:space="preserve">Ananda Athaya </v>
      </c>
      <c r="HB9" s="56">
        <f t="shared" ref="HB9:HB42" si="137">IF(GI9=$GX9,$GX9,"")</f>
        <v>86.75</v>
      </c>
      <c r="HC9" s="56" t="str">
        <f t="shared" ref="HC9:HC42" si="138">IF(GJ9=$GX9,$GX9,"")</f>
        <v/>
      </c>
      <c r="HD9" s="56" t="str">
        <f t="shared" ref="HD9:HD42" si="139">IF(GK9=$GX9,$GX9,"")</f>
        <v/>
      </c>
      <c r="HE9" s="56" t="str">
        <f t="shared" ref="HE9:HE42" si="140">IF(GL9=$GX9,$GX9,"")</f>
        <v/>
      </c>
      <c r="HF9" s="56" t="str">
        <f t="shared" ref="HF9:HF42" si="141">IF(GM9=$GX9,$GX9,"")</f>
        <v/>
      </c>
      <c r="HG9" s="56" t="str">
        <f t="shared" ref="HG9:HG42" si="142">IF(GN9=$GX9,$GX9,"")</f>
        <v/>
      </c>
      <c r="HH9" s="56" t="str">
        <f t="shared" ref="HH9:HH42" si="143">IF(GO9=$GX9,$GX9,"")</f>
        <v/>
      </c>
      <c r="HI9" s="56" t="str">
        <f t="shared" ref="HI9:HI42" si="144">IF(GP9=$GX9,$GX9,"")</f>
        <v/>
      </c>
      <c r="HJ9" s="56" t="str">
        <f t="shared" ref="HJ9:HJ42" si="145">IF(GQ9=$GX9,$GX9,"")</f>
        <v/>
      </c>
      <c r="HK9" s="56" t="str">
        <f t="shared" ref="HK9:HK42" si="146">IF(GR9=$GX9,$GX9,"")</f>
        <v/>
      </c>
      <c r="HL9" s="56" t="str">
        <f t="shared" ref="HL9:HL42" si="147">IF(GS9=$GX9,$GX9,"")</f>
        <v/>
      </c>
      <c r="HM9" s="56" t="str">
        <f t="shared" ref="HM9:HM42" si="148">IF(GT9=$GX9,$GX9,"")</f>
        <v/>
      </c>
      <c r="HN9" s="56" t="str">
        <f t="shared" ref="HN9:HN42" si="149">IF(GU9=$GX9,$GX9,"")</f>
        <v/>
      </c>
      <c r="HO9" s="58">
        <f t="shared" ref="HO9:HO42" si="150">SUM(HB9:HN9)</f>
        <v>86.75</v>
      </c>
      <c r="HP9" s="55" t="str">
        <f t="shared" ref="HP9:HP42" si="151">LOOKUP(GX9,(HB9:HN9),($HB$6:$HN$6))</f>
        <v>menjelaskan dan melakukan penjumlahan dan pengurangan dua pecahan dengan penyebut berbeda</v>
      </c>
      <c r="HQ9" s="58"/>
      <c r="HR9" s="59" t="str">
        <f>IF(GX9&gt;100,"",IF(GX9&gt;FQ$1,"sangat baik dalam "&amp;HP9,IF(GX9&gt;=FQ$2," baik dalam "&amp;HP9,IF(GX9&gt;=FQ$3,"cukup dalam "&amp;HP9,IF(GX9&lt;FQ$3,"dengan bimbingan dapat meningkatkan dalam "&amp;HP9,IF(GX9&lt;1," ",””))))))</f>
        <v xml:space="preserve"> baik dalam menjelaskan dan melakukan penjumlahan dan pengurangan dua pecahan dengan penyebut berbeda</v>
      </c>
      <c r="HS9" s="58"/>
      <c r="HT9" s="57" t="str">
        <f t="shared" ref="HT9:HT42" si="152">IF(GI9=$GY9,$GY9,"")</f>
        <v/>
      </c>
      <c r="HU9" s="57" t="str">
        <f t="shared" ref="HU9:HU42" si="153">IF(GJ9=$GY9,$GY9,"")</f>
        <v/>
      </c>
      <c r="HV9" s="57">
        <f t="shared" ref="HV9:HV42" si="154">IF(GK9=$GY9,$GY9,"")</f>
        <v>77.666666666666671</v>
      </c>
      <c r="HW9" s="57" t="str">
        <f t="shared" ref="HW9:HW42" si="155">IF(GL9=$GY9,$GY9,"")</f>
        <v/>
      </c>
      <c r="HX9" s="57" t="str">
        <f t="shared" ref="HX9:HX42" si="156">IF(GM9=$GY9,$GY9,"")</f>
        <v/>
      </c>
      <c r="HY9" s="57" t="str">
        <f t="shared" ref="HY9:HY42" si="157">IF(GN9=$GY9,$GY9,"")</f>
        <v/>
      </c>
      <c r="HZ9" s="57" t="str">
        <f t="shared" ref="HZ9:HZ42" si="158">IF(GO9=$GY9,$GY9,"")</f>
        <v/>
      </c>
      <c r="IA9" s="57" t="str">
        <f t="shared" ref="IA9:IA42" si="159">IF(GP9=$GY9,$GY9,"")</f>
        <v/>
      </c>
      <c r="IB9" s="57" t="str">
        <f t="shared" ref="IB9:IB42" si="160">IF(GQ9=$GY9,$GY9,"")</f>
        <v/>
      </c>
      <c r="IC9" s="57" t="str">
        <f t="shared" ref="IC9:IC42" si="161">IF(GR9=$GY9,$GY9,"")</f>
        <v/>
      </c>
      <c r="ID9" s="57" t="str">
        <f t="shared" ref="ID9:ID42" si="162">IF(GS9=$GY9,$GY9,"")</f>
        <v/>
      </c>
      <c r="IE9" s="57" t="str">
        <f t="shared" ref="IE9:IE42" si="163">IF(GT9=$GY9,$GY9,"")</f>
        <v/>
      </c>
      <c r="IF9" s="57" t="str">
        <f t="shared" ref="IF9:IF42" si="164">IF(GU9=$GY9,$GY9,"")</f>
        <v/>
      </c>
      <c r="IG9" s="57"/>
      <c r="IH9" s="55" t="str">
        <f t="shared" ref="IH9:IH42" si="165">LOOKUP(GY9,(HT9:IF9),($HT$6:$IF$6))</f>
        <v>menjelaskan perbandingan dua besaran yang berbeda (kecepatan sebagai perbandingan jarak dengan waktu, debit sebagai perbandingan volume dan waktu)</v>
      </c>
      <c r="II9" s="59" t="str">
        <f>IF(GY9&gt;100,"",IF(GY9&gt;FQ$1,"sangat baik dalam "&amp;IH9,IF(GY9&gt;=FQ$2," baik dalam "&amp;IH9,IF(GY9&gt;=FQ$3,"cukup dalam "&amp;IH9,IF(GY9&lt;FQ$3,"dengan bimbingan dapat meningkatkan dalam "&amp;IH9,IF(GY9&lt;1," ",””))))))</f>
        <v>cukup dalam menjelaskan perbandingan dua besaran yang berbeda (kecepatan sebagai perbandingan jarak dengan waktu, debit sebagai perbandingan volume dan waktu)</v>
      </c>
      <c r="IJ9" s="60"/>
      <c r="IK9" s="61" t="s">
        <v>201</v>
      </c>
      <c r="IL9" s="62" t="str">
        <f t="shared" ref="IL9:IL42" si="166">CONCATENATE(HA9&amp;HR9&amp;", "&amp;II9&amp;".")</f>
        <v>Ananda Athaya  baik dalam menjelaskan dan melakukan penjumlahan dan pengurangan dua pecahan dengan penyebut berbeda, cukup dalam menjelaskan perbandingan dua besaran yang berbeda (kecepatan sebagai perbandingan jarak dengan waktu, debit sebagai perbandingan volume dan waktu).</v>
      </c>
      <c r="IM9" s="4"/>
    </row>
    <row r="10" spans="1:247" ht="30">
      <c r="A10" s="39">
        <v>3</v>
      </c>
      <c r="B10" s="283" t="str">
        <f>SISWA!B8</f>
        <v>Amira Zerlinda</v>
      </c>
      <c r="C10" s="123">
        <v>75</v>
      </c>
      <c r="D10" s="123">
        <v>75</v>
      </c>
      <c r="E10" s="123">
        <v>87</v>
      </c>
      <c r="F10" s="123">
        <v>80</v>
      </c>
      <c r="G10" s="123"/>
      <c r="H10" s="123"/>
      <c r="I10" s="123"/>
      <c r="J10" s="123"/>
      <c r="K10" s="123"/>
      <c r="L10" s="123"/>
      <c r="M10" s="123"/>
      <c r="N10" s="123"/>
      <c r="O10" s="123"/>
      <c r="P10" s="256">
        <v>100</v>
      </c>
      <c r="Q10" s="256">
        <v>87</v>
      </c>
      <c r="R10" s="256">
        <v>80</v>
      </c>
      <c r="S10" s="256">
        <v>75</v>
      </c>
      <c r="T10" s="256"/>
      <c r="U10" s="256"/>
      <c r="V10" s="256"/>
      <c r="W10" s="256"/>
      <c r="X10" s="256"/>
      <c r="Y10" s="256"/>
      <c r="Z10" s="256"/>
      <c r="AA10" s="256"/>
      <c r="AB10" s="256"/>
      <c r="AC10" s="683"/>
      <c r="AD10" s="683"/>
      <c r="AE10" s="683"/>
      <c r="AF10" s="683"/>
      <c r="AG10" s="683"/>
      <c r="AH10" s="683"/>
      <c r="AI10" s="683"/>
      <c r="AJ10" s="683"/>
      <c r="AK10" s="683"/>
      <c r="AL10" s="683"/>
      <c r="AM10" s="683"/>
      <c r="AN10" s="683"/>
      <c r="AO10" s="683"/>
      <c r="AP10" s="680"/>
      <c r="AQ10" s="680"/>
      <c r="AR10" s="680"/>
      <c r="AS10" s="680"/>
      <c r="AT10" s="680"/>
      <c r="AU10" s="680"/>
      <c r="AV10" s="680"/>
      <c r="AW10" s="680"/>
      <c r="AX10" s="680"/>
      <c r="AY10" s="680"/>
      <c r="AZ10" s="680"/>
      <c r="BA10" s="680"/>
      <c r="BB10" s="680"/>
      <c r="BC10" s="683"/>
      <c r="BD10" s="683"/>
      <c r="BE10" s="683"/>
      <c r="BF10" s="683"/>
      <c r="BG10" s="683"/>
      <c r="BH10" s="683"/>
      <c r="BI10" s="683"/>
      <c r="BJ10" s="683"/>
      <c r="BK10" s="683"/>
      <c r="BL10" s="683"/>
      <c r="BM10" s="683"/>
      <c r="BN10" s="683"/>
      <c r="BO10" s="683"/>
      <c r="BP10" s="680"/>
      <c r="BQ10" s="680"/>
      <c r="BR10" s="680"/>
      <c r="BS10" s="680"/>
      <c r="BT10" s="680"/>
      <c r="BU10" s="680"/>
      <c r="BV10" s="680"/>
      <c r="BW10" s="680"/>
      <c r="BX10" s="680"/>
      <c r="BY10" s="680"/>
      <c r="BZ10" s="680"/>
      <c r="CA10" s="680"/>
      <c r="CB10" s="680"/>
      <c r="CC10" s="683"/>
      <c r="CD10" s="683"/>
      <c r="CE10" s="683"/>
      <c r="CF10" s="683"/>
      <c r="CG10" s="683"/>
      <c r="CH10" s="683"/>
      <c r="CI10" s="683"/>
      <c r="CJ10" s="683"/>
      <c r="CK10" s="683"/>
      <c r="CL10" s="683"/>
      <c r="CM10" s="683"/>
      <c r="CN10" s="683"/>
      <c r="CO10" s="683"/>
      <c r="CP10" s="680"/>
      <c r="CQ10" s="680"/>
      <c r="CR10" s="680"/>
      <c r="CS10" s="680"/>
      <c r="CT10" s="680"/>
      <c r="CU10" s="680"/>
      <c r="CV10" s="680"/>
      <c r="CW10" s="680"/>
      <c r="CX10" s="680"/>
      <c r="CY10" s="681"/>
      <c r="CZ10" s="681"/>
      <c r="DA10" s="681"/>
      <c r="DB10" s="681"/>
      <c r="DC10" s="682"/>
      <c r="DD10" s="682"/>
      <c r="DE10" s="682"/>
      <c r="DF10" s="682"/>
      <c r="DG10" s="682"/>
      <c r="DH10" s="682"/>
      <c r="DI10" s="682"/>
      <c r="DJ10" s="682"/>
      <c r="DK10" s="682"/>
      <c r="DL10" s="682"/>
      <c r="DM10" s="682"/>
      <c r="DN10" s="682"/>
      <c r="DO10" s="682"/>
      <c r="DP10" s="681"/>
      <c r="DQ10" s="681"/>
      <c r="DR10" s="681"/>
      <c r="DS10" s="681"/>
      <c r="DT10" s="681"/>
      <c r="DU10" s="681"/>
      <c r="DV10" s="681"/>
      <c r="DW10" s="681"/>
      <c r="DX10" s="681"/>
      <c r="DY10" s="681"/>
      <c r="DZ10" s="681"/>
      <c r="EA10" s="681"/>
      <c r="EB10" s="681"/>
      <c r="EC10" s="260">
        <f t="shared" si="91"/>
        <v>87.5</v>
      </c>
      <c r="ED10" s="260">
        <f t="shared" si="92"/>
        <v>81</v>
      </c>
      <c r="EE10" s="260">
        <f t="shared" si="93"/>
        <v>83.5</v>
      </c>
      <c r="EF10" s="260">
        <f t="shared" si="94"/>
        <v>77.5</v>
      </c>
      <c r="EG10" s="260" t="str">
        <f t="shared" si="95"/>
        <v xml:space="preserve"> </v>
      </c>
      <c r="EH10" s="260" t="str">
        <f t="shared" si="96"/>
        <v xml:space="preserve"> </v>
      </c>
      <c r="EI10" s="260" t="str">
        <f t="shared" si="97"/>
        <v xml:space="preserve"> </v>
      </c>
      <c r="EJ10" s="260" t="str">
        <f t="shared" si="98"/>
        <v xml:space="preserve"> </v>
      </c>
      <c r="EK10" s="260" t="str">
        <f t="shared" si="99"/>
        <v xml:space="preserve"> </v>
      </c>
      <c r="EL10" s="260" t="str">
        <f t="shared" si="100"/>
        <v xml:space="preserve"> </v>
      </c>
      <c r="EM10" s="260" t="str">
        <f t="shared" si="101"/>
        <v xml:space="preserve"> </v>
      </c>
      <c r="EN10" s="260" t="str">
        <f t="shared" si="102"/>
        <v xml:space="preserve"> </v>
      </c>
      <c r="EO10" s="260" t="str">
        <f t="shared" si="103"/>
        <v xml:space="preserve"> </v>
      </c>
      <c r="EP10" s="547">
        <v>75</v>
      </c>
      <c r="EQ10" s="547">
        <v>92</v>
      </c>
      <c r="ER10" s="547"/>
      <c r="ES10" s="547"/>
      <c r="ET10" s="547"/>
      <c r="EU10" s="547"/>
      <c r="EV10" s="547"/>
      <c r="EW10" s="547"/>
      <c r="EX10" s="547"/>
      <c r="EY10" s="547"/>
      <c r="EZ10" s="547"/>
      <c r="FA10" s="547"/>
      <c r="FB10" s="547"/>
      <c r="FC10" s="560">
        <v>75</v>
      </c>
      <c r="FD10" s="560">
        <v>75</v>
      </c>
      <c r="FE10" s="560">
        <v>75</v>
      </c>
      <c r="FF10" s="560">
        <v>77</v>
      </c>
      <c r="FG10" s="560"/>
      <c r="FH10" s="560"/>
      <c r="FI10" s="560"/>
      <c r="FJ10" s="560"/>
      <c r="FK10" s="560"/>
      <c r="FL10" s="560"/>
      <c r="FM10" s="560"/>
      <c r="FN10" s="560"/>
      <c r="FO10" s="560"/>
      <c r="FP10" s="549">
        <f t="shared" si="104"/>
        <v>80</v>
      </c>
      <c r="FQ10" s="291" t="str">
        <f t="shared" si="105"/>
        <v>C</v>
      </c>
      <c r="FR10" s="50" t="str">
        <f t="shared" si="106"/>
        <v>Ananda Amira cukup dalam menjelaskan dan melakukan perkalian dan pembagian pecahan dan desimal, cukup dalam menjelaskan skala melalui denah.</v>
      </c>
      <c r="FS10" s="282"/>
      <c r="FT10" s="51"/>
      <c r="FU10" s="46">
        <f t="shared" si="107"/>
        <v>87.5</v>
      </c>
      <c r="FV10" s="46">
        <f t="shared" si="108"/>
        <v>81</v>
      </c>
      <c r="FW10" s="46">
        <f t="shared" si="109"/>
        <v>83.5</v>
      </c>
      <c r="FX10" s="46">
        <f t="shared" si="110"/>
        <v>77.5</v>
      </c>
      <c r="FY10" s="46" t="str">
        <f t="shared" si="111"/>
        <v xml:space="preserve"> </v>
      </c>
      <c r="FZ10" s="46" t="str">
        <f t="shared" si="112"/>
        <v xml:space="preserve"> </v>
      </c>
      <c r="GA10" s="46" t="str">
        <f t="shared" si="113"/>
        <v xml:space="preserve"> </v>
      </c>
      <c r="GB10" s="46" t="str">
        <f t="shared" si="114"/>
        <v xml:space="preserve"> </v>
      </c>
      <c r="GC10" s="46" t="str">
        <f t="shared" si="115"/>
        <v xml:space="preserve"> </v>
      </c>
      <c r="GD10" s="46" t="str">
        <f t="shared" si="116"/>
        <v xml:space="preserve"> </v>
      </c>
      <c r="GE10" s="46" t="str">
        <f t="shared" si="117"/>
        <v xml:space="preserve"> </v>
      </c>
      <c r="GF10" s="46" t="str">
        <f t="shared" si="118"/>
        <v xml:space="preserve"> </v>
      </c>
      <c r="GG10" s="46" t="str">
        <f t="shared" si="119"/>
        <v xml:space="preserve"> </v>
      </c>
      <c r="GH10" s="46"/>
      <c r="GI10" s="53">
        <f t="shared" si="120"/>
        <v>81.25</v>
      </c>
      <c r="GJ10" s="53">
        <f t="shared" si="121"/>
        <v>82.25</v>
      </c>
      <c r="GK10" s="53">
        <f t="shared" si="122"/>
        <v>80.666666666666671</v>
      </c>
      <c r="GL10" s="53">
        <f t="shared" si="123"/>
        <v>77.333333333333329</v>
      </c>
      <c r="GM10" s="53" t="str">
        <f t="shared" si="124"/>
        <v xml:space="preserve">  </v>
      </c>
      <c r="GN10" s="53" t="str">
        <f t="shared" si="125"/>
        <v xml:space="preserve">  </v>
      </c>
      <c r="GO10" s="53" t="str">
        <f t="shared" si="126"/>
        <v xml:space="preserve">  </v>
      </c>
      <c r="GP10" s="53" t="str">
        <f t="shared" si="127"/>
        <v xml:space="preserve">  </v>
      </c>
      <c r="GQ10" s="53" t="str">
        <f t="shared" si="128"/>
        <v xml:space="preserve">  </v>
      </c>
      <c r="GR10" s="53" t="str">
        <f t="shared" si="129"/>
        <v xml:space="preserve">  </v>
      </c>
      <c r="GS10" s="53" t="str">
        <f t="shared" si="130"/>
        <v xml:space="preserve">  </v>
      </c>
      <c r="GT10" s="53" t="str">
        <f t="shared" si="131"/>
        <v xml:space="preserve">  </v>
      </c>
      <c r="GU10" s="53" t="str">
        <f t="shared" si="132"/>
        <v xml:space="preserve">  </v>
      </c>
      <c r="GV10" s="54">
        <f t="shared" si="133"/>
        <v>80</v>
      </c>
      <c r="GW10" s="51"/>
      <c r="GX10" s="351">
        <f t="shared" si="134"/>
        <v>82.25</v>
      </c>
      <c r="GY10" s="351">
        <f t="shared" si="135"/>
        <v>77.333333333333329</v>
      </c>
      <c r="GZ10" s="51" t="str">
        <f>SISWA!E8</f>
        <v>Amira</v>
      </c>
      <c r="HA10" s="51" t="str">
        <f t="shared" si="136"/>
        <v xml:space="preserve">Ananda Amira </v>
      </c>
      <c r="HB10" s="56" t="str">
        <f t="shared" si="137"/>
        <v/>
      </c>
      <c r="HC10" s="56">
        <f t="shared" si="138"/>
        <v>82.25</v>
      </c>
      <c r="HD10" s="56" t="str">
        <f t="shared" si="139"/>
        <v/>
      </c>
      <c r="HE10" s="56" t="str">
        <f t="shared" si="140"/>
        <v/>
      </c>
      <c r="HF10" s="56" t="str">
        <f t="shared" si="141"/>
        <v/>
      </c>
      <c r="HG10" s="56" t="str">
        <f t="shared" si="142"/>
        <v/>
      </c>
      <c r="HH10" s="56" t="str">
        <f t="shared" si="143"/>
        <v/>
      </c>
      <c r="HI10" s="56" t="str">
        <f t="shared" si="144"/>
        <v/>
      </c>
      <c r="HJ10" s="56" t="str">
        <f t="shared" si="145"/>
        <v/>
      </c>
      <c r="HK10" s="56" t="str">
        <f t="shared" si="146"/>
        <v/>
      </c>
      <c r="HL10" s="56" t="str">
        <f t="shared" si="147"/>
        <v/>
      </c>
      <c r="HM10" s="56" t="str">
        <f t="shared" si="148"/>
        <v/>
      </c>
      <c r="HN10" s="56" t="str">
        <f t="shared" si="149"/>
        <v/>
      </c>
      <c r="HO10" s="58">
        <f t="shared" si="150"/>
        <v>82.25</v>
      </c>
      <c r="HP10" s="55" t="str">
        <f t="shared" si="151"/>
        <v>menjelaskan dan melakukan perkalian dan pembagian pecahan dan desimal</v>
      </c>
      <c r="HQ10" s="58"/>
      <c r="HR10" s="59" t="str">
        <f>IF(GX10&gt;100,"",IF(GX10&gt;FQ$1,"sangat baik dalam "&amp;HP10,IF(GX10&gt;=FQ$2," baik dalam "&amp;HP10,IF(GX10&gt;=FQ$3,"cukup dalam "&amp;HP10,IF(GX10&lt;FQ$3,"dengan bimbingan dapat meningkatkan dalam "&amp;HP10,IF(GX10&lt;1," ",””))))))</f>
        <v>cukup dalam menjelaskan dan melakukan perkalian dan pembagian pecahan dan desimal</v>
      </c>
      <c r="HS10" s="58"/>
      <c r="HT10" s="57" t="str">
        <f t="shared" si="152"/>
        <v/>
      </c>
      <c r="HU10" s="57" t="str">
        <f t="shared" si="153"/>
        <v/>
      </c>
      <c r="HV10" s="57" t="str">
        <f t="shared" si="154"/>
        <v/>
      </c>
      <c r="HW10" s="57">
        <f t="shared" si="155"/>
        <v>77.333333333333329</v>
      </c>
      <c r="HX10" s="57" t="str">
        <f t="shared" si="156"/>
        <v/>
      </c>
      <c r="HY10" s="57" t="str">
        <f t="shared" si="157"/>
        <v/>
      </c>
      <c r="HZ10" s="57" t="str">
        <f t="shared" si="158"/>
        <v/>
      </c>
      <c r="IA10" s="57" t="str">
        <f t="shared" si="159"/>
        <v/>
      </c>
      <c r="IB10" s="57" t="str">
        <f t="shared" si="160"/>
        <v/>
      </c>
      <c r="IC10" s="57" t="str">
        <f t="shared" si="161"/>
        <v/>
      </c>
      <c r="ID10" s="57" t="str">
        <f t="shared" si="162"/>
        <v/>
      </c>
      <c r="IE10" s="57" t="str">
        <f t="shared" si="163"/>
        <v/>
      </c>
      <c r="IF10" s="57" t="str">
        <f t="shared" si="164"/>
        <v/>
      </c>
      <c r="IG10" s="57"/>
      <c r="IH10" s="55" t="str">
        <f t="shared" si="165"/>
        <v>menjelaskan skala melalui denah</v>
      </c>
      <c r="II10" s="59" t="str">
        <f>IF(GY10&gt;100,"",IF(GY10&gt;FQ$1,"sangat baik dalam "&amp;IH10,IF(GY10&gt;=FQ$2," baik dalam "&amp;IH10,IF(GY10&gt;=FQ$3,"cukup dalam "&amp;IH10,IF(GY10&lt;FQ$3,"dengan bimbingan dapat meningkatkan dalam "&amp;IH10,IF(GY10&lt;1," ",””))))))</f>
        <v>cukup dalam menjelaskan skala melalui denah</v>
      </c>
      <c r="IJ10" s="60"/>
      <c r="IK10" s="61" t="s">
        <v>201</v>
      </c>
      <c r="IL10" s="62" t="str">
        <f t="shared" si="166"/>
        <v>Ananda Amira cukup dalam menjelaskan dan melakukan perkalian dan pembagian pecahan dan desimal, cukup dalam menjelaskan skala melalui denah.</v>
      </c>
      <c r="IM10" s="4"/>
    </row>
    <row r="11" spans="1:247" ht="45">
      <c r="A11" s="39">
        <v>4</v>
      </c>
      <c r="B11" s="283" t="str">
        <f>SISWA!B9</f>
        <v>Andrian Putra Pangestu</v>
      </c>
      <c r="C11" s="123">
        <v>75</v>
      </c>
      <c r="D11" s="123">
        <v>75</v>
      </c>
      <c r="E11" s="123">
        <v>80</v>
      </c>
      <c r="F11" s="123">
        <v>87</v>
      </c>
      <c r="G11" s="123"/>
      <c r="H11" s="123"/>
      <c r="I11" s="123"/>
      <c r="J11" s="123"/>
      <c r="K11" s="123"/>
      <c r="L11" s="123"/>
      <c r="M11" s="123"/>
      <c r="N11" s="123"/>
      <c r="O11" s="123"/>
      <c r="P11" s="256">
        <v>80</v>
      </c>
      <c r="Q11" s="256">
        <v>75</v>
      </c>
      <c r="R11" s="256">
        <v>87</v>
      </c>
      <c r="S11" s="256">
        <v>75</v>
      </c>
      <c r="T11" s="256"/>
      <c r="U11" s="256"/>
      <c r="V11" s="256"/>
      <c r="W11" s="256"/>
      <c r="X11" s="256"/>
      <c r="Y11" s="256"/>
      <c r="Z11" s="256"/>
      <c r="AA11" s="256"/>
      <c r="AB11" s="256"/>
      <c r="AC11" s="683"/>
      <c r="AD11" s="683"/>
      <c r="AE11" s="683"/>
      <c r="AF11" s="683"/>
      <c r="AG11" s="683"/>
      <c r="AH11" s="683"/>
      <c r="AI11" s="683"/>
      <c r="AJ11" s="683"/>
      <c r="AK11" s="683"/>
      <c r="AL11" s="683"/>
      <c r="AM11" s="683"/>
      <c r="AN11" s="683"/>
      <c r="AO11" s="683"/>
      <c r="AP11" s="680"/>
      <c r="AQ11" s="680"/>
      <c r="AR11" s="680"/>
      <c r="AS11" s="680"/>
      <c r="AT11" s="680"/>
      <c r="AU11" s="680"/>
      <c r="AV11" s="680"/>
      <c r="AW11" s="680"/>
      <c r="AX11" s="680"/>
      <c r="AY11" s="680"/>
      <c r="AZ11" s="680"/>
      <c r="BA11" s="680"/>
      <c r="BB11" s="680"/>
      <c r="BC11" s="683"/>
      <c r="BD11" s="683"/>
      <c r="BE11" s="683"/>
      <c r="BF11" s="683"/>
      <c r="BG11" s="683"/>
      <c r="BH11" s="683"/>
      <c r="BI11" s="683"/>
      <c r="BJ11" s="683"/>
      <c r="BK11" s="683"/>
      <c r="BL11" s="683"/>
      <c r="BM11" s="683"/>
      <c r="BN11" s="683"/>
      <c r="BO11" s="683"/>
      <c r="BP11" s="680"/>
      <c r="BQ11" s="680"/>
      <c r="BR11" s="680"/>
      <c r="BS11" s="680"/>
      <c r="BT11" s="680"/>
      <c r="BU11" s="680"/>
      <c r="BV11" s="680"/>
      <c r="BW11" s="680"/>
      <c r="BX11" s="680"/>
      <c r="BY11" s="680"/>
      <c r="BZ11" s="680"/>
      <c r="CA11" s="680"/>
      <c r="CB11" s="680"/>
      <c r="CC11" s="683"/>
      <c r="CD11" s="683"/>
      <c r="CE11" s="683"/>
      <c r="CF11" s="683"/>
      <c r="CG11" s="683"/>
      <c r="CH11" s="683"/>
      <c r="CI11" s="683"/>
      <c r="CJ11" s="683"/>
      <c r="CK11" s="683"/>
      <c r="CL11" s="683"/>
      <c r="CM11" s="683"/>
      <c r="CN11" s="683"/>
      <c r="CO11" s="683"/>
      <c r="CP11" s="680"/>
      <c r="CQ11" s="680"/>
      <c r="CR11" s="680"/>
      <c r="CS11" s="680"/>
      <c r="CT11" s="680"/>
      <c r="CU11" s="680"/>
      <c r="CV11" s="680"/>
      <c r="CW11" s="680"/>
      <c r="CX11" s="680"/>
      <c r="CY11" s="681"/>
      <c r="CZ11" s="681"/>
      <c r="DA11" s="681"/>
      <c r="DB11" s="681"/>
      <c r="DC11" s="682"/>
      <c r="DD11" s="682"/>
      <c r="DE11" s="682"/>
      <c r="DF11" s="682"/>
      <c r="DG11" s="682"/>
      <c r="DH11" s="682"/>
      <c r="DI11" s="682"/>
      <c r="DJ11" s="682"/>
      <c r="DK11" s="682"/>
      <c r="DL11" s="682"/>
      <c r="DM11" s="682"/>
      <c r="DN11" s="682"/>
      <c r="DO11" s="682"/>
      <c r="DP11" s="681"/>
      <c r="DQ11" s="681"/>
      <c r="DR11" s="681"/>
      <c r="DS11" s="681"/>
      <c r="DT11" s="681"/>
      <c r="DU11" s="681"/>
      <c r="DV11" s="681"/>
      <c r="DW11" s="681"/>
      <c r="DX11" s="681"/>
      <c r="DY11" s="681"/>
      <c r="DZ11" s="681"/>
      <c r="EA11" s="681"/>
      <c r="EB11" s="681"/>
      <c r="EC11" s="260">
        <f t="shared" si="91"/>
        <v>77.5</v>
      </c>
      <c r="ED11" s="260">
        <f t="shared" si="92"/>
        <v>75</v>
      </c>
      <c r="EE11" s="260">
        <f t="shared" si="93"/>
        <v>83.5</v>
      </c>
      <c r="EF11" s="260">
        <f t="shared" si="94"/>
        <v>81</v>
      </c>
      <c r="EG11" s="260" t="str">
        <f t="shared" si="95"/>
        <v xml:space="preserve"> </v>
      </c>
      <c r="EH11" s="260" t="str">
        <f t="shared" si="96"/>
        <v xml:space="preserve"> </v>
      </c>
      <c r="EI11" s="260" t="str">
        <f t="shared" si="97"/>
        <v xml:space="preserve"> </v>
      </c>
      <c r="EJ11" s="260" t="str">
        <f t="shared" si="98"/>
        <v xml:space="preserve"> </v>
      </c>
      <c r="EK11" s="260" t="str">
        <f t="shared" si="99"/>
        <v xml:space="preserve"> </v>
      </c>
      <c r="EL11" s="260" t="str">
        <f t="shared" si="100"/>
        <v xml:space="preserve"> </v>
      </c>
      <c r="EM11" s="260" t="str">
        <f t="shared" si="101"/>
        <v xml:space="preserve"> </v>
      </c>
      <c r="EN11" s="260" t="str">
        <f t="shared" si="102"/>
        <v xml:space="preserve"> </v>
      </c>
      <c r="EO11" s="260" t="str">
        <f t="shared" si="103"/>
        <v xml:space="preserve"> </v>
      </c>
      <c r="EP11" s="547">
        <v>75</v>
      </c>
      <c r="EQ11" s="547">
        <v>75</v>
      </c>
      <c r="ER11" s="547"/>
      <c r="ES11" s="547"/>
      <c r="ET11" s="547"/>
      <c r="EU11" s="547"/>
      <c r="EV11" s="547"/>
      <c r="EW11" s="547"/>
      <c r="EX11" s="547"/>
      <c r="EY11" s="547"/>
      <c r="EZ11" s="547"/>
      <c r="FA11" s="547"/>
      <c r="FB11" s="547"/>
      <c r="FC11" s="560">
        <v>75</v>
      </c>
      <c r="FD11" s="560">
        <v>75</v>
      </c>
      <c r="FE11" s="560">
        <v>75</v>
      </c>
      <c r="FF11" s="560">
        <v>75</v>
      </c>
      <c r="FG11" s="560"/>
      <c r="FH11" s="560"/>
      <c r="FI11" s="560"/>
      <c r="FJ11" s="560"/>
      <c r="FK11" s="560"/>
      <c r="FL11" s="560"/>
      <c r="FM11" s="560"/>
      <c r="FN11" s="560"/>
      <c r="FO11" s="560"/>
      <c r="FP11" s="549">
        <f t="shared" si="104"/>
        <v>78</v>
      </c>
      <c r="FQ11" s="291" t="str">
        <f t="shared" si="105"/>
        <v>C</v>
      </c>
      <c r="FR11" s="50" t="str">
        <f t="shared" si="106"/>
        <v>Ananda Andri cukup dalam menjelaskan perbandingan dua besaran yang berbeda (kecepatan sebagai perbandingan jarak dengan waktu, debit sebagai perbandingan volume dan waktu), cukup dalam menjelaskan dan melakukan perkalian dan pembagian pecahan dan desimal.</v>
      </c>
      <c r="FS11" s="282"/>
      <c r="FT11" s="51"/>
      <c r="FU11" s="46">
        <f t="shared" si="107"/>
        <v>77.5</v>
      </c>
      <c r="FV11" s="46">
        <f t="shared" si="108"/>
        <v>75</v>
      </c>
      <c r="FW11" s="46">
        <f t="shared" si="109"/>
        <v>83.5</v>
      </c>
      <c r="FX11" s="46">
        <f t="shared" si="110"/>
        <v>81</v>
      </c>
      <c r="FY11" s="46" t="str">
        <f t="shared" si="111"/>
        <v xml:space="preserve"> </v>
      </c>
      <c r="FZ11" s="46" t="str">
        <f t="shared" si="112"/>
        <v xml:space="preserve"> </v>
      </c>
      <c r="GA11" s="46" t="str">
        <f t="shared" si="113"/>
        <v xml:space="preserve"> </v>
      </c>
      <c r="GB11" s="46" t="str">
        <f t="shared" si="114"/>
        <v xml:space="preserve"> </v>
      </c>
      <c r="GC11" s="46" t="str">
        <f t="shared" si="115"/>
        <v xml:space="preserve"> </v>
      </c>
      <c r="GD11" s="46" t="str">
        <f t="shared" si="116"/>
        <v xml:space="preserve"> </v>
      </c>
      <c r="GE11" s="46" t="str">
        <f t="shared" si="117"/>
        <v xml:space="preserve"> </v>
      </c>
      <c r="GF11" s="46" t="str">
        <f t="shared" si="118"/>
        <v xml:space="preserve"> </v>
      </c>
      <c r="GG11" s="46" t="str">
        <f t="shared" si="119"/>
        <v xml:space="preserve"> </v>
      </c>
      <c r="GH11" s="46"/>
      <c r="GI11" s="53">
        <f t="shared" si="120"/>
        <v>76.25</v>
      </c>
      <c r="GJ11" s="53">
        <f t="shared" si="121"/>
        <v>75</v>
      </c>
      <c r="GK11" s="53">
        <f t="shared" si="122"/>
        <v>80.666666666666671</v>
      </c>
      <c r="GL11" s="53">
        <f t="shared" si="123"/>
        <v>79</v>
      </c>
      <c r="GM11" s="53" t="str">
        <f t="shared" si="124"/>
        <v xml:space="preserve">  </v>
      </c>
      <c r="GN11" s="53" t="str">
        <f t="shared" si="125"/>
        <v xml:space="preserve">  </v>
      </c>
      <c r="GO11" s="53" t="str">
        <f t="shared" si="126"/>
        <v xml:space="preserve">  </v>
      </c>
      <c r="GP11" s="53" t="str">
        <f t="shared" si="127"/>
        <v xml:space="preserve">  </v>
      </c>
      <c r="GQ11" s="53" t="str">
        <f t="shared" si="128"/>
        <v xml:space="preserve">  </v>
      </c>
      <c r="GR11" s="53" t="str">
        <f t="shared" si="129"/>
        <v xml:space="preserve">  </v>
      </c>
      <c r="GS11" s="53" t="str">
        <f t="shared" si="130"/>
        <v xml:space="preserve">  </v>
      </c>
      <c r="GT11" s="53" t="str">
        <f t="shared" si="131"/>
        <v xml:space="preserve">  </v>
      </c>
      <c r="GU11" s="53" t="str">
        <f t="shared" si="132"/>
        <v xml:space="preserve">  </v>
      </c>
      <c r="GV11" s="54">
        <f t="shared" si="133"/>
        <v>78</v>
      </c>
      <c r="GW11" s="51"/>
      <c r="GX11" s="351">
        <f t="shared" si="134"/>
        <v>80.666666666666671</v>
      </c>
      <c r="GY11" s="351">
        <f t="shared" si="135"/>
        <v>75</v>
      </c>
      <c r="GZ11" s="51" t="str">
        <f>SISWA!E9</f>
        <v>Andri</v>
      </c>
      <c r="HA11" s="51" t="str">
        <f t="shared" si="136"/>
        <v xml:space="preserve">Ananda Andri </v>
      </c>
      <c r="HB11" s="56" t="str">
        <f t="shared" si="137"/>
        <v/>
      </c>
      <c r="HC11" s="56" t="str">
        <f t="shared" si="138"/>
        <v/>
      </c>
      <c r="HD11" s="56">
        <f t="shared" si="139"/>
        <v>80.666666666666671</v>
      </c>
      <c r="HE11" s="56" t="str">
        <f t="shared" si="140"/>
        <v/>
      </c>
      <c r="HF11" s="56" t="str">
        <f t="shared" si="141"/>
        <v/>
      </c>
      <c r="HG11" s="56" t="str">
        <f t="shared" si="142"/>
        <v/>
      </c>
      <c r="HH11" s="56" t="str">
        <f t="shared" si="143"/>
        <v/>
      </c>
      <c r="HI11" s="56" t="str">
        <f t="shared" si="144"/>
        <v/>
      </c>
      <c r="HJ11" s="56" t="str">
        <f t="shared" si="145"/>
        <v/>
      </c>
      <c r="HK11" s="56" t="str">
        <f t="shared" si="146"/>
        <v/>
      </c>
      <c r="HL11" s="56" t="str">
        <f t="shared" si="147"/>
        <v/>
      </c>
      <c r="HM11" s="56" t="str">
        <f t="shared" si="148"/>
        <v/>
      </c>
      <c r="HN11" s="56" t="str">
        <f t="shared" si="149"/>
        <v/>
      </c>
      <c r="HO11" s="58">
        <f t="shared" si="150"/>
        <v>80.666666666666671</v>
      </c>
      <c r="HP11" s="55" t="str">
        <f t="shared" si="151"/>
        <v>menjelaskan perbandingan dua besaran yang berbeda (kecepatan sebagai perbandingan jarak dengan waktu, debit sebagai perbandingan volume dan waktu)</v>
      </c>
      <c r="HQ11" s="58"/>
      <c r="HR11" s="59" t="str">
        <f>IF(GX11&gt;100,"",IF(GX11&gt;FQ$1,"sangat baik dalam "&amp;HP11,IF(GX11&gt;=FQ$2," baik dalam "&amp;HP11,IF(GX11&gt;=FQ$3,"cukup dalam "&amp;HP11,IF(GX11&lt;FQ$3,"dengan bimbingan dapat meningkatkan dalam "&amp;HP11,IF(GX11&lt;1," ",””))))))</f>
        <v>cukup dalam menjelaskan perbandingan dua besaran yang berbeda (kecepatan sebagai perbandingan jarak dengan waktu, debit sebagai perbandingan volume dan waktu)</v>
      </c>
      <c r="HS11" s="58"/>
      <c r="HT11" s="57" t="str">
        <f t="shared" si="152"/>
        <v/>
      </c>
      <c r="HU11" s="57">
        <f t="shared" si="153"/>
        <v>75</v>
      </c>
      <c r="HV11" s="57" t="str">
        <f t="shared" si="154"/>
        <v/>
      </c>
      <c r="HW11" s="57" t="str">
        <f t="shared" si="155"/>
        <v/>
      </c>
      <c r="HX11" s="57" t="str">
        <f t="shared" si="156"/>
        <v/>
      </c>
      <c r="HY11" s="57" t="str">
        <f t="shared" si="157"/>
        <v/>
      </c>
      <c r="HZ11" s="57" t="str">
        <f t="shared" si="158"/>
        <v/>
      </c>
      <c r="IA11" s="57" t="str">
        <f t="shared" si="159"/>
        <v/>
      </c>
      <c r="IB11" s="57" t="str">
        <f t="shared" si="160"/>
        <v/>
      </c>
      <c r="IC11" s="57" t="str">
        <f t="shared" si="161"/>
        <v/>
      </c>
      <c r="ID11" s="57" t="str">
        <f t="shared" si="162"/>
        <v/>
      </c>
      <c r="IE11" s="57" t="str">
        <f t="shared" si="163"/>
        <v/>
      </c>
      <c r="IF11" s="57" t="str">
        <f t="shared" si="164"/>
        <v/>
      </c>
      <c r="IG11" s="57"/>
      <c r="IH11" s="55" t="str">
        <f t="shared" si="165"/>
        <v>menjelaskan dan melakukan perkalian dan pembagian pecahan dan desimal</v>
      </c>
      <c r="II11" s="59" t="str">
        <f>IF(GY11&gt;100,"",IF(GY11&gt;FQ$1,"sangat baik dalam "&amp;IH11,IF(GY11&gt;=FQ$2," baik dalam "&amp;IH11,IF(GY11&gt;=FQ$3,"cukup dalam "&amp;IH11,IF(GY11&lt;FQ$3,"dengan bimbingan dapat meningkatkan dalam "&amp;IH11,IF(GY11&lt;1," ",””))))))</f>
        <v>cukup dalam menjelaskan dan melakukan perkalian dan pembagian pecahan dan desimal</v>
      </c>
      <c r="IJ11" s="60"/>
      <c r="IK11" s="61" t="s">
        <v>201</v>
      </c>
      <c r="IL11" s="62" t="str">
        <f t="shared" si="166"/>
        <v>Ananda Andri cukup dalam menjelaskan perbandingan dua besaran yang berbeda (kecepatan sebagai perbandingan jarak dengan waktu, debit sebagai perbandingan volume dan waktu), cukup dalam menjelaskan dan melakukan perkalian dan pembagian pecahan dan desimal.</v>
      </c>
      <c r="IM11" s="4"/>
    </row>
    <row r="12" spans="1:247" ht="45">
      <c r="A12" s="39">
        <v>5</v>
      </c>
      <c r="B12" s="283" t="str">
        <f>SISWA!B10</f>
        <v>Gresiya Suma Safitri</v>
      </c>
      <c r="C12" s="123">
        <v>75</v>
      </c>
      <c r="D12" s="123">
        <v>80</v>
      </c>
      <c r="E12" s="123">
        <v>75</v>
      </c>
      <c r="F12" s="123">
        <v>87</v>
      </c>
      <c r="G12" s="123"/>
      <c r="H12" s="123"/>
      <c r="I12" s="123"/>
      <c r="J12" s="123"/>
      <c r="K12" s="123"/>
      <c r="L12" s="123"/>
      <c r="M12" s="123"/>
      <c r="N12" s="123"/>
      <c r="O12" s="123"/>
      <c r="P12" s="256">
        <v>80</v>
      </c>
      <c r="Q12" s="256">
        <v>93</v>
      </c>
      <c r="R12" s="256">
        <v>80</v>
      </c>
      <c r="S12" s="256">
        <v>75</v>
      </c>
      <c r="T12" s="256"/>
      <c r="U12" s="256"/>
      <c r="V12" s="256"/>
      <c r="W12" s="256"/>
      <c r="X12" s="256"/>
      <c r="Y12" s="256"/>
      <c r="Z12" s="256"/>
      <c r="AA12" s="256"/>
      <c r="AB12" s="256"/>
      <c r="AC12" s="683"/>
      <c r="AD12" s="683"/>
      <c r="AE12" s="683"/>
      <c r="AF12" s="683"/>
      <c r="AG12" s="683"/>
      <c r="AH12" s="683"/>
      <c r="AI12" s="683"/>
      <c r="AJ12" s="683"/>
      <c r="AK12" s="683"/>
      <c r="AL12" s="683"/>
      <c r="AM12" s="683"/>
      <c r="AN12" s="683"/>
      <c r="AO12" s="683"/>
      <c r="AP12" s="680"/>
      <c r="AQ12" s="680"/>
      <c r="AR12" s="680"/>
      <c r="AS12" s="680"/>
      <c r="AT12" s="680"/>
      <c r="AU12" s="680"/>
      <c r="AV12" s="680"/>
      <c r="AW12" s="680"/>
      <c r="AX12" s="680"/>
      <c r="AY12" s="680"/>
      <c r="AZ12" s="680"/>
      <c r="BA12" s="680"/>
      <c r="BB12" s="680"/>
      <c r="BC12" s="683"/>
      <c r="BD12" s="683"/>
      <c r="BE12" s="683"/>
      <c r="BF12" s="683"/>
      <c r="BG12" s="683"/>
      <c r="BH12" s="683"/>
      <c r="BI12" s="683"/>
      <c r="BJ12" s="683"/>
      <c r="BK12" s="683"/>
      <c r="BL12" s="683"/>
      <c r="BM12" s="683"/>
      <c r="BN12" s="683"/>
      <c r="BO12" s="683"/>
      <c r="BP12" s="680"/>
      <c r="BQ12" s="680"/>
      <c r="BR12" s="680"/>
      <c r="BS12" s="680"/>
      <c r="BT12" s="680"/>
      <c r="BU12" s="680"/>
      <c r="BV12" s="680"/>
      <c r="BW12" s="680"/>
      <c r="BX12" s="680"/>
      <c r="BY12" s="680"/>
      <c r="BZ12" s="680"/>
      <c r="CA12" s="680"/>
      <c r="CB12" s="680"/>
      <c r="CC12" s="683"/>
      <c r="CD12" s="683"/>
      <c r="CE12" s="683"/>
      <c r="CF12" s="683"/>
      <c r="CG12" s="683"/>
      <c r="CH12" s="683"/>
      <c r="CI12" s="683"/>
      <c r="CJ12" s="683"/>
      <c r="CK12" s="683"/>
      <c r="CL12" s="683"/>
      <c r="CM12" s="683"/>
      <c r="CN12" s="683"/>
      <c r="CO12" s="683"/>
      <c r="CP12" s="680"/>
      <c r="CQ12" s="680"/>
      <c r="CR12" s="680"/>
      <c r="CS12" s="680"/>
      <c r="CT12" s="680"/>
      <c r="CU12" s="680"/>
      <c r="CV12" s="680"/>
      <c r="CW12" s="680"/>
      <c r="CX12" s="680"/>
      <c r="CY12" s="681"/>
      <c r="CZ12" s="681"/>
      <c r="DA12" s="681"/>
      <c r="DB12" s="681"/>
      <c r="DC12" s="682"/>
      <c r="DD12" s="682"/>
      <c r="DE12" s="682"/>
      <c r="DF12" s="682"/>
      <c r="DG12" s="682"/>
      <c r="DH12" s="682"/>
      <c r="DI12" s="682"/>
      <c r="DJ12" s="682"/>
      <c r="DK12" s="682"/>
      <c r="DL12" s="682"/>
      <c r="DM12" s="682"/>
      <c r="DN12" s="682"/>
      <c r="DO12" s="682"/>
      <c r="DP12" s="681"/>
      <c r="DQ12" s="681"/>
      <c r="DR12" s="681"/>
      <c r="DS12" s="681"/>
      <c r="DT12" s="681"/>
      <c r="DU12" s="681"/>
      <c r="DV12" s="681"/>
      <c r="DW12" s="681"/>
      <c r="DX12" s="681"/>
      <c r="DY12" s="681"/>
      <c r="DZ12" s="681"/>
      <c r="EA12" s="681"/>
      <c r="EB12" s="681"/>
      <c r="EC12" s="260">
        <f t="shared" si="91"/>
        <v>77.5</v>
      </c>
      <c r="ED12" s="260">
        <f t="shared" si="92"/>
        <v>86.5</v>
      </c>
      <c r="EE12" s="260">
        <f t="shared" si="93"/>
        <v>77.5</v>
      </c>
      <c r="EF12" s="260">
        <f t="shared" si="94"/>
        <v>81</v>
      </c>
      <c r="EG12" s="260" t="str">
        <f t="shared" si="95"/>
        <v xml:space="preserve"> </v>
      </c>
      <c r="EH12" s="260" t="str">
        <f t="shared" si="96"/>
        <v xml:space="preserve"> </v>
      </c>
      <c r="EI12" s="260" t="str">
        <f t="shared" si="97"/>
        <v xml:space="preserve"> </v>
      </c>
      <c r="EJ12" s="260" t="str">
        <f t="shared" si="98"/>
        <v xml:space="preserve"> </v>
      </c>
      <c r="EK12" s="260" t="str">
        <f t="shared" si="99"/>
        <v xml:space="preserve"> </v>
      </c>
      <c r="EL12" s="260" t="str">
        <f t="shared" si="100"/>
        <v xml:space="preserve"> </v>
      </c>
      <c r="EM12" s="260" t="str">
        <f t="shared" si="101"/>
        <v xml:space="preserve"> </v>
      </c>
      <c r="EN12" s="260" t="str">
        <f t="shared" si="102"/>
        <v xml:space="preserve"> </v>
      </c>
      <c r="EO12" s="260" t="str">
        <f t="shared" si="103"/>
        <v xml:space="preserve"> </v>
      </c>
      <c r="EP12" s="547">
        <v>75</v>
      </c>
      <c r="EQ12" s="547">
        <v>78</v>
      </c>
      <c r="ER12" s="547"/>
      <c r="ES12" s="547"/>
      <c r="ET12" s="547"/>
      <c r="EU12" s="547"/>
      <c r="EV12" s="547"/>
      <c r="EW12" s="547"/>
      <c r="EX12" s="547"/>
      <c r="EY12" s="547"/>
      <c r="EZ12" s="547"/>
      <c r="FA12" s="547"/>
      <c r="FB12" s="547"/>
      <c r="FC12" s="560">
        <v>75</v>
      </c>
      <c r="FD12" s="560">
        <v>75</v>
      </c>
      <c r="FE12" s="560">
        <v>75</v>
      </c>
      <c r="FF12" s="560">
        <v>77</v>
      </c>
      <c r="FG12" s="560"/>
      <c r="FH12" s="560"/>
      <c r="FI12" s="560"/>
      <c r="FJ12" s="560"/>
      <c r="FK12" s="560"/>
      <c r="FL12" s="560"/>
      <c r="FM12" s="560"/>
      <c r="FN12" s="560"/>
      <c r="FO12" s="560"/>
      <c r="FP12" s="549">
        <f t="shared" si="104"/>
        <v>79</v>
      </c>
      <c r="FQ12" s="291" t="str">
        <f t="shared" si="105"/>
        <v>C</v>
      </c>
      <c r="FR12" s="50" t="str">
        <f t="shared" si="106"/>
        <v>Ananda Gresia cukup dalam menjelaskan dan melakukan perkalian dan pembagian pecahan dan desimal, cukup dalam menjelaskan dan melakukan penjumlahan dan pengurangan dua pecahan dengan penyebut berbeda.</v>
      </c>
      <c r="FS12" s="282"/>
      <c r="FT12" s="51"/>
      <c r="FU12" s="46">
        <f t="shared" si="107"/>
        <v>77.5</v>
      </c>
      <c r="FV12" s="46">
        <f t="shared" si="108"/>
        <v>86.5</v>
      </c>
      <c r="FW12" s="46">
        <f t="shared" si="109"/>
        <v>77.5</v>
      </c>
      <c r="FX12" s="46">
        <f t="shared" si="110"/>
        <v>81</v>
      </c>
      <c r="FY12" s="46" t="str">
        <f t="shared" si="111"/>
        <v xml:space="preserve"> </v>
      </c>
      <c r="FZ12" s="46" t="str">
        <f t="shared" si="112"/>
        <v xml:space="preserve"> </v>
      </c>
      <c r="GA12" s="46" t="str">
        <f t="shared" si="113"/>
        <v xml:space="preserve"> </v>
      </c>
      <c r="GB12" s="46" t="str">
        <f t="shared" si="114"/>
        <v xml:space="preserve"> </v>
      </c>
      <c r="GC12" s="46" t="str">
        <f t="shared" si="115"/>
        <v xml:space="preserve"> </v>
      </c>
      <c r="GD12" s="46" t="str">
        <f t="shared" si="116"/>
        <v xml:space="preserve"> </v>
      </c>
      <c r="GE12" s="46" t="str">
        <f t="shared" si="117"/>
        <v xml:space="preserve"> </v>
      </c>
      <c r="GF12" s="46" t="str">
        <f t="shared" si="118"/>
        <v xml:space="preserve"> </v>
      </c>
      <c r="GG12" s="46" t="str">
        <f t="shared" si="119"/>
        <v xml:space="preserve"> </v>
      </c>
      <c r="GH12" s="46"/>
      <c r="GI12" s="53">
        <f t="shared" si="120"/>
        <v>76.25</v>
      </c>
      <c r="GJ12" s="53">
        <f t="shared" si="121"/>
        <v>81.5</v>
      </c>
      <c r="GK12" s="53">
        <f t="shared" si="122"/>
        <v>76.666666666666671</v>
      </c>
      <c r="GL12" s="53">
        <f t="shared" si="123"/>
        <v>79.666666666666671</v>
      </c>
      <c r="GM12" s="53" t="str">
        <f t="shared" si="124"/>
        <v xml:space="preserve">  </v>
      </c>
      <c r="GN12" s="53" t="str">
        <f t="shared" si="125"/>
        <v xml:space="preserve">  </v>
      </c>
      <c r="GO12" s="53" t="str">
        <f t="shared" si="126"/>
        <v xml:space="preserve">  </v>
      </c>
      <c r="GP12" s="53" t="str">
        <f t="shared" si="127"/>
        <v xml:space="preserve">  </v>
      </c>
      <c r="GQ12" s="53" t="str">
        <f t="shared" si="128"/>
        <v xml:space="preserve">  </v>
      </c>
      <c r="GR12" s="53" t="str">
        <f t="shared" si="129"/>
        <v xml:space="preserve">  </v>
      </c>
      <c r="GS12" s="53" t="str">
        <f t="shared" si="130"/>
        <v xml:space="preserve">  </v>
      </c>
      <c r="GT12" s="53" t="str">
        <f t="shared" si="131"/>
        <v xml:space="preserve">  </v>
      </c>
      <c r="GU12" s="53" t="str">
        <f t="shared" si="132"/>
        <v xml:space="preserve">  </v>
      </c>
      <c r="GV12" s="54">
        <f t="shared" si="133"/>
        <v>79</v>
      </c>
      <c r="GW12" s="51"/>
      <c r="GX12" s="351">
        <f t="shared" si="134"/>
        <v>81.5</v>
      </c>
      <c r="GY12" s="351">
        <f t="shared" si="135"/>
        <v>76.25</v>
      </c>
      <c r="GZ12" s="51" t="str">
        <f>SISWA!E10</f>
        <v>Gresia</v>
      </c>
      <c r="HA12" s="51" t="str">
        <f t="shared" si="136"/>
        <v xml:space="preserve">Ananda Gresia </v>
      </c>
      <c r="HB12" s="56" t="str">
        <f t="shared" si="137"/>
        <v/>
      </c>
      <c r="HC12" s="56">
        <f t="shared" si="138"/>
        <v>81.5</v>
      </c>
      <c r="HD12" s="56" t="str">
        <f t="shared" si="139"/>
        <v/>
      </c>
      <c r="HE12" s="56" t="str">
        <f t="shared" si="140"/>
        <v/>
      </c>
      <c r="HF12" s="56" t="str">
        <f t="shared" si="141"/>
        <v/>
      </c>
      <c r="HG12" s="56" t="str">
        <f t="shared" si="142"/>
        <v/>
      </c>
      <c r="HH12" s="56" t="str">
        <f t="shared" si="143"/>
        <v/>
      </c>
      <c r="HI12" s="56" t="str">
        <f t="shared" si="144"/>
        <v/>
      </c>
      <c r="HJ12" s="56" t="str">
        <f t="shared" si="145"/>
        <v/>
      </c>
      <c r="HK12" s="56" t="str">
        <f t="shared" si="146"/>
        <v/>
      </c>
      <c r="HL12" s="56" t="str">
        <f t="shared" si="147"/>
        <v/>
      </c>
      <c r="HM12" s="56" t="str">
        <f t="shared" si="148"/>
        <v/>
      </c>
      <c r="HN12" s="56" t="str">
        <f t="shared" si="149"/>
        <v/>
      </c>
      <c r="HO12" s="58">
        <f t="shared" si="150"/>
        <v>81.5</v>
      </c>
      <c r="HP12" s="55" t="str">
        <f t="shared" si="151"/>
        <v>menjelaskan dan melakukan perkalian dan pembagian pecahan dan desimal</v>
      </c>
      <c r="HQ12" s="58"/>
      <c r="HR12" s="59" t="str">
        <f>IF(GX12&gt;100,"",IF(GX12&gt;FQ$1,"sangat baik dalam "&amp;HP12,IF(GX12&gt;=FQ$2," baik dalam "&amp;HP12,IF(GX12&gt;=FQ$3,"cukup dalam "&amp;HP12,IF(GX12&lt;FQ$3,"dengan bimbingan dapat meningkatkan dalam "&amp;HP12,IF(GX12&lt;1," ",””))))))</f>
        <v>cukup dalam menjelaskan dan melakukan perkalian dan pembagian pecahan dan desimal</v>
      </c>
      <c r="HS12" s="58"/>
      <c r="HT12" s="57">
        <f t="shared" si="152"/>
        <v>76.25</v>
      </c>
      <c r="HU12" s="57" t="str">
        <f t="shared" si="153"/>
        <v/>
      </c>
      <c r="HV12" s="57" t="str">
        <f t="shared" si="154"/>
        <v/>
      </c>
      <c r="HW12" s="57" t="str">
        <f t="shared" si="155"/>
        <v/>
      </c>
      <c r="HX12" s="57" t="str">
        <f t="shared" si="156"/>
        <v/>
      </c>
      <c r="HY12" s="57" t="str">
        <f t="shared" si="157"/>
        <v/>
      </c>
      <c r="HZ12" s="57" t="str">
        <f t="shared" si="158"/>
        <v/>
      </c>
      <c r="IA12" s="57" t="str">
        <f t="shared" si="159"/>
        <v/>
      </c>
      <c r="IB12" s="57" t="str">
        <f t="shared" si="160"/>
        <v/>
      </c>
      <c r="IC12" s="57" t="str">
        <f t="shared" si="161"/>
        <v/>
      </c>
      <c r="ID12" s="57" t="str">
        <f t="shared" si="162"/>
        <v/>
      </c>
      <c r="IE12" s="57" t="str">
        <f t="shared" si="163"/>
        <v/>
      </c>
      <c r="IF12" s="57" t="str">
        <f t="shared" si="164"/>
        <v/>
      </c>
      <c r="IG12" s="57"/>
      <c r="IH12" s="55" t="str">
        <f t="shared" si="165"/>
        <v>menjelaskan dan melakukan penjumlahan dan pengurangan dua pecahan dengan penyebut berbeda</v>
      </c>
      <c r="II12" s="59" t="str">
        <f>IF(GY12&gt;100,"",IF(GY12&gt;FQ$1,"sangat baik dalam "&amp;IH12,IF(GY12&gt;=FQ$2," baik dalam "&amp;IH12,IF(GY12&gt;=FQ$3,"cukup dalam "&amp;IH12,IF(GY12&lt;FQ$3,"dengan bimbingan dapat meningkatkan dalam "&amp;IH12,IF(GY12&lt;1," ",””))))))</f>
        <v>cukup dalam menjelaskan dan melakukan penjumlahan dan pengurangan dua pecahan dengan penyebut berbeda</v>
      </c>
      <c r="IJ12" s="60"/>
      <c r="IK12" s="61" t="s">
        <v>201</v>
      </c>
      <c r="IL12" s="62" t="str">
        <f t="shared" si="166"/>
        <v>Ananda Gresia cukup dalam menjelaskan dan melakukan perkalian dan pembagian pecahan dan desimal, cukup dalam menjelaskan dan melakukan penjumlahan dan pengurangan dua pecahan dengan penyebut berbeda.</v>
      </c>
      <c r="IM12" s="4" t="e">
        <f>CONCATENATE(IF(#REF!&gt;100,"  ",IF(#REF!&gt;95,"Sangat pandai "&amp;$B$45,IF(#REF!&gt;87,"Pandai "&amp;$B$45,IF(#REF!&gt;79,"Cukup pandai "&amp;$B$45,IF(#REF!&gt;71,"Menguasai dengan baik "&amp;$B$45,IF(#REF!&gt;62,"Perlu banyak latihan "&amp;$B$45,IF(#REF!&gt;0,"Perlu bimbingan "&amp;$B$45,IF(#REF!="","")))))))),IF(#REF!&gt;100,"  ",IF(#REF!&gt;95," Sangat pandai "&amp;$B$46,IF(#REF!&gt;87," Pandai "&amp;$B$46,IF(#REF!&gt;79," Cukup pandai "&amp;$B$46,IF(#REF!&gt;71," Menguasai dengan baik "&amp;$B$46,IF(#REF!&gt;62," Perlu banyak latihan "&amp;$B$46,IF(#REF!&gt;0," Perlu bimbingan "&amp;$B$46,IF(#REF!="","")))))))),IF(#REF!&gt;100,"  ",IF(#REF!&gt;95," Sangat pandai "&amp;$B$47,IF(#REF!&gt;87," Pandai "&amp;$B$47,IF(#REF!&gt;79," cukup pandai "&amp;$B$47,IF(#REF!&gt;71," Menguasai dengan baik "&amp;$B$47,IF(#REF!&gt;62," Perlu banyak latihan "&amp;$B$47,IF(#REF!&gt;0," Perlu bimbingan "&amp;$B$47,IF(#REF!="","")))))))),IF(#REF!&gt;100,"  ",IF(#REF!&gt;95," Sangat pandai "&amp;$B$48,IF(#REF!&gt;87," Pandai "&amp;$B$48,IF(#REF!&gt;79," Cukup pandai "&amp;$B$48,IF(#REF!&gt;71," Menguasai dengan baik "&amp;$B$48,IF(#REF!&gt;62," Perlu banyak latihan "&amp;$B$48,IF(#REF!&gt;0," Perlu bimbingan "&amp;$B$48,IF(#REF!="","")))))))),IF(#REF!&gt;100,"  ",IF(#REF!&gt;95," Sangat pandai "&amp;$B$49,IF(#REF!&gt;87," Pandai "&amp;$B$49,IF(#REF!&gt;79," Cukup pandai "&amp;$B$49,IF(#REF!&gt;71," Menguasai dengan baik "&amp;$B$49,IF(#REF!&gt;62," Perlu banyak latihan "&amp;$B$49,IF(#REF!&gt;0," Perlu bimbingan "&amp;$B$49,IF(#REF!="","")))))))),IF(#REF!&gt;100,"  ",IF(#REF!&gt;95," Sangat pandai "&amp;$B$50,IF(#REF!&gt;87," Pandai "&amp;$B$50,IF(#REF!&gt;79," Cukup pandai "&amp;$B$50,IF(#REF!&gt;71," Menguasai dengan baik "&amp;$B$50,IF(#REF!&gt;62," Perlu banyak latihan "&amp;$B$50,IF(#REF!&gt;0," Perlu bimbingan "&amp;$B$50,IF(#REF!="","")))))))),IF(#REF!&gt;100,"  ",IF(#REF!&gt;95," Sangat pandai "&amp;$B$51,IF(#REF!&gt;87," Pandai "&amp;$B$51,IF(#REF!&gt;79," Cukup pandai "&amp;$B$51,IF(#REF!&gt;71," Menguasai dengan baik "&amp;$B$51,IF(#REF!&gt;62," Perlu banyak latihan "&amp;$B$51,IF(#REF!&gt;0," Perlu bimbingan "&amp;$B$51,IF(#REF!="","")))))))))</f>
        <v>#REF!</v>
      </c>
    </row>
    <row r="13" spans="1:247" ht="45">
      <c r="A13" s="39">
        <v>6</v>
      </c>
      <c r="B13" s="283" t="str">
        <f>SISWA!B11</f>
        <v>Hasna Fathitya Sabrina</v>
      </c>
      <c r="C13" s="123">
        <v>75</v>
      </c>
      <c r="D13" s="123">
        <v>80</v>
      </c>
      <c r="E13" s="123">
        <v>87</v>
      </c>
      <c r="F13" s="123">
        <v>75</v>
      </c>
      <c r="G13" s="123"/>
      <c r="H13" s="123"/>
      <c r="I13" s="123"/>
      <c r="J13" s="123"/>
      <c r="K13" s="123"/>
      <c r="L13" s="123"/>
      <c r="M13" s="123"/>
      <c r="N13" s="123"/>
      <c r="O13" s="123"/>
      <c r="P13" s="256">
        <v>93</v>
      </c>
      <c r="Q13" s="256">
        <v>75</v>
      </c>
      <c r="R13" s="256">
        <v>80</v>
      </c>
      <c r="S13" s="256">
        <v>75</v>
      </c>
      <c r="T13" s="256"/>
      <c r="U13" s="256"/>
      <c r="V13" s="256"/>
      <c r="W13" s="256"/>
      <c r="X13" s="256"/>
      <c r="Y13" s="256"/>
      <c r="Z13" s="256"/>
      <c r="AA13" s="256"/>
      <c r="AB13" s="256"/>
      <c r="AC13" s="683"/>
      <c r="AD13" s="683"/>
      <c r="AE13" s="683"/>
      <c r="AF13" s="683"/>
      <c r="AG13" s="683"/>
      <c r="AH13" s="683"/>
      <c r="AI13" s="683"/>
      <c r="AJ13" s="683"/>
      <c r="AK13" s="683"/>
      <c r="AL13" s="683"/>
      <c r="AM13" s="683"/>
      <c r="AN13" s="683"/>
      <c r="AO13" s="683"/>
      <c r="AP13" s="680"/>
      <c r="AQ13" s="680"/>
      <c r="AR13" s="680"/>
      <c r="AS13" s="680"/>
      <c r="AT13" s="680"/>
      <c r="AU13" s="680"/>
      <c r="AV13" s="680"/>
      <c r="AW13" s="680"/>
      <c r="AX13" s="680"/>
      <c r="AY13" s="680"/>
      <c r="AZ13" s="680"/>
      <c r="BA13" s="680"/>
      <c r="BB13" s="680"/>
      <c r="BC13" s="683"/>
      <c r="BD13" s="683"/>
      <c r="BE13" s="683"/>
      <c r="BF13" s="683"/>
      <c r="BG13" s="683"/>
      <c r="BH13" s="683"/>
      <c r="BI13" s="683"/>
      <c r="BJ13" s="683"/>
      <c r="BK13" s="683"/>
      <c r="BL13" s="683"/>
      <c r="BM13" s="683"/>
      <c r="BN13" s="683"/>
      <c r="BO13" s="683"/>
      <c r="BP13" s="680"/>
      <c r="BQ13" s="680"/>
      <c r="BR13" s="680"/>
      <c r="BS13" s="680"/>
      <c r="BT13" s="680"/>
      <c r="BU13" s="680"/>
      <c r="BV13" s="680"/>
      <c r="BW13" s="680"/>
      <c r="BX13" s="680"/>
      <c r="BY13" s="680"/>
      <c r="BZ13" s="680"/>
      <c r="CA13" s="680"/>
      <c r="CB13" s="680"/>
      <c r="CC13" s="683"/>
      <c r="CD13" s="683"/>
      <c r="CE13" s="683"/>
      <c r="CF13" s="683"/>
      <c r="CG13" s="683"/>
      <c r="CH13" s="683"/>
      <c r="CI13" s="683"/>
      <c r="CJ13" s="683"/>
      <c r="CK13" s="683"/>
      <c r="CL13" s="683"/>
      <c r="CM13" s="683"/>
      <c r="CN13" s="683"/>
      <c r="CO13" s="683"/>
      <c r="CP13" s="680"/>
      <c r="CQ13" s="680"/>
      <c r="CR13" s="680"/>
      <c r="CS13" s="680"/>
      <c r="CT13" s="680"/>
      <c r="CU13" s="680"/>
      <c r="CV13" s="680"/>
      <c r="CW13" s="680"/>
      <c r="CX13" s="680"/>
      <c r="CY13" s="681"/>
      <c r="CZ13" s="681"/>
      <c r="DA13" s="681"/>
      <c r="DB13" s="681"/>
      <c r="DC13" s="682"/>
      <c r="DD13" s="682"/>
      <c r="DE13" s="682"/>
      <c r="DF13" s="682"/>
      <c r="DG13" s="682"/>
      <c r="DH13" s="682"/>
      <c r="DI13" s="682"/>
      <c r="DJ13" s="682"/>
      <c r="DK13" s="682"/>
      <c r="DL13" s="682"/>
      <c r="DM13" s="682"/>
      <c r="DN13" s="682"/>
      <c r="DO13" s="682"/>
      <c r="DP13" s="681"/>
      <c r="DQ13" s="681"/>
      <c r="DR13" s="681"/>
      <c r="DS13" s="681"/>
      <c r="DT13" s="681"/>
      <c r="DU13" s="681"/>
      <c r="DV13" s="681"/>
      <c r="DW13" s="681"/>
      <c r="DX13" s="681"/>
      <c r="DY13" s="681"/>
      <c r="DZ13" s="681"/>
      <c r="EA13" s="681"/>
      <c r="EB13" s="681"/>
      <c r="EC13" s="260">
        <f t="shared" si="91"/>
        <v>84</v>
      </c>
      <c r="ED13" s="260">
        <f t="shared" si="92"/>
        <v>77.5</v>
      </c>
      <c r="EE13" s="260">
        <f t="shared" si="93"/>
        <v>83.5</v>
      </c>
      <c r="EF13" s="260">
        <f t="shared" si="94"/>
        <v>75</v>
      </c>
      <c r="EG13" s="260" t="str">
        <f t="shared" si="95"/>
        <v xml:space="preserve"> </v>
      </c>
      <c r="EH13" s="260" t="str">
        <f t="shared" si="96"/>
        <v xml:space="preserve"> </v>
      </c>
      <c r="EI13" s="260" t="str">
        <f t="shared" si="97"/>
        <v xml:space="preserve"> </v>
      </c>
      <c r="EJ13" s="260" t="str">
        <f t="shared" si="98"/>
        <v xml:space="preserve"> </v>
      </c>
      <c r="EK13" s="260" t="str">
        <f t="shared" si="99"/>
        <v xml:space="preserve"> </v>
      </c>
      <c r="EL13" s="260" t="str">
        <f t="shared" si="100"/>
        <v xml:space="preserve"> </v>
      </c>
      <c r="EM13" s="260" t="str">
        <f t="shared" si="101"/>
        <v xml:space="preserve"> </v>
      </c>
      <c r="EN13" s="260" t="str">
        <f t="shared" si="102"/>
        <v xml:space="preserve"> </v>
      </c>
      <c r="EO13" s="260" t="str">
        <f t="shared" si="103"/>
        <v xml:space="preserve"> </v>
      </c>
      <c r="EP13" s="547">
        <v>75</v>
      </c>
      <c r="EQ13" s="547">
        <v>75</v>
      </c>
      <c r="ER13" s="547"/>
      <c r="ES13" s="547"/>
      <c r="ET13" s="547"/>
      <c r="EU13" s="547"/>
      <c r="EV13" s="547"/>
      <c r="EW13" s="547"/>
      <c r="EX13" s="547"/>
      <c r="EY13" s="547"/>
      <c r="EZ13" s="547"/>
      <c r="FA13" s="547"/>
      <c r="FB13" s="547"/>
      <c r="FC13" s="560">
        <v>75</v>
      </c>
      <c r="FD13" s="560">
        <v>75</v>
      </c>
      <c r="FE13" s="560">
        <v>78</v>
      </c>
      <c r="FF13" s="560">
        <v>75</v>
      </c>
      <c r="FG13" s="560"/>
      <c r="FH13" s="560"/>
      <c r="FI13" s="560"/>
      <c r="FJ13" s="560"/>
      <c r="FK13" s="560"/>
      <c r="FL13" s="560"/>
      <c r="FM13" s="560"/>
      <c r="FN13" s="560"/>
      <c r="FO13" s="560"/>
      <c r="FP13" s="549">
        <f t="shared" si="104"/>
        <v>78</v>
      </c>
      <c r="FQ13" s="291" t="str">
        <f t="shared" si="105"/>
        <v>C</v>
      </c>
      <c r="FR13" s="50" t="str">
        <f t="shared" si="106"/>
        <v>Ananda Hasna cukup dalam menjelaskan perbandingan dua besaran yang berbeda (kecepatan sebagai perbandingan jarak dengan waktu, debit sebagai perbandingan volume dan waktu), cukup dalam menjelaskan skala melalui denah.</v>
      </c>
      <c r="FS13" s="282"/>
      <c r="FT13" s="51"/>
      <c r="FU13" s="46">
        <f t="shared" si="107"/>
        <v>84</v>
      </c>
      <c r="FV13" s="46">
        <f t="shared" si="108"/>
        <v>77.5</v>
      </c>
      <c r="FW13" s="46">
        <f t="shared" si="109"/>
        <v>83.5</v>
      </c>
      <c r="FX13" s="46">
        <f t="shared" si="110"/>
        <v>75</v>
      </c>
      <c r="FY13" s="46" t="str">
        <f t="shared" si="111"/>
        <v xml:space="preserve"> </v>
      </c>
      <c r="FZ13" s="46" t="str">
        <f t="shared" si="112"/>
        <v xml:space="preserve"> </v>
      </c>
      <c r="GA13" s="46" t="str">
        <f t="shared" si="113"/>
        <v xml:space="preserve"> </v>
      </c>
      <c r="GB13" s="46" t="str">
        <f t="shared" si="114"/>
        <v xml:space="preserve"> </v>
      </c>
      <c r="GC13" s="46" t="str">
        <f t="shared" si="115"/>
        <v xml:space="preserve"> </v>
      </c>
      <c r="GD13" s="46" t="str">
        <f t="shared" si="116"/>
        <v xml:space="preserve"> </v>
      </c>
      <c r="GE13" s="46" t="str">
        <f t="shared" si="117"/>
        <v xml:space="preserve"> </v>
      </c>
      <c r="GF13" s="46" t="str">
        <f t="shared" si="118"/>
        <v xml:space="preserve"> </v>
      </c>
      <c r="GG13" s="46" t="str">
        <f t="shared" si="119"/>
        <v xml:space="preserve"> </v>
      </c>
      <c r="GH13" s="46"/>
      <c r="GI13" s="53">
        <f t="shared" si="120"/>
        <v>79.5</v>
      </c>
      <c r="GJ13" s="53">
        <f t="shared" si="121"/>
        <v>76.25</v>
      </c>
      <c r="GK13" s="53">
        <f t="shared" si="122"/>
        <v>81.666666666666671</v>
      </c>
      <c r="GL13" s="53">
        <f t="shared" si="123"/>
        <v>75</v>
      </c>
      <c r="GM13" s="53" t="str">
        <f t="shared" si="124"/>
        <v xml:space="preserve">  </v>
      </c>
      <c r="GN13" s="53" t="str">
        <f t="shared" si="125"/>
        <v xml:space="preserve">  </v>
      </c>
      <c r="GO13" s="53" t="str">
        <f t="shared" si="126"/>
        <v xml:space="preserve">  </v>
      </c>
      <c r="GP13" s="53" t="str">
        <f t="shared" si="127"/>
        <v xml:space="preserve">  </v>
      </c>
      <c r="GQ13" s="53" t="str">
        <f t="shared" si="128"/>
        <v xml:space="preserve">  </v>
      </c>
      <c r="GR13" s="53" t="str">
        <f t="shared" si="129"/>
        <v xml:space="preserve">  </v>
      </c>
      <c r="GS13" s="53" t="str">
        <f t="shared" si="130"/>
        <v xml:space="preserve">  </v>
      </c>
      <c r="GT13" s="53" t="str">
        <f t="shared" si="131"/>
        <v xml:space="preserve">  </v>
      </c>
      <c r="GU13" s="53" t="str">
        <f t="shared" si="132"/>
        <v xml:space="preserve">  </v>
      </c>
      <c r="GV13" s="54">
        <f t="shared" si="133"/>
        <v>78</v>
      </c>
      <c r="GW13" s="51"/>
      <c r="GX13" s="351">
        <f t="shared" si="134"/>
        <v>81.666666666666671</v>
      </c>
      <c r="GY13" s="351">
        <f t="shared" si="135"/>
        <v>75</v>
      </c>
      <c r="GZ13" s="51" t="str">
        <f>SISWA!E11</f>
        <v>Hasna</v>
      </c>
      <c r="HA13" s="51" t="str">
        <f t="shared" si="136"/>
        <v xml:space="preserve">Ananda Hasna </v>
      </c>
      <c r="HB13" s="56" t="str">
        <f t="shared" si="137"/>
        <v/>
      </c>
      <c r="HC13" s="56" t="str">
        <f t="shared" si="138"/>
        <v/>
      </c>
      <c r="HD13" s="56">
        <f t="shared" si="139"/>
        <v>81.666666666666671</v>
      </c>
      <c r="HE13" s="56" t="str">
        <f t="shared" si="140"/>
        <v/>
      </c>
      <c r="HF13" s="56" t="str">
        <f t="shared" si="141"/>
        <v/>
      </c>
      <c r="HG13" s="56" t="str">
        <f t="shared" si="142"/>
        <v/>
      </c>
      <c r="HH13" s="56" t="str">
        <f t="shared" si="143"/>
        <v/>
      </c>
      <c r="HI13" s="56" t="str">
        <f t="shared" si="144"/>
        <v/>
      </c>
      <c r="HJ13" s="56" t="str">
        <f t="shared" si="145"/>
        <v/>
      </c>
      <c r="HK13" s="56" t="str">
        <f t="shared" si="146"/>
        <v/>
      </c>
      <c r="HL13" s="56" t="str">
        <f t="shared" si="147"/>
        <v/>
      </c>
      <c r="HM13" s="56" t="str">
        <f t="shared" si="148"/>
        <v/>
      </c>
      <c r="HN13" s="56" t="str">
        <f t="shared" si="149"/>
        <v/>
      </c>
      <c r="HO13" s="58">
        <f t="shared" si="150"/>
        <v>81.666666666666671</v>
      </c>
      <c r="HP13" s="55" t="str">
        <f t="shared" si="151"/>
        <v>menjelaskan perbandingan dua besaran yang berbeda (kecepatan sebagai perbandingan jarak dengan waktu, debit sebagai perbandingan volume dan waktu)</v>
      </c>
      <c r="HQ13" s="58"/>
      <c r="HR13" s="59" t="str">
        <f>IF(GX13&gt;100,"",IF(GX13&gt;FQ$1,"sangat baik dalam "&amp;HP13,IF(GX13&gt;=FQ$2," baik dalam "&amp;HP13,IF(GX13&gt;=FQ$3,"cukup dalam "&amp;HP13,IF(GX13&lt;FQ$3,"dengan bimbingan dapat meningkatkan dalam "&amp;HP13,IF(GX13&lt;1," ",””))))))</f>
        <v>cukup dalam menjelaskan perbandingan dua besaran yang berbeda (kecepatan sebagai perbandingan jarak dengan waktu, debit sebagai perbandingan volume dan waktu)</v>
      </c>
      <c r="HS13" s="58"/>
      <c r="HT13" s="57" t="str">
        <f t="shared" si="152"/>
        <v/>
      </c>
      <c r="HU13" s="57" t="str">
        <f t="shared" si="153"/>
        <v/>
      </c>
      <c r="HV13" s="57" t="str">
        <f t="shared" si="154"/>
        <v/>
      </c>
      <c r="HW13" s="57">
        <f t="shared" si="155"/>
        <v>75</v>
      </c>
      <c r="HX13" s="57" t="str">
        <f t="shared" si="156"/>
        <v/>
      </c>
      <c r="HY13" s="57" t="str">
        <f t="shared" si="157"/>
        <v/>
      </c>
      <c r="HZ13" s="57" t="str">
        <f t="shared" si="158"/>
        <v/>
      </c>
      <c r="IA13" s="57" t="str">
        <f t="shared" si="159"/>
        <v/>
      </c>
      <c r="IB13" s="57" t="str">
        <f t="shared" si="160"/>
        <v/>
      </c>
      <c r="IC13" s="57" t="str">
        <f t="shared" si="161"/>
        <v/>
      </c>
      <c r="ID13" s="57" t="str">
        <f t="shared" si="162"/>
        <v/>
      </c>
      <c r="IE13" s="57" t="str">
        <f t="shared" si="163"/>
        <v/>
      </c>
      <c r="IF13" s="57" t="str">
        <f t="shared" si="164"/>
        <v/>
      </c>
      <c r="IG13" s="57"/>
      <c r="IH13" s="55" t="str">
        <f t="shared" si="165"/>
        <v>menjelaskan skala melalui denah</v>
      </c>
      <c r="II13" s="59" t="str">
        <f>IF(GY13&gt;100,"",IF(GY13&gt;FQ$1,"sangat baik dalam "&amp;IH13,IF(GY13&gt;=FQ$2," baik dalam "&amp;IH13,IF(GY13&gt;=FQ$3,"cukup dalam "&amp;IH13,IF(GY13&lt;FQ$3,"dengan bimbingan dapat meningkatkan dalam "&amp;IH13,IF(GY13&lt;1," ",””))))))</f>
        <v>cukup dalam menjelaskan skala melalui denah</v>
      </c>
      <c r="IJ13" s="60"/>
      <c r="IK13" s="61" t="s">
        <v>201</v>
      </c>
      <c r="IL13" s="62" t="str">
        <f t="shared" si="166"/>
        <v>Ananda Hasna cukup dalam menjelaskan perbandingan dua besaran yang berbeda (kecepatan sebagai perbandingan jarak dengan waktu, debit sebagai perbandingan volume dan waktu), cukup dalam menjelaskan skala melalui denah.</v>
      </c>
      <c r="IM13" s="4" t="e">
        <f>CONCATENATE(IF(#REF!&gt;100,"  ",IF(#REF!&gt;95,"Sangat pandai "&amp;$B$45,IF(#REF!&gt;87,"Pandai "&amp;$B$45,IF(#REF!&gt;79,"Cukup pandai "&amp;$B$45,IF(#REF!&gt;71,"Menguasai dengan baik "&amp;$B$45,IF(#REF!&gt;62,"Perlu banyak latihan "&amp;$B$45,IF(#REF!&gt;0,"Perlu bimbingan "&amp;$B$45,IF(#REF!="","")))))))),IF(#REF!&gt;100,"  ",IF(#REF!&gt;95," Sangat pandai "&amp;$B$46,IF(#REF!&gt;87," Pandai "&amp;$B$46,IF(#REF!&gt;79," Cukup pandai "&amp;$B$46,IF(#REF!&gt;71," Menguasai dengan baik "&amp;$B$46,IF(#REF!&gt;62," Perlu banyak latihan "&amp;$B$46,IF(#REF!&gt;0," Perlu bimbingan "&amp;$B$46,IF(#REF!="","")))))))),IF(#REF!&gt;100,"  ",IF(#REF!&gt;95," Sangat pandai "&amp;$B$47,IF(#REF!&gt;87," Pandai "&amp;$B$47,IF(#REF!&gt;79," cukup pandai "&amp;$B$47,IF(#REF!&gt;71," Menguasai dengan baik "&amp;$B$47,IF(#REF!&gt;62," Perlu banyak latihan "&amp;$B$47,IF(#REF!&gt;0," Perlu bimbingan "&amp;$B$47,IF(#REF!="","")))))))),IF(#REF!&gt;100,"  ",IF(#REF!&gt;95," Sangat pandai "&amp;$B$48,IF(#REF!&gt;87," Pandai "&amp;$B$48,IF(#REF!&gt;79," Cukup pandai "&amp;$B$48,IF(#REF!&gt;71," Menguasai dengan baik "&amp;$B$48,IF(#REF!&gt;62," Perlu banyak latihan "&amp;$B$48,IF(#REF!&gt;0," Perlu bimbingan "&amp;$B$48,IF(#REF!="","")))))))),IF(#REF!&gt;100,"  ",IF(#REF!&gt;95," Sangat pandai "&amp;$B$49,IF(#REF!&gt;87," Pandai "&amp;$B$49,IF(#REF!&gt;79," Cukup pandai "&amp;$B$49,IF(#REF!&gt;71," Menguasai dengan baik "&amp;$B$49,IF(#REF!&gt;62," Perlu banyak latihan "&amp;$B$49,IF(#REF!&gt;0," Perlu bimbingan "&amp;$B$49,IF(#REF!="","")))))))),IF(#REF!&gt;100,"  ",IF(#REF!&gt;95," Sangat pandai "&amp;$B$50,IF(#REF!&gt;87," Pandai "&amp;$B$50,IF(#REF!&gt;79," Cukup pandai "&amp;$B$50,IF(#REF!&gt;71," Menguasai dengan baik "&amp;$B$50,IF(#REF!&gt;62," Perlu banyak latihan "&amp;$B$50,IF(#REF!&gt;0," Perlu bimbingan "&amp;$B$50,IF(#REF!="","")))))))),IF(#REF!&gt;100,"  ",IF(#REF!&gt;95," Sangat pandai "&amp;$B$51,IF(#REF!&gt;87," Pandai "&amp;$B$51,IF(#REF!&gt;79," Cukup pandai "&amp;$B$51,IF(#REF!&gt;71," Menguasai dengan baik "&amp;$B$51,IF(#REF!&gt;62," Perlu banyak latihan "&amp;$B$51,IF(#REF!&gt;0," Perlu bimbingan "&amp;$B$51,IF(#REF!="","")))))))))</f>
        <v>#REF!</v>
      </c>
    </row>
    <row r="14" spans="1:247" ht="30">
      <c r="A14" s="39">
        <v>7</v>
      </c>
      <c r="B14" s="283" t="str">
        <f>SISWA!B12</f>
        <v>Indah Fitria Ningrum</v>
      </c>
      <c r="C14" s="123">
        <v>80</v>
      </c>
      <c r="D14" s="123">
        <v>87</v>
      </c>
      <c r="E14" s="123">
        <v>80</v>
      </c>
      <c r="F14" s="123">
        <v>75</v>
      </c>
      <c r="G14" s="123">
        <v>80</v>
      </c>
      <c r="H14" s="123"/>
      <c r="I14" s="123"/>
      <c r="J14" s="123"/>
      <c r="K14" s="123"/>
      <c r="L14" s="123"/>
      <c r="M14" s="123"/>
      <c r="N14" s="123"/>
      <c r="O14" s="123"/>
      <c r="P14" s="256">
        <v>97</v>
      </c>
      <c r="Q14" s="256">
        <v>80</v>
      </c>
      <c r="R14" s="256">
        <v>80</v>
      </c>
      <c r="S14" s="256">
        <v>75</v>
      </c>
      <c r="T14" s="256"/>
      <c r="U14" s="256"/>
      <c r="V14" s="256"/>
      <c r="W14" s="256"/>
      <c r="X14" s="256"/>
      <c r="Y14" s="256"/>
      <c r="Z14" s="256"/>
      <c r="AA14" s="256"/>
      <c r="AB14" s="256"/>
      <c r="AC14" s="683"/>
      <c r="AD14" s="683"/>
      <c r="AE14" s="683"/>
      <c r="AF14" s="683"/>
      <c r="AG14" s="683"/>
      <c r="AH14" s="683"/>
      <c r="AI14" s="683"/>
      <c r="AJ14" s="683"/>
      <c r="AK14" s="683"/>
      <c r="AL14" s="683"/>
      <c r="AM14" s="683"/>
      <c r="AN14" s="683"/>
      <c r="AO14" s="683"/>
      <c r="AP14" s="680"/>
      <c r="AQ14" s="680"/>
      <c r="AR14" s="680"/>
      <c r="AS14" s="680"/>
      <c r="AT14" s="680"/>
      <c r="AU14" s="680"/>
      <c r="AV14" s="680"/>
      <c r="AW14" s="680"/>
      <c r="AX14" s="680"/>
      <c r="AY14" s="680"/>
      <c r="AZ14" s="680"/>
      <c r="BA14" s="680"/>
      <c r="BB14" s="680"/>
      <c r="BC14" s="683"/>
      <c r="BD14" s="683"/>
      <c r="BE14" s="683"/>
      <c r="BF14" s="683"/>
      <c r="BG14" s="683"/>
      <c r="BH14" s="683"/>
      <c r="BI14" s="683"/>
      <c r="BJ14" s="683"/>
      <c r="BK14" s="683"/>
      <c r="BL14" s="683"/>
      <c r="BM14" s="683"/>
      <c r="BN14" s="683"/>
      <c r="BO14" s="683"/>
      <c r="BP14" s="680"/>
      <c r="BQ14" s="680"/>
      <c r="BR14" s="680"/>
      <c r="BS14" s="680"/>
      <c r="BT14" s="680"/>
      <c r="BU14" s="680"/>
      <c r="BV14" s="680"/>
      <c r="BW14" s="680"/>
      <c r="BX14" s="680"/>
      <c r="BY14" s="680"/>
      <c r="BZ14" s="680"/>
      <c r="CA14" s="680"/>
      <c r="CB14" s="680"/>
      <c r="CC14" s="683"/>
      <c r="CD14" s="683"/>
      <c r="CE14" s="683"/>
      <c r="CF14" s="683"/>
      <c r="CG14" s="683"/>
      <c r="CH14" s="683"/>
      <c r="CI14" s="683"/>
      <c r="CJ14" s="683"/>
      <c r="CK14" s="683"/>
      <c r="CL14" s="683"/>
      <c r="CM14" s="683"/>
      <c r="CN14" s="683"/>
      <c r="CO14" s="683"/>
      <c r="CP14" s="680"/>
      <c r="CQ14" s="680"/>
      <c r="CR14" s="680"/>
      <c r="CS14" s="680"/>
      <c r="CT14" s="680"/>
      <c r="CU14" s="680"/>
      <c r="CV14" s="680"/>
      <c r="CW14" s="680"/>
      <c r="CX14" s="680"/>
      <c r="CY14" s="681"/>
      <c r="CZ14" s="681"/>
      <c r="DA14" s="681"/>
      <c r="DB14" s="681"/>
      <c r="DC14" s="682"/>
      <c r="DD14" s="682"/>
      <c r="DE14" s="682"/>
      <c r="DF14" s="682"/>
      <c r="DG14" s="682"/>
      <c r="DH14" s="682"/>
      <c r="DI14" s="682"/>
      <c r="DJ14" s="682"/>
      <c r="DK14" s="682"/>
      <c r="DL14" s="682"/>
      <c r="DM14" s="682"/>
      <c r="DN14" s="682"/>
      <c r="DO14" s="682"/>
      <c r="DP14" s="681"/>
      <c r="DQ14" s="681"/>
      <c r="DR14" s="681"/>
      <c r="DS14" s="681"/>
      <c r="DT14" s="681"/>
      <c r="DU14" s="681"/>
      <c r="DV14" s="681"/>
      <c r="DW14" s="681"/>
      <c r="DX14" s="681"/>
      <c r="DY14" s="681"/>
      <c r="DZ14" s="681"/>
      <c r="EA14" s="681"/>
      <c r="EB14" s="681"/>
      <c r="EC14" s="260">
        <f t="shared" si="91"/>
        <v>88.5</v>
      </c>
      <c r="ED14" s="260">
        <f t="shared" si="92"/>
        <v>83.5</v>
      </c>
      <c r="EE14" s="260">
        <f t="shared" si="93"/>
        <v>80</v>
      </c>
      <c r="EF14" s="260">
        <f t="shared" si="94"/>
        <v>75</v>
      </c>
      <c r="EG14" s="260">
        <f t="shared" si="95"/>
        <v>80</v>
      </c>
      <c r="EH14" s="260" t="str">
        <f t="shared" si="96"/>
        <v xml:space="preserve"> </v>
      </c>
      <c r="EI14" s="260" t="str">
        <f t="shared" si="97"/>
        <v xml:space="preserve"> </v>
      </c>
      <c r="EJ14" s="260" t="str">
        <f t="shared" si="98"/>
        <v xml:space="preserve"> </v>
      </c>
      <c r="EK14" s="260" t="str">
        <f t="shared" si="99"/>
        <v xml:space="preserve"> </v>
      </c>
      <c r="EL14" s="260" t="str">
        <f t="shared" si="100"/>
        <v xml:space="preserve"> </v>
      </c>
      <c r="EM14" s="260" t="str">
        <f t="shared" si="101"/>
        <v xml:space="preserve"> </v>
      </c>
      <c r="EN14" s="260" t="str">
        <f t="shared" si="102"/>
        <v xml:space="preserve"> </v>
      </c>
      <c r="EO14" s="260" t="str">
        <f t="shared" si="103"/>
        <v xml:space="preserve"> </v>
      </c>
      <c r="EP14" s="547">
        <v>75</v>
      </c>
      <c r="EQ14" s="547">
        <v>80</v>
      </c>
      <c r="ER14" s="547"/>
      <c r="ES14" s="547"/>
      <c r="ET14" s="547"/>
      <c r="EU14" s="547"/>
      <c r="EV14" s="547"/>
      <c r="EW14" s="547"/>
      <c r="EX14" s="547"/>
      <c r="EY14" s="547"/>
      <c r="EZ14" s="547"/>
      <c r="FA14" s="547"/>
      <c r="FB14" s="547"/>
      <c r="FC14" s="560">
        <v>75</v>
      </c>
      <c r="FD14" s="560">
        <v>75</v>
      </c>
      <c r="FE14" s="560">
        <v>78</v>
      </c>
      <c r="FF14" s="560">
        <v>75</v>
      </c>
      <c r="FG14" s="560"/>
      <c r="FH14" s="560"/>
      <c r="FI14" s="560"/>
      <c r="FJ14" s="560"/>
      <c r="FK14" s="560"/>
      <c r="FL14" s="560"/>
      <c r="FM14" s="560"/>
      <c r="FN14" s="560"/>
      <c r="FO14" s="560"/>
      <c r="FP14" s="549">
        <f t="shared" si="104"/>
        <v>79</v>
      </c>
      <c r="FQ14" s="291" t="str">
        <f t="shared" si="105"/>
        <v>C</v>
      </c>
      <c r="FR14" s="50" t="str">
        <f t="shared" si="106"/>
        <v>Ananda Indah cukup dalam menjelaskan dan melakukan penjumlahan dan pengurangan dua pecahan dengan penyebut berbeda, cukup dalam menjelaskan skala melalui denah.</v>
      </c>
      <c r="FS14" s="282"/>
      <c r="FT14" s="51"/>
      <c r="FU14" s="46">
        <f t="shared" si="107"/>
        <v>88.5</v>
      </c>
      <c r="FV14" s="46">
        <f t="shared" si="108"/>
        <v>83.5</v>
      </c>
      <c r="FW14" s="46">
        <f t="shared" si="109"/>
        <v>80</v>
      </c>
      <c r="FX14" s="46">
        <f t="shared" si="110"/>
        <v>75</v>
      </c>
      <c r="FY14" s="46">
        <f t="shared" si="111"/>
        <v>80</v>
      </c>
      <c r="FZ14" s="46" t="str">
        <f t="shared" si="112"/>
        <v xml:space="preserve"> </v>
      </c>
      <c r="GA14" s="46" t="str">
        <f t="shared" si="113"/>
        <v xml:space="preserve"> </v>
      </c>
      <c r="GB14" s="46" t="str">
        <f t="shared" si="114"/>
        <v xml:space="preserve"> </v>
      </c>
      <c r="GC14" s="46" t="str">
        <f t="shared" si="115"/>
        <v xml:space="preserve"> </v>
      </c>
      <c r="GD14" s="46" t="str">
        <f t="shared" si="116"/>
        <v xml:space="preserve"> </v>
      </c>
      <c r="GE14" s="46" t="str">
        <f t="shared" si="117"/>
        <v xml:space="preserve"> </v>
      </c>
      <c r="GF14" s="46" t="str">
        <f t="shared" si="118"/>
        <v xml:space="preserve"> </v>
      </c>
      <c r="GG14" s="46" t="str">
        <f t="shared" si="119"/>
        <v xml:space="preserve"> </v>
      </c>
      <c r="GH14" s="46"/>
      <c r="GI14" s="53">
        <f t="shared" si="120"/>
        <v>81.75</v>
      </c>
      <c r="GJ14" s="53">
        <f t="shared" si="121"/>
        <v>80.5</v>
      </c>
      <c r="GK14" s="53">
        <f t="shared" si="122"/>
        <v>79.333333333333329</v>
      </c>
      <c r="GL14" s="53">
        <f t="shared" si="123"/>
        <v>75</v>
      </c>
      <c r="GM14" s="53">
        <f t="shared" si="124"/>
        <v>80</v>
      </c>
      <c r="GN14" s="53" t="str">
        <f t="shared" si="125"/>
        <v xml:space="preserve">  </v>
      </c>
      <c r="GO14" s="53" t="str">
        <f t="shared" si="126"/>
        <v xml:space="preserve">  </v>
      </c>
      <c r="GP14" s="53" t="str">
        <f t="shared" si="127"/>
        <v xml:space="preserve">  </v>
      </c>
      <c r="GQ14" s="53" t="str">
        <f t="shared" si="128"/>
        <v xml:space="preserve">  </v>
      </c>
      <c r="GR14" s="53" t="str">
        <f t="shared" si="129"/>
        <v xml:space="preserve">  </v>
      </c>
      <c r="GS14" s="53" t="str">
        <f t="shared" si="130"/>
        <v xml:space="preserve">  </v>
      </c>
      <c r="GT14" s="53" t="str">
        <f t="shared" si="131"/>
        <v xml:space="preserve">  </v>
      </c>
      <c r="GU14" s="53" t="str">
        <f t="shared" si="132"/>
        <v xml:space="preserve">  </v>
      </c>
      <c r="GV14" s="54">
        <f t="shared" si="133"/>
        <v>79</v>
      </c>
      <c r="GW14" s="51"/>
      <c r="GX14" s="351">
        <f t="shared" si="134"/>
        <v>81.75</v>
      </c>
      <c r="GY14" s="351">
        <f t="shared" si="135"/>
        <v>75</v>
      </c>
      <c r="GZ14" s="51" t="str">
        <f>SISWA!E12</f>
        <v>Indah</v>
      </c>
      <c r="HA14" s="51" t="str">
        <f t="shared" si="136"/>
        <v xml:space="preserve">Ananda Indah </v>
      </c>
      <c r="HB14" s="56">
        <f t="shared" si="137"/>
        <v>81.75</v>
      </c>
      <c r="HC14" s="56" t="str">
        <f t="shared" si="138"/>
        <v/>
      </c>
      <c r="HD14" s="56" t="str">
        <f t="shared" si="139"/>
        <v/>
      </c>
      <c r="HE14" s="56" t="str">
        <f t="shared" si="140"/>
        <v/>
      </c>
      <c r="HF14" s="56" t="str">
        <f t="shared" si="141"/>
        <v/>
      </c>
      <c r="HG14" s="56" t="str">
        <f t="shared" si="142"/>
        <v/>
      </c>
      <c r="HH14" s="56" t="str">
        <f t="shared" si="143"/>
        <v/>
      </c>
      <c r="HI14" s="56" t="str">
        <f t="shared" si="144"/>
        <v/>
      </c>
      <c r="HJ14" s="56" t="str">
        <f t="shared" si="145"/>
        <v/>
      </c>
      <c r="HK14" s="56" t="str">
        <f t="shared" si="146"/>
        <v/>
      </c>
      <c r="HL14" s="56" t="str">
        <f t="shared" si="147"/>
        <v/>
      </c>
      <c r="HM14" s="56" t="str">
        <f t="shared" si="148"/>
        <v/>
      </c>
      <c r="HN14" s="56" t="str">
        <f t="shared" si="149"/>
        <v/>
      </c>
      <c r="HO14" s="58">
        <f t="shared" si="150"/>
        <v>81.75</v>
      </c>
      <c r="HP14" s="55" t="str">
        <f t="shared" si="151"/>
        <v>menjelaskan dan melakukan penjumlahan dan pengurangan dua pecahan dengan penyebut berbeda</v>
      </c>
      <c r="HQ14" s="58"/>
      <c r="HR14" s="59" t="str">
        <f>IF(GX14&gt;100,"",IF(GX14&gt;FQ$1,"sangat baik dalam "&amp;HP14,IF(GX14&gt;=FQ$2," baik dalam "&amp;HP14,IF(GX14&gt;=FQ$3,"cukup dalam "&amp;HP14,IF(GX14&lt;FQ$3,"dengan bimbingan dapat meningkatkan dalam "&amp;HP14,IF(GX14&lt;1," ",””))))))</f>
        <v>cukup dalam menjelaskan dan melakukan penjumlahan dan pengurangan dua pecahan dengan penyebut berbeda</v>
      </c>
      <c r="HS14" s="58"/>
      <c r="HT14" s="57" t="str">
        <f t="shared" si="152"/>
        <v/>
      </c>
      <c r="HU14" s="57" t="str">
        <f t="shared" si="153"/>
        <v/>
      </c>
      <c r="HV14" s="57" t="str">
        <f t="shared" si="154"/>
        <v/>
      </c>
      <c r="HW14" s="57">
        <f t="shared" si="155"/>
        <v>75</v>
      </c>
      <c r="HX14" s="57" t="str">
        <f t="shared" si="156"/>
        <v/>
      </c>
      <c r="HY14" s="57" t="str">
        <f t="shared" si="157"/>
        <v/>
      </c>
      <c r="HZ14" s="57" t="str">
        <f t="shared" si="158"/>
        <v/>
      </c>
      <c r="IA14" s="57" t="str">
        <f t="shared" si="159"/>
        <v/>
      </c>
      <c r="IB14" s="57" t="str">
        <f t="shared" si="160"/>
        <v/>
      </c>
      <c r="IC14" s="57" t="str">
        <f t="shared" si="161"/>
        <v/>
      </c>
      <c r="ID14" s="57" t="str">
        <f t="shared" si="162"/>
        <v/>
      </c>
      <c r="IE14" s="57" t="str">
        <f t="shared" si="163"/>
        <v/>
      </c>
      <c r="IF14" s="57" t="str">
        <f t="shared" si="164"/>
        <v/>
      </c>
      <c r="IG14" s="57"/>
      <c r="IH14" s="55" t="str">
        <f t="shared" si="165"/>
        <v>menjelaskan skala melalui denah</v>
      </c>
      <c r="II14" s="59" t="str">
        <f>IF(GY14&gt;100,"",IF(GY14&gt;FQ$1,"sangat baik dalam "&amp;IH14,IF(GY14&gt;=FQ$2," baik dalam "&amp;IH14,IF(GY14&gt;=FQ$3,"cukup dalam "&amp;IH14,IF(GY14&lt;FQ$3,"dengan bimbingan dapat meningkatkan dalam "&amp;IH14,IF(GY14&lt;1," ",””))))))</f>
        <v>cukup dalam menjelaskan skala melalui denah</v>
      </c>
      <c r="IJ14" s="60"/>
      <c r="IK14" s="61" t="s">
        <v>201</v>
      </c>
      <c r="IL14" s="62" t="str">
        <f t="shared" si="166"/>
        <v>Ananda Indah cukup dalam menjelaskan dan melakukan penjumlahan dan pengurangan dua pecahan dengan penyebut berbeda, cukup dalam menjelaskan skala melalui denah.</v>
      </c>
      <c r="IM14" s="4" t="e">
        <f>CONCATENATE(IF(#REF!&gt;100,"  ",IF(#REF!&gt;95,"Sangat pandai "&amp;$B$45,IF(#REF!&gt;87,"Pandai "&amp;$B$45,IF(#REF!&gt;79,"Cukup pandai "&amp;$B$45,IF(#REF!&gt;71,"Menguasai dengan baik "&amp;$B$45,IF(#REF!&gt;62,"Perlu banyak latihan "&amp;$B$45,IF(#REF!&gt;0,"Perlu bimbingan "&amp;$B$45,IF(#REF!="","")))))))),IF(#REF!&gt;100,"  ",IF(#REF!&gt;95," Sangat pandai "&amp;$B$46,IF(#REF!&gt;87," Pandai "&amp;$B$46,IF(#REF!&gt;79," Cukup pandai "&amp;$B$46,IF(#REF!&gt;71," Menguasai dengan baik "&amp;$B$46,IF(#REF!&gt;62," Perlu banyak latihan "&amp;$B$46,IF(#REF!&gt;0," Perlu bimbingan "&amp;$B$46,IF(#REF!="","")))))))),IF(#REF!&gt;100,"  ",IF(#REF!&gt;95," Sangat pandai "&amp;$B$47,IF(#REF!&gt;87," Pandai "&amp;$B$47,IF(#REF!&gt;79," cukup pandai "&amp;$B$47,IF(#REF!&gt;71," Menguasai dengan baik "&amp;$B$47,IF(#REF!&gt;62," Perlu banyak latihan "&amp;$B$47,IF(#REF!&gt;0," Perlu bimbingan "&amp;$B$47,IF(#REF!="","")))))))),IF(#REF!&gt;100,"  ",IF(#REF!&gt;95," Sangat pandai "&amp;$B$48,IF(#REF!&gt;87," Pandai "&amp;$B$48,IF(#REF!&gt;79," Cukup pandai "&amp;$B$48,IF(#REF!&gt;71," Menguasai dengan baik "&amp;$B$48,IF(#REF!&gt;62," Perlu banyak latihan "&amp;$B$48,IF(#REF!&gt;0," Perlu bimbingan "&amp;$B$48,IF(#REF!="","")))))))),IF(#REF!&gt;100,"  ",IF(#REF!&gt;95," Sangat pandai "&amp;$B$49,IF(#REF!&gt;87," Pandai "&amp;$B$49,IF(#REF!&gt;79," Cukup pandai "&amp;$B$49,IF(#REF!&gt;71," Menguasai dengan baik "&amp;$B$49,IF(#REF!&gt;62," Perlu banyak latihan "&amp;$B$49,IF(#REF!&gt;0," Perlu bimbingan "&amp;$B$49,IF(#REF!="","")))))))),IF(#REF!&gt;100,"  ",IF(#REF!&gt;95," Sangat pandai "&amp;$B$50,IF(#REF!&gt;87," Pandai "&amp;$B$50,IF(#REF!&gt;79," Cukup pandai "&amp;$B$50,IF(#REF!&gt;71," Menguasai dengan baik "&amp;$B$50,IF(#REF!&gt;62," Perlu banyak latihan "&amp;$B$50,IF(#REF!&gt;0," Perlu bimbingan "&amp;$B$50,IF(#REF!="","")))))))),IF(#REF!&gt;100,"  ",IF(#REF!&gt;95," Sangat pandai "&amp;$B$51,IF(#REF!&gt;87," Pandai "&amp;$B$51,IF(#REF!&gt;79," Cukup pandai "&amp;$B$51,IF(#REF!&gt;71," Menguasai dengan baik "&amp;$B$51,IF(#REF!&gt;62," Perlu banyak latihan "&amp;$B$51,IF(#REF!&gt;0," Perlu bimbingan "&amp;$B$51,IF(#REF!="","")))))))))</f>
        <v>#REF!</v>
      </c>
    </row>
    <row r="15" spans="1:247" ht="30">
      <c r="A15" s="39">
        <v>8</v>
      </c>
      <c r="B15" s="283" t="str">
        <f>SISWA!B13</f>
        <v>Muhammad Ilham Sarifuddin</v>
      </c>
      <c r="C15" s="123">
        <v>75</v>
      </c>
      <c r="D15" s="123">
        <v>80</v>
      </c>
      <c r="E15" s="123">
        <v>87</v>
      </c>
      <c r="F15" s="123">
        <v>75</v>
      </c>
      <c r="G15" s="123"/>
      <c r="H15" s="123"/>
      <c r="I15" s="123"/>
      <c r="J15" s="123"/>
      <c r="K15" s="123"/>
      <c r="L15" s="123"/>
      <c r="M15" s="123"/>
      <c r="N15" s="123"/>
      <c r="O15" s="123"/>
      <c r="P15" s="256">
        <v>97</v>
      </c>
      <c r="Q15" s="256">
        <v>87</v>
      </c>
      <c r="R15" s="256">
        <v>75</v>
      </c>
      <c r="S15" s="256">
        <v>80</v>
      </c>
      <c r="T15" s="256"/>
      <c r="U15" s="256"/>
      <c r="V15" s="256"/>
      <c r="W15" s="256"/>
      <c r="X15" s="256"/>
      <c r="Y15" s="256"/>
      <c r="Z15" s="256"/>
      <c r="AA15" s="256"/>
      <c r="AB15" s="256"/>
      <c r="AC15" s="683"/>
      <c r="AD15" s="683"/>
      <c r="AE15" s="683"/>
      <c r="AF15" s="683"/>
      <c r="AG15" s="683"/>
      <c r="AH15" s="683"/>
      <c r="AI15" s="683"/>
      <c r="AJ15" s="683"/>
      <c r="AK15" s="683"/>
      <c r="AL15" s="683"/>
      <c r="AM15" s="683"/>
      <c r="AN15" s="683"/>
      <c r="AO15" s="683"/>
      <c r="AP15" s="680"/>
      <c r="AQ15" s="680"/>
      <c r="AR15" s="680"/>
      <c r="AS15" s="680"/>
      <c r="AT15" s="680"/>
      <c r="AU15" s="680"/>
      <c r="AV15" s="680"/>
      <c r="AW15" s="680"/>
      <c r="AX15" s="680"/>
      <c r="AY15" s="680"/>
      <c r="AZ15" s="680"/>
      <c r="BA15" s="680"/>
      <c r="BB15" s="680"/>
      <c r="BC15" s="683"/>
      <c r="BD15" s="683"/>
      <c r="BE15" s="683"/>
      <c r="BF15" s="683"/>
      <c r="BG15" s="683"/>
      <c r="BH15" s="683"/>
      <c r="BI15" s="683"/>
      <c r="BJ15" s="683"/>
      <c r="BK15" s="683"/>
      <c r="BL15" s="683"/>
      <c r="BM15" s="683"/>
      <c r="BN15" s="683"/>
      <c r="BO15" s="683"/>
      <c r="BP15" s="680"/>
      <c r="BQ15" s="680"/>
      <c r="BR15" s="680"/>
      <c r="BS15" s="680"/>
      <c r="BT15" s="680"/>
      <c r="BU15" s="680"/>
      <c r="BV15" s="680"/>
      <c r="BW15" s="680"/>
      <c r="BX15" s="680"/>
      <c r="BY15" s="680"/>
      <c r="BZ15" s="680"/>
      <c r="CA15" s="680"/>
      <c r="CB15" s="680"/>
      <c r="CC15" s="683"/>
      <c r="CD15" s="683"/>
      <c r="CE15" s="683"/>
      <c r="CF15" s="683"/>
      <c r="CG15" s="683"/>
      <c r="CH15" s="683"/>
      <c r="CI15" s="683"/>
      <c r="CJ15" s="683"/>
      <c r="CK15" s="683"/>
      <c r="CL15" s="683"/>
      <c r="CM15" s="683"/>
      <c r="CN15" s="683"/>
      <c r="CO15" s="683"/>
      <c r="CP15" s="680"/>
      <c r="CQ15" s="680"/>
      <c r="CR15" s="680"/>
      <c r="CS15" s="680"/>
      <c r="CT15" s="680"/>
      <c r="CU15" s="680"/>
      <c r="CV15" s="680"/>
      <c r="CW15" s="680"/>
      <c r="CX15" s="680"/>
      <c r="CY15" s="681"/>
      <c r="CZ15" s="681"/>
      <c r="DA15" s="681"/>
      <c r="DB15" s="681"/>
      <c r="DC15" s="682"/>
      <c r="DD15" s="682"/>
      <c r="DE15" s="682"/>
      <c r="DF15" s="682"/>
      <c r="DG15" s="682"/>
      <c r="DH15" s="682"/>
      <c r="DI15" s="682"/>
      <c r="DJ15" s="682"/>
      <c r="DK15" s="682"/>
      <c r="DL15" s="682"/>
      <c r="DM15" s="682"/>
      <c r="DN15" s="682"/>
      <c r="DO15" s="682"/>
      <c r="DP15" s="681"/>
      <c r="DQ15" s="681"/>
      <c r="DR15" s="681"/>
      <c r="DS15" s="681"/>
      <c r="DT15" s="681"/>
      <c r="DU15" s="681"/>
      <c r="DV15" s="681"/>
      <c r="DW15" s="681"/>
      <c r="DX15" s="681"/>
      <c r="DY15" s="681"/>
      <c r="DZ15" s="681"/>
      <c r="EA15" s="681"/>
      <c r="EB15" s="681"/>
      <c r="EC15" s="260">
        <f t="shared" si="91"/>
        <v>86</v>
      </c>
      <c r="ED15" s="260">
        <f t="shared" si="92"/>
        <v>83.5</v>
      </c>
      <c r="EE15" s="260">
        <f t="shared" si="93"/>
        <v>81</v>
      </c>
      <c r="EF15" s="260">
        <f t="shared" si="94"/>
        <v>77.5</v>
      </c>
      <c r="EG15" s="260" t="str">
        <f t="shared" si="95"/>
        <v xml:space="preserve"> </v>
      </c>
      <c r="EH15" s="260" t="str">
        <f t="shared" si="96"/>
        <v xml:space="preserve"> </v>
      </c>
      <c r="EI15" s="260" t="str">
        <f t="shared" si="97"/>
        <v xml:space="preserve"> </v>
      </c>
      <c r="EJ15" s="260" t="str">
        <f t="shared" si="98"/>
        <v xml:space="preserve"> </v>
      </c>
      <c r="EK15" s="260" t="str">
        <f t="shared" si="99"/>
        <v xml:space="preserve"> </v>
      </c>
      <c r="EL15" s="260" t="str">
        <f t="shared" si="100"/>
        <v xml:space="preserve"> </v>
      </c>
      <c r="EM15" s="260" t="str">
        <f t="shared" si="101"/>
        <v xml:space="preserve"> </v>
      </c>
      <c r="EN15" s="260" t="str">
        <f t="shared" si="102"/>
        <v xml:space="preserve"> </v>
      </c>
      <c r="EO15" s="260" t="str">
        <f t="shared" si="103"/>
        <v xml:space="preserve"> </v>
      </c>
      <c r="EP15" s="547">
        <v>75</v>
      </c>
      <c r="EQ15" s="547">
        <v>75</v>
      </c>
      <c r="ER15" s="547"/>
      <c r="ES15" s="547"/>
      <c r="ET15" s="547"/>
      <c r="EU15" s="547"/>
      <c r="EV15" s="547"/>
      <c r="EW15" s="547"/>
      <c r="EX15" s="547"/>
      <c r="EY15" s="547"/>
      <c r="EZ15" s="547"/>
      <c r="FA15" s="547"/>
      <c r="FB15" s="547"/>
      <c r="FC15" s="560">
        <v>75</v>
      </c>
      <c r="FD15" s="560">
        <v>75</v>
      </c>
      <c r="FE15" s="560">
        <v>75</v>
      </c>
      <c r="FF15" s="560">
        <v>75</v>
      </c>
      <c r="FG15" s="560"/>
      <c r="FH15" s="560"/>
      <c r="FI15" s="560"/>
      <c r="FJ15" s="560"/>
      <c r="FK15" s="560"/>
      <c r="FL15" s="560"/>
      <c r="FM15" s="560"/>
      <c r="FN15" s="560"/>
      <c r="FO15" s="560"/>
      <c r="FP15" s="549">
        <f t="shared" si="104"/>
        <v>79</v>
      </c>
      <c r="FQ15" s="291" t="str">
        <f t="shared" si="105"/>
        <v>C</v>
      </c>
      <c r="FR15" s="50" t="str">
        <f t="shared" si="106"/>
        <v>Ananda Ilham cukup dalam menjelaskan dan melakukan penjumlahan dan pengurangan dua pecahan dengan penyebut berbeda, cukup dalam menjelaskan skala melalui denah.</v>
      </c>
      <c r="FS15" s="282"/>
      <c r="FT15" s="51"/>
      <c r="FU15" s="46">
        <f t="shared" si="107"/>
        <v>86</v>
      </c>
      <c r="FV15" s="46">
        <f t="shared" si="108"/>
        <v>83.5</v>
      </c>
      <c r="FW15" s="46">
        <f t="shared" si="109"/>
        <v>81</v>
      </c>
      <c r="FX15" s="46">
        <f t="shared" si="110"/>
        <v>77.5</v>
      </c>
      <c r="FY15" s="46" t="str">
        <f t="shared" si="111"/>
        <v xml:space="preserve"> </v>
      </c>
      <c r="FZ15" s="46" t="str">
        <f t="shared" si="112"/>
        <v xml:space="preserve"> </v>
      </c>
      <c r="GA15" s="46" t="str">
        <f t="shared" si="113"/>
        <v xml:space="preserve"> </v>
      </c>
      <c r="GB15" s="46" t="str">
        <f t="shared" si="114"/>
        <v xml:space="preserve"> </v>
      </c>
      <c r="GC15" s="46" t="str">
        <f t="shared" si="115"/>
        <v xml:space="preserve"> </v>
      </c>
      <c r="GD15" s="46" t="str">
        <f t="shared" si="116"/>
        <v xml:space="preserve"> </v>
      </c>
      <c r="GE15" s="46" t="str">
        <f t="shared" si="117"/>
        <v xml:space="preserve"> </v>
      </c>
      <c r="GF15" s="46" t="str">
        <f t="shared" si="118"/>
        <v xml:space="preserve"> </v>
      </c>
      <c r="GG15" s="46" t="str">
        <f t="shared" si="119"/>
        <v xml:space="preserve"> </v>
      </c>
      <c r="GH15" s="46"/>
      <c r="GI15" s="53">
        <f t="shared" si="120"/>
        <v>80.5</v>
      </c>
      <c r="GJ15" s="53">
        <f t="shared" si="121"/>
        <v>79.25</v>
      </c>
      <c r="GK15" s="53">
        <f t="shared" si="122"/>
        <v>79</v>
      </c>
      <c r="GL15" s="53">
        <f t="shared" si="123"/>
        <v>76.666666666666671</v>
      </c>
      <c r="GM15" s="53" t="str">
        <f t="shared" si="124"/>
        <v xml:space="preserve">  </v>
      </c>
      <c r="GN15" s="53" t="str">
        <f t="shared" si="125"/>
        <v xml:space="preserve">  </v>
      </c>
      <c r="GO15" s="53" t="str">
        <f t="shared" si="126"/>
        <v xml:space="preserve">  </v>
      </c>
      <c r="GP15" s="53" t="str">
        <f t="shared" si="127"/>
        <v xml:space="preserve">  </v>
      </c>
      <c r="GQ15" s="53" t="str">
        <f t="shared" si="128"/>
        <v xml:space="preserve">  </v>
      </c>
      <c r="GR15" s="53" t="str">
        <f t="shared" si="129"/>
        <v xml:space="preserve">  </v>
      </c>
      <c r="GS15" s="53" t="str">
        <f t="shared" si="130"/>
        <v xml:space="preserve">  </v>
      </c>
      <c r="GT15" s="53" t="str">
        <f t="shared" si="131"/>
        <v xml:space="preserve">  </v>
      </c>
      <c r="GU15" s="53" t="str">
        <f t="shared" si="132"/>
        <v xml:space="preserve">  </v>
      </c>
      <c r="GV15" s="54">
        <f t="shared" si="133"/>
        <v>79</v>
      </c>
      <c r="GW15" s="51"/>
      <c r="GX15" s="351">
        <f t="shared" si="134"/>
        <v>80.5</v>
      </c>
      <c r="GY15" s="351">
        <f t="shared" si="135"/>
        <v>76.666666666666671</v>
      </c>
      <c r="GZ15" s="51" t="str">
        <f>SISWA!E13</f>
        <v>Ilham</v>
      </c>
      <c r="HA15" s="51" t="str">
        <f t="shared" si="136"/>
        <v xml:space="preserve">Ananda Ilham </v>
      </c>
      <c r="HB15" s="56">
        <f t="shared" si="137"/>
        <v>80.5</v>
      </c>
      <c r="HC15" s="56" t="str">
        <f t="shared" si="138"/>
        <v/>
      </c>
      <c r="HD15" s="56" t="str">
        <f t="shared" si="139"/>
        <v/>
      </c>
      <c r="HE15" s="56" t="str">
        <f t="shared" si="140"/>
        <v/>
      </c>
      <c r="HF15" s="56" t="str">
        <f t="shared" si="141"/>
        <v/>
      </c>
      <c r="HG15" s="56" t="str">
        <f t="shared" si="142"/>
        <v/>
      </c>
      <c r="HH15" s="56" t="str">
        <f t="shared" si="143"/>
        <v/>
      </c>
      <c r="HI15" s="56" t="str">
        <f t="shared" si="144"/>
        <v/>
      </c>
      <c r="HJ15" s="56" t="str">
        <f t="shared" si="145"/>
        <v/>
      </c>
      <c r="HK15" s="56" t="str">
        <f t="shared" si="146"/>
        <v/>
      </c>
      <c r="HL15" s="56" t="str">
        <f t="shared" si="147"/>
        <v/>
      </c>
      <c r="HM15" s="56" t="str">
        <f t="shared" si="148"/>
        <v/>
      </c>
      <c r="HN15" s="56" t="str">
        <f t="shared" si="149"/>
        <v/>
      </c>
      <c r="HO15" s="58">
        <f t="shared" si="150"/>
        <v>80.5</v>
      </c>
      <c r="HP15" s="55" t="str">
        <f t="shared" si="151"/>
        <v>menjelaskan dan melakukan penjumlahan dan pengurangan dua pecahan dengan penyebut berbeda</v>
      </c>
      <c r="HQ15" s="58"/>
      <c r="HR15" s="59" t="str">
        <f>IF(GX15&gt;100,"",IF(GX15&gt;FQ$1,"sangat baik dalam "&amp;HP15,IF(GX15&gt;=FQ$2," baik dalam "&amp;HP15,IF(GX15&gt;=FQ$3,"cukup dalam "&amp;HP15,IF(GX15&lt;FQ$3,"dengan bimbingan dapat meningkatkan dalam "&amp;HP15,IF(GX15&lt;1," ",””))))))</f>
        <v>cukup dalam menjelaskan dan melakukan penjumlahan dan pengurangan dua pecahan dengan penyebut berbeda</v>
      </c>
      <c r="HS15" s="58"/>
      <c r="HT15" s="57" t="str">
        <f t="shared" si="152"/>
        <v/>
      </c>
      <c r="HU15" s="57" t="str">
        <f t="shared" si="153"/>
        <v/>
      </c>
      <c r="HV15" s="57" t="str">
        <f t="shared" si="154"/>
        <v/>
      </c>
      <c r="HW15" s="57">
        <f t="shared" si="155"/>
        <v>76.666666666666671</v>
      </c>
      <c r="HX15" s="57" t="str">
        <f t="shared" si="156"/>
        <v/>
      </c>
      <c r="HY15" s="57" t="str">
        <f t="shared" si="157"/>
        <v/>
      </c>
      <c r="HZ15" s="57" t="str">
        <f t="shared" si="158"/>
        <v/>
      </c>
      <c r="IA15" s="57" t="str">
        <f t="shared" si="159"/>
        <v/>
      </c>
      <c r="IB15" s="57" t="str">
        <f t="shared" si="160"/>
        <v/>
      </c>
      <c r="IC15" s="57" t="str">
        <f t="shared" si="161"/>
        <v/>
      </c>
      <c r="ID15" s="57" t="str">
        <f t="shared" si="162"/>
        <v/>
      </c>
      <c r="IE15" s="57" t="str">
        <f t="shared" si="163"/>
        <v/>
      </c>
      <c r="IF15" s="57" t="str">
        <f t="shared" si="164"/>
        <v/>
      </c>
      <c r="IG15" s="57"/>
      <c r="IH15" s="55" t="str">
        <f t="shared" si="165"/>
        <v>menjelaskan skala melalui denah</v>
      </c>
      <c r="II15" s="59" t="str">
        <f>IF(GY15&gt;100,"",IF(GY15&gt;FQ$1,"sangat baik dalam "&amp;IH15,IF(GY15&gt;=FQ$2," baik dalam "&amp;IH15,IF(GY15&gt;=FQ$3,"cukup dalam "&amp;IH15,IF(GY15&lt;FQ$3,"dengan bimbingan dapat meningkatkan dalam "&amp;IH15,IF(GY15&lt;1," ",””))))))</f>
        <v>cukup dalam menjelaskan skala melalui denah</v>
      </c>
      <c r="IJ15" s="60"/>
      <c r="IK15" s="61" t="s">
        <v>201</v>
      </c>
      <c r="IL15" s="62" t="str">
        <f t="shared" si="166"/>
        <v>Ananda Ilham cukup dalam menjelaskan dan melakukan penjumlahan dan pengurangan dua pecahan dengan penyebut berbeda, cukup dalam menjelaskan skala melalui denah.</v>
      </c>
      <c r="IM15" s="4" t="e">
        <f>CONCATENATE(IF(#REF!&gt;100,"  ",IF(#REF!&gt;95,"Sangat pandai "&amp;$B$45,IF(#REF!&gt;87,"Pandai "&amp;$B$45,IF(#REF!&gt;79,"Cukup pandai "&amp;$B$45,IF(#REF!&gt;71,"Menguasai dengan baik "&amp;$B$45,IF(#REF!&gt;62,"Perlu banyak latihan "&amp;$B$45,IF(#REF!&gt;0,"Perlu bimbingan "&amp;$B$45,IF(#REF!="","")))))))),IF(#REF!&gt;100,"  ",IF(#REF!&gt;95," Sangat pandai "&amp;$B$46,IF(#REF!&gt;87," Pandai "&amp;$B$46,IF(#REF!&gt;79," Cukup pandai "&amp;$B$46,IF(#REF!&gt;71," Menguasai dengan baik "&amp;$B$46,IF(#REF!&gt;62," Perlu banyak latihan "&amp;$B$46,IF(#REF!&gt;0," Perlu bimbingan "&amp;$B$46,IF(#REF!="","")))))))),IF(#REF!&gt;100,"  ",IF(#REF!&gt;95," Sangat pandai "&amp;$B$47,IF(#REF!&gt;87," Pandai "&amp;$B$47,IF(#REF!&gt;79," cukup pandai "&amp;$B$47,IF(#REF!&gt;71," Menguasai dengan baik "&amp;$B$47,IF(#REF!&gt;62," Perlu banyak latihan "&amp;$B$47,IF(#REF!&gt;0," Perlu bimbingan "&amp;$B$47,IF(#REF!="","")))))))),IF(#REF!&gt;100,"  ",IF(#REF!&gt;95," Sangat pandai "&amp;$B$48,IF(#REF!&gt;87," Pandai "&amp;$B$48,IF(#REF!&gt;79," Cukup pandai "&amp;$B$48,IF(#REF!&gt;71," Menguasai dengan baik "&amp;$B$48,IF(#REF!&gt;62," Perlu banyak latihan "&amp;$B$48,IF(#REF!&gt;0," Perlu bimbingan "&amp;$B$48,IF(#REF!="","")))))))),IF(#REF!&gt;100,"  ",IF(#REF!&gt;95," Sangat pandai "&amp;$B$49,IF(#REF!&gt;87," Pandai "&amp;$B$49,IF(#REF!&gt;79," Cukup pandai "&amp;$B$49,IF(#REF!&gt;71," Menguasai dengan baik "&amp;$B$49,IF(#REF!&gt;62," Perlu banyak latihan "&amp;$B$49,IF(#REF!&gt;0," Perlu bimbingan "&amp;$B$49,IF(#REF!="","")))))))),IF(#REF!&gt;100,"  ",IF(#REF!&gt;95," Sangat pandai "&amp;$B$50,IF(#REF!&gt;87," Pandai "&amp;$B$50,IF(#REF!&gt;79," Cukup pandai "&amp;$B$50,IF(#REF!&gt;71," Menguasai dengan baik "&amp;$B$50,IF(#REF!&gt;62," Perlu banyak latihan "&amp;$B$50,IF(#REF!&gt;0," Perlu bimbingan "&amp;$B$50,IF(#REF!="","")))))))),IF(#REF!&gt;100,"  ",IF(#REF!&gt;95," Sangat pandai "&amp;$B$51,IF(#REF!&gt;87," Pandai "&amp;$B$51,IF(#REF!&gt;79," Cukup pandai "&amp;$B$51,IF(#REF!&gt;71," Menguasai dengan baik "&amp;$B$51,IF(#REF!&gt;62," Perlu banyak latihan "&amp;$B$51,IF(#REF!&gt;0," Perlu bimbingan "&amp;$B$51,IF(#REF!="","")))))))))</f>
        <v>#REF!</v>
      </c>
    </row>
    <row r="16" spans="1:247" ht="45">
      <c r="A16" s="39">
        <v>9</v>
      </c>
      <c r="B16" s="283" t="str">
        <f>SISWA!B14</f>
        <v>Muhammad Raditya Ainul Yaqin</v>
      </c>
      <c r="C16" s="123">
        <v>75</v>
      </c>
      <c r="D16" s="123">
        <v>80</v>
      </c>
      <c r="E16" s="123">
        <v>75</v>
      </c>
      <c r="F16" s="123">
        <v>87</v>
      </c>
      <c r="G16" s="123"/>
      <c r="H16" s="123"/>
      <c r="I16" s="123"/>
      <c r="J16" s="123"/>
      <c r="K16" s="123"/>
      <c r="L16" s="123"/>
      <c r="M16" s="123"/>
      <c r="N16" s="123"/>
      <c r="O16" s="123"/>
      <c r="P16" s="256">
        <v>100</v>
      </c>
      <c r="Q16" s="256">
        <v>87</v>
      </c>
      <c r="R16" s="256">
        <v>75</v>
      </c>
      <c r="S16" s="256">
        <v>80</v>
      </c>
      <c r="T16" s="256"/>
      <c r="U16" s="256"/>
      <c r="V16" s="256"/>
      <c r="W16" s="256"/>
      <c r="X16" s="256"/>
      <c r="Y16" s="256"/>
      <c r="Z16" s="256"/>
      <c r="AA16" s="256"/>
      <c r="AB16" s="256"/>
      <c r="AC16" s="683"/>
      <c r="AD16" s="683"/>
      <c r="AE16" s="683"/>
      <c r="AF16" s="683"/>
      <c r="AG16" s="683"/>
      <c r="AH16" s="683"/>
      <c r="AI16" s="683"/>
      <c r="AJ16" s="683"/>
      <c r="AK16" s="683"/>
      <c r="AL16" s="683"/>
      <c r="AM16" s="683"/>
      <c r="AN16" s="683"/>
      <c r="AO16" s="683"/>
      <c r="AP16" s="680"/>
      <c r="AQ16" s="680"/>
      <c r="AR16" s="680"/>
      <c r="AS16" s="680"/>
      <c r="AT16" s="680"/>
      <c r="AU16" s="680"/>
      <c r="AV16" s="680"/>
      <c r="AW16" s="680"/>
      <c r="AX16" s="680"/>
      <c r="AY16" s="680"/>
      <c r="AZ16" s="680"/>
      <c r="BA16" s="680"/>
      <c r="BB16" s="680"/>
      <c r="BC16" s="683"/>
      <c r="BD16" s="683"/>
      <c r="BE16" s="683"/>
      <c r="BF16" s="683"/>
      <c r="BG16" s="683"/>
      <c r="BH16" s="683"/>
      <c r="BI16" s="683"/>
      <c r="BJ16" s="683"/>
      <c r="BK16" s="683"/>
      <c r="BL16" s="683"/>
      <c r="BM16" s="683"/>
      <c r="BN16" s="683"/>
      <c r="BO16" s="683"/>
      <c r="BP16" s="680"/>
      <c r="BQ16" s="680"/>
      <c r="BR16" s="680"/>
      <c r="BS16" s="680"/>
      <c r="BT16" s="680"/>
      <c r="BU16" s="680"/>
      <c r="BV16" s="680"/>
      <c r="BW16" s="680"/>
      <c r="BX16" s="680"/>
      <c r="BY16" s="680"/>
      <c r="BZ16" s="680"/>
      <c r="CA16" s="680"/>
      <c r="CB16" s="680"/>
      <c r="CC16" s="683"/>
      <c r="CD16" s="683"/>
      <c r="CE16" s="683"/>
      <c r="CF16" s="683"/>
      <c r="CG16" s="683"/>
      <c r="CH16" s="683"/>
      <c r="CI16" s="683"/>
      <c r="CJ16" s="683"/>
      <c r="CK16" s="683"/>
      <c r="CL16" s="683"/>
      <c r="CM16" s="683"/>
      <c r="CN16" s="683"/>
      <c r="CO16" s="683"/>
      <c r="CP16" s="680"/>
      <c r="CQ16" s="680"/>
      <c r="CR16" s="680"/>
      <c r="CS16" s="680"/>
      <c r="CT16" s="680"/>
      <c r="CU16" s="680"/>
      <c r="CV16" s="680"/>
      <c r="CW16" s="680"/>
      <c r="CX16" s="680"/>
      <c r="CY16" s="681"/>
      <c r="CZ16" s="681"/>
      <c r="DA16" s="681"/>
      <c r="DB16" s="681"/>
      <c r="DC16" s="682"/>
      <c r="DD16" s="682"/>
      <c r="DE16" s="682"/>
      <c r="DF16" s="682"/>
      <c r="DG16" s="682"/>
      <c r="DH16" s="682"/>
      <c r="DI16" s="682"/>
      <c r="DJ16" s="682"/>
      <c r="DK16" s="682"/>
      <c r="DL16" s="682"/>
      <c r="DM16" s="682"/>
      <c r="DN16" s="682"/>
      <c r="DO16" s="682"/>
      <c r="DP16" s="681"/>
      <c r="DQ16" s="681"/>
      <c r="DR16" s="681"/>
      <c r="DS16" s="681"/>
      <c r="DT16" s="681"/>
      <c r="DU16" s="681"/>
      <c r="DV16" s="681"/>
      <c r="DW16" s="681"/>
      <c r="DX16" s="681"/>
      <c r="DY16" s="681"/>
      <c r="DZ16" s="681"/>
      <c r="EA16" s="681"/>
      <c r="EB16" s="681"/>
      <c r="EC16" s="260">
        <f t="shared" si="91"/>
        <v>87.5</v>
      </c>
      <c r="ED16" s="260">
        <f t="shared" si="92"/>
        <v>83.5</v>
      </c>
      <c r="EE16" s="260">
        <f t="shared" si="93"/>
        <v>75</v>
      </c>
      <c r="EF16" s="260">
        <f t="shared" si="94"/>
        <v>83.5</v>
      </c>
      <c r="EG16" s="260" t="str">
        <f t="shared" si="95"/>
        <v xml:space="preserve"> </v>
      </c>
      <c r="EH16" s="260" t="str">
        <f t="shared" si="96"/>
        <v xml:space="preserve"> </v>
      </c>
      <c r="EI16" s="260" t="str">
        <f t="shared" si="97"/>
        <v xml:space="preserve"> </v>
      </c>
      <c r="EJ16" s="260" t="str">
        <f t="shared" si="98"/>
        <v xml:space="preserve"> </v>
      </c>
      <c r="EK16" s="260" t="str">
        <f t="shared" si="99"/>
        <v xml:space="preserve"> </v>
      </c>
      <c r="EL16" s="260" t="str">
        <f t="shared" si="100"/>
        <v xml:space="preserve"> </v>
      </c>
      <c r="EM16" s="260" t="str">
        <f t="shared" si="101"/>
        <v xml:space="preserve"> </v>
      </c>
      <c r="EN16" s="260" t="str">
        <f t="shared" si="102"/>
        <v xml:space="preserve"> </v>
      </c>
      <c r="EO16" s="260" t="str">
        <f t="shared" si="103"/>
        <v xml:space="preserve"> </v>
      </c>
      <c r="EP16" s="547">
        <v>75</v>
      </c>
      <c r="EQ16" s="547">
        <v>76</v>
      </c>
      <c r="ER16" s="547"/>
      <c r="ES16" s="547"/>
      <c r="ET16" s="547"/>
      <c r="EU16" s="547"/>
      <c r="EV16" s="547"/>
      <c r="EW16" s="547"/>
      <c r="EX16" s="547"/>
      <c r="EY16" s="547"/>
      <c r="EZ16" s="547"/>
      <c r="FA16" s="547"/>
      <c r="FB16" s="547"/>
      <c r="FC16" s="560">
        <v>75</v>
      </c>
      <c r="FD16" s="560">
        <v>75</v>
      </c>
      <c r="FE16" s="560">
        <v>75</v>
      </c>
      <c r="FF16" s="560">
        <v>75</v>
      </c>
      <c r="FG16" s="560"/>
      <c r="FH16" s="560"/>
      <c r="FI16" s="560"/>
      <c r="FJ16" s="560"/>
      <c r="FK16" s="560"/>
      <c r="FL16" s="560"/>
      <c r="FM16" s="560"/>
      <c r="FN16" s="560"/>
      <c r="FO16" s="560"/>
      <c r="FP16" s="549">
        <f t="shared" si="104"/>
        <v>79</v>
      </c>
      <c r="FQ16" s="291" t="str">
        <f t="shared" si="105"/>
        <v>C</v>
      </c>
      <c r="FR16" s="50" t="str">
        <f t="shared" si="106"/>
        <v>Ananda Radit cukup dalam menjelaskan dan melakukan penjumlahan dan pengurangan dua pecahan dengan penyebut berbeda, cukup dalam menjelaskan perbandingan dua besaran yang berbeda (kecepatan sebagai perbandingan jarak dengan waktu, debit sebagai perbandingan volume dan waktu).</v>
      </c>
      <c r="FS16" s="282"/>
      <c r="FT16" s="51"/>
      <c r="FU16" s="46">
        <f t="shared" si="107"/>
        <v>87.5</v>
      </c>
      <c r="FV16" s="46">
        <f t="shared" si="108"/>
        <v>83.5</v>
      </c>
      <c r="FW16" s="46">
        <f t="shared" si="109"/>
        <v>75</v>
      </c>
      <c r="FX16" s="46">
        <f t="shared" si="110"/>
        <v>83.5</v>
      </c>
      <c r="FY16" s="46" t="str">
        <f t="shared" si="111"/>
        <v xml:space="preserve"> </v>
      </c>
      <c r="FZ16" s="46" t="str">
        <f t="shared" si="112"/>
        <v xml:space="preserve"> </v>
      </c>
      <c r="GA16" s="46" t="str">
        <f t="shared" si="113"/>
        <v xml:space="preserve"> </v>
      </c>
      <c r="GB16" s="46" t="str">
        <f t="shared" si="114"/>
        <v xml:space="preserve"> </v>
      </c>
      <c r="GC16" s="46" t="str">
        <f t="shared" si="115"/>
        <v xml:space="preserve"> </v>
      </c>
      <c r="GD16" s="46" t="str">
        <f t="shared" si="116"/>
        <v xml:space="preserve"> </v>
      </c>
      <c r="GE16" s="46" t="str">
        <f t="shared" si="117"/>
        <v xml:space="preserve"> </v>
      </c>
      <c r="GF16" s="46" t="str">
        <f t="shared" si="118"/>
        <v xml:space="preserve"> </v>
      </c>
      <c r="GG16" s="46" t="str">
        <f t="shared" si="119"/>
        <v xml:space="preserve"> </v>
      </c>
      <c r="GH16" s="46"/>
      <c r="GI16" s="53">
        <f t="shared" si="120"/>
        <v>81.25</v>
      </c>
      <c r="GJ16" s="53">
        <f t="shared" si="121"/>
        <v>79.5</v>
      </c>
      <c r="GK16" s="53">
        <f t="shared" si="122"/>
        <v>75</v>
      </c>
      <c r="GL16" s="53">
        <f t="shared" si="123"/>
        <v>80.666666666666671</v>
      </c>
      <c r="GM16" s="53" t="str">
        <f t="shared" si="124"/>
        <v xml:space="preserve">  </v>
      </c>
      <c r="GN16" s="53" t="str">
        <f t="shared" si="125"/>
        <v xml:space="preserve">  </v>
      </c>
      <c r="GO16" s="53" t="str">
        <f t="shared" si="126"/>
        <v xml:space="preserve">  </v>
      </c>
      <c r="GP16" s="53" t="str">
        <f t="shared" si="127"/>
        <v xml:space="preserve">  </v>
      </c>
      <c r="GQ16" s="53" t="str">
        <f t="shared" si="128"/>
        <v xml:space="preserve">  </v>
      </c>
      <c r="GR16" s="53" t="str">
        <f t="shared" si="129"/>
        <v xml:space="preserve">  </v>
      </c>
      <c r="GS16" s="53" t="str">
        <f t="shared" si="130"/>
        <v xml:space="preserve">  </v>
      </c>
      <c r="GT16" s="53" t="str">
        <f t="shared" si="131"/>
        <v xml:space="preserve">  </v>
      </c>
      <c r="GU16" s="53" t="str">
        <f t="shared" si="132"/>
        <v xml:space="preserve">  </v>
      </c>
      <c r="GV16" s="54">
        <f t="shared" si="133"/>
        <v>79</v>
      </c>
      <c r="GW16" s="51"/>
      <c r="GX16" s="351">
        <f t="shared" si="134"/>
        <v>81.25</v>
      </c>
      <c r="GY16" s="351">
        <f t="shared" si="135"/>
        <v>75</v>
      </c>
      <c r="GZ16" s="51" t="str">
        <f>SISWA!E14</f>
        <v>Radit</v>
      </c>
      <c r="HA16" s="51" t="str">
        <f t="shared" si="136"/>
        <v xml:space="preserve">Ananda Radit </v>
      </c>
      <c r="HB16" s="56">
        <f t="shared" si="137"/>
        <v>81.25</v>
      </c>
      <c r="HC16" s="56" t="str">
        <f t="shared" si="138"/>
        <v/>
      </c>
      <c r="HD16" s="56" t="str">
        <f t="shared" si="139"/>
        <v/>
      </c>
      <c r="HE16" s="56" t="str">
        <f t="shared" si="140"/>
        <v/>
      </c>
      <c r="HF16" s="56" t="str">
        <f t="shared" si="141"/>
        <v/>
      </c>
      <c r="HG16" s="56" t="str">
        <f t="shared" si="142"/>
        <v/>
      </c>
      <c r="HH16" s="56" t="str">
        <f t="shared" si="143"/>
        <v/>
      </c>
      <c r="HI16" s="56" t="str">
        <f t="shared" si="144"/>
        <v/>
      </c>
      <c r="HJ16" s="56" t="str">
        <f t="shared" si="145"/>
        <v/>
      </c>
      <c r="HK16" s="56" t="str">
        <f t="shared" si="146"/>
        <v/>
      </c>
      <c r="HL16" s="56" t="str">
        <f t="shared" si="147"/>
        <v/>
      </c>
      <c r="HM16" s="56" t="str">
        <f t="shared" si="148"/>
        <v/>
      </c>
      <c r="HN16" s="56" t="str">
        <f t="shared" si="149"/>
        <v/>
      </c>
      <c r="HO16" s="58">
        <f t="shared" si="150"/>
        <v>81.25</v>
      </c>
      <c r="HP16" s="55" t="str">
        <f t="shared" si="151"/>
        <v>menjelaskan dan melakukan penjumlahan dan pengurangan dua pecahan dengan penyebut berbeda</v>
      </c>
      <c r="HQ16" s="58"/>
      <c r="HR16" s="59" t="str">
        <f>IF(GX16&gt;100,"",IF(GX16&gt;FQ$1,"sangat baik dalam "&amp;HP16,IF(GX16&gt;=FQ$2," baik dalam "&amp;HP16,IF(GX16&gt;=FQ$3,"cukup dalam "&amp;HP16,IF(GX16&lt;FQ$3,"dengan bimbingan dapat meningkatkan dalam "&amp;HP16,IF(GX16&lt;1," ",””))))))</f>
        <v>cukup dalam menjelaskan dan melakukan penjumlahan dan pengurangan dua pecahan dengan penyebut berbeda</v>
      </c>
      <c r="HS16" s="58"/>
      <c r="HT16" s="57" t="str">
        <f t="shared" si="152"/>
        <v/>
      </c>
      <c r="HU16" s="57" t="str">
        <f t="shared" si="153"/>
        <v/>
      </c>
      <c r="HV16" s="57">
        <f t="shared" si="154"/>
        <v>75</v>
      </c>
      <c r="HW16" s="57" t="str">
        <f t="shared" si="155"/>
        <v/>
      </c>
      <c r="HX16" s="57" t="str">
        <f t="shared" si="156"/>
        <v/>
      </c>
      <c r="HY16" s="57" t="str">
        <f t="shared" si="157"/>
        <v/>
      </c>
      <c r="HZ16" s="57" t="str">
        <f t="shared" si="158"/>
        <v/>
      </c>
      <c r="IA16" s="57" t="str">
        <f t="shared" si="159"/>
        <v/>
      </c>
      <c r="IB16" s="57" t="str">
        <f t="shared" si="160"/>
        <v/>
      </c>
      <c r="IC16" s="57" t="str">
        <f t="shared" si="161"/>
        <v/>
      </c>
      <c r="ID16" s="57" t="str">
        <f t="shared" si="162"/>
        <v/>
      </c>
      <c r="IE16" s="57" t="str">
        <f t="shared" si="163"/>
        <v/>
      </c>
      <c r="IF16" s="57" t="str">
        <f t="shared" si="164"/>
        <v/>
      </c>
      <c r="IG16" s="57"/>
      <c r="IH16" s="55" t="str">
        <f t="shared" si="165"/>
        <v>menjelaskan perbandingan dua besaran yang berbeda (kecepatan sebagai perbandingan jarak dengan waktu, debit sebagai perbandingan volume dan waktu)</v>
      </c>
      <c r="II16" s="59" t="str">
        <f>IF(GY16&gt;100,"",IF(GY16&gt;FQ$1,"sangat baik dalam "&amp;IH16,IF(GY16&gt;=FQ$2," baik dalam "&amp;IH16,IF(GY16&gt;=FQ$3,"cukup dalam "&amp;IH16,IF(GY16&lt;FQ$3,"dengan bimbingan dapat meningkatkan dalam "&amp;IH16,IF(GY16&lt;1," ",””))))))</f>
        <v>cukup dalam menjelaskan perbandingan dua besaran yang berbeda (kecepatan sebagai perbandingan jarak dengan waktu, debit sebagai perbandingan volume dan waktu)</v>
      </c>
      <c r="IJ16" s="60"/>
      <c r="IK16" s="61" t="s">
        <v>201</v>
      </c>
      <c r="IL16" s="62" t="str">
        <f t="shared" si="166"/>
        <v>Ananda Radit cukup dalam menjelaskan dan melakukan penjumlahan dan pengurangan dua pecahan dengan penyebut berbeda, cukup dalam menjelaskan perbandingan dua besaran yang berbeda (kecepatan sebagai perbandingan jarak dengan waktu, debit sebagai perbandingan volume dan waktu).</v>
      </c>
      <c r="IM16" s="4" t="e">
        <f>CONCATENATE(IF(#REF!&gt;100,"  ",IF(#REF!&gt;95,"Sangat pandai "&amp;$B$45,IF(#REF!&gt;87,"Pandai "&amp;$B$45,IF(#REF!&gt;79,"Cukup pandai "&amp;$B$45,IF(#REF!&gt;71,"Menguasai dengan baik "&amp;$B$45,IF(#REF!&gt;62,"Perlu banyak latihan "&amp;$B$45,IF(#REF!&gt;0,"Perlu bimbingan "&amp;$B$45,IF(#REF!="","")))))))),IF(#REF!&gt;100,"  ",IF(#REF!&gt;95," Sangat pandai "&amp;$B$46,IF(#REF!&gt;87," Pandai "&amp;$B$46,IF(#REF!&gt;79," Cukup pandai "&amp;$B$46,IF(#REF!&gt;71," Menguasai dengan baik "&amp;$B$46,IF(#REF!&gt;62," Perlu banyak latihan "&amp;$B$46,IF(#REF!&gt;0," Perlu bimbingan "&amp;$B$46,IF(#REF!="","")))))))),IF(#REF!&gt;100,"  ",IF(#REF!&gt;95," Sangat pandai "&amp;$B$47,IF(#REF!&gt;87," Pandai "&amp;$B$47,IF(#REF!&gt;79," cukup pandai "&amp;$B$47,IF(#REF!&gt;71," Menguasai dengan baik "&amp;$B$47,IF(#REF!&gt;62," Perlu banyak latihan "&amp;$B$47,IF(#REF!&gt;0," Perlu bimbingan "&amp;$B$47,IF(#REF!="","")))))))),IF(#REF!&gt;100,"  ",IF(#REF!&gt;95," Sangat pandai "&amp;$B$48,IF(#REF!&gt;87," Pandai "&amp;$B$48,IF(#REF!&gt;79," Cukup pandai "&amp;$B$48,IF(#REF!&gt;71," Menguasai dengan baik "&amp;$B$48,IF(#REF!&gt;62," Perlu banyak latihan "&amp;$B$48,IF(#REF!&gt;0," Perlu bimbingan "&amp;$B$48,IF(#REF!="","")))))))),IF(#REF!&gt;100,"  ",IF(#REF!&gt;95," Sangat pandai "&amp;$B$49,IF(#REF!&gt;87," Pandai "&amp;$B$49,IF(#REF!&gt;79," Cukup pandai "&amp;$B$49,IF(#REF!&gt;71," Menguasai dengan baik "&amp;$B$49,IF(#REF!&gt;62," Perlu banyak latihan "&amp;$B$49,IF(#REF!&gt;0," Perlu bimbingan "&amp;$B$49,IF(#REF!="","")))))))),IF(#REF!&gt;100,"  ",IF(#REF!&gt;95," Sangat pandai "&amp;$B$50,IF(#REF!&gt;87," Pandai "&amp;$B$50,IF(#REF!&gt;79," Cukup pandai "&amp;$B$50,IF(#REF!&gt;71," Menguasai dengan baik "&amp;$B$50,IF(#REF!&gt;62," Perlu banyak latihan "&amp;$B$50,IF(#REF!&gt;0," Perlu bimbingan "&amp;$B$50,IF(#REF!="","")))))))),IF(#REF!&gt;100,"  ",IF(#REF!&gt;95," Sangat pandai "&amp;$B$51,IF(#REF!&gt;87," Pandai "&amp;$B$51,IF(#REF!&gt;79," Cukup pandai "&amp;$B$51,IF(#REF!&gt;71," Menguasai dengan baik "&amp;$B$51,IF(#REF!&gt;62," Perlu banyak latihan "&amp;$B$51,IF(#REF!&gt;0," Perlu bimbingan "&amp;$B$51,IF(#REF!="","")))))))))</f>
        <v>#REF!</v>
      </c>
    </row>
    <row r="17" spans="1:247" ht="45">
      <c r="A17" s="39">
        <v>10</v>
      </c>
      <c r="B17" s="283" t="str">
        <f>SISWA!B15</f>
        <v>Muhammad Shulhan Al-farisi</v>
      </c>
      <c r="C17" s="123">
        <v>100</v>
      </c>
      <c r="D17" s="123">
        <v>80</v>
      </c>
      <c r="E17" s="123">
        <v>75</v>
      </c>
      <c r="F17" s="123">
        <v>87</v>
      </c>
      <c r="G17" s="123"/>
      <c r="H17" s="123"/>
      <c r="I17" s="123"/>
      <c r="J17" s="123"/>
      <c r="K17" s="123"/>
      <c r="L17" s="123"/>
      <c r="M17" s="123"/>
      <c r="N17" s="123"/>
      <c r="O17" s="123"/>
      <c r="P17" s="256">
        <v>97</v>
      </c>
      <c r="Q17" s="256">
        <v>87</v>
      </c>
      <c r="R17" s="256">
        <v>75</v>
      </c>
      <c r="S17" s="256">
        <v>80</v>
      </c>
      <c r="T17" s="256"/>
      <c r="U17" s="256"/>
      <c r="V17" s="256"/>
      <c r="W17" s="256"/>
      <c r="X17" s="256"/>
      <c r="Y17" s="256"/>
      <c r="Z17" s="256"/>
      <c r="AA17" s="256"/>
      <c r="AB17" s="256"/>
      <c r="AC17" s="683"/>
      <c r="AD17" s="683"/>
      <c r="AE17" s="683"/>
      <c r="AF17" s="683"/>
      <c r="AG17" s="683"/>
      <c r="AH17" s="683"/>
      <c r="AI17" s="683"/>
      <c r="AJ17" s="683"/>
      <c r="AK17" s="683"/>
      <c r="AL17" s="683"/>
      <c r="AM17" s="683"/>
      <c r="AN17" s="683"/>
      <c r="AO17" s="683"/>
      <c r="AP17" s="680"/>
      <c r="AQ17" s="680"/>
      <c r="AR17" s="680"/>
      <c r="AS17" s="680"/>
      <c r="AT17" s="680"/>
      <c r="AU17" s="680"/>
      <c r="AV17" s="680"/>
      <c r="AW17" s="680"/>
      <c r="AX17" s="680"/>
      <c r="AY17" s="680"/>
      <c r="AZ17" s="680"/>
      <c r="BA17" s="680"/>
      <c r="BB17" s="680"/>
      <c r="BC17" s="683"/>
      <c r="BD17" s="683"/>
      <c r="BE17" s="683"/>
      <c r="BF17" s="683"/>
      <c r="BG17" s="683"/>
      <c r="BH17" s="683"/>
      <c r="BI17" s="683"/>
      <c r="BJ17" s="683"/>
      <c r="BK17" s="683"/>
      <c r="BL17" s="683"/>
      <c r="BM17" s="683"/>
      <c r="BN17" s="683"/>
      <c r="BO17" s="683"/>
      <c r="BP17" s="680"/>
      <c r="BQ17" s="680"/>
      <c r="BR17" s="680"/>
      <c r="BS17" s="680"/>
      <c r="BT17" s="680"/>
      <c r="BU17" s="680"/>
      <c r="BV17" s="680"/>
      <c r="BW17" s="680"/>
      <c r="BX17" s="680"/>
      <c r="BY17" s="680"/>
      <c r="BZ17" s="680"/>
      <c r="CA17" s="680"/>
      <c r="CB17" s="680"/>
      <c r="CC17" s="683"/>
      <c r="CD17" s="683"/>
      <c r="CE17" s="683"/>
      <c r="CF17" s="683"/>
      <c r="CG17" s="683"/>
      <c r="CH17" s="683"/>
      <c r="CI17" s="683"/>
      <c r="CJ17" s="683"/>
      <c r="CK17" s="683"/>
      <c r="CL17" s="683"/>
      <c r="CM17" s="683"/>
      <c r="CN17" s="683"/>
      <c r="CO17" s="683"/>
      <c r="CP17" s="680"/>
      <c r="CQ17" s="680"/>
      <c r="CR17" s="680"/>
      <c r="CS17" s="680"/>
      <c r="CT17" s="680"/>
      <c r="CU17" s="680"/>
      <c r="CV17" s="680"/>
      <c r="CW17" s="680"/>
      <c r="CX17" s="680"/>
      <c r="CY17" s="681"/>
      <c r="CZ17" s="681"/>
      <c r="DA17" s="681"/>
      <c r="DB17" s="681"/>
      <c r="DC17" s="682"/>
      <c r="DD17" s="682"/>
      <c r="DE17" s="682"/>
      <c r="DF17" s="682"/>
      <c r="DG17" s="682"/>
      <c r="DH17" s="682"/>
      <c r="DI17" s="682"/>
      <c r="DJ17" s="682"/>
      <c r="DK17" s="682"/>
      <c r="DL17" s="682"/>
      <c r="DM17" s="682"/>
      <c r="DN17" s="682"/>
      <c r="DO17" s="682"/>
      <c r="DP17" s="681"/>
      <c r="DQ17" s="681"/>
      <c r="DR17" s="681"/>
      <c r="DS17" s="681"/>
      <c r="DT17" s="681"/>
      <c r="DU17" s="681"/>
      <c r="DV17" s="681"/>
      <c r="DW17" s="681"/>
      <c r="DX17" s="681"/>
      <c r="DY17" s="681"/>
      <c r="DZ17" s="681"/>
      <c r="EA17" s="681"/>
      <c r="EB17" s="681"/>
      <c r="EC17" s="260">
        <f t="shared" si="91"/>
        <v>98.5</v>
      </c>
      <c r="ED17" s="260">
        <f t="shared" si="92"/>
        <v>83.5</v>
      </c>
      <c r="EE17" s="260">
        <f t="shared" si="93"/>
        <v>75</v>
      </c>
      <c r="EF17" s="260">
        <f t="shared" si="94"/>
        <v>83.5</v>
      </c>
      <c r="EG17" s="260" t="str">
        <f t="shared" si="95"/>
        <v xml:space="preserve"> </v>
      </c>
      <c r="EH17" s="260" t="str">
        <f t="shared" si="96"/>
        <v xml:space="preserve"> </v>
      </c>
      <c r="EI17" s="260" t="str">
        <f t="shared" si="97"/>
        <v xml:space="preserve"> </v>
      </c>
      <c r="EJ17" s="260" t="str">
        <f t="shared" si="98"/>
        <v xml:space="preserve"> </v>
      </c>
      <c r="EK17" s="260" t="str">
        <f t="shared" si="99"/>
        <v xml:space="preserve"> </v>
      </c>
      <c r="EL17" s="260" t="str">
        <f t="shared" si="100"/>
        <v xml:space="preserve"> </v>
      </c>
      <c r="EM17" s="260" t="str">
        <f t="shared" si="101"/>
        <v xml:space="preserve"> </v>
      </c>
      <c r="EN17" s="260" t="str">
        <f t="shared" si="102"/>
        <v xml:space="preserve"> </v>
      </c>
      <c r="EO17" s="260" t="str">
        <f t="shared" si="103"/>
        <v xml:space="preserve"> </v>
      </c>
      <c r="EP17" s="547">
        <v>75</v>
      </c>
      <c r="EQ17" s="547">
        <v>76</v>
      </c>
      <c r="ER17" s="547"/>
      <c r="ES17" s="547"/>
      <c r="ET17" s="547"/>
      <c r="EU17" s="547"/>
      <c r="EV17" s="547"/>
      <c r="EW17" s="547"/>
      <c r="EX17" s="547"/>
      <c r="EY17" s="547"/>
      <c r="EZ17" s="547"/>
      <c r="FA17" s="547"/>
      <c r="FB17" s="547"/>
      <c r="FC17" s="560">
        <v>75</v>
      </c>
      <c r="FD17" s="560">
        <v>77</v>
      </c>
      <c r="FE17" s="560">
        <v>78</v>
      </c>
      <c r="FF17" s="560">
        <v>75</v>
      </c>
      <c r="FG17" s="560"/>
      <c r="FH17" s="560"/>
      <c r="FI17" s="560"/>
      <c r="FJ17" s="560"/>
      <c r="FK17" s="560"/>
      <c r="FL17" s="560"/>
      <c r="FM17" s="560"/>
      <c r="FN17" s="560"/>
      <c r="FO17" s="560"/>
      <c r="FP17" s="549">
        <f t="shared" si="104"/>
        <v>81</v>
      </c>
      <c r="FQ17" s="291" t="str">
        <f t="shared" si="105"/>
        <v>C</v>
      </c>
      <c r="FR17" s="50" t="str">
        <f t="shared" si="106"/>
        <v>Ananda Shulhan  baik dalam menjelaskan dan melakukan penjumlahan dan pengurangan dua pecahan dengan penyebut berbeda, cukup dalam menjelaskan perbandingan dua besaran yang berbeda (kecepatan sebagai perbandingan jarak dengan waktu, debit sebagai perbandingan volume dan waktu).</v>
      </c>
      <c r="FS17" s="282"/>
      <c r="FT17" s="51"/>
      <c r="FU17" s="46">
        <f t="shared" si="107"/>
        <v>98.5</v>
      </c>
      <c r="FV17" s="46">
        <f t="shared" si="108"/>
        <v>83.5</v>
      </c>
      <c r="FW17" s="46">
        <f t="shared" si="109"/>
        <v>75</v>
      </c>
      <c r="FX17" s="46">
        <f t="shared" si="110"/>
        <v>83.5</v>
      </c>
      <c r="FY17" s="46" t="str">
        <f t="shared" si="111"/>
        <v xml:space="preserve"> </v>
      </c>
      <c r="FZ17" s="46" t="str">
        <f t="shared" si="112"/>
        <v xml:space="preserve"> </v>
      </c>
      <c r="GA17" s="46" t="str">
        <f t="shared" si="113"/>
        <v xml:space="preserve"> </v>
      </c>
      <c r="GB17" s="46" t="str">
        <f t="shared" si="114"/>
        <v xml:space="preserve"> </v>
      </c>
      <c r="GC17" s="46" t="str">
        <f t="shared" si="115"/>
        <v xml:space="preserve"> </v>
      </c>
      <c r="GD17" s="46" t="str">
        <f t="shared" si="116"/>
        <v xml:space="preserve"> </v>
      </c>
      <c r="GE17" s="46" t="str">
        <f t="shared" si="117"/>
        <v xml:space="preserve"> </v>
      </c>
      <c r="GF17" s="46" t="str">
        <f t="shared" si="118"/>
        <v xml:space="preserve"> </v>
      </c>
      <c r="GG17" s="46" t="str">
        <f t="shared" si="119"/>
        <v xml:space="preserve"> </v>
      </c>
      <c r="GH17" s="46"/>
      <c r="GI17" s="53">
        <f t="shared" si="120"/>
        <v>86.75</v>
      </c>
      <c r="GJ17" s="53">
        <f t="shared" si="121"/>
        <v>80</v>
      </c>
      <c r="GK17" s="53">
        <f t="shared" si="122"/>
        <v>76</v>
      </c>
      <c r="GL17" s="53">
        <f t="shared" si="123"/>
        <v>80.666666666666671</v>
      </c>
      <c r="GM17" s="53" t="str">
        <f t="shared" si="124"/>
        <v xml:space="preserve">  </v>
      </c>
      <c r="GN17" s="53" t="str">
        <f t="shared" si="125"/>
        <v xml:space="preserve">  </v>
      </c>
      <c r="GO17" s="53" t="str">
        <f t="shared" si="126"/>
        <v xml:space="preserve">  </v>
      </c>
      <c r="GP17" s="53" t="str">
        <f t="shared" si="127"/>
        <v xml:space="preserve">  </v>
      </c>
      <c r="GQ17" s="53" t="str">
        <f t="shared" si="128"/>
        <v xml:space="preserve">  </v>
      </c>
      <c r="GR17" s="53" t="str">
        <f t="shared" si="129"/>
        <v xml:space="preserve">  </v>
      </c>
      <c r="GS17" s="53" t="str">
        <f t="shared" si="130"/>
        <v xml:space="preserve">  </v>
      </c>
      <c r="GT17" s="53" t="str">
        <f t="shared" si="131"/>
        <v xml:space="preserve">  </v>
      </c>
      <c r="GU17" s="53" t="str">
        <f t="shared" si="132"/>
        <v xml:space="preserve">  </v>
      </c>
      <c r="GV17" s="54">
        <f t="shared" si="133"/>
        <v>81</v>
      </c>
      <c r="GW17" s="51"/>
      <c r="GX17" s="351">
        <f t="shared" si="134"/>
        <v>86.75</v>
      </c>
      <c r="GY17" s="351">
        <f t="shared" si="135"/>
        <v>76</v>
      </c>
      <c r="GZ17" s="51" t="str">
        <f>SISWA!E15</f>
        <v>Shulhan</v>
      </c>
      <c r="HA17" s="51" t="str">
        <f t="shared" si="136"/>
        <v xml:space="preserve">Ananda Shulhan </v>
      </c>
      <c r="HB17" s="56">
        <f t="shared" si="137"/>
        <v>86.75</v>
      </c>
      <c r="HC17" s="56" t="str">
        <f t="shared" si="138"/>
        <v/>
      </c>
      <c r="HD17" s="56" t="str">
        <f t="shared" si="139"/>
        <v/>
      </c>
      <c r="HE17" s="56" t="str">
        <f t="shared" si="140"/>
        <v/>
      </c>
      <c r="HF17" s="56" t="str">
        <f t="shared" si="141"/>
        <v/>
      </c>
      <c r="HG17" s="56" t="str">
        <f t="shared" si="142"/>
        <v/>
      </c>
      <c r="HH17" s="56" t="str">
        <f t="shared" si="143"/>
        <v/>
      </c>
      <c r="HI17" s="56" t="str">
        <f t="shared" si="144"/>
        <v/>
      </c>
      <c r="HJ17" s="56" t="str">
        <f t="shared" si="145"/>
        <v/>
      </c>
      <c r="HK17" s="56" t="str">
        <f t="shared" si="146"/>
        <v/>
      </c>
      <c r="HL17" s="56" t="str">
        <f t="shared" si="147"/>
        <v/>
      </c>
      <c r="HM17" s="56" t="str">
        <f t="shared" si="148"/>
        <v/>
      </c>
      <c r="HN17" s="56" t="str">
        <f t="shared" si="149"/>
        <v/>
      </c>
      <c r="HO17" s="58">
        <f t="shared" si="150"/>
        <v>86.75</v>
      </c>
      <c r="HP17" s="55" t="str">
        <f t="shared" si="151"/>
        <v>menjelaskan dan melakukan penjumlahan dan pengurangan dua pecahan dengan penyebut berbeda</v>
      </c>
      <c r="HQ17" s="58"/>
      <c r="HR17" s="59" t="str">
        <f>IF(GX17&gt;100,"",IF(GX17&gt;FQ$1,"sangat baik dalam "&amp;HP17,IF(GX17&gt;=FQ$2," baik dalam "&amp;HP17,IF(GX17&gt;=FQ$3,"cukup dalam "&amp;HP17,IF(GX17&lt;FQ$3,"dengan bimbingan dapat meningkatkan dalam "&amp;HP17,IF(GX17&lt;1," ",””))))))</f>
        <v xml:space="preserve"> baik dalam menjelaskan dan melakukan penjumlahan dan pengurangan dua pecahan dengan penyebut berbeda</v>
      </c>
      <c r="HS17" s="58"/>
      <c r="HT17" s="57" t="str">
        <f t="shared" si="152"/>
        <v/>
      </c>
      <c r="HU17" s="57" t="str">
        <f t="shared" si="153"/>
        <v/>
      </c>
      <c r="HV17" s="57">
        <f t="shared" si="154"/>
        <v>76</v>
      </c>
      <c r="HW17" s="57" t="str">
        <f t="shared" si="155"/>
        <v/>
      </c>
      <c r="HX17" s="57" t="str">
        <f t="shared" si="156"/>
        <v/>
      </c>
      <c r="HY17" s="57" t="str">
        <f t="shared" si="157"/>
        <v/>
      </c>
      <c r="HZ17" s="57" t="str">
        <f t="shared" si="158"/>
        <v/>
      </c>
      <c r="IA17" s="57" t="str">
        <f t="shared" si="159"/>
        <v/>
      </c>
      <c r="IB17" s="57" t="str">
        <f t="shared" si="160"/>
        <v/>
      </c>
      <c r="IC17" s="57" t="str">
        <f t="shared" si="161"/>
        <v/>
      </c>
      <c r="ID17" s="57" t="str">
        <f t="shared" si="162"/>
        <v/>
      </c>
      <c r="IE17" s="57" t="str">
        <f t="shared" si="163"/>
        <v/>
      </c>
      <c r="IF17" s="57" t="str">
        <f t="shared" si="164"/>
        <v/>
      </c>
      <c r="IG17" s="57"/>
      <c r="IH17" s="55" t="str">
        <f t="shared" si="165"/>
        <v>menjelaskan perbandingan dua besaran yang berbeda (kecepatan sebagai perbandingan jarak dengan waktu, debit sebagai perbandingan volume dan waktu)</v>
      </c>
      <c r="II17" s="59" t="str">
        <f>IF(GY17&gt;100,"",IF(GY17&gt;FQ$1,"sangat baik dalam "&amp;IH17,IF(GY17&gt;=FQ$2," baik dalam "&amp;IH17,IF(GY17&gt;=FQ$3,"cukup dalam "&amp;IH17,IF(GY17&lt;FQ$3,"dengan bimbingan dapat meningkatkan dalam "&amp;IH17,IF(GY17&lt;1," ",””))))))</f>
        <v>cukup dalam menjelaskan perbandingan dua besaran yang berbeda (kecepatan sebagai perbandingan jarak dengan waktu, debit sebagai perbandingan volume dan waktu)</v>
      </c>
      <c r="IJ17" s="60"/>
      <c r="IK17" s="61" t="s">
        <v>201</v>
      </c>
      <c r="IL17" s="62" t="str">
        <f t="shared" si="166"/>
        <v>Ananda Shulhan  baik dalam menjelaskan dan melakukan penjumlahan dan pengurangan dua pecahan dengan penyebut berbeda, cukup dalam menjelaskan perbandingan dua besaran yang berbeda (kecepatan sebagai perbandingan jarak dengan waktu, debit sebagai perbandingan volume dan waktu).</v>
      </c>
      <c r="IM17" s="4" t="e">
        <f>CONCATENATE(IF(#REF!&gt;100,"  ",IF(#REF!&gt;95,"Sangat pandai "&amp;$B$45,IF(#REF!&gt;87,"Pandai "&amp;$B$45,IF(#REF!&gt;79,"Cukup pandai "&amp;$B$45,IF(#REF!&gt;71,"Menguasai dengan baik "&amp;$B$45,IF(#REF!&gt;62,"Perlu banyak latihan "&amp;$B$45,IF(#REF!&gt;0,"Perlu bimbingan "&amp;$B$45,IF(#REF!="","")))))))),IF(#REF!&gt;100,"  ",IF(#REF!&gt;95," Sangat pandai "&amp;$B$46,IF(#REF!&gt;87," Pandai "&amp;$B$46,IF(#REF!&gt;79," Cukup pandai "&amp;$B$46,IF(#REF!&gt;71," Menguasai dengan baik "&amp;$B$46,IF(#REF!&gt;62," Perlu banyak latihan "&amp;$B$46,IF(#REF!&gt;0," Perlu bimbingan "&amp;$B$46,IF(#REF!="","")))))))),IF(#REF!&gt;100,"  ",IF(#REF!&gt;95," Sangat pandai "&amp;$B$47,IF(#REF!&gt;87," Pandai "&amp;$B$47,IF(#REF!&gt;79," cukup pandai "&amp;$B$47,IF(#REF!&gt;71," Menguasai dengan baik "&amp;$B$47,IF(#REF!&gt;62," Perlu banyak latihan "&amp;$B$47,IF(#REF!&gt;0," Perlu bimbingan "&amp;$B$47,IF(#REF!="","")))))))),IF(#REF!&gt;100,"  ",IF(#REF!&gt;95," Sangat pandai "&amp;$B$48,IF(#REF!&gt;87," Pandai "&amp;$B$48,IF(#REF!&gt;79," Cukup pandai "&amp;$B$48,IF(#REF!&gt;71," Menguasai dengan baik "&amp;$B$48,IF(#REF!&gt;62," Perlu banyak latihan "&amp;$B$48,IF(#REF!&gt;0," Perlu bimbingan "&amp;$B$48,IF(#REF!="","")))))))),IF(#REF!&gt;100,"  ",IF(#REF!&gt;95," Sangat pandai "&amp;$B$49,IF(#REF!&gt;87," Pandai "&amp;$B$49,IF(#REF!&gt;79," Cukup pandai "&amp;$B$49,IF(#REF!&gt;71," Menguasai dengan baik "&amp;$B$49,IF(#REF!&gt;62," Perlu banyak latihan "&amp;$B$49,IF(#REF!&gt;0," Perlu bimbingan "&amp;$B$49,IF(#REF!="","")))))))),IF(#REF!&gt;100,"  ",IF(#REF!&gt;95," Sangat pandai "&amp;$B$50,IF(#REF!&gt;87," Pandai "&amp;$B$50,IF(#REF!&gt;79," Cukup pandai "&amp;$B$50,IF(#REF!&gt;71," Menguasai dengan baik "&amp;$B$50,IF(#REF!&gt;62," Perlu banyak latihan "&amp;$B$50,IF(#REF!&gt;0," Perlu bimbingan "&amp;$B$50,IF(#REF!="","")))))))),IF(#REF!&gt;100,"  ",IF(#REF!&gt;95," Sangat pandai "&amp;$B$51,IF(#REF!&gt;87," Pandai "&amp;$B$51,IF(#REF!&gt;79," Cukup pandai "&amp;$B$51,IF(#REF!&gt;71," Menguasai dengan baik "&amp;$B$51,IF(#REF!&gt;62," Perlu banyak latihan "&amp;$B$51,IF(#REF!&gt;0," Perlu bimbingan "&amp;$B$51,IF(#REF!="","")))))))))</f>
        <v>#REF!</v>
      </c>
    </row>
    <row r="18" spans="1:247" ht="30">
      <c r="A18" s="39">
        <v>11</v>
      </c>
      <c r="B18" s="283" t="str">
        <f>SISWA!B16</f>
        <v>Novaris Dwi Firmansyah</v>
      </c>
      <c r="C18" s="123">
        <v>100</v>
      </c>
      <c r="D18" s="123">
        <v>75</v>
      </c>
      <c r="E18" s="123">
        <v>80</v>
      </c>
      <c r="F18" s="123">
        <v>87</v>
      </c>
      <c r="G18" s="123"/>
      <c r="H18" s="123"/>
      <c r="I18" s="123"/>
      <c r="J18" s="123"/>
      <c r="K18" s="123"/>
      <c r="L18" s="123"/>
      <c r="M18" s="123"/>
      <c r="N18" s="123"/>
      <c r="O18" s="123"/>
      <c r="P18" s="256">
        <v>97</v>
      </c>
      <c r="Q18" s="256">
        <v>87</v>
      </c>
      <c r="R18" s="256">
        <v>80</v>
      </c>
      <c r="S18" s="256">
        <v>75</v>
      </c>
      <c r="T18" s="256"/>
      <c r="U18" s="256"/>
      <c r="V18" s="256"/>
      <c r="W18" s="256"/>
      <c r="X18" s="256"/>
      <c r="Y18" s="256"/>
      <c r="Z18" s="256"/>
      <c r="AA18" s="256"/>
      <c r="AB18" s="256"/>
      <c r="AC18" s="683"/>
      <c r="AD18" s="683"/>
      <c r="AE18" s="683"/>
      <c r="AF18" s="683"/>
      <c r="AG18" s="683"/>
      <c r="AH18" s="683"/>
      <c r="AI18" s="683"/>
      <c r="AJ18" s="683"/>
      <c r="AK18" s="683"/>
      <c r="AL18" s="683"/>
      <c r="AM18" s="683"/>
      <c r="AN18" s="683"/>
      <c r="AO18" s="683"/>
      <c r="AP18" s="680"/>
      <c r="AQ18" s="680"/>
      <c r="AR18" s="680"/>
      <c r="AS18" s="680"/>
      <c r="AT18" s="680"/>
      <c r="AU18" s="680"/>
      <c r="AV18" s="680"/>
      <c r="AW18" s="680"/>
      <c r="AX18" s="680"/>
      <c r="AY18" s="680"/>
      <c r="AZ18" s="680"/>
      <c r="BA18" s="680"/>
      <c r="BB18" s="680"/>
      <c r="BC18" s="683"/>
      <c r="BD18" s="683"/>
      <c r="BE18" s="683"/>
      <c r="BF18" s="683"/>
      <c r="BG18" s="683"/>
      <c r="BH18" s="683"/>
      <c r="BI18" s="683"/>
      <c r="BJ18" s="683"/>
      <c r="BK18" s="683"/>
      <c r="BL18" s="683"/>
      <c r="BM18" s="683"/>
      <c r="BN18" s="683"/>
      <c r="BO18" s="683"/>
      <c r="BP18" s="680"/>
      <c r="BQ18" s="680"/>
      <c r="BR18" s="680"/>
      <c r="BS18" s="680"/>
      <c r="BT18" s="680"/>
      <c r="BU18" s="680"/>
      <c r="BV18" s="680"/>
      <c r="BW18" s="680"/>
      <c r="BX18" s="680"/>
      <c r="BY18" s="680"/>
      <c r="BZ18" s="680"/>
      <c r="CA18" s="680"/>
      <c r="CB18" s="680"/>
      <c r="CC18" s="683"/>
      <c r="CD18" s="683"/>
      <c r="CE18" s="683"/>
      <c r="CF18" s="683"/>
      <c r="CG18" s="683"/>
      <c r="CH18" s="683"/>
      <c r="CI18" s="683"/>
      <c r="CJ18" s="683"/>
      <c r="CK18" s="683"/>
      <c r="CL18" s="683"/>
      <c r="CM18" s="683"/>
      <c r="CN18" s="683"/>
      <c r="CO18" s="683"/>
      <c r="CP18" s="680"/>
      <c r="CQ18" s="680"/>
      <c r="CR18" s="680"/>
      <c r="CS18" s="680"/>
      <c r="CT18" s="680"/>
      <c r="CU18" s="680"/>
      <c r="CV18" s="680"/>
      <c r="CW18" s="680"/>
      <c r="CX18" s="680"/>
      <c r="CY18" s="681"/>
      <c r="CZ18" s="681"/>
      <c r="DA18" s="681"/>
      <c r="DB18" s="681"/>
      <c r="DC18" s="682"/>
      <c r="DD18" s="682"/>
      <c r="DE18" s="682"/>
      <c r="DF18" s="682"/>
      <c r="DG18" s="682"/>
      <c r="DH18" s="682"/>
      <c r="DI18" s="682"/>
      <c r="DJ18" s="682"/>
      <c r="DK18" s="682"/>
      <c r="DL18" s="682"/>
      <c r="DM18" s="682"/>
      <c r="DN18" s="682"/>
      <c r="DO18" s="682"/>
      <c r="DP18" s="681"/>
      <c r="DQ18" s="681"/>
      <c r="DR18" s="681"/>
      <c r="DS18" s="681"/>
      <c r="DT18" s="681"/>
      <c r="DU18" s="681"/>
      <c r="DV18" s="681"/>
      <c r="DW18" s="681"/>
      <c r="DX18" s="681"/>
      <c r="DY18" s="681"/>
      <c r="DZ18" s="681"/>
      <c r="EA18" s="681"/>
      <c r="EB18" s="681"/>
      <c r="EC18" s="260">
        <f t="shared" si="91"/>
        <v>98.5</v>
      </c>
      <c r="ED18" s="260">
        <f t="shared" si="92"/>
        <v>81</v>
      </c>
      <c r="EE18" s="260">
        <f t="shared" si="93"/>
        <v>80</v>
      </c>
      <c r="EF18" s="260">
        <f t="shared" si="94"/>
        <v>81</v>
      </c>
      <c r="EG18" s="260" t="str">
        <f t="shared" si="95"/>
        <v xml:space="preserve"> </v>
      </c>
      <c r="EH18" s="260" t="str">
        <f t="shared" si="96"/>
        <v xml:space="preserve"> </v>
      </c>
      <c r="EI18" s="260" t="str">
        <f t="shared" si="97"/>
        <v xml:space="preserve"> </v>
      </c>
      <c r="EJ18" s="260" t="str">
        <f t="shared" si="98"/>
        <v xml:space="preserve"> </v>
      </c>
      <c r="EK18" s="260" t="str">
        <f t="shared" si="99"/>
        <v xml:space="preserve"> </v>
      </c>
      <c r="EL18" s="260" t="str">
        <f t="shared" si="100"/>
        <v xml:space="preserve"> </v>
      </c>
      <c r="EM18" s="260" t="str">
        <f t="shared" si="101"/>
        <v xml:space="preserve"> </v>
      </c>
      <c r="EN18" s="260" t="str">
        <f t="shared" si="102"/>
        <v xml:space="preserve"> </v>
      </c>
      <c r="EO18" s="260" t="str">
        <f t="shared" si="103"/>
        <v xml:space="preserve"> </v>
      </c>
      <c r="EP18" s="547">
        <v>80</v>
      </c>
      <c r="EQ18" s="547">
        <v>90</v>
      </c>
      <c r="ER18" s="547"/>
      <c r="ES18" s="547"/>
      <c r="ET18" s="547"/>
      <c r="EU18" s="547"/>
      <c r="EV18" s="547"/>
      <c r="EW18" s="547"/>
      <c r="EX18" s="547"/>
      <c r="EY18" s="547"/>
      <c r="EZ18" s="547"/>
      <c r="FA18" s="547"/>
      <c r="FB18" s="547"/>
      <c r="FC18" s="560">
        <v>75</v>
      </c>
      <c r="FD18" s="560">
        <v>75</v>
      </c>
      <c r="FE18" s="560">
        <v>78</v>
      </c>
      <c r="FF18" s="560">
        <v>75</v>
      </c>
      <c r="FG18" s="560"/>
      <c r="FH18" s="560"/>
      <c r="FI18" s="560"/>
      <c r="FJ18" s="560"/>
      <c r="FK18" s="560"/>
      <c r="FL18" s="560"/>
      <c r="FM18" s="560"/>
      <c r="FN18" s="560"/>
      <c r="FO18" s="560"/>
      <c r="FP18" s="549">
        <f t="shared" si="104"/>
        <v>82</v>
      </c>
      <c r="FQ18" s="291" t="str">
        <f t="shared" si="105"/>
        <v>C</v>
      </c>
      <c r="FR18" s="50" t="str">
        <f t="shared" si="106"/>
        <v>Ananda Varis  baik dalam menjelaskan dan melakukan penjumlahan dan pengurangan dua pecahan dengan penyebut berbeda, cukup dalam menjelaskan skala melalui denah.</v>
      </c>
      <c r="FS18" s="282"/>
      <c r="FT18" s="51"/>
      <c r="FU18" s="46">
        <f t="shared" si="107"/>
        <v>98.5</v>
      </c>
      <c r="FV18" s="46">
        <f t="shared" si="108"/>
        <v>81</v>
      </c>
      <c r="FW18" s="46">
        <f t="shared" si="109"/>
        <v>80</v>
      </c>
      <c r="FX18" s="46">
        <f t="shared" si="110"/>
        <v>81</v>
      </c>
      <c r="FY18" s="46" t="str">
        <f t="shared" si="111"/>
        <v xml:space="preserve"> </v>
      </c>
      <c r="FZ18" s="46" t="str">
        <f t="shared" si="112"/>
        <v xml:space="preserve"> </v>
      </c>
      <c r="GA18" s="46" t="str">
        <f t="shared" si="113"/>
        <v xml:space="preserve"> </v>
      </c>
      <c r="GB18" s="46" t="str">
        <f t="shared" si="114"/>
        <v xml:space="preserve"> </v>
      </c>
      <c r="GC18" s="46" t="str">
        <f t="shared" si="115"/>
        <v xml:space="preserve"> </v>
      </c>
      <c r="GD18" s="46" t="str">
        <f t="shared" si="116"/>
        <v xml:space="preserve"> </v>
      </c>
      <c r="GE18" s="46" t="str">
        <f t="shared" si="117"/>
        <v xml:space="preserve"> </v>
      </c>
      <c r="GF18" s="46" t="str">
        <f t="shared" si="118"/>
        <v xml:space="preserve"> </v>
      </c>
      <c r="GG18" s="46" t="str">
        <f t="shared" si="119"/>
        <v xml:space="preserve"> </v>
      </c>
      <c r="GH18" s="46"/>
      <c r="GI18" s="53">
        <f t="shared" si="120"/>
        <v>88</v>
      </c>
      <c r="GJ18" s="53">
        <f t="shared" si="121"/>
        <v>81.75</v>
      </c>
      <c r="GK18" s="53">
        <f t="shared" si="122"/>
        <v>79.333333333333329</v>
      </c>
      <c r="GL18" s="53">
        <f t="shared" si="123"/>
        <v>79</v>
      </c>
      <c r="GM18" s="53" t="str">
        <f t="shared" si="124"/>
        <v xml:space="preserve">  </v>
      </c>
      <c r="GN18" s="53" t="str">
        <f t="shared" si="125"/>
        <v xml:space="preserve">  </v>
      </c>
      <c r="GO18" s="53" t="str">
        <f t="shared" si="126"/>
        <v xml:space="preserve">  </v>
      </c>
      <c r="GP18" s="53" t="str">
        <f t="shared" si="127"/>
        <v xml:space="preserve">  </v>
      </c>
      <c r="GQ18" s="53" t="str">
        <f t="shared" si="128"/>
        <v xml:space="preserve">  </v>
      </c>
      <c r="GR18" s="53" t="str">
        <f t="shared" si="129"/>
        <v xml:space="preserve">  </v>
      </c>
      <c r="GS18" s="53" t="str">
        <f t="shared" si="130"/>
        <v xml:space="preserve">  </v>
      </c>
      <c r="GT18" s="53" t="str">
        <f t="shared" si="131"/>
        <v xml:space="preserve">  </v>
      </c>
      <c r="GU18" s="53" t="str">
        <f t="shared" si="132"/>
        <v xml:space="preserve">  </v>
      </c>
      <c r="GV18" s="54">
        <f t="shared" si="133"/>
        <v>82</v>
      </c>
      <c r="GW18" s="51"/>
      <c r="GX18" s="351">
        <f t="shared" si="134"/>
        <v>88</v>
      </c>
      <c r="GY18" s="351">
        <f t="shared" si="135"/>
        <v>79</v>
      </c>
      <c r="GZ18" s="51" t="str">
        <f>SISWA!E16</f>
        <v>Varis</v>
      </c>
      <c r="HA18" s="51" t="str">
        <f t="shared" si="136"/>
        <v xml:space="preserve">Ananda Varis </v>
      </c>
      <c r="HB18" s="56">
        <f t="shared" si="137"/>
        <v>88</v>
      </c>
      <c r="HC18" s="56" t="str">
        <f t="shared" si="138"/>
        <v/>
      </c>
      <c r="HD18" s="56" t="str">
        <f t="shared" si="139"/>
        <v/>
      </c>
      <c r="HE18" s="56" t="str">
        <f t="shared" si="140"/>
        <v/>
      </c>
      <c r="HF18" s="56" t="str">
        <f t="shared" si="141"/>
        <v/>
      </c>
      <c r="HG18" s="56" t="str">
        <f t="shared" si="142"/>
        <v/>
      </c>
      <c r="HH18" s="56" t="str">
        <f t="shared" si="143"/>
        <v/>
      </c>
      <c r="HI18" s="56" t="str">
        <f t="shared" si="144"/>
        <v/>
      </c>
      <c r="HJ18" s="56" t="str">
        <f t="shared" si="145"/>
        <v/>
      </c>
      <c r="HK18" s="56" t="str">
        <f t="shared" si="146"/>
        <v/>
      </c>
      <c r="HL18" s="56" t="str">
        <f t="shared" si="147"/>
        <v/>
      </c>
      <c r="HM18" s="56" t="str">
        <f t="shared" si="148"/>
        <v/>
      </c>
      <c r="HN18" s="56" t="str">
        <f t="shared" si="149"/>
        <v/>
      </c>
      <c r="HO18" s="58">
        <f t="shared" si="150"/>
        <v>88</v>
      </c>
      <c r="HP18" s="55" t="str">
        <f t="shared" si="151"/>
        <v>menjelaskan dan melakukan penjumlahan dan pengurangan dua pecahan dengan penyebut berbeda</v>
      </c>
      <c r="HQ18" s="58"/>
      <c r="HR18" s="59" t="str">
        <f>IF(GX18&gt;100,"",IF(GX18&gt;FQ$1,"sangat baik dalam "&amp;HP18,IF(GX18&gt;=FQ$2," baik dalam "&amp;HP18,IF(GX18&gt;=FQ$3,"cukup dalam "&amp;HP18,IF(GX18&lt;FQ$3,"dengan bimbingan dapat meningkatkan dalam "&amp;HP18,IF(GX18&lt;1," ",””))))))</f>
        <v xml:space="preserve"> baik dalam menjelaskan dan melakukan penjumlahan dan pengurangan dua pecahan dengan penyebut berbeda</v>
      </c>
      <c r="HS18" s="58"/>
      <c r="HT18" s="57" t="str">
        <f t="shared" si="152"/>
        <v/>
      </c>
      <c r="HU18" s="57" t="str">
        <f t="shared" si="153"/>
        <v/>
      </c>
      <c r="HV18" s="57" t="str">
        <f t="shared" si="154"/>
        <v/>
      </c>
      <c r="HW18" s="57">
        <f t="shared" si="155"/>
        <v>79</v>
      </c>
      <c r="HX18" s="57" t="str">
        <f t="shared" si="156"/>
        <v/>
      </c>
      <c r="HY18" s="57" t="str">
        <f t="shared" si="157"/>
        <v/>
      </c>
      <c r="HZ18" s="57" t="str">
        <f t="shared" si="158"/>
        <v/>
      </c>
      <c r="IA18" s="57" t="str">
        <f t="shared" si="159"/>
        <v/>
      </c>
      <c r="IB18" s="57" t="str">
        <f t="shared" si="160"/>
        <v/>
      </c>
      <c r="IC18" s="57" t="str">
        <f t="shared" si="161"/>
        <v/>
      </c>
      <c r="ID18" s="57" t="str">
        <f t="shared" si="162"/>
        <v/>
      </c>
      <c r="IE18" s="57" t="str">
        <f t="shared" si="163"/>
        <v/>
      </c>
      <c r="IF18" s="57" t="str">
        <f t="shared" si="164"/>
        <v/>
      </c>
      <c r="IG18" s="57"/>
      <c r="IH18" s="55" t="str">
        <f t="shared" si="165"/>
        <v>menjelaskan skala melalui denah</v>
      </c>
      <c r="II18" s="59" t="str">
        <f>IF(GY18&gt;100,"",IF(GY18&gt;FQ$1,"sangat baik dalam "&amp;IH18,IF(GY18&gt;=FQ$2," baik dalam "&amp;IH18,IF(GY18&gt;=FQ$3,"cukup dalam "&amp;IH18,IF(GY18&lt;FQ$3,"dengan bimbingan dapat meningkatkan dalam "&amp;IH18,IF(GY18&lt;1," ",””))))))</f>
        <v>cukup dalam menjelaskan skala melalui denah</v>
      </c>
      <c r="IJ18" s="60"/>
      <c r="IK18" s="61" t="s">
        <v>201</v>
      </c>
      <c r="IL18" s="62" t="str">
        <f t="shared" si="166"/>
        <v>Ananda Varis  baik dalam menjelaskan dan melakukan penjumlahan dan pengurangan dua pecahan dengan penyebut berbeda, cukup dalam menjelaskan skala melalui denah.</v>
      </c>
      <c r="IM18" s="4" t="e">
        <f>CONCATENATE(IF(#REF!&gt;100,"  ",IF(#REF!&gt;95,"Sangat pandai "&amp;$B$45,IF(#REF!&gt;87,"Pandai "&amp;$B$45,IF(#REF!&gt;79,"Cukup pandai "&amp;$B$45,IF(#REF!&gt;71,"Menguasai dengan baik "&amp;$B$45,IF(#REF!&gt;62,"Perlu banyak latihan "&amp;$B$45,IF(#REF!&gt;0,"Perlu bimbingan "&amp;$B$45,IF(#REF!="","")))))))),IF(#REF!&gt;100,"  ",IF(#REF!&gt;95," Sangat pandai "&amp;$B$46,IF(#REF!&gt;87," Pandai "&amp;$B$46,IF(#REF!&gt;79," Cukup pandai "&amp;$B$46,IF(#REF!&gt;71," Menguasai dengan baik "&amp;$B$46,IF(#REF!&gt;62," Perlu banyak latihan "&amp;$B$46,IF(#REF!&gt;0," Perlu bimbingan "&amp;$B$46,IF(#REF!="","")))))))),IF(#REF!&gt;100,"  ",IF(#REF!&gt;95," Sangat pandai "&amp;$B$47,IF(#REF!&gt;87," Pandai "&amp;$B$47,IF(#REF!&gt;79," cukup pandai "&amp;$B$47,IF(#REF!&gt;71," Menguasai dengan baik "&amp;$B$47,IF(#REF!&gt;62," Perlu banyak latihan "&amp;$B$47,IF(#REF!&gt;0," Perlu bimbingan "&amp;$B$47,IF(#REF!="","")))))))),IF(#REF!&gt;100,"  ",IF(#REF!&gt;95," Sangat pandai "&amp;$B$48,IF(#REF!&gt;87," Pandai "&amp;$B$48,IF(#REF!&gt;79," Cukup pandai "&amp;$B$48,IF(#REF!&gt;71," Menguasai dengan baik "&amp;$B$48,IF(#REF!&gt;62," Perlu banyak latihan "&amp;$B$48,IF(#REF!&gt;0," Perlu bimbingan "&amp;$B$48,IF(#REF!="","")))))))),IF(#REF!&gt;100,"  ",IF(#REF!&gt;95," Sangat pandai "&amp;$B$49,IF(#REF!&gt;87," Pandai "&amp;$B$49,IF(#REF!&gt;79," Cukup pandai "&amp;$B$49,IF(#REF!&gt;71," Menguasai dengan baik "&amp;$B$49,IF(#REF!&gt;62," Perlu banyak latihan "&amp;$B$49,IF(#REF!&gt;0," Perlu bimbingan "&amp;$B$49,IF(#REF!="","")))))))),IF(#REF!&gt;100,"  ",IF(#REF!&gt;95," Sangat pandai "&amp;$B$50,IF(#REF!&gt;87," Pandai "&amp;$B$50,IF(#REF!&gt;79," Cukup pandai "&amp;$B$50,IF(#REF!&gt;71," Menguasai dengan baik "&amp;$B$50,IF(#REF!&gt;62," Perlu banyak latihan "&amp;$B$50,IF(#REF!&gt;0," Perlu bimbingan "&amp;$B$50,IF(#REF!="","")))))))),IF(#REF!&gt;100,"  ",IF(#REF!&gt;95," Sangat pandai "&amp;$B$51,IF(#REF!&gt;87," Pandai "&amp;$B$51,IF(#REF!&gt;79," Cukup pandai "&amp;$B$51,IF(#REF!&gt;71," Menguasai dengan baik "&amp;$B$51,IF(#REF!&gt;62," Perlu banyak latihan "&amp;$B$51,IF(#REF!&gt;0," Perlu bimbingan "&amp;$B$51,IF(#REF!="","")))))))))</f>
        <v>#REF!</v>
      </c>
    </row>
    <row r="19" spans="1:247" ht="45">
      <c r="A19" s="39">
        <v>12</v>
      </c>
      <c r="B19" s="283" t="str">
        <f>SISWA!B17</f>
        <v>Oktafiya Duwi Safitri</v>
      </c>
      <c r="C19" s="123">
        <v>80</v>
      </c>
      <c r="D19" s="123">
        <v>75</v>
      </c>
      <c r="E19" s="123">
        <v>87</v>
      </c>
      <c r="F19" s="123">
        <v>80</v>
      </c>
      <c r="G19" s="123"/>
      <c r="H19" s="123"/>
      <c r="I19" s="123"/>
      <c r="J19" s="123"/>
      <c r="K19" s="123"/>
      <c r="L19" s="123"/>
      <c r="M19" s="123"/>
      <c r="N19" s="123"/>
      <c r="O19" s="123"/>
      <c r="P19" s="256">
        <v>80</v>
      </c>
      <c r="Q19" s="256">
        <v>75</v>
      </c>
      <c r="R19" s="256">
        <v>80</v>
      </c>
      <c r="S19" s="256">
        <v>75</v>
      </c>
      <c r="T19" s="256"/>
      <c r="U19" s="256"/>
      <c r="V19" s="256"/>
      <c r="W19" s="256"/>
      <c r="X19" s="256"/>
      <c r="Y19" s="256"/>
      <c r="Z19" s="256"/>
      <c r="AA19" s="256"/>
      <c r="AB19" s="256"/>
      <c r="AC19" s="683"/>
      <c r="AD19" s="683"/>
      <c r="AE19" s="683"/>
      <c r="AF19" s="683"/>
      <c r="AG19" s="683"/>
      <c r="AH19" s="683"/>
      <c r="AI19" s="683"/>
      <c r="AJ19" s="683"/>
      <c r="AK19" s="683"/>
      <c r="AL19" s="683"/>
      <c r="AM19" s="683"/>
      <c r="AN19" s="683"/>
      <c r="AO19" s="683"/>
      <c r="AP19" s="680"/>
      <c r="AQ19" s="680"/>
      <c r="AR19" s="680"/>
      <c r="AS19" s="680"/>
      <c r="AT19" s="680"/>
      <c r="AU19" s="680"/>
      <c r="AV19" s="680"/>
      <c r="AW19" s="680"/>
      <c r="AX19" s="680"/>
      <c r="AY19" s="680"/>
      <c r="AZ19" s="680"/>
      <c r="BA19" s="680"/>
      <c r="BB19" s="680"/>
      <c r="BC19" s="683"/>
      <c r="BD19" s="683"/>
      <c r="BE19" s="683"/>
      <c r="BF19" s="683"/>
      <c r="BG19" s="683"/>
      <c r="BH19" s="683"/>
      <c r="BI19" s="683"/>
      <c r="BJ19" s="683"/>
      <c r="BK19" s="683"/>
      <c r="BL19" s="683"/>
      <c r="BM19" s="683"/>
      <c r="BN19" s="683"/>
      <c r="BO19" s="683"/>
      <c r="BP19" s="680"/>
      <c r="BQ19" s="680"/>
      <c r="BR19" s="680"/>
      <c r="BS19" s="680"/>
      <c r="BT19" s="680"/>
      <c r="BU19" s="680"/>
      <c r="BV19" s="680"/>
      <c r="BW19" s="680"/>
      <c r="BX19" s="680"/>
      <c r="BY19" s="680"/>
      <c r="BZ19" s="680"/>
      <c r="CA19" s="680"/>
      <c r="CB19" s="680"/>
      <c r="CC19" s="683"/>
      <c r="CD19" s="683"/>
      <c r="CE19" s="683"/>
      <c r="CF19" s="683"/>
      <c r="CG19" s="683"/>
      <c r="CH19" s="683"/>
      <c r="CI19" s="683"/>
      <c r="CJ19" s="683"/>
      <c r="CK19" s="683"/>
      <c r="CL19" s="683"/>
      <c r="CM19" s="683"/>
      <c r="CN19" s="683"/>
      <c r="CO19" s="683"/>
      <c r="CP19" s="680"/>
      <c r="CQ19" s="680"/>
      <c r="CR19" s="680"/>
      <c r="CS19" s="680"/>
      <c r="CT19" s="680"/>
      <c r="CU19" s="680"/>
      <c r="CV19" s="680"/>
      <c r="CW19" s="680"/>
      <c r="CX19" s="680"/>
      <c r="CY19" s="681"/>
      <c r="CZ19" s="681"/>
      <c r="DA19" s="681"/>
      <c r="DB19" s="681"/>
      <c r="DC19" s="682"/>
      <c r="DD19" s="682"/>
      <c r="DE19" s="682"/>
      <c r="DF19" s="682"/>
      <c r="DG19" s="682"/>
      <c r="DH19" s="682"/>
      <c r="DI19" s="682"/>
      <c r="DJ19" s="682"/>
      <c r="DK19" s="682"/>
      <c r="DL19" s="682"/>
      <c r="DM19" s="682"/>
      <c r="DN19" s="682"/>
      <c r="DO19" s="682"/>
      <c r="DP19" s="681"/>
      <c r="DQ19" s="681"/>
      <c r="DR19" s="681"/>
      <c r="DS19" s="681"/>
      <c r="DT19" s="681"/>
      <c r="DU19" s="681"/>
      <c r="DV19" s="681"/>
      <c r="DW19" s="681"/>
      <c r="DX19" s="681"/>
      <c r="DY19" s="681"/>
      <c r="DZ19" s="681"/>
      <c r="EA19" s="681"/>
      <c r="EB19" s="681"/>
      <c r="EC19" s="260">
        <f t="shared" si="91"/>
        <v>80</v>
      </c>
      <c r="ED19" s="260">
        <f t="shared" si="92"/>
        <v>75</v>
      </c>
      <c r="EE19" s="260">
        <f t="shared" si="93"/>
        <v>83.5</v>
      </c>
      <c r="EF19" s="260">
        <f t="shared" si="94"/>
        <v>77.5</v>
      </c>
      <c r="EG19" s="260" t="str">
        <f t="shared" si="95"/>
        <v xml:space="preserve"> </v>
      </c>
      <c r="EH19" s="260" t="str">
        <f t="shared" si="96"/>
        <v xml:space="preserve"> </v>
      </c>
      <c r="EI19" s="260" t="str">
        <f t="shared" si="97"/>
        <v xml:space="preserve"> </v>
      </c>
      <c r="EJ19" s="260" t="str">
        <f t="shared" si="98"/>
        <v xml:space="preserve"> </v>
      </c>
      <c r="EK19" s="260" t="str">
        <f t="shared" si="99"/>
        <v xml:space="preserve"> </v>
      </c>
      <c r="EL19" s="260" t="str">
        <f t="shared" si="100"/>
        <v xml:space="preserve"> </v>
      </c>
      <c r="EM19" s="260" t="str">
        <f t="shared" si="101"/>
        <v xml:space="preserve"> </v>
      </c>
      <c r="EN19" s="260" t="str">
        <f t="shared" si="102"/>
        <v xml:space="preserve"> </v>
      </c>
      <c r="EO19" s="260" t="str">
        <f t="shared" si="103"/>
        <v xml:space="preserve"> </v>
      </c>
      <c r="EP19" s="547">
        <v>75</v>
      </c>
      <c r="EQ19" s="547">
        <v>75</v>
      </c>
      <c r="ER19" s="547"/>
      <c r="ES19" s="547"/>
      <c r="ET19" s="547"/>
      <c r="EU19" s="547"/>
      <c r="EV19" s="547"/>
      <c r="EW19" s="547"/>
      <c r="EX19" s="547"/>
      <c r="EY19" s="547"/>
      <c r="EZ19" s="547"/>
      <c r="FA19" s="547"/>
      <c r="FB19" s="547"/>
      <c r="FC19" s="560">
        <v>75</v>
      </c>
      <c r="FD19" s="560">
        <v>75</v>
      </c>
      <c r="FE19" s="560">
        <v>75</v>
      </c>
      <c r="FF19" s="560">
        <v>75</v>
      </c>
      <c r="FG19" s="560"/>
      <c r="FH19" s="560"/>
      <c r="FI19" s="560"/>
      <c r="FJ19" s="560"/>
      <c r="FK19" s="560"/>
      <c r="FL19" s="560"/>
      <c r="FM19" s="560"/>
      <c r="FN19" s="560"/>
      <c r="FO19" s="560"/>
      <c r="FP19" s="549">
        <f t="shared" si="104"/>
        <v>77</v>
      </c>
      <c r="FQ19" s="291" t="str">
        <f t="shared" si="105"/>
        <v>C</v>
      </c>
      <c r="FR19" s="50" t="str">
        <f t="shared" si="106"/>
        <v>Ananda Fitri cukup dalam menjelaskan perbandingan dua besaran yang berbeda (kecepatan sebagai perbandingan jarak dengan waktu, debit sebagai perbandingan volume dan waktu), cukup dalam menjelaskan dan melakukan perkalian dan pembagian pecahan dan desimal.</v>
      </c>
      <c r="FS19" s="282"/>
      <c r="FT19" s="51"/>
      <c r="FU19" s="46">
        <f t="shared" si="107"/>
        <v>80</v>
      </c>
      <c r="FV19" s="46">
        <f t="shared" si="108"/>
        <v>75</v>
      </c>
      <c r="FW19" s="46">
        <f t="shared" si="109"/>
        <v>83.5</v>
      </c>
      <c r="FX19" s="46">
        <f t="shared" si="110"/>
        <v>77.5</v>
      </c>
      <c r="FY19" s="46" t="str">
        <f t="shared" si="111"/>
        <v xml:space="preserve"> </v>
      </c>
      <c r="FZ19" s="46" t="str">
        <f t="shared" si="112"/>
        <v xml:space="preserve"> </v>
      </c>
      <c r="GA19" s="46" t="str">
        <f t="shared" si="113"/>
        <v xml:space="preserve"> </v>
      </c>
      <c r="GB19" s="46" t="str">
        <f t="shared" si="114"/>
        <v xml:space="preserve"> </v>
      </c>
      <c r="GC19" s="46" t="str">
        <f t="shared" si="115"/>
        <v xml:space="preserve"> </v>
      </c>
      <c r="GD19" s="46" t="str">
        <f t="shared" si="116"/>
        <v xml:space="preserve"> </v>
      </c>
      <c r="GE19" s="46" t="str">
        <f t="shared" si="117"/>
        <v xml:space="preserve"> </v>
      </c>
      <c r="GF19" s="46" t="str">
        <f t="shared" si="118"/>
        <v xml:space="preserve"> </v>
      </c>
      <c r="GG19" s="46" t="str">
        <f t="shared" si="119"/>
        <v xml:space="preserve"> </v>
      </c>
      <c r="GH19" s="46"/>
      <c r="GI19" s="53">
        <f t="shared" si="120"/>
        <v>77.5</v>
      </c>
      <c r="GJ19" s="53">
        <f t="shared" si="121"/>
        <v>75</v>
      </c>
      <c r="GK19" s="53">
        <f t="shared" si="122"/>
        <v>80.666666666666671</v>
      </c>
      <c r="GL19" s="53">
        <f t="shared" si="123"/>
        <v>76.666666666666671</v>
      </c>
      <c r="GM19" s="53" t="str">
        <f t="shared" si="124"/>
        <v xml:space="preserve">  </v>
      </c>
      <c r="GN19" s="53" t="str">
        <f t="shared" si="125"/>
        <v xml:space="preserve">  </v>
      </c>
      <c r="GO19" s="53" t="str">
        <f t="shared" si="126"/>
        <v xml:space="preserve">  </v>
      </c>
      <c r="GP19" s="53" t="str">
        <f t="shared" si="127"/>
        <v xml:space="preserve">  </v>
      </c>
      <c r="GQ19" s="53" t="str">
        <f t="shared" si="128"/>
        <v xml:space="preserve">  </v>
      </c>
      <c r="GR19" s="53" t="str">
        <f t="shared" si="129"/>
        <v xml:space="preserve">  </v>
      </c>
      <c r="GS19" s="53" t="str">
        <f t="shared" si="130"/>
        <v xml:space="preserve">  </v>
      </c>
      <c r="GT19" s="53" t="str">
        <f t="shared" si="131"/>
        <v xml:space="preserve">  </v>
      </c>
      <c r="GU19" s="53" t="str">
        <f t="shared" si="132"/>
        <v xml:space="preserve">  </v>
      </c>
      <c r="GV19" s="54">
        <f t="shared" si="133"/>
        <v>77</v>
      </c>
      <c r="GW19" s="51"/>
      <c r="GX19" s="351">
        <f t="shared" si="134"/>
        <v>80.666666666666671</v>
      </c>
      <c r="GY19" s="351">
        <f t="shared" si="135"/>
        <v>75</v>
      </c>
      <c r="GZ19" s="51" t="str">
        <f>SISWA!E17</f>
        <v>Fitri</v>
      </c>
      <c r="HA19" s="51" t="str">
        <f t="shared" si="136"/>
        <v xml:space="preserve">Ananda Fitri </v>
      </c>
      <c r="HB19" s="56" t="str">
        <f t="shared" si="137"/>
        <v/>
      </c>
      <c r="HC19" s="56" t="str">
        <f t="shared" si="138"/>
        <v/>
      </c>
      <c r="HD19" s="56">
        <f t="shared" si="139"/>
        <v>80.666666666666671</v>
      </c>
      <c r="HE19" s="56" t="str">
        <f t="shared" si="140"/>
        <v/>
      </c>
      <c r="HF19" s="56" t="str">
        <f t="shared" si="141"/>
        <v/>
      </c>
      <c r="HG19" s="56" t="str">
        <f t="shared" si="142"/>
        <v/>
      </c>
      <c r="HH19" s="56" t="str">
        <f t="shared" si="143"/>
        <v/>
      </c>
      <c r="HI19" s="56" t="str">
        <f t="shared" si="144"/>
        <v/>
      </c>
      <c r="HJ19" s="56" t="str">
        <f t="shared" si="145"/>
        <v/>
      </c>
      <c r="HK19" s="56" t="str">
        <f t="shared" si="146"/>
        <v/>
      </c>
      <c r="HL19" s="56" t="str">
        <f t="shared" si="147"/>
        <v/>
      </c>
      <c r="HM19" s="56" t="str">
        <f t="shared" si="148"/>
        <v/>
      </c>
      <c r="HN19" s="56" t="str">
        <f t="shared" si="149"/>
        <v/>
      </c>
      <c r="HO19" s="58">
        <f t="shared" si="150"/>
        <v>80.666666666666671</v>
      </c>
      <c r="HP19" s="55" t="str">
        <f t="shared" si="151"/>
        <v>menjelaskan perbandingan dua besaran yang berbeda (kecepatan sebagai perbandingan jarak dengan waktu, debit sebagai perbandingan volume dan waktu)</v>
      </c>
      <c r="HQ19" s="58"/>
      <c r="HR19" s="59" t="str">
        <f>IF(GX19&gt;100,"",IF(GX19&gt;FQ$1,"sangat baik dalam "&amp;HP19,IF(GX19&gt;=FQ$2," baik dalam "&amp;HP19,IF(GX19&gt;=FQ$3,"cukup dalam "&amp;HP19,IF(GX19&lt;FQ$3,"dengan bimbingan dapat meningkatkan dalam "&amp;HP19,IF(GX19&lt;1," ",””))))))</f>
        <v>cukup dalam menjelaskan perbandingan dua besaran yang berbeda (kecepatan sebagai perbandingan jarak dengan waktu, debit sebagai perbandingan volume dan waktu)</v>
      </c>
      <c r="HS19" s="58"/>
      <c r="HT19" s="57" t="str">
        <f t="shared" si="152"/>
        <v/>
      </c>
      <c r="HU19" s="57">
        <f t="shared" si="153"/>
        <v>75</v>
      </c>
      <c r="HV19" s="57" t="str">
        <f t="shared" si="154"/>
        <v/>
      </c>
      <c r="HW19" s="57" t="str">
        <f t="shared" si="155"/>
        <v/>
      </c>
      <c r="HX19" s="57" t="str">
        <f t="shared" si="156"/>
        <v/>
      </c>
      <c r="HY19" s="57" t="str">
        <f t="shared" si="157"/>
        <v/>
      </c>
      <c r="HZ19" s="57" t="str">
        <f t="shared" si="158"/>
        <v/>
      </c>
      <c r="IA19" s="57" t="str">
        <f t="shared" si="159"/>
        <v/>
      </c>
      <c r="IB19" s="57" t="str">
        <f t="shared" si="160"/>
        <v/>
      </c>
      <c r="IC19" s="57" t="str">
        <f t="shared" si="161"/>
        <v/>
      </c>
      <c r="ID19" s="57" t="str">
        <f t="shared" si="162"/>
        <v/>
      </c>
      <c r="IE19" s="57" t="str">
        <f t="shared" si="163"/>
        <v/>
      </c>
      <c r="IF19" s="57" t="str">
        <f t="shared" si="164"/>
        <v/>
      </c>
      <c r="IG19" s="57"/>
      <c r="IH19" s="55" t="str">
        <f t="shared" si="165"/>
        <v>menjelaskan dan melakukan perkalian dan pembagian pecahan dan desimal</v>
      </c>
      <c r="II19" s="59" t="str">
        <f>IF(GY19&gt;100,"",IF(GY19&gt;FQ$1,"sangat baik dalam "&amp;IH19,IF(GY19&gt;=FQ$2," baik dalam "&amp;IH19,IF(GY19&gt;=FQ$3,"cukup dalam "&amp;IH19,IF(GY19&lt;FQ$3,"dengan bimbingan dapat meningkatkan dalam "&amp;IH19,IF(GY19&lt;1," ",””))))))</f>
        <v>cukup dalam menjelaskan dan melakukan perkalian dan pembagian pecahan dan desimal</v>
      </c>
      <c r="IJ19" s="60"/>
      <c r="IK19" s="61" t="s">
        <v>201</v>
      </c>
      <c r="IL19" s="62" t="str">
        <f t="shared" si="166"/>
        <v>Ananda Fitri cukup dalam menjelaskan perbandingan dua besaran yang berbeda (kecepatan sebagai perbandingan jarak dengan waktu, debit sebagai perbandingan volume dan waktu), cukup dalam menjelaskan dan melakukan perkalian dan pembagian pecahan dan desimal.</v>
      </c>
      <c r="IM19" s="4" t="e">
        <f>CONCATENATE(IF(#REF!&gt;100,"  ",IF(#REF!&gt;95,"Sangat pandai "&amp;$B$45,IF(#REF!&gt;87,"Pandai "&amp;$B$45,IF(#REF!&gt;79,"Cukup pandai "&amp;$B$45,IF(#REF!&gt;71,"Menguasai dengan baik "&amp;$B$45,IF(#REF!&gt;62,"Perlu banyak latihan "&amp;$B$45,IF(#REF!&gt;0,"Perlu bimbingan "&amp;$B$45,IF(#REF!="","")))))))),IF(#REF!&gt;100,"  ",IF(#REF!&gt;95," Sangat pandai "&amp;$B$46,IF(#REF!&gt;87," Pandai "&amp;$B$46,IF(#REF!&gt;79," Cukup pandai "&amp;$B$46,IF(#REF!&gt;71," Menguasai dengan baik "&amp;$B$46,IF(#REF!&gt;62," Perlu banyak latihan "&amp;$B$46,IF(#REF!&gt;0," Perlu bimbingan "&amp;$B$46,IF(#REF!="","")))))))),IF(#REF!&gt;100,"  ",IF(#REF!&gt;95," Sangat pandai "&amp;$B$47,IF(#REF!&gt;87," Pandai "&amp;$B$47,IF(#REF!&gt;79," cukup pandai "&amp;$B$47,IF(#REF!&gt;71," Menguasai dengan baik "&amp;$B$47,IF(#REF!&gt;62," Perlu banyak latihan "&amp;$B$47,IF(#REF!&gt;0," Perlu bimbingan "&amp;$B$47,IF(#REF!="","")))))))),IF(#REF!&gt;100,"  ",IF(#REF!&gt;95," Sangat pandai "&amp;$B$48,IF(#REF!&gt;87," Pandai "&amp;$B$48,IF(#REF!&gt;79," Cukup pandai "&amp;$B$48,IF(#REF!&gt;71," Menguasai dengan baik "&amp;$B$48,IF(#REF!&gt;62," Perlu banyak latihan "&amp;$B$48,IF(#REF!&gt;0," Perlu bimbingan "&amp;$B$48,IF(#REF!="","")))))))),IF(#REF!&gt;100,"  ",IF(#REF!&gt;95," Sangat pandai "&amp;$B$49,IF(#REF!&gt;87," Pandai "&amp;$B$49,IF(#REF!&gt;79," Cukup pandai "&amp;$B$49,IF(#REF!&gt;71," Menguasai dengan baik "&amp;$B$49,IF(#REF!&gt;62," Perlu banyak latihan "&amp;$B$49,IF(#REF!&gt;0," Perlu bimbingan "&amp;$B$49,IF(#REF!="","")))))))),IF(#REF!&gt;100,"  ",IF(#REF!&gt;95," Sangat pandai "&amp;$B$50,IF(#REF!&gt;87," Pandai "&amp;$B$50,IF(#REF!&gt;79," Cukup pandai "&amp;$B$50,IF(#REF!&gt;71," Menguasai dengan baik "&amp;$B$50,IF(#REF!&gt;62," Perlu banyak latihan "&amp;$B$50,IF(#REF!&gt;0," Perlu bimbingan "&amp;$B$50,IF(#REF!="","")))))))),IF(#REF!&gt;100,"  ",IF(#REF!&gt;95," Sangat pandai "&amp;$B$51,IF(#REF!&gt;87," Pandai "&amp;$B$51,IF(#REF!&gt;79," Cukup pandai "&amp;$B$51,IF(#REF!&gt;71," Menguasai dengan baik "&amp;$B$51,IF(#REF!&gt;62," Perlu banyak latihan "&amp;$B$51,IF(#REF!&gt;0," Perlu bimbingan "&amp;$B$51,IF(#REF!="","")))))))))</f>
        <v>#REF!</v>
      </c>
    </row>
    <row r="20" spans="1:247" ht="45">
      <c r="A20" s="39">
        <v>13</v>
      </c>
      <c r="B20" s="283" t="str">
        <f>SISWA!B18</f>
        <v>Prastika Guntur Firmansyah</v>
      </c>
      <c r="C20" s="123">
        <v>80</v>
      </c>
      <c r="D20" s="123">
        <v>75</v>
      </c>
      <c r="E20" s="123">
        <v>87</v>
      </c>
      <c r="F20" s="123">
        <v>80</v>
      </c>
      <c r="G20" s="123"/>
      <c r="H20" s="123"/>
      <c r="I20" s="123"/>
      <c r="J20" s="123"/>
      <c r="K20" s="123"/>
      <c r="L20" s="123"/>
      <c r="M20" s="123"/>
      <c r="N20" s="123"/>
      <c r="O20" s="123"/>
      <c r="P20" s="256">
        <v>87</v>
      </c>
      <c r="Q20" s="256">
        <v>75</v>
      </c>
      <c r="R20" s="256">
        <v>80</v>
      </c>
      <c r="S20" s="256">
        <v>80</v>
      </c>
      <c r="T20" s="256"/>
      <c r="U20" s="256"/>
      <c r="V20" s="256"/>
      <c r="W20" s="256"/>
      <c r="X20" s="256"/>
      <c r="Y20" s="256"/>
      <c r="Z20" s="256"/>
      <c r="AA20" s="256"/>
      <c r="AB20" s="256"/>
      <c r="AC20" s="683"/>
      <c r="AD20" s="683"/>
      <c r="AE20" s="683"/>
      <c r="AF20" s="683"/>
      <c r="AG20" s="683"/>
      <c r="AH20" s="683"/>
      <c r="AI20" s="683"/>
      <c r="AJ20" s="683"/>
      <c r="AK20" s="683"/>
      <c r="AL20" s="683"/>
      <c r="AM20" s="683"/>
      <c r="AN20" s="683"/>
      <c r="AO20" s="683"/>
      <c r="AP20" s="680"/>
      <c r="AQ20" s="680"/>
      <c r="AR20" s="680"/>
      <c r="AS20" s="680"/>
      <c r="AT20" s="680"/>
      <c r="AU20" s="680"/>
      <c r="AV20" s="680"/>
      <c r="AW20" s="680"/>
      <c r="AX20" s="680"/>
      <c r="AY20" s="680"/>
      <c r="AZ20" s="680"/>
      <c r="BA20" s="680"/>
      <c r="BB20" s="680"/>
      <c r="BC20" s="683"/>
      <c r="BD20" s="683"/>
      <c r="BE20" s="683"/>
      <c r="BF20" s="683"/>
      <c r="BG20" s="683"/>
      <c r="BH20" s="683"/>
      <c r="BI20" s="683"/>
      <c r="BJ20" s="683"/>
      <c r="BK20" s="683"/>
      <c r="BL20" s="683"/>
      <c r="BM20" s="683"/>
      <c r="BN20" s="683"/>
      <c r="BO20" s="683"/>
      <c r="BP20" s="680"/>
      <c r="BQ20" s="680"/>
      <c r="BR20" s="680"/>
      <c r="BS20" s="680"/>
      <c r="BT20" s="680"/>
      <c r="BU20" s="680"/>
      <c r="BV20" s="680"/>
      <c r="BW20" s="680"/>
      <c r="BX20" s="680"/>
      <c r="BY20" s="680"/>
      <c r="BZ20" s="680"/>
      <c r="CA20" s="680"/>
      <c r="CB20" s="680"/>
      <c r="CC20" s="683"/>
      <c r="CD20" s="683"/>
      <c r="CE20" s="683"/>
      <c r="CF20" s="683"/>
      <c r="CG20" s="683"/>
      <c r="CH20" s="683"/>
      <c r="CI20" s="683"/>
      <c r="CJ20" s="683"/>
      <c r="CK20" s="683"/>
      <c r="CL20" s="683"/>
      <c r="CM20" s="683"/>
      <c r="CN20" s="683"/>
      <c r="CO20" s="683"/>
      <c r="CP20" s="680"/>
      <c r="CQ20" s="680"/>
      <c r="CR20" s="680"/>
      <c r="CS20" s="680"/>
      <c r="CT20" s="680"/>
      <c r="CU20" s="680"/>
      <c r="CV20" s="680"/>
      <c r="CW20" s="680"/>
      <c r="CX20" s="680"/>
      <c r="CY20" s="681"/>
      <c r="CZ20" s="681"/>
      <c r="DA20" s="681"/>
      <c r="DB20" s="681"/>
      <c r="DC20" s="682"/>
      <c r="DD20" s="682"/>
      <c r="DE20" s="682"/>
      <c r="DF20" s="682"/>
      <c r="DG20" s="682"/>
      <c r="DH20" s="682"/>
      <c r="DI20" s="682"/>
      <c r="DJ20" s="682"/>
      <c r="DK20" s="682"/>
      <c r="DL20" s="682"/>
      <c r="DM20" s="682"/>
      <c r="DN20" s="682"/>
      <c r="DO20" s="682"/>
      <c r="DP20" s="681"/>
      <c r="DQ20" s="681"/>
      <c r="DR20" s="681"/>
      <c r="DS20" s="681"/>
      <c r="DT20" s="681"/>
      <c r="DU20" s="681"/>
      <c r="DV20" s="681"/>
      <c r="DW20" s="681"/>
      <c r="DX20" s="681"/>
      <c r="DY20" s="681"/>
      <c r="DZ20" s="681"/>
      <c r="EA20" s="681"/>
      <c r="EB20" s="681"/>
      <c r="EC20" s="260">
        <f t="shared" si="91"/>
        <v>83.5</v>
      </c>
      <c r="ED20" s="260">
        <f t="shared" si="92"/>
        <v>75</v>
      </c>
      <c r="EE20" s="260">
        <f t="shared" si="93"/>
        <v>83.5</v>
      </c>
      <c r="EF20" s="260">
        <f t="shared" si="94"/>
        <v>80</v>
      </c>
      <c r="EG20" s="260" t="str">
        <f t="shared" si="95"/>
        <v xml:space="preserve"> </v>
      </c>
      <c r="EH20" s="260" t="str">
        <f t="shared" si="96"/>
        <v xml:space="preserve"> </v>
      </c>
      <c r="EI20" s="260" t="str">
        <f t="shared" si="97"/>
        <v xml:space="preserve"> </v>
      </c>
      <c r="EJ20" s="260" t="str">
        <f t="shared" si="98"/>
        <v xml:space="preserve"> </v>
      </c>
      <c r="EK20" s="260" t="str">
        <f t="shared" si="99"/>
        <v xml:space="preserve"> </v>
      </c>
      <c r="EL20" s="260" t="str">
        <f t="shared" si="100"/>
        <v xml:space="preserve"> </v>
      </c>
      <c r="EM20" s="260" t="str">
        <f t="shared" si="101"/>
        <v xml:space="preserve"> </v>
      </c>
      <c r="EN20" s="260" t="str">
        <f t="shared" si="102"/>
        <v xml:space="preserve"> </v>
      </c>
      <c r="EO20" s="260" t="str">
        <f t="shared" si="103"/>
        <v xml:space="preserve"> </v>
      </c>
      <c r="EP20" s="547">
        <v>75</v>
      </c>
      <c r="EQ20" s="547">
        <v>75</v>
      </c>
      <c r="ER20" s="547"/>
      <c r="ES20" s="547"/>
      <c r="ET20" s="547"/>
      <c r="EU20" s="547"/>
      <c r="EV20" s="547"/>
      <c r="EW20" s="547"/>
      <c r="EX20" s="547"/>
      <c r="EY20" s="547"/>
      <c r="EZ20" s="547"/>
      <c r="FA20" s="547"/>
      <c r="FB20" s="547"/>
      <c r="FC20" s="560">
        <v>77</v>
      </c>
      <c r="FD20" s="560">
        <v>75</v>
      </c>
      <c r="FE20" s="560">
        <v>75</v>
      </c>
      <c r="FF20" s="560">
        <v>75</v>
      </c>
      <c r="FG20" s="560"/>
      <c r="FH20" s="560"/>
      <c r="FI20" s="560"/>
      <c r="FJ20" s="560"/>
      <c r="FK20" s="560"/>
      <c r="FL20" s="560"/>
      <c r="FM20" s="560"/>
      <c r="FN20" s="560"/>
      <c r="FO20" s="560"/>
      <c r="FP20" s="549">
        <f t="shared" si="104"/>
        <v>78</v>
      </c>
      <c r="FQ20" s="291" t="str">
        <f t="shared" si="105"/>
        <v>C</v>
      </c>
      <c r="FR20" s="50" t="str">
        <f t="shared" si="106"/>
        <v>Ananda Pras cukup dalam menjelaskan perbandingan dua besaran yang berbeda (kecepatan sebagai perbandingan jarak dengan waktu, debit sebagai perbandingan volume dan waktu), cukup dalam menjelaskan dan melakukan perkalian dan pembagian pecahan dan desimal.</v>
      </c>
      <c r="FS20" s="282"/>
      <c r="FT20" s="51"/>
      <c r="FU20" s="46">
        <f t="shared" si="107"/>
        <v>83.5</v>
      </c>
      <c r="FV20" s="46">
        <f t="shared" si="108"/>
        <v>75</v>
      </c>
      <c r="FW20" s="46">
        <f t="shared" si="109"/>
        <v>83.5</v>
      </c>
      <c r="FX20" s="46">
        <f t="shared" si="110"/>
        <v>80</v>
      </c>
      <c r="FY20" s="46" t="str">
        <f t="shared" si="111"/>
        <v xml:space="preserve"> </v>
      </c>
      <c r="FZ20" s="46" t="str">
        <f t="shared" si="112"/>
        <v xml:space="preserve"> </v>
      </c>
      <c r="GA20" s="46" t="str">
        <f t="shared" si="113"/>
        <v xml:space="preserve"> </v>
      </c>
      <c r="GB20" s="46" t="str">
        <f t="shared" si="114"/>
        <v xml:space="preserve"> </v>
      </c>
      <c r="GC20" s="46" t="str">
        <f t="shared" si="115"/>
        <v xml:space="preserve"> </v>
      </c>
      <c r="GD20" s="46" t="str">
        <f t="shared" si="116"/>
        <v xml:space="preserve"> </v>
      </c>
      <c r="GE20" s="46" t="str">
        <f t="shared" si="117"/>
        <v xml:space="preserve"> </v>
      </c>
      <c r="GF20" s="46" t="str">
        <f t="shared" si="118"/>
        <v xml:space="preserve"> </v>
      </c>
      <c r="GG20" s="46" t="str">
        <f t="shared" si="119"/>
        <v xml:space="preserve"> </v>
      </c>
      <c r="GH20" s="46"/>
      <c r="GI20" s="53">
        <f t="shared" si="120"/>
        <v>79.75</v>
      </c>
      <c r="GJ20" s="53">
        <f t="shared" si="121"/>
        <v>75</v>
      </c>
      <c r="GK20" s="53">
        <f t="shared" si="122"/>
        <v>80.666666666666671</v>
      </c>
      <c r="GL20" s="53">
        <f t="shared" si="123"/>
        <v>78.333333333333329</v>
      </c>
      <c r="GM20" s="53" t="str">
        <f t="shared" si="124"/>
        <v xml:space="preserve">  </v>
      </c>
      <c r="GN20" s="53" t="str">
        <f t="shared" si="125"/>
        <v xml:space="preserve">  </v>
      </c>
      <c r="GO20" s="53" t="str">
        <f t="shared" si="126"/>
        <v xml:space="preserve">  </v>
      </c>
      <c r="GP20" s="53" t="str">
        <f t="shared" si="127"/>
        <v xml:space="preserve">  </v>
      </c>
      <c r="GQ20" s="53" t="str">
        <f t="shared" si="128"/>
        <v xml:space="preserve">  </v>
      </c>
      <c r="GR20" s="53" t="str">
        <f t="shared" si="129"/>
        <v xml:space="preserve">  </v>
      </c>
      <c r="GS20" s="53" t="str">
        <f t="shared" si="130"/>
        <v xml:space="preserve">  </v>
      </c>
      <c r="GT20" s="53" t="str">
        <f t="shared" si="131"/>
        <v xml:space="preserve">  </v>
      </c>
      <c r="GU20" s="53" t="str">
        <f t="shared" si="132"/>
        <v xml:space="preserve">  </v>
      </c>
      <c r="GV20" s="54">
        <f t="shared" si="133"/>
        <v>78</v>
      </c>
      <c r="GW20" s="51"/>
      <c r="GX20" s="351">
        <f t="shared" si="134"/>
        <v>80.666666666666671</v>
      </c>
      <c r="GY20" s="351">
        <f t="shared" si="135"/>
        <v>75</v>
      </c>
      <c r="GZ20" s="51" t="str">
        <f>SISWA!E18</f>
        <v>Pras</v>
      </c>
      <c r="HA20" s="51" t="str">
        <f t="shared" si="136"/>
        <v xml:space="preserve">Ananda Pras </v>
      </c>
      <c r="HB20" s="56" t="str">
        <f t="shared" si="137"/>
        <v/>
      </c>
      <c r="HC20" s="56" t="str">
        <f t="shared" si="138"/>
        <v/>
      </c>
      <c r="HD20" s="56">
        <f t="shared" si="139"/>
        <v>80.666666666666671</v>
      </c>
      <c r="HE20" s="56" t="str">
        <f t="shared" si="140"/>
        <v/>
      </c>
      <c r="HF20" s="56" t="str">
        <f t="shared" si="141"/>
        <v/>
      </c>
      <c r="HG20" s="56" t="str">
        <f t="shared" si="142"/>
        <v/>
      </c>
      <c r="HH20" s="56" t="str">
        <f t="shared" si="143"/>
        <v/>
      </c>
      <c r="HI20" s="56" t="str">
        <f t="shared" si="144"/>
        <v/>
      </c>
      <c r="HJ20" s="56" t="str">
        <f t="shared" si="145"/>
        <v/>
      </c>
      <c r="HK20" s="56" t="str">
        <f t="shared" si="146"/>
        <v/>
      </c>
      <c r="HL20" s="56" t="str">
        <f t="shared" si="147"/>
        <v/>
      </c>
      <c r="HM20" s="56" t="str">
        <f t="shared" si="148"/>
        <v/>
      </c>
      <c r="HN20" s="56" t="str">
        <f t="shared" si="149"/>
        <v/>
      </c>
      <c r="HO20" s="58">
        <f t="shared" si="150"/>
        <v>80.666666666666671</v>
      </c>
      <c r="HP20" s="55" t="str">
        <f t="shared" si="151"/>
        <v>menjelaskan perbandingan dua besaran yang berbeda (kecepatan sebagai perbandingan jarak dengan waktu, debit sebagai perbandingan volume dan waktu)</v>
      </c>
      <c r="HQ20" s="58"/>
      <c r="HR20" s="59" t="str">
        <f>IF(GX20&gt;100,"",IF(GX20&gt;FQ$1,"sangat baik dalam "&amp;HP20,IF(GX20&gt;=FQ$2," baik dalam "&amp;HP20,IF(GX20&gt;=FQ$3,"cukup dalam "&amp;HP20,IF(GX20&lt;FQ$3,"dengan bimbingan dapat meningkatkan dalam "&amp;HP20,IF(GX20&lt;1," ",””))))))</f>
        <v>cukup dalam menjelaskan perbandingan dua besaran yang berbeda (kecepatan sebagai perbandingan jarak dengan waktu, debit sebagai perbandingan volume dan waktu)</v>
      </c>
      <c r="HS20" s="58"/>
      <c r="HT20" s="57" t="str">
        <f t="shared" si="152"/>
        <v/>
      </c>
      <c r="HU20" s="57">
        <f t="shared" si="153"/>
        <v>75</v>
      </c>
      <c r="HV20" s="57" t="str">
        <f t="shared" si="154"/>
        <v/>
      </c>
      <c r="HW20" s="57" t="str">
        <f t="shared" si="155"/>
        <v/>
      </c>
      <c r="HX20" s="57" t="str">
        <f t="shared" si="156"/>
        <v/>
      </c>
      <c r="HY20" s="57" t="str">
        <f t="shared" si="157"/>
        <v/>
      </c>
      <c r="HZ20" s="57" t="str">
        <f t="shared" si="158"/>
        <v/>
      </c>
      <c r="IA20" s="57" t="str">
        <f t="shared" si="159"/>
        <v/>
      </c>
      <c r="IB20" s="57" t="str">
        <f t="shared" si="160"/>
        <v/>
      </c>
      <c r="IC20" s="57" t="str">
        <f t="shared" si="161"/>
        <v/>
      </c>
      <c r="ID20" s="57" t="str">
        <f t="shared" si="162"/>
        <v/>
      </c>
      <c r="IE20" s="57" t="str">
        <f t="shared" si="163"/>
        <v/>
      </c>
      <c r="IF20" s="57" t="str">
        <f t="shared" si="164"/>
        <v/>
      </c>
      <c r="IG20" s="57"/>
      <c r="IH20" s="55" t="str">
        <f t="shared" si="165"/>
        <v>menjelaskan dan melakukan perkalian dan pembagian pecahan dan desimal</v>
      </c>
      <c r="II20" s="59" t="str">
        <f>IF(GY20&gt;100,"",IF(GY20&gt;FQ$1,"sangat baik dalam "&amp;IH20,IF(GY20&gt;=FQ$2," baik dalam "&amp;IH20,IF(GY20&gt;=FQ$3,"cukup dalam "&amp;IH20,IF(GY20&lt;FQ$3,"dengan bimbingan dapat meningkatkan dalam "&amp;IH20,IF(GY20&lt;1," ",””))))))</f>
        <v>cukup dalam menjelaskan dan melakukan perkalian dan pembagian pecahan dan desimal</v>
      </c>
      <c r="IJ20" s="60"/>
      <c r="IK20" s="61" t="s">
        <v>201</v>
      </c>
      <c r="IL20" s="62" t="str">
        <f t="shared" si="166"/>
        <v>Ananda Pras cukup dalam menjelaskan perbandingan dua besaran yang berbeda (kecepatan sebagai perbandingan jarak dengan waktu, debit sebagai perbandingan volume dan waktu), cukup dalam menjelaskan dan melakukan perkalian dan pembagian pecahan dan desimal.</v>
      </c>
      <c r="IM20" s="4" t="e">
        <f>CONCATENATE(IF(#REF!&gt;100,"  ",IF(#REF!&gt;95,"Sangat pandai "&amp;$B$45,IF(#REF!&gt;87,"Pandai "&amp;$B$45,IF(#REF!&gt;79,"Cukup pandai "&amp;$B$45,IF(#REF!&gt;71,"Menguasai dengan baik "&amp;$B$45,IF(#REF!&gt;62,"Perlu banyak latihan "&amp;$B$45,IF(#REF!&gt;0,"Perlu bimbingan "&amp;$B$45,IF(#REF!="","")))))))),IF(#REF!&gt;100,"  ",IF(#REF!&gt;95," Sangat pandai "&amp;$B$46,IF(#REF!&gt;87," Pandai "&amp;$B$46,IF(#REF!&gt;79," Cukup pandai "&amp;$B$46,IF(#REF!&gt;71," Menguasai dengan baik "&amp;$B$46,IF(#REF!&gt;62," Perlu banyak latihan "&amp;$B$46,IF(#REF!&gt;0," Perlu bimbingan "&amp;$B$46,IF(#REF!="","")))))))),IF(#REF!&gt;100,"  ",IF(#REF!&gt;95," Sangat pandai "&amp;$B$47,IF(#REF!&gt;87," Pandai "&amp;$B$47,IF(#REF!&gt;79," cukup pandai "&amp;$B$47,IF(#REF!&gt;71," Menguasai dengan baik "&amp;$B$47,IF(#REF!&gt;62," Perlu banyak latihan "&amp;$B$47,IF(#REF!&gt;0," Perlu bimbingan "&amp;$B$47,IF(#REF!="","")))))))),IF(#REF!&gt;100,"  ",IF(#REF!&gt;95," Sangat pandai "&amp;$B$48,IF(#REF!&gt;87," Pandai "&amp;$B$48,IF(#REF!&gt;79," Cukup pandai "&amp;$B$48,IF(#REF!&gt;71," Menguasai dengan baik "&amp;$B$48,IF(#REF!&gt;62," Perlu banyak latihan "&amp;$B$48,IF(#REF!&gt;0," Perlu bimbingan "&amp;$B$48,IF(#REF!="","")))))))),IF(#REF!&gt;100,"  ",IF(#REF!&gt;95," Sangat pandai "&amp;$B$49,IF(#REF!&gt;87," Pandai "&amp;$B$49,IF(#REF!&gt;79," Cukup pandai "&amp;$B$49,IF(#REF!&gt;71," Menguasai dengan baik "&amp;$B$49,IF(#REF!&gt;62," Perlu banyak latihan "&amp;$B$49,IF(#REF!&gt;0," Perlu bimbingan "&amp;$B$49,IF(#REF!="","")))))))),IF(#REF!&gt;100,"  ",IF(#REF!&gt;95," Sangat pandai "&amp;$B$50,IF(#REF!&gt;87," Pandai "&amp;$B$50,IF(#REF!&gt;79," Cukup pandai "&amp;$B$50,IF(#REF!&gt;71," Menguasai dengan baik "&amp;$B$50,IF(#REF!&gt;62," Perlu banyak latihan "&amp;$B$50,IF(#REF!&gt;0," Perlu bimbingan "&amp;$B$50,IF(#REF!="","")))))))),IF(#REF!&gt;100,"  ",IF(#REF!&gt;95," Sangat pandai "&amp;$B$51,IF(#REF!&gt;87," Pandai "&amp;$B$51,IF(#REF!&gt;79," Cukup pandai "&amp;$B$51,IF(#REF!&gt;71," Menguasai dengan baik "&amp;$B$51,IF(#REF!&gt;62," Perlu banyak latihan "&amp;$B$51,IF(#REF!&gt;0," Perlu bimbingan "&amp;$B$51,IF(#REF!="","")))))))))</f>
        <v>#REF!</v>
      </c>
    </row>
    <row r="21" spans="1:247" ht="30">
      <c r="A21" s="39">
        <v>14</v>
      </c>
      <c r="B21" s="283" t="str">
        <f>SISWA!B19</f>
        <v>Siti Musyafiani</v>
      </c>
      <c r="C21" s="123">
        <v>75</v>
      </c>
      <c r="D21" s="123">
        <v>87</v>
      </c>
      <c r="E21" s="123">
        <v>75</v>
      </c>
      <c r="F21" s="123">
        <v>80</v>
      </c>
      <c r="G21" s="123"/>
      <c r="H21" s="123"/>
      <c r="I21" s="123"/>
      <c r="J21" s="123"/>
      <c r="K21" s="123"/>
      <c r="L21" s="123"/>
      <c r="M21" s="123"/>
      <c r="N21" s="123"/>
      <c r="O21" s="123"/>
      <c r="P21" s="256">
        <v>100</v>
      </c>
      <c r="Q21" s="256">
        <v>87</v>
      </c>
      <c r="R21" s="256">
        <v>80</v>
      </c>
      <c r="S21" s="256">
        <v>75</v>
      </c>
      <c r="T21" s="256"/>
      <c r="U21" s="256"/>
      <c r="V21" s="256"/>
      <c r="W21" s="256"/>
      <c r="X21" s="256"/>
      <c r="Y21" s="256"/>
      <c r="Z21" s="256"/>
      <c r="AA21" s="256"/>
      <c r="AB21" s="256"/>
      <c r="AC21" s="683"/>
      <c r="AD21" s="683"/>
      <c r="AE21" s="683"/>
      <c r="AF21" s="683"/>
      <c r="AG21" s="683"/>
      <c r="AH21" s="683"/>
      <c r="AI21" s="683"/>
      <c r="AJ21" s="683"/>
      <c r="AK21" s="683"/>
      <c r="AL21" s="683"/>
      <c r="AM21" s="683"/>
      <c r="AN21" s="683"/>
      <c r="AO21" s="683"/>
      <c r="AP21" s="680"/>
      <c r="AQ21" s="680"/>
      <c r="AR21" s="680"/>
      <c r="AS21" s="680"/>
      <c r="AT21" s="680"/>
      <c r="AU21" s="680"/>
      <c r="AV21" s="680"/>
      <c r="AW21" s="680"/>
      <c r="AX21" s="680"/>
      <c r="AY21" s="680"/>
      <c r="AZ21" s="680"/>
      <c r="BA21" s="680"/>
      <c r="BB21" s="680"/>
      <c r="BC21" s="683"/>
      <c r="BD21" s="683"/>
      <c r="BE21" s="683"/>
      <c r="BF21" s="683"/>
      <c r="BG21" s="683"/>
      <c r="BH21" s="683"/>
      <c r="BI21" s="683"/>
      <c r="BJ21" s="683"/>
      <c r="BK21" s="683"/>
      <c r="BL21" s="683"/>
      <c r="BM21" s="683"/>
      <c r="BN21" s="683"/>
      <c r="BO21" s="683"/>
      <c r="BP21" s="680"/>
      <c r="BQ21" s="680"/>
      <c r="BR21" s="680"/>
      <c r="BS21" s="680"/>
      <c r="BT21" s="680"/>
      <c r="BU21" s="680"/>
      <c r="BV21" s="680"/>
      <c r="BW21" s="680"/>
      <c r="BX21" s="680"/>
      <c r="BY21" s="680"/>
      <c r="BZ21" s="680"/>
      <c r="CA21" s="680"/>
      <c r="CB21" s="680"/>
      <c r="CC21" s="683"/>
      <c r="CD21" s="683"/>
      <c r="CE21" s="683"/>
      <c r="CF21" s="683"/>
      <c r="CG21" s="683"/>
      <c r="CH21" s="683"/>
      <c r="CI21" s="683"/>
      <c r="CJ21" s="683"/>
      <c r="CK21" s="683"/>
      <c r="CL21" s="683"/>
      <c r="CM21" s="683"/>
      <c r="CN21" s="683"/>
      <c r="CO21" s="683"/>
      <c r="CP21" s="680"/>
      <c r="CQ21" s="680"/>
      <c r="CR21" s="680"/>
      <c r="CS21" s="680"/>
      <c r="CT21" s="680"/>
      <c r="CU21" s="680"/>
      <c r="CV21" s="680"/>
      <c r="CW21" s="680"/>
      <c r="CX21" s="680"/>
      <c r="CY21" s="681"/>
      <c r="CZ21" s="681"/>
      <c r="DA21" s="681"/>
      <c r="DB21" s="681"/>
      <c r="DC21" s="682"/>
      <c r="DD21" s="682"/>
      <c r="DE21" s="682"/>
      <c r="DF21" s="682"/>
      <c r="DG21" s="682"/>
      <c r="DH21" s="682"/>
      <c r="DI21" s="682"/>
      <c r="DJ21" s="682"/>
      <c r="DK21" s="682"/>
      <c r="DL21" s="682"/>
      <c r="DM21" s="682"/>
      <c r="DN21" s="682"/>
      <c r="DO21" s="682"/>
      <c r="DP21" s="681"/>
      <c r="DQ21" s="681"/>
      <c r="DR21" s="681"/>
      <c r="DS21" s="681"/>
      <c r="DT21" s="681"/>
      <c r="DU21" s="681"/>
      <c r="DV21" s="681"/>
      <c r="DW21" s="681"/>
      <c r="DX21" s="681"/>
      <c r="DY21" s="681"/>
      <c r="DZ21" s="681"/>
      <c r="EA21" s="681"/>
      <c r="EB21" s="681"/>
      <c r="EC21" s="260">
        <f t="shared" si="91"/>
        <v>87.5</v>
      </c>
      <c r="ED21" s="260">
        <f t="shared" si="92"/>
        <v>87</v>
      </c>
      <c r="EE21" s="260">
        <f t="shared" si="93"/>
        <v>77.5</v>
      </c>
      <c r="EF21" s="260">
        <f t="shared" si="94"/>
        <v>77.5</v>
      </c>
      <c r="EG21" s="260" t="str">
        <f t="shared" si="95"/>
        <v xml:space="preserve"> </v>
      </c>
      <c r="EH21" s="260" t="str">
        <f t="shared" si="96"/>
        <v xml:space="preserve"> </v>
      </c>
      <c r="EI21" s="260" t="str">
        <f t="shared" si="97"/>
        <v xml:space="preserve"> </v>
      </c>
      <c r="EJ21" s="260" t="str">
        <f t="shared" si="98"/>
        <v xml:space="preserve"> </v>
      </c>
      <c r="EK21" s="260" t="str">
        <f t="shared" si="99"/>
        <v xml:space="preserve"> </v>
      </c>
      <c r="EL21" s="260" t="str">
        <f t="shared" si="100"/>
        <v xml:space="preserve"> </v>
      </c>
      <c r="EM21" s="260" t="str">
        <f t="shared" si="101"/>
        <v xml:space="preserve"> </v>
      </c>
      <c r="EN21" s="260" t="str">
        <f t="shared" si="102"/>
        <v xml:space="preserve"> </v>
      </c>
      <c r="EO21" s="260" t="str">
        <f t="shared" si="103"/>
        <v xml:space="preserve"> </v>
      </c>
      <c r="EP21" s="547">
        <v>75</v>
      </c>
      <c r="EQ21" s="547">
        <v>76</v>
      </c>
      <c r="ER21" s="547"/>
      <c r="ES21" s="547"/>
      <c r="ET21" s="547"/>
      <c r="EU21" s="547"/>
      <c r="EV21" s="547"/>
      <c r="EW21" s="547"/>
      <c r="EX21" s="547"/>
      <c r="EY21" s="547"/>
      <c r="EZ21" s="547"/>
      <c r="FA21" s="547"/>
      <c r="FB21" s="547"/>
      <c r="FC21" s="560">
        <v>75</v>
      </c>
      <c r="FD21" s="560">
        <v>75</v>
      </c>
      <c r="FE21" s="560">
        <v>75</v>
      </c>
      <c r="FF21" s="560">
        <v>75</v>
      </c>
      <c r="FG21" s="560"/>
      <c r="FH21" s="560"/>
      <c r="FI21" s="560"/>
      <c r="FJ21" s="560"/>
      <c r="FK21" s="560"/>
      <c r="FL21" s="560"/>
      <c r="FM21" s="560"/>
      <c r="FN21" s="560"/>
      <c r="FO21" s="560"/>
      <c r="FP21" s="549">
        <f t="shared" si="104"/>
        <v>79</v>
      </c>
      <c r="FQ21" s="291" t="str">
        <f t="shared" si="105"/>
        <v>C</v>
      </c>
      <c r="FR21" s="50" t="str">
        <f t="shared" si="106"/>
        <v>Ananda Fifi cukup dalam menjelaskan dan melakukan perkalian dan pembagian pecahan dan desimal, cukup dalam menjelaskan skala melalui denah.</v>
      </c>
      <c r="FS21" s="282"/>
      <c r="FT21" s="51"/>
      <c r="FU21" s="46">
        <f t="shared" si="107"/>
        <v>87.5</v>
      </c>
      <c r="FV21" s="46">
        <f t="shared" si="108"/>
        <v>87</v>
      </c>
      <c r="FW21" s="46">
        <f t="shared" si="109"/>
        <v>77.5</v>
      </c>
      <c r="FX21" s="46">
        <f t="shared" si="110"/>
        <v>77.5</v>
      </c>
      <c r="FY21" s="46" t="str">
        <f t="shared" si="111"/>
        <v xml:space="preserve"> </v>
      </c>
      <c r="FZ21" s="46" t="str">
        <f t="shared" si="112"/>
        <v xml:space="preserve"> </v>
      </c>
      <c r="GA21" s="46" t="str">
        <f t="shared" si="113"/>
        <v xml:space="preserve"> </v>
      </c>
      <c r="GB21" s="46" t="str">
        <f t="shared" si="114"/>
        <v xml:space="preserve"> </v>
      </c>
      <c r="GC21" s="46" t="str">
        <f t="shared" si="115"/>
        <v xml:space="preserve"> </v>
      </c>
      <c r="GD21" s="46" t="str">
        <f t="shared" si="116"/>
        <v xml:space="preserve"> </v>
      </c>
      <c r="GE21" s="46" t="str">
        <f t="shared" si="117"/>
        <v xml:space="preserve"> </v>
      </c>
      <c r="GF21" s="46" t="str">
        <f t="shared" si="118"/>
        <v xml:space="preserve"> </v>
      </c>
      <c r="GG21" s="46" t="str">
        <f t="shared" si="119"/>
        <v xml:space="preserve"> </v>
      </c>
      <c r="GH21" s="46"/>
      <c r="GI21" s="53">
        <f t="shared" si="120"/>
        <v>81.25</v>
      </c>
      <c r="GJ21" s="53">
        <f t="shared" si="121"/>
        <v>81.25</v>
      </c>
      <c r="GK21" s="53">
        <f t="shared" si="122"/>
        <v>76.666666666666671</v>
      </c>
      <c r="GL21" s="53">
        <f t="shared" si="123"/>
        <v>76.666666666666671</v>
      </c>
      <c r="GM21" s="53" t="str">
        <f t="shared" si="124"/>
        <v xml:space="preserve">  </v>
      </c>
      <c r="GN21" s="53" t="str">
        <f t="shared" si="125"/>
        <v xml:space="preserve">  </v>
      </c>
      <c r="GO21" s="53" t="str">
        <f t="shared" si="126"/>
        <v xml:space="preserve">  </v>
      </c>
      <c r="GP21" s="53" t="str">
        <f t="shared" si="127"/>
        <v xml:space="preserve">  </v>
      </c>
      <c r="GQ21" s="53" t="str">
        <f t="shared" si="128"/>
        <v xml:space="preserve">  </v>
      </c>
      <c r="GR21" s="53" t="str">
        <f t="shared" si="129"/>
        <v xml:space="preserve">  </v>
      </c>
      <c r="GS21" s="53" t="str">
        <f t="shared" si="130"/>
        <v xml:space="preserve">  </v>
      </c>
      <c r="GT21" s="53" t="str">
        <f t="shared" si="131"/>
        <v xml:space="preserve">  </v>
      </c>
      <c r="GU21" s="53" t="str">
        <f t="shared" si="132"/>
        <v xml:space="preserve">  </v>
      </c>
      <c r="GV21" s="54">
        <f t="shared" si="133"/>
        <v>79</v>
      </c>
      <c r="GW21" s="51"/>
      <c r="GX21" s="351">
        <f t="shared" si="134"/>
        <v>81.25</v>
      </c>
      <c r="GY21" s="351">
        <f t="shared" si="135"/>
        <v>76.666666666666671</v>
      </c>
      <c r="GZ21" s="51" t="str">
        <f>SISWA!E19</f>
        <v>Fifi</v>
      </c>
      <c r="HA21" s="51" t="str">
        <f t="shared" si="136"/>
        <v xml:space="preserve">Ananda Fifi </v>
      </c>
      <c r="HB21" s="56">
        <f t="shared" si="137"/>
        <v>81.25</v>
      </c>
      <c r="HC21" s="56">
        <f t="shared" si="138"/>
        <v>81.25</v>
      </c>
      <c r="HD21" s="56" t="str">
        <f t="shared" si="139"/>
        <v/>
      </c>
      <c r="HE21" s="56" t="str">
        <f t="shared" si="140"/>
        <v/>
      </c>
      <c r="HF21" s="56" t="str">
        <f t="shared" si="141"/>
        <v/>
      </c>
      <c r="HG21" s="56" t="str">
        <f t="shared" si="142"/>
        <v/>
      </c>
      <c r="HH21" s="56" t="str">
        <f t="shared" si="143"/>
        <v/>
      </c>
      <c r="HI21" s="56" t="str">
        <f t="shared" si="144"/>
        <v/>
      </c>
      <c r="HJ21" s="56" t="str">
        <f t="shared" si="145"/>
        <v/>
      </c>
      <c r="HK21" s="56" t="str">
        <f t="shared" si="146"/>
        <v/>
      </c>
      <c r="HL21" s="56" t="str">
        <f t="shared" si="147"/>
        <v/>
      </c>
      <c r="HM21" s="56" t="str">
        <f t="shared" si="148"/>
        <v/>
      </c>
      <c r="HN21" s="56" t="str">
        <f t="shared" si="149"/>
        <v/>
      </c>
      <c r="HO21" s="58">
        <f t="shared" si="150"/>
        <v>162.5</v>
      </c>
      <c r="HP21" s="55" t="str">
        <f t="shared" si="151"/>
        <v>menjelaskan dan melakukan perkalian dan pembagian pecahan dan desimal</v>
      </c>
      <c r="HQ21" s="58"/>
      <c r="HR21" s="59" t="str">
        <f>IF(GX21&gt;100,"",IF(GX21&gt;FQ$1,"sangat baik dalam "&amp;HP21,IF(GX21&gt;=FQ$2," baik dalam "&amp;HP21,IF(GX21&gt;=FQ$3,"cukup dalam "&amp;HP21,IF(GX21&lt;FQ$3,"dengan bimbingan dapat meningkatkan dalam "&amp;HP21,IF(GX21&lt;1," ",””))))))</f>
        <v>cukup dalam menjelaskan dan melakukan perkalian dan pembagian pecahan dan desimal</v>
      </c>
      <c r="HS21" s="58"/>
      <c r="HT21" s="57" t="str">
        <f t="shared" si="152"/>
        <v/>
      </c>
      <c r="HU21" s="57" t="str">
        <f t="shared" si="153"/>
        <v/>
      </c>
      <c r="HV21" s="57">
        <f t="shared" si="154"/>
        <v>76.666666666666671</v>
      </c>
      <c r="HW21" s="57">
        <f t="shared" si="155"/>
        <v>76.666666666666671</v>
      </c>
      <c r="HX21" s="57" t="str">
        <f t="shared" si="156"/>
        <v/>
      </c>
      <c r="HY21" s="57" t="str">
        <f t="shared" si="157"/>
        <v/>
      </c>
      <c r="HZ21" s="57" t="str">
        <f t="shared" si="158"/>
        <v/>
      </c>
      <c r="IA21" s="57" t="str">
        <f t="shared" si="159"/>
        <v/>
      </c>
      <c r="IB21" s="57" t="str">
        <f t="shared" si="160"/>
        <v/>
      </c>
      <c r="IC21" s="57" t="str">
        <f t="shared" si="161"/>
        <v/>
      </c>
      <c r="ID21" s="57" t="str">
        <f t="shared" si="162"/>
        <v/>
      </c>
      <c r="IE21" s="57" t="str">
        <f t="shared" si="163"/>
        <v/>
      </c>
      <c r="IF21" s="57" t="str">
        <f t="shared" si="164"/>
        <v/>
      </c>
      <c r="IG21" s="57"/>
      <c r="IH21" s="55" t="str">
        <f t="shared" si="165"/>
        <v>menjelaskan skala melalui denah</v>
      </c>
      <c r="II21" s="59" t="str">
        <f>IF(GY21&gt;100,"",IF(GY21&gt;FQ$1,"sangat baik dalam "&amp;IH21,IF(GY21&gt;=FQ$2," baik dalam "&amp;IH21,IF(GY21&gt;=FQ$3,"cukup dalam "&amp;IH21,IF(GY21&lt;FQ$3,"dengan bimbingan dapat meningkatkan dalam "&amp;IH21,IF(GY21&lt;1," ",””))))))</f>
        <v>cukup dalam menjelaskan skala melalui denah</v>
      </c>
      <c r="IJ21" s="60"/>
      <c r="IK21" s="61" t="s">
        <v>201</v>
      </c>
      <c r="IL21" s="62" t="str">
        <f t="shared" si="166"/>
        <v>Ananda Fifi cukup dalam menjelaskan dan melakukan perkalian dan pembagian pecahan dan desimal, cukup dalam menjelaskan skala melalui denah.</v>
      </c>
      <c r="IM21" s="4" t="e">
        <f>CONCATENATE(IF(#REF!&gt;100,"  ",IF(#REF!&gt;95,"Sangat pandai "&amp;$B$45,IF(#REF!&gt;87,"Pandai "&amp;$B$45,IF(#REF!&gt;79,"Cukup pandai "&amp;$B$45,IF(#REF!&gt;71,"Menguasai dengan baik "&amp;$B$45,IF(#REF!&gt;62,"Perlu banyak latihan "&amp;$B$45,IF(#REF!&gt;0,"Perlu bimbingan "&amp;$B$45,IF(#REF!="","")))))))),IF(#REF!&gt;100,"  ",IF(#REF!&gt;95," Sangat pandai "&amp;$B$46,IF(#REF!&gt;87," Pandai "&amp;$B$46,IF(#REF!&gt;79," Cukup pandai "&amp;$B$46,IF(#REF!&gt;71," Menguasai dengan baik "&amp;$B$46,IF(#REF!&gt;62," Perlu banyak latihan "&amp;$B$46,IF(#REF!&gt;0," Perlu bimbingan "&amp;$B$46,IF(#REF!="","")))))))),IF(#REF!&gt;100,"  ",IF(#REF!&gt;95," Sangat pandai "&amp;$B$47,IF(#REF!&gt;87," Pandai "&amp;$B$47,IF(#REF!&gt;79," cukup pandai "&amp;$B$47,IF(#REF!&gt;71," Menguasai dengan baik "&amp;$B$47,IF(#REF!&gt;62," Perlu banyak latihan "&amp;$B$47,IF(#REF!&gt;0," Perlu bimbingan "&amp;$B$47,IF(#REF!="","")))))))),IF(#REF!&gt;100,"  ",IF(#REF!&gt;95," Sangat pandai "&amp;$B$48,IF(#REF!&gt;87," Pandai "&amp;$B$48,IF(#REF!&gt;79," Cukup pandai "&amp;$B$48,IF(#REF!&gt;71," Menguasai dengan baik "&amp;$B$48,IF(#REF!&gt;62," Perlu banyak latihan "&amp;$B$48,IF(#REF!&gt;0," Perlu bimbingan "&amp;$B$48,IF(#REF!="","")))))))),IF(#REF!&gt;100,"  ",IF(#REF!&gt;95," Sangat pandai "&amp;$B$49,IF(#REF!&gt;87," Pandai "&amp;$B$49,IF(#REF!&gt;79," Cukup pandai "&amp;$B$49,IF(#REF!&gt;71," Menguasai dengan baik "&amp;$B$49,IF(#REF!&gt;62," Perlu banyak latihan "&amp;$B$49,IF(#REF!&gt;0," Perlu bimbingan "&amp;$B$49,IF(#REF!="","")))))))),IF(#REF!&gt;100,"  ",IF(#REF!&gt;95," Sangat pandai "&amp;$B$50,IF(#REF!&gt;87," Pandai "&amp;$B$50,IF(#REF!&gt;79," Cukup pandai "&amp;$B$50,IF(#REF!&gt;71," Menguasai dengan baik "&amp;$B$50,IF(#REF!&gt;62," Perlu banyak latihan "&amp;$B$50,IF(#REF!&gt;0," Perlu bimbingan "&amp;$B$50,IF(#REF!="","")))))))),IF(#REF!&gt;100,"  ",IF(#REF!&gt;95," Sangat pandai "&amp;$B$51,IF(#REF!&gt;87," Pandai "&amp;$B$51,IF(#REF!&gt;79," Cukup pandai "&amp;$B$51,IF(#REF!&gt;71," Menguasai dengan baik "&amp;$B$51,IF(#REF!&gt;62," Perlu banyak latihan "&amp;$B$51,IF(#REF!&gt;0," Perlu bimbingan "&amp;$B$51,IF(#REF!="","")))))))))</f>
        <v>#REF!</v>
      </c>
    </row>
    <row r="22" spans="1:247" ht="30">
      <c r="A22" s="39">
        <v>15</v>
      </c>
      <c r="B22" s="283" t="str">
        <f>SISWA!B20</f>
        <v>Tegar Arya Pangestu</v>
      </c>
      <c r="C22" s="123">
        <v>80</v>
      </c>
      <c r="D22" s="123">
        <v>87</v>
      </c>
      <c r="E22" s="123">
        <v>80</v>
      </c>
      <c r="F22" s="123">
        <v>80</v>
      </c>
      <c r="G22" s="123"/>
      <c r="H22" s="123"/>
      <c r="I22" s="123"/>
      <c r="J22" s="123"/>
      <c r="K22" s="123"/>
      <c r="L22" s="123"/>
      <c r="M22" s="123"/>
      <c r="N22" s="123"/>
      <c r="O22" s="123"/>
      <c r="P22" s="256">
        <v>80</v>
      </c>
      <c r="Q22" s="256">
        <v>75</v>
      </c>
      <c r="R22" s="256">
        <v>80</v>
      </c>
      <c r="S22" s="256">
        <v>87</v>
      </c>
      <c r="T22" s="256"/>
      <c r="U22" s="256"/>
      <c r="V22" s="256"/>
      <c r="W22" s="256"/>
      <c r="X22" s="256"/>
      <c r="Y22" s="256"/>
      <c r="Z22" s="256"/>
      <c r="AA22" s="256"/>
      <c r="AB22" s="256"/>
      <c r="AC22" s="683"/>
      <c r="AD22" s="683"/>
      <c r="AE22" s="683"/>
      <c r="AF22" s="683"/>
      <c r="AG22" s="683"/>
      <c r="AH22" s="683"/>
      <c r="AI22" s="683"/>
      <c r="AJ22" s="683"/>
      <c r="AK22" s="683"/>
      <c r="AL22" s="683"/>
      <c r="AM22" s="683"/>
      <c r="AN22" s="683"/>
      <c r="AO22" s="683"/>
      <c r="AP22" s="680"/>
      <c r="AQ22" s="680"/>
      <c r="AR22" s="680"/>
      <c r="AS22" s="680"/>
      <c r="AT22" s="680"/>
      <c r="AU22" s="680"/>
      <c r="AV22" s="680"/>
      <c r="AW22" s="680"/>
      <c r="AX22" s="680"/>
      <c r="AY22" s="680"/>
      <c r="AZ22" s="680"/>
      <c r="BA22" s="680"/>
      <c r="BB22" s="680"/>
      <c r="BC22" s="683"/>
      <c r="BD22" s="683"/>
      <c r="BE22" s="683"/>
      <c r="BF22" s="683"/>
      <c r="BG22" s="683"/>
      <c r="BH22" s="683"/>
      <c r="BI22" s="683"/>
      <c r="BJ22" s="683"/>
      <c r="BK22" s="683"/>
      <c r="BL22" s="683"/>
      <c r="BM22" s="683"/>
      <c r="BN22" s="683"/>
      <c r="BO22" s="683"/>
      <c r="BP22" s="680"/>
      <c r="BQ22" s="680"/>
      <c r="BR22" s="680"/>
      <c r="BS22" s="680"/>
      <c r="BT22" s="680"/>
      <c r="BU22" s="680"/>
      <c r="BV22" s="680"/>
      <c r="BW22" s="680"/>
      <c r="BX22" s="680"/>
      <c r="BY22" s="680"/>
      <c r="BZ22" s="680"/>
      <c r="CA22" s="680"/>
      <c r="CB22" s="680"/>
      <c r="CC22" s="683"/>
      <c r="CD22" s="683"/>
      <c r="CE22" s="683"/>
      <c r="CF22" s="683"/>
      <c r="CG22" s="683"/>
      <c r="CH22" s="683"/>
      <c r="CI22" s="683"/>
      <c r="CJ22" s="683"/>
      <c r="CK22" s="683"/>
      <c r="CL22" s="683"/>
      <c r="CM22" s="683"/>
      <c r="CN22" s="683"/>
      <c r="CO22" s="683"/>
      <c r="CP22" s="680"/>
      <c r="CQ22" s="680"/>
      <c r="CR22" s="680"/>
      <c r="CS22" s="680"/>
      <c r="CT22" s="680"/>
      <c r="CU22" s="680"/>
      <c r="CV22" s="680"/>
      <c r="CW22" s="680"/>
      <c r="CX22" s="680"/>
      <c r="CY22" s="681"/>
      <c r="CZ22" s="681"/>
      <c r="DA22" s="681"/>
      <c r="DB22" s="681"/>
      <c r="DC22" s="682"/>
      <c r="DD22" s="682"/>
      <c r="DE22" s="682"/>
      <c r="DF22" s="682"/>
      <c r="DG22" s="682"/>
      <c r="DH22" s="682"/>
      <c r="DI22" s="682"/>
      <c r="DJ22" s="682"/>
      <c r="DK22" s="682"/>
      <c r="DL22" s="682"/>
      <c r="DM22" s="682"/>
      <c r="DN22" s="682"/>
      <c r="DO22" s="682"/>
      <c r="DP22" s="681"/>
      <c r="DQ22" s="681"/>
      <c r="DR22" s="681"/>
      <c r="DS22" s="681"/>
      <c r="DT22" s="681"/>
      <c r="DU22" s="681"/>
      <c r="DV22" s="681"/>
      <c r="DW22" s="681"/>
      <c r="DX22" s="681"/>
      <c r="DY22" s="681"/>
      <c r="DZ22" s="681"/>
      <c r="EA22" s="681"/>
      <c r="EB22" s="681"/>
      <c r="EC22" s="260">
        <f t="shared" si="91"/>
        <v>80</v>
      </c>
      <c r="ED22" s="260">
        <f t="shared" si="92"/>
        <v>81</v>
      </c>
      <c r="EE22" s="260">
        <f t="shared" si="93"/>
        <v>80</v>
      </c>
      <c r="EF22" s="260">
        <f t="shared" si="94"/>
        <v>83.5</v>
      </c>
      <c r="EG22" s="260" t="str">
        <f t="shared" si="95"/>
        <v xml:space="preserve"> </v>
      </c>
      <c r="EH22" s="260" t="str">
        <f t="shared" si="96"/>
        <v xml:space="preserve"> </v>
      </c>
      <c r="EI22" s="260" t="str">
        <f t="shared" si="97"/>
        <v xml:space="preserve"> </v>
      </c>
      <c r="EJ22" s="260" t="str">
        <f t="shared" si="98"/>
        <v xml:space="preserve"> </v>
      </c>
      <c r="EK22" s="260" t="str">
        <f t="shared" si="99"/>
        <v xml:space="preserve"> </v>
      </c>
      <c r="EL22" s="260" t="str">
        <f t="shared" si="100"/>
        <v xml:space="preserve"> </v>
      </c>
      <c r="EM22" s="260" t="str">
        <f t="shared" si="101"/>
        <v xml:space="preserve"> </v>
      </c>
      <c r="EN22" s="260" t="str">
        <f t="shared" si="102"/>
        <v xml:space="preserve"> </v>
      </c>
      <c r="EO22" s="260" t="str">
        <f t="shared" si="103"/>
        <v xml:space="preserve"> </v>
      </c>
      <c r="EP22" s="547">
        <v>75</v>
      </c>
      <c r="EQ22" s="547">
        <v>75</v>
      </c>
      <c r="ER22" s="547"/>
      <c r="ES22" s="547"/>
      <c r="ET22" s="547"/>
      <c r="EU22" s="547"/>
      <c r="EV22" s="547"/>
      <c r="EW22" s="547"/>
      <c r="EX22" s="547"/>
      <c r="EY22" s="547"/>
      <c r="EZ22" s="547"/>
      <c r="FA22" s="547"/>
      <c r="FB22" s="547"/>
      <c r="FC22" s="560">
        <v>75</v>
      </c>
      <c r="FD22" s="560">
        <v>75</v>
      </c>
      <c r="FE22" s="560">
        <v>75</v>
      </c>
      <c r="FF22" s="560">
        <v>75</v>
      </c>
      <c r="FG22" s="560"/>
      <c r="FH22" s="560"/>
      <c r="FI22" s="560"/>
      <c r="FJ22" s="560"/>
      <c r="FK22" s="560"/>
      <c r="FL22" s="560"/>
      <c r="FM22" s="560"/>
      <c r="FN22" s="560"/>
      <c r="FO22" s="560"/>
      <c r="FP22" s="549">
        <f t="shared" si="104"/>
        <v>79</v>
      </c>
      <c r="FQ22" s="291" t="str">
        <f t="shared" si="105"/>
        <v>C</v>
      </c>
      <c r="FR22" s="50" t="str">
        <f t="shared" si="106"/>
        <v>Ananda Tegar cukup dalam menjelaskan skala melalui denah, cukup dalam menjelaskan dan melakukan penjumlahan dan pengurangan dua pecahan dengan penyebut berbeda.</v>
      </c>
      <c r="FS22" s="282"/>
      <c r="FT22" s="51"/>
      <c r="FU22" s="46">
        <f t="shared" si="107"/>
        <v>80</v>
      </c>
      <c r="FV22" s="46">
        <f t="shared" si="108"/>
        <v>81</v>
      </c>
      <c r="FW22" s="46">
        <f t="shared" si="109"/>
        <v>80</v>
      </c>
      <c r="FX22" s="46">
        <f t="shared" si="110"/>
        <v>83.5</v>
      </c>
      <c r="FY22" s="46" t="str">
        <f t="shared" si="111"/>
        <v xml:space="preserve"> </v>
      </c>
      <c r="FZ22" s="46" t="str">
        <f t="shared" si="112"/>
        <v xml:space="preserve"> </v>
      </c>
      <c r="GA22" s="46" t="str">
        <f t="shared" si="113"/>
        <v xml:space="preserve"> </v>
      </c>
      <c r="GB22" s="46" t="str">
        <f t="shared" si="114"/>
        <v xml:space="preserve"> </v>
      </c>
      <c r="GC22" s="46" t="str">
        <f t="shared" si="115"/>
        <v xml:space="preserve"> </v>
      </c>
      <c r="GD22" s="46" t="str">
        <f t="shared" si="116"/>
        <v xml:space="preserve"> </v>
      </c>
      <c r="GE22" s="46" t="str">
        <f t="shared" si="117"/>
        <v xml:space="preserve"> </v>
      </c>
      <c r="GF22" s="46" t="str">
        <f t="shared" si="118"/>
        <v xml:space="preserve"> </v>
      </c>
      <c r="GG22" s="46" t="str">
        <f t="shared" si="119"/>
        <v xml:space="preserve"> </v>
      </c>
      <c r="GH22" s="46"/>
      <c r="GI22" s="53">
        <f t="shared" si="120"/>
        <v>77.5</v>
      </c>
      <c r="GJ22" s="53">
        <f t="shared" si="121"/>
        <v>78</v>
      </c>
      <c r="GK22" s="53">
        <f t="shared" si="122"/>
        <v>78.333333333333329</v>
      </c>
      <c r="GL22" s="53">
        <f t="shared" si="123"/>
        <v>80.666666666666671</v>
      </c>
      <c r="GM22" s="53" t="str">
        <f t="shared" si="124"/>
        <v xml:space="preserve">  </v>
      </c>
      <c r="GN22" s="53" t="str">
        <f t="shared" si="125"/>
        <v xml:space="preserve">  </v>
      </c>
      <c r="GO22" s="53" t="str">
        <f t="shared" si="126"/>
        <v xml:space="preserve">  </v>
      </c>
      <c r="GP22" s="53" t="str">
        <f t="shared" si="127"/>
        <v xml:space="preserve">  </v>
      </c>
      <c r="GQ22" s="53" t="str">
        <f t="shared" si="128"/>
        <v xml:space="preserve">  </v>
      </c>
      <c r="GR22" s="53" t="str">
        <f t="shared" si="129"/>
        <v xml:space="preserve">  </v>
      </c>
      <c r="GS22" s="53" t="str">
        <f t="shared" si="130"/>
        <v xml:space="preserve">  </v>
      </c>
      <c r="GT22" s="53" t="str">
        <f t="shared" si="131"/>
        <v xml:space="preserve">  </v>
      </c>
      <c r="GU22" s="53" t="str">
        <f t="shared" si="132"/>
        <v xml:space="preserve">  </v>
      </c>
      <c r="GV22" s="54">
        <f t="shared" si="133"/>
        <v>79</v>
      </c>
      <c r="GW22" s="51"/>
      <c r="GX22" s="351">
        <f t="shared" si="134"/>
        <v>80.666666666666671</v>
      </c>
      <c r="GY22" s="351">
        <f t="shared" si="135"/>
        <v>77.5</v>
      </c>
      <c r="GZ22" s="51" t="str">
        <f>SISWA!E20</f>
        <v>Tegar</v>
      </c>
      <c r="HA22" s="51" t="str">
        <f t="shared" si="136"/>
        <v xml:space="preserve">Ananda Tegar </v>
      </c>
      <c r="HB22" s="56" t="str">
        <f t="shared" si="137"/>
        <v/>
      </c>
      <c r="HC22" s="56" t="str">
        <f t="shared" si="138"/>
        <v/>
      </c>
      <c r="HD22" s="56" t="str">
        <f t="shared" si="139"/>
        <v/>
      </c>
      <c r="HE22" s="56">
        <f t="shared" si="140"/>
        <v>80.666666666666671</v>
      </c>
      <c r="HF22" s="56" t="str">
        <f t="shared" si="141"/>
        <v/>
      </c>
      <c r="HG22" s="56" t="str">
        <f t="shared" si="142"/>
        <v/>
      </c>
      <c r="HH22" s="56" t="str">
        <f t="shared" si="143"/>
        <v/>
      </c>
      <c r="HI22" s="56" t="str">
        <f t="shared" si="144"/>
        <v/>
      </c>
      <c r="HJ22" s="56" t="str">
        <f t="shared" si="145"/>
        <v/>
      </c>
      <c r="HK22" s="56" t="str">
        <f t="shared" si="146"/>
        <v/>
      </c>
      <c r="HL22" s="56" t="str">
        <f t="shared" si="147"/>
        <v/>
      </c>
      <c r="HM22" s="56" t="str">
        <f t="shared" si="148"/>
        <v/>
      </c>
      <c r="HN22" s="56" t="str">
        <f t="shared" si="149"/>
        <v/>
      </c>
      <c r="HO22" s="58">
        <f t="shared" si="150"/>
        <v>80.666666666666671</v>
      </c>
      <c r="HP22" s="55" t="str">
        <f t="shared" si="151"/>
        <v>menjelaskan skala melalui denah</v>
      </c>
      <c r="HQ22" s="58"/>
      <c r="HR22" s="59" t="str">
        <f>IF(GX22&gt;100,"",IF(GX22&gt;FQ$1,"sangat baik dalam "&amp;HP22,IF(GX22&gt;=FQ$2," baik dalam "&amp;HP22,IF(GX22&gt;=FQ$3,"cukup dalam "&amp;HP22,IF(GX22&lt;FQ$3,"dengan bimbingan dapat meningkatkan dalam "&amp;HP22,IF(GX22&lt;1," ",””))))))</f>
        <v>cukup dalam menjelaskan skala melalui denah</v>
      </c>
      <c r="HS22" s="58"/>
      <c r="HT22" s="57">
        <f t="shared" si="152"/>
        <v>77.5</v>
      </c>
      <c r="HU22" s="57" t="str">
        <f t="shared" si="153"/>
        <v/>
      </c>
      <c r="HV22" s="57" t="str">
        <f t="shared" si="154"/>
        <v/>
      </c>
      <c r="HW22" s="57" t="str">
        <f t="shared" si="155"/>
        <v/>
      </c>
      <c r="HX22" s="57" t="str">
        <f t="shared" si="156"/>
        <v/>
      </c>
      <c r="HY22" s="57" t="str">
        <f t="shared" si="157"/>
        <v/>
      </c>
      <c r="HZ22" s="57" t="str">
        <f t="shared" si="158"/>
        <v/>
      </c>
      <c r="IA22" s="57" t="str">
        <f t="shared" si="159"/>
        <v/>
      </c>
      <c r="IB22" s="57" t="str">
        <f t="shared" si="160"/>
        <v/>
      </c>
      <c r="IC22" s="57" t="str">
        <f t="shared" si="161"/>
        <v/>
      </c>
      <c r="ID22" s="57" t="str">
        <f t="shared" si="162"/>
        <v/>
      </c>
      <c r="IE22" s="57" t="str">
        <f t="shared" si="163"/>
        <v/>
      </c>
      <c r="IF22" s="57" t="str">
        <f t="shared" si="164"/>
        <v/>
      </c>
      <c r="IG22" s="57"/>
      <c r="IH22" s="55" t="str">
        <f t="shared" si="165"/>
        <v>menjelaskan dan melakukan penjumlahan dan pengurangan dua pecahan dengan penyebut berbeda</v>
      </c>
      <c r="II22" s="59" t="str">
        <f>IF(GY22&gt;100,"",IF(GY22&gt;FQ$1,"sangat baik dalam "&amp;IH22,IF(GY22&gt;=FQ$2," baik dalam "&amp;IH22,IF(GY22&gt;=FQ$3,"cukup dalam "&amp;IH22,IF(GY22&lt;FQ$3,"dengan bimbingan dapat meningkatkan dalam "&amp;IH22,IF(GY22&lt;1," ",””))))))</f>
        <v>cukup dalam menjelaskan dan melakukan penjumlahan dan pengurangan dua pecahan dengan penyebut berbeda</v>
      </c>
      <c r="IJ22" s="60"/>
      <c r="IK22" s="61" t="s">
        <v>201</v>
      </c>
      <c r="IL22" s="62" t="str">
        <f t="shared" si="166"/>
        <v>Ananda Tegar cukup dalam menjelaskan skala melalui denah, cukup dalam menjelaskan dan melakukan penjumlahan dan pengurangan dua pecahan dengan penyebut berbeda.</v>
      </c>
      <c r="IM22" s="4" t="e">
        <f>CONCATENATE(IF(#REF!&gt;100,"  ",IF(#REF!&gt;95,"Sangat pandai "&amp;$B$45,IF(#REF!&gt;87,"Pandai "&amp;$B$45,IF(#REF!&gt;79,"Cukup pandai "&amp;$B$45,IF(#REF!&gt;71,"Menguasai dengan baik "&amp;$B$45,IF(#REF!&gt;62,"Perlu banyak latihan "&amp;$B$45,IF(#REF!&gt;0,"Perlu bimbingan "&amp;$B$45,IF(#REF!="","")))))))),IF(#REF!&gt;100,"  ",IF(#REF!&gt;95," Sangat pandai "&amp;$B$46,IF(#REF!&gt;87," Pandai "&amp;$B$46,IF(#REF!&gt;79," Cukup pandai "&amp;$B$46,IF(#REF!&gt;71," Menguasai dengan baik "&amp;$B$46,IF(#REF!&gt;62," Perlu banyak latihan "&amp;$B$46,IF(#REF!&gt;0," Perlu bimbingan "&amp;$B$46,IF(#REF!="","")))))))),IF(#REF!&gt;100,"  ",IF(#REF!&gt;95," Sangat pandai "&amp;$B$47,IF(#REF!&gt;87," Pandai "&amp;$B$47,IF(#REF!&gt;79," cukup pandai "&amp;$B$47,IF(#REF!&gt;71," Menguasai dengan baik "&amp;$B$47,IF(#REF!&gt;62," Perlu banyak latihan "&amp;$B$47,IF(#REF!&gt;0," Perlu bimbingan "&amp;$B$47,IF(#REF!="","")))))))),IF(#REF!&gt;100,"  ",IF(#REF!&gt;95," Sangat pandai "&amp;$B$48,IF(#REF!&gt;87," Pandai "&amp;$B$48,IF(#REF!&gt;79," Cukup pandai "&amp;$B$48,IF(#REF!&gt;71," Menguasai dengan baik "&amp;$B$48,IF(#REF!&gt;62," Perlu banyak latihan "&amp;$B$48,IF(#REF!&gt;0," Perlu bimbingan "&amp;$B$48,IF(#REF!="","")))))))),IF(#REF!&gt;100,"  ",IF(#REF!&gt;95," Sangat pandai "&amp;$B$49,IF(#REF!&gt;87," Pandai "&amp;$B$49,IF(#REF!&gt;79," Cukup pandai "&amp;$B$49,IF(#REF!&gt;71," Menguasai dengan baik "&amp;$B$49,IF(#REF!&gt;62," Perlu banyak latihan "&amp;$B$49,IF(#REF!&gt;0," Perlu bimbingan "&amp;$B$49,IF(#REF!="","")))))))),IF(#REF!&gt;100,"  ",IF(#REF!&gt;95," Sangat pandai "&amp;$B$50,IF(#REF!&gt;87," Pandai "&amp;$B$50,IF(#REF!&gt;79," Cukup pandai "&amp;$B$50,IF(#REF!&gt;71," Menguasai dengan baik "&amp;$B$50,IF(#REF!&gt;62," Perlu banyak latihan "&amp;$B$50,IF(#REF!&gt;0," Perlu bimbingan "&amp;$B$50,IF(#REF!="","")))))))),IF(#REF!&gt;100,"  ",IF(#REF!&gt;95," Sangat pandai "&amp;$B$51,IF(#REF!&gt;87," Pandai "&amp;$B$51,IF(#REF!&gt;79," Cukup pandai "&amp;$B$51,IF(#REF!&gt;71," Menguasai dengan baik "&amp;$B$51,IF(#REF!&gt;62," Perlu banyak latihan "&amp;$B$51,IF(#REF!&gt;0," Perlu bimbingan "&amp;$B$51,IF(#REF!="","")))))))))</f>
        <v>#REF!</v>
      </c>
    </row>
    <row r="23" spans="1:247">
      <c r="A23" s="39">
        <v>16</v>
      </c>
      <c r="B23" s="283">
        <f>SISWA!B21</f>
        <v>0</v>
      </c>
      <c r="C23" s="123"/>
      <c r="D23" s="123"/>
      <c r="E23" s="123"/>
      <c r="F23" s="123"/>
      <c r="G23" s="123"/>
      <c r="H23" s="123"/>
      <c r="I23" s="123"/>
      <c r="J23" s="123"/>
      <c r="K23" s="123"/>
      <c r="L23" s="123"/>
      <c r="M23" s="123"/>
      <c r="N23" s="123"/>
      <c r="O23" s="123"/>
      <c r="P23" s="256"/>
      <c r="Q23" s="256"/>
      <c r="R23" s="256"/>
      <c r="S23" s="256"/>
      <c r="T23" s="256"/>
      <c r="U23" s="256"/>
      <c r="V23" s="256"/>
      <c r="W23" s="256"/>
      <c r="X23" s="256"/>
      <c r="Y23" s="256"/>
      <c r="Z23" s="256"/>
      <c r="AA23" s="256"/>
      <c r="AB23" s="256"/>
      <c r="AC23" s="683"/>
      <c r="AD23" s="683"/>
      <c r="AE23" s="683"/>
      <c r="AF23" s="683"/>
      <c r="AG23" s="683"/>
      <c r="AH23" s="683"/>
      <c r="AI23" s="683"/>
      <c r="AJ23" s="683"/>
      <c r="AK23" s="683"/>
      <c r="AL23" s="683"/>
      <c r="AM23" s="683"/>
      <c r="AN23" s="683"/>
      <c r="AO23" s="683"/>
      <c r="AP23" s="680"/>
      <c r="AQ23" s="680"/>
      <c r="AR23" s="680"/>
      <c r="AS23" s="680"/>
      <c r="AT23" s="680"/>
      <c r="AU23" s="680"/>
      <c r="AV23" s="680"/>
      <c r="AW23" s="680"/>
      <c r="AX23" s="680"/>
      <c r="AY23" s="680"/>
      <c r="AZ23" s="680"/>
      <c r="BA23" s="680"/>
      <c r="BB23" s="680"/>
      <c r="BC23" s="683"/>
      <c r="BD23" s="683"/>
      <c r="BE23" s="683"/>
      <c r="BF23" s="683"/>
      <c r="BG23" s="683"/>
      <c r="BH23" s="683"/>
      <c r="BI23" s="683"/>
      <c r="BJ23" s="683"/>
      <c r="BK23" s="683"/>
      <c r="BL23" s="683"/>
      <c r="BM23" s="683"/>
      <c r="BN23" s="683"/>
      <c r="BO23" s="683"/>
      <c r="BP23" s="680"/>
      <c r="BQ23" s="680"/>
      <c r="BR23" s="680"/>
      <c r="BS23" s="680"/>
      <c r="BT23" s="680"/>
      <c r="BU23" s="680"/>
      <c r="BV23" s="680"/>
      <c r="BW23" s="680"/>
      <c r="BX23" s="680"/>
      <c r="BY23" s="680"/>
      <c r="BZ23" s="680"/>
      <c r="CA23" s="680"/>
      <c r="CB23" s="680"/>
      <c r="CC23" s="683"/>
      <c r="CD23" s="683"/>
      <c r="CE23" s="683"/>
      <c r="CF23" s="683"/>
      <c r="CG23" s="683"/>
      <c r="CH23" s="683"/>
      <c r="CI23" s="683"/>
      <c r="CJ23" s="683"/>
      <c r="CK23" s="683"/>
      <c r="CL23" s="683"/>
      <c r="CM23" s="683"/>
      <c r="CN23" s="683"/>
      <c r="CO23" s="683"/>
      <c r="CP23" s="680"/>
      <c r="CQ23" s="680"/>
      <c r="CR23" s="680"/>
      <c r="CS23" s="680"/>
      <c r="CT23" s="680"/>
      <c r="CU23" s="680"/>
      <c r="CV23" s="680"/>
      <c r="CW23" s="680"/>
      <c r="CX23" s="680"/>
      <c r="CY23" s="681"/>
      <c r="CZ23" s="681"/>
      <c r="DA23" s="681"/>
      <c r="DB23" s="681"/>
      <c r="DC23" s="682"/>
      <c r="DD23" s="682"/>
      <c r="DE23" s="682"/>
      <c r="DF23" s="682"/>
      <c r="DG23" s="682"/>
      <c r="DH23" s="682"/>
      <c r="DI23" s="682"/>
      <c r="DJ23" s="682"/>
      <c r="DK23" s="682"/>
      <c r="DL23" s="682"/>
      <c r="DM23" s="682"/>
      <c r="DN23" s="682"/>
      <c r="DO23" s="682"/>
      <c r="DP23" s="681"/>
      <c r="DQ23" s="681"/>
      <c r="DR23" s="681"/>
      <c r="DS23" s="681"/>
      <c r="DT23" s="681"/>
      <c r="DU23" s="681"/>
      <c r="DV23" s="681"/>
      <c r="DW23" s="681"/>
      <c r="DX23" s="681"/>
      <c r="DY23" s="681"/>
      <c r="DZ23" s="681"/>
      <c r="EA23" s="681"/>
      <c r="EB23" s="681"/>
      <c r="EC23" s="260" t="str">
        <f t="shared" si="91"/>
        <v xml:space="preserve"> </v>
      </c>
      <c r="ED23" s="260" t="str">
        <f t="shared" si="92"/>
        <v xml:space="preserve"> </v>
      </c>
      <c r="EE23" s="260" t="str">
        <f t="shared" si="93"/>
        <v xml:space="preserve"> </v>
      </c>
      <c r="EF23" s="260" t="str">
        <f t="shared" si="94"/>
        <v xml:space="preserve"> </v>
      </c>
      <c r="EG23" s="260" t="str">
        <f t="shared" si="95"/>
        <v xml:space="preserve"> </v>
      </c>
      <c r="EH23" s="260" t="str">
        <f t="shared" si="96"/>
        <v xml:space="preserve"> </v>
      </c>
      <c r="EI23" s="260" t="str">
        <f t="shared" si="97"/>
        <v xml:space="preserve"> </v>
      </c>
      <c r="EJ23" s="260" t="str">
        <f t="shared" si="98"/>
        <v xml:space="preserve"> </v>
      </c>
      <c r="EK23" s="260" t="str">
        <f t="shared" si="99"/>
        <v xml:space="preserve"> </v>
      </c>
      <c r="EL23" s="260" t="str">
        <f t="shared" si="100"/>
        <v xml:space="preserve"> </v>
      </c>
      <c r="EM23" s="260" t="str">
        <f t="shared" si="101"/>
        <v xml:space="preserve"> </v>
      </c>
      <c r="EN23" s="260" t="str">
        <f t="shared" si="102"/>
        <v xml:space="preserve"> </v>
      </c>
      <c r="EO23" s="260" t="str">
        <f t="shared" si="103"/>
        <v xml:space="preserve"> </v>
      </c>
      <c r="EP23" s="547"/>
      <c r="EQ23" s="547"/>
      <c r="ER23" s="547"/>
      <c r="ES23" s="547"/>
      <c r="ET23" s="547"/>
      <c r="EU23" s="547"/>
      <c r="EV23" s="547"/>
      <c r="EW23" s="547"/>
      <c r="EX23" s="547"/>
      <c r="EY23" s="547"/>
      <c r="EZ23" s="547"/>
      <c r="FA23" s="547"/>
      <c r="FB23" s="547"/>
      <c r="FC23" s="560"/>
      <c r="FD23" s="560"/>
      <c r="FE23" s="560"/>
      <c r="FF23" s="560"/>
      <c r="FG23" s="560"/>
      <c r="FH23" s="560"/>
      <c r="FI23" s="560"/>
      <c r="FJ23" s="560"/>
      <c r="FK23" s="560"/>
      <c r="FL23" s="560"/>
      <c r="FM23" s="560"/>
      <c r="FN23" s="560"/>
      <c r="FO23" s="560"/>
      <c r="FP23" s="549" t="str">
        <f t="shared" si="104"/>
        <v xml:space="preserve"> </v>
      </c>
      <c r="FQ23" s="291" t="str">
        <f t="shared" si="105"/>
        <v xml:space="preserve">  </v>
      </c>
      <c r="FR23" s="50" t="str">
        <f t="shared" si="106"/>
        <v xml:space="preserve"> </v>
      </c>
      <c r="FS23" s="282"/>
      <c r="FT23" s="51"/>
      <c r="FU23" s="46" t="str">
        <f t="shared" si="107"/>
        <v xml:space="preserve"> </v>
      </c>
      <c r="FV23" s="46" t="str">
        <f t="shared" si="108"/>
        <v xml:space="preserve"> </v>
      </c>
      <c r="FW23" s="46" t="str">
        <f t="shared" si="109"/>
        <v xml:space="preserve"> </v>
      </c>
      <c r="FX23" s="46" t="str">
        <f t="shared" si="110"/>
        <v xml:space="preserve"> </v>
      </c>
      <c r="FY23" s="46" t="str">
        <f t="shared" si="111"/>
        <v xml:space="preserve"> </v>
      </c>
      <c r="FZ23" s="46" t="str">
        <f t="shared" si="112"/>
        <v xml:space="preserve"> </v>
      </c>
      <c r="GA23" s="46" t="str">
        <f t="shared" si="113"/>
        <v xml:space="preserve"> </v>
      </c>
      <c r="GB23" s="46" t="str">
        <f t="shared" si="114"/>
        <v xml:space="preserve"> </v>
      </c>
      <c r="GC23" s="46" t="str">
        <f t="shared" si="115"/>
        <v xml:space="preserve"> </v>
      </c>
      <c r="GD23" s="46" t="str">
        <f t="shared" si="116"/>
        <v xml:space="preserve"> </v>
      </c>
      <c r="GE23" s="46" t="str">
        <f t="shared" si="117"/>
        <v xml:space="preserve"> </v>
      </c>
      <c r="GF23" s="46" t="str">
        <f t="shared" si="118"/>
        <v xml:space="preserve"> </v>
      </c>
      <c r="GG23" s="46" t="str">
        <f t="shared" si="119"/>
        <v xml:space="preserve"> </v>
      </c>
      <c r="GH23" s="46"/>
      <c r="GI23" s="53" t="str">
        <f t="shared" si="120"/>
        <v xml:space="preserve">  </v>
      </c>
      <c r="GJ23" s="53" t="str">
        <f t="shared" si="121"/>
        <v xml:space="preserve">  </v>
      </c>
      <c r="GK23" s="53" t="str">
        <f t="shared" si="122"/>
        <v xml:space="preserve">  </v>
      </c>
      <c r="GL23" s="53" t="str">
        <f t="shared" si="123"/>
        <v xml:space="preserve">  </v>
      </c>
      <c r="GM23" s="53" t="str">
        <f t="shared" si="124"/>
        <v xml:space="preserve">  </v>
      </c>
      <c r="GN23" s="53" t="str">
        <f t="shared" si="125"/>
        <v xml:space="preserve">  </v>
      </c>
      <c r="GO23" s="53" t="str">
        <f t="shared" si="126"/>
        <v xml:space="preserve">  </v>
      </c>
      <c r="GP23" s="53" t="str">
        <f t="shared" si="127"/>
        <v xml:space="preserve">  </v>
      </c>
      <c r="GQ23" s="53" t="str">
        <f t="shared" si="128"/>
        <v xml:space="preserve">  </v>
      </c>
      <c r="GR23" s="53" t="str">
        <f t="shared" si="129"/>
        <v xml:space="preserve">  </v>
      </c>
      <c r="GS23" s="53" t="str">
        <f t="shared" si="130"/>
        <v xml:space="preserve">  </v>
      </c>
      <c r="GT23" s="53" t="str">
        <f t="shared" si="131"/>
        <v xml:space="preserve">  </v>
      </c>
      <c r="GU23" s="53" t="str">
        <f t="shared" si="132"/>
        <v xml:space="preserve">  </v>
      </c>
      <c r="GV23" s="54" t="str">
        <f t="shared" si="133"/>
        <v xml:space="preserve"> </v>
      </c>
      <c r="GW23" s="51"/>
      <c r="GX23" s="351">
        <f t="shared" si="134"/>
        <v>0</v>
      </c>
      <c r="GY23" s="351">
        <f t="shared" si="135"/>
        <v>0</v>
      </c>
      <c r="GZ23" s="51">
        <f>SISWA!E21</f>
        <v>0</v>
      </c>
      <c r="HA23" s="51" t="str">
        <f t="shared" si="136"/>
        <v/>
      </c>
      <c r="HB23" s="56" t="str">
        <f t="shared" si="137"/>
        <v/>
      </c>
      <c r="HC23" s="56" t="str">
        <f t="shared" si="138"/>
        <v/>
      </c>
      <c r="HD23" s="56" t="str">
        <f t="shared" si="139"/>
        <v/>
      </c>
      <c r="HE23" s="56" t="str">
        <f t="shared" si="140"/>
        <v/>
      </c>
      <c r="HF23" s="56" t="str">
        <f t="shared" si="141"/>
        <v/>
      </c>
      <c r="HG23" s="56" t="str">
        <f t="shared" si="142"/>
        <v/>
      </c>
      <c r="HH23" s="56" t="str">
        <f t="shared" si="143"/>
        <v/>
      </c>
      <c r="HI23" s="56" t="str">
        <f t="shared" si="144"/>
        <v/>
      </c>
      <c r="HJ23" s="56" t="str">
        <f t="shared" si="145"/>
        <v/>
      </c>
      <c r="HK23" s="56" t="str">
        <f t="shared" si="146"/>
        <v/>
      </c>
      <c r="HL23" s="56" t="str">
        <f t="shared" si="147"/>
        <v/>
      </c>
      <c r="HM23" s="56" t="str">
        <f t="shared" si="148"/>
        <v/>
      </c>
      <c r="HN23" s="56" t="str">
        <f t="shared" si="149"/>
        <v/>
      </c>
      <c r="HO23" s="58">
        <f t="shared" si="150"/>
        <v>0</v>
      </c>
      <c r="HP23" s="55" t="e">
        <f t="shared" si="151"/>
        <v>#N/A</v>
      </c>
      <c r="HQ23" s="58"/>
      <c r="HR23" s="59" t="e">
        <f>IF(GX23&gt;100,"",IF(GX23&gt;FQ$1,"sangat baik dalam "&amp;HP23,IF(GX23&gt;=FQ$2," baik dalam "&amp;HP23,IF(GX23&gt;=FQ$3,"cukup dalam "&amp;HP23,IF(GX23&lt;FQ$3,"dengan bimbingan dapat meningkatkan dalam "&amp;HP23,IF(GX23&lt;1," ",””))))))</f>
        <v>#N/A</v>
      </c>
      <c r="HS23" s="58"/>
      <c r="HT23" s="57" t="str">
        <f t="shared" si="152"/>
        <v/>
      </c>
      <c r="HU23" s="57" t="str">
        <f t="shared" si="153"/>
        <v/>
      </c>
      <c r="HV23" s="57" t="str">
        <f t="shared" si="154"/>
        <v/>
      </c>
      <c r="HW23" s="57" t="str">
        <f t="shared" si="155"/>
        <v/>
      </c>
      <c r="HX23" s="57" t="str">
        <f t="shared" si="156"/>
        <v/>
      </c>
      <c r="HY23" s="57" t="str">
        <f t="shared" si="157"/>
        <v/>
      </c>
      <c r="HZ23" s="57" t="str">
        <f t="shared" si="158"/>
        <v/>
      </c>
      <c r="IA23" s="57" t="str">
        <f t="shared" si="159"/>
        <v/>
      </c>
      <c r="IB23" s="57" t="str">
        <f t="shared" si="160"/>
        <v/>
      </c>
      <c r="IC23" s="57" t="str">
        <f t="shared" si="161"/>
        <v/>
      </c>
      <c r="ID23" s="57" t="str">
        <f t="shared" si="162"/>
        <v/>
      </c>
      <c r="IE23" s="57" t="str">
        <f t="shared" si="163"/>
        <v/>
      </c>
      <c r="IF23" s="57" t="str">
        <f t="shared" si="164"/>
        <v/>
      </c>
      <c r="IG23" s="57"/>
      <c r="IH23" s="55" t="e">
        <f t="shared" si="165"/>
        <v>#N/A</v>
      </c>
      <c r="II23" s="59" t="e">
        <f>IF(GY23&gt;100,"",IF(GY23&gt;FQ$1,"sangat baik dalam "&amp;IH23,IF(GY23&gt;=FQ$2," baik dalam "&amp;IH23,IF(GY23&gt;=FQ$3,"cukup dalam "&amp;IH23,IF(GY23&lt;FQ$3,"dengan bimbingan dapat meningkatkan dalam "&amp;IH23,IF(GY23&lt;1," ",””))))))</f>
        <v>#N/A</v>
      </c>
      <c r="IJ23" s="60"/>
      <c r="IK23" s="61" t="s">
        <v>201</v>
      </c>
      <c r="IL23" s="62" t="e">
        <f t="shared" si="166"/>
        <v>#N/A</v>
      </c>
      <c r="IM23" s="4" t="e">
        <f>CONCATENATE(IF(#REF!&gt;100,"  ",IF(#REF!&gt;95,"Sangat pandai "&amp;$B$45,IF(#REF!&gt;87,"Pandai "&amp;$B$45,IF(#REF!&gt;79,"Cukup pandai "&amp;$B$45,IF(#REF!&gt;71,"Menguasai dengan baik "&amp;$B$45,IF(#REF!&gt;62,"Perlu banyak latihan "&amp;$B$45,IF(#REF!&gt;0,"Perlu bimbingan "&amp;$B$45,IF(#REF!="","")))))))),IF(#REF!&gt;100,"  ",IF(#REF!&gt;95," Sangat pandai "&amp;$B$46,IF(#REF!&gt;87," Pandai "&amp;$B$46,IF(#REF!&gt;79," Cukup pandai "&amp;$B$46,IF(#REF!&gt;71," Menguasai dengan baik "&amp;$B$46,IF(#REF!&gt;62," Perlu banyak latihan "&amp;$B$46,IF(#REF!&gt;0," Perlu bimbingan "&amp;$B$46,IF(#REF!="","")))))))),IF(#REF!&gt;100,"  ",IF(#REF!&gt;95," Sangat pandai "&amp;$B$47,IF(#REF!&gt;87," Pandai "&amp;$B$47,IF(#REF!&gt;79," cukup pandai "&amp;$B$47,IF(#REF!&gt;71," Menguasai dengan baik "&amp;$B$47,IF(#REF!&gt;62," Perlu banyak latihan "&amp;$B$47,IF(#REF!&gt;0," Perlu bimbingan "&amp;$B$47,IF(#REF!="","")))))))),IF(#REF!&gt;100,"  ",IF(#REF!&gt;95," Sangat pandai "&amp;$B$48,IF(#REF!&gt;87," Pandai "&amp;$B$48,IF(#REF!&gt;79," Cukup pandai "&amp;$B$48,IF(#REF!&gt;71," Menguasai dengan baik "&amp;$B$48,IF(#REF!&gt;62," Perlu banyak latihan "&amp;$B$48,IF(#REF!&gt;0," Perlu bimbingan "&amp;$B$48,IF(#REF!="","")))))))),IF(#REF!&gt;100,"  ",IF(#REF!&gt;95," Sangat pandai "&amp;$B$49,IF(#REF!&gt;87," Pandai "&amp;$B$49,IF(#REF!&gt;79," Cukup pandai "&amp;$B$49,IF(#REF!&gt;71," Menguasai dengan baik "&amp;$B$49,IF(#REF!&gt;62," Perlu banyak latihan "&amp;$B$49,IF(#REF!&gt;0," Perlu bimbingan "&amp;$B$49,IF(#REF!="","")))))))),IF(#REF!&gt;100,"  ",IF(#REF!&gt;95," Sangat pandai "&amp;$B$50,IF(#REF!&gt;87," Pandai "&amp;$B$50,IF(#REF!&gt;79," Cukup pandai "&amp;$B$50,IF(#REF!&gt;71," Menguasai dengan baik "&amp;$B$50,IF(#REF!&gt;62," Perlu banyak latihan "&amp;$B$50,IF(#REF!&gt;0," Perlu bimbingan "&amp;$B$50,IF(#REF!="","")))))))),IF(#REF!&gt;100,"  ",IF(#REF!&gt;95," Sangat pandai "&amp;$B$51,IF(#REF!&gt;87," Pandai "&amp;$B$51,IF(#REF!&gt;79," Cukup pandai "&amp;$B$51,IF(#REF!&gt;71," Menguasai dengan baik "&amp;$B$51,IF(#REF!&gt;62," Perlu banyak latihan "&amp;$B$51,IF(#REF!&gt;0," Perlu bimbingan "&amp;$B$51,IF(#REF!="","")))))))))</f>
        <v>#REF!</v>
      </c>
    </row>
    <row r="24" spans="1:247">
      <c r="A24" s="39">
        <v>17</v>
      </c>
      <c r="B24" s="283">
        <f>SISWA!B22</f>
        <v>0</v>
      </c>
      <c r="C24" s="123"/>
      <c r="D24" s="123"/>
      <c r="E24" s="123"/>
      <c r="F24" s="123"/>
      <c r="G24" s="123"/>
      <c r="H24" s="123"/>
      <c r="I24" s="123"/>
      <c r="J24" s="123"/>
      <c r="K24" s="123"/>
      <c r="L24" s="123"/>
      <c r="M24" s="123"/>
      <c r="N24" s="123"/>
      <c r="O24" s="123"/>
      <c r="P24" s="256"/>
      <c r="Q24" s="256"/>
      <c r="R24" s="256"/>
      <c r="S24" s="256"/>
      <c r="T24" s="256"/>
      <c r="U24" s="256"/>
      <c r="V24" s="256"/>
      <c r="W24" s="256"/>
      <c r="X24" s="256"/>
      <c r="Y24" s="256"/>
      <c r="Z24" s="256"/>
      <c r="AA24" s="256"/>
      <c r="AB24" s="256"/>
      <c r="AC24" s="683"/>
      <c r="AD24" s="683"/>
      <c r="AE24" s="683"/>
      <c r="AF24" s="683"/>
      <c r="AG24" s="683"/>
      <c r="AH24" s="683"/>
      <c r="AI24" s="683"/>
      <c r="AJ24" s="683"/>
      <c r="AK24" s="683"/>
      <c r="AL24" s="683"/>
      <c r="AM24" s="683"/>
      <c r="AN24" s="683"/>
      <c r="AO24" s="683"/>
      <c r="AP24" s="680"/>
      <c r="AQ24" s="680"/>
      <c r="AR24" s="680"/>
      <c r="AS24" s="680"/>
      <c r="AT24" s="680"/>
      <c r="AU24" s="680"/>
      <c r="AV24" s="680"/>
      <c r="AW24" s="680"/>
      <c r="AX24" s="680"/>
      <c r="AY24" s="680"/>
      <c r="AZ24" s="680"/>
      <c r="BA24" s="680"/>
      <c r="BB24" s="680"/>
      <c r="BC24" s="683"/>
      <c r="BD24" s="683"/>
      <c r="BE24" s="683"/>
      <c r="BF24" s="683"/>
      <c r="BG24" s="683"/>
      <c r="BH24" s="683"/>
      <c r="BI24" s="683"/>
      <c r="BJ24" s="683"/>
      <c r="BK24" s="683"/>
      <c r="BL24" s="683"/>
      <c r="BM24" s="683"/>
      <c r="BN24" s="683"/>
      <c r="BO24" s="683"/>
      <c r="BP24" s="680"/>
      <c r="BQ24" s="680"/>
      <c r="BR24" s="680"/>
      <c r="BS24" s="680"/>
      <c r="BT24" s="680"/>
      <c r="BU24" s="680"/>
      <c r="BV24" s="680"/>
      <c r="BW24" s="680"/>
      <c r="BX24" s="680"/>
      <c r="BY24" s="680"/>
      <c r="BZ24" s="680"/>
      <c r="CA24" s="680"/>
      <c r="CB24" s="680"/>
      <c r="CC24" s="683"/>
      <c r="CD24" s="683"/>
      <c r="CE24" s="683"/>
      <c r="CF24" s="683"/>
      <c r="CG24" s="683"/>
      <c r="CH24" s="683"/>
      <c r="CI24" s="683"/>
      <c r="CJ24" s="683"/>
      <c r="CK24" s="683"/>
      <c r="CL24" s="683"/>
      <c r="CM24" s="683"/>
      <c r="CN24" s="683"/>
      <c r="CO24" s="683"/>
      <c r="CP24" s="680"/>
      <c r="CQ24" s="680"/>
      <c r="CR24" s="680"/>
      <c r="CS24" s="680"/>
      <c r="CT24" s="680"/>
      <c r="CU24" s="680"/>
      <c r="CV24" s="680"/>
      <c r="CW24" s="680"/>
      <c r="CX24" s="680"/>
      <c r="CY24" s="681"/>
      <c r="CZ24" s="681"/>
      <c r="DA24" s="681"/>
      <c r="DB24" s="681"/>
      <c r="DC24" s="682"/>
      <c r="DD24" s="682"/>
      <c r="DE24" s="682"/>
      <c r="DF24" s="682"/>
      <c r="DG24" s="682"/>
      <c r="DH24" s="682"/>
      <c r="DI24" s="682"/>
      <c r="DJ24" s="682"/>
      <c r="DK24" s="682"/>
      <c r="DL24" s="682"/>
      <c r="DM24" s="682"/>
      <c r="DN24" s="682"/>
      <c r="DO24" s="682"/>
      <c r="DP24" s="681"/>
      <c r="DQ24" s="681"/>
      <c r="DR24" s="681"/>
      <c r="DS24" s="681"/>
      <c r="DT24" s="681"/>
      <c r="DU24" s="681"/>
      <c r="DV24" s="681"/>
      <c r="DW24" s="681"/>
      <c r="DX24" s="681"/>
      <c r="DY24" s="681"/>
      <c r="DZ24" s="681"/>
      <c r="EA24" s="681"/>
      <c r="EB24" s="681"/>
      <c r="EC24" s="260" t="str">
        <f t="shared" si="91"/>
        <v xml:space="preserve"> </v>
      </c>
      <c r="ED24" s="260" t="str">
        <f t="shared" si="92"/>
        <v xml:space="preserve"> </v>
      </c>
      <c r="EE24" s="260" t="str">
        <f t="shared" si="93"/>
        <v xml:space="preserve"> </v>
      </c>
      <c r="EF24" s="260" t="str">
        <f t="shared" si="94"/>
        <v xml:space="preserve"> </v>
      </c>
      <c r="EG24" s="260" t="str">
        <f t="shared" si="95"/>
        <v xml:space="preserve"> </v>
      </c>
      <c r="EH24" s="260" t="str">
        <f t="shared" si="96"/>
        <v xml:space="preserve"> </v>
      </c>
      <c r="EI24" s="260" t="str">
        <f t="shared" si="97"/>
        <v xml:space="preserve"> </v>
      </c>
      <c r="EJ24" s="260" t="str">
        <f t="shared" si="98"/>
        <v xml:space="preserve"> </v>
      </c>
      <c r="EK24" s="260" t="str">
        <f t="shared" si="99"/>
        <v xml:space="preserve"> </v>
      </c>
      <c r="EL24" s="260" t="str">
        <f t="shared" si="100"/>
        <v xml:space="preserve"> </v>
      </c>
      <c r="EM24" s="260" t="str">
        <f t="shared" si="101"/>
        <v xml:space="preserve"> </v>
      </c>
      <c r="EN24" s="260" t="str">
        <f t="shared" si="102"/>
        <v xml:space="preserve"> </v>
      </c>
      <c r="EO24" s="260" t="str">
        <f t="shared" si="103"/>
        <v xml:space="preserve"> </v>
      </c>
      <c r="EP24" s="547"/>
      <c r="EQ24" s="547"/>
      <c r="ER24" s="547"/>
      <c r="ES24" s="547"/>
      <c r="ET24" s="547"/>
      <c r="EU24" s="547"/>
      <c r="EV24" s="547"/>
      <c r="EW24" s="547"/>
      <c r="EX24" s="547"/>
      <c r="EY24" s="547"/>
      <c r="EZ24" s="547"/>
      <c r="FA24" s="547"/>
      <c r="FB24" s="547"/>
      <c r="FC24" s="560"/>
      <c r="FD24" s="560"/>
      <c r="FE24" s="560"/>
      <c r="FF24" s="560"/>
      <c r="FG24" s="560"/>
      <c r="FH24" s="560"/>
      <c r="FI24" s="560"/>
      <c r="FJ24" s="560"/>
      <c r="FK24" s="560"/>
      <c r="FL24" s="560"/>
      <c r="FM24" s="560"/>
      <c r="FN24" s="560"/>
      <c r="FO24" s="560"/>
      <c r="FP24" s="549" t="str">
        <f t="shared" si="104"/>
        <v xml:space="preserve"> </v>
      </c>
      <c r="FQ24" s="291" t="str">
        <f t="shared" si="105"/>
        <v xml:space="preserve">  </v>
      </c>
      <c r="FR24" s="50" t="str">
        <f t="shared" si="106"/>
        <v xml:space="preserve"> </v>
      </c>
      <c r="FS24" s="282"/>
      <c r="FT24" s="51"/>
      <c r="FU24" s="46" t="str">
        <f t="shared" si="107"/>
        <v xml:space="preserve"> </v>
      </c>
      <c r="FV24" s="46" t="str">
        <f t="shared" si="108"/>
        <v xml:space="preserve"> </v>
      </c>
      <c r="FW24" s="46" t="str">
        <f t="shared" si="109"/>
        <v xml:space="preserve"> </v>
      </c>
      <c r="FX24" s="46" t="str">
        <f t="shared" si="110"/>
        <v xml:space="preserve"> </v>
      </c>
      <c r="FY24" s="46" t="str">
        <f t="shared" si="111"/>
        <v xml:space="preserve"> </v>
      </c>
      <c r="FZ24" s="46" t="str">
        <f t="shared" si="112"/>
        <v xml:space="preserve"> </v>
      </c>
      <c r="GA24" s="46" t="str">
        <f t="shared" si="113"/>
        <v xml:space="preserve"> </v>
      </c>
      <c r="GB24" s="46" t="str">
        <f t="shared" si="114"/>
        <v xml:space="preserve"> </v>
      </c>
      <c r="GC24" s="46" t="str">
        <f t="shared" si="115"/>
        <v xml:space="preserve"> </v>
      </c>
      <c r="GD24" s="46" t="str">
        <f t="shared" si="116"/>
        <v xml:space="preserve"> </v>
      </c>
      <c r="GE24" s="46" t="str">
        <f t="shared" si="117"/>
        <v xml:space="preserve"> </v>
      </c>
      <c r="GF24" s="46" t="str">
        <f t="shared" si="118"/>
        <v xml:space="preserve"> </v>
      </c>
      <c r="GG24" s="46" t="str">
        <f t="shared" si="119"/>
        <v xml:space="preserve"> </v>
      </c>
      <c r="GH24" s="46"/>
      <c r="GI24" s="53" t="str">
        <f t="shared" si="120"/>
        <v xml:space="preserve">  </v>
      </c>
      <c r="GJ24" s="53" t="str">
        <f t="shared" si="121"/>
        <v xml:space="preserve">  </v>
      </c>
      <c r="GK24" s="53" t="str">
        <f t="shared" si="122"/>
        <v xml:space="preserve">  </v>
      </c>
      <c r="GL24" s="53" t="str">
        <f t="shared" si="123"/>
        <v xml:space="preserve">  </v>
      </c>
      <c r="GM24" s="53" t="str">
        <f t="shared" si="124"/>
        <v xml:space="preserve">  </v>
      </c>
      <c r="GN24" s="53" t="str">
        <f t="shared" si="125"/>
        <v xml:space="preserve">  </v>
      </c>
      <c r="GO24" s="53" t="str">
        <f t="shared" si="126"/>
        <v xml:space="preserve">  </v>
      </c>
      <c r="GP24" s="53" t="str">
        <f t="shared" si="127"/>
        <v xml:space="preserve">  </v>
      </c>
      <c r="GQ24" s="53" t="str">
        <f t="shared" si="128"/>
        <v xml:space="preserve">  </v>
      </c>
      <c r="GR24" s="53" t="str">
        <f t="shared" si="129"/>
        <v xml:space="preserve">  </v>
      </c>
      <c r="GS24" s="53" t="str">
        <f t="shared" si="130"/>
        <v xml:space="preserve">  </v>
      </c>
      <c r="GT24" s="53" t="str">
        <f t="shared" si="131"/>
        <v xml:space="preserve">  </v>
      </c>
      <c r="GU24" s="53" t="str">
        <f t="shared" si="132"/>
        <v xml:space="preserve">  </v>
      </c>
      <c r="GV24" s="54" t="str">
        <f t="shared" si="133"/>
        <v xml:space="preserve"> </v>
      </c>
      <c r="GW24" s="51"/>
      <c r="GX24" s="351">
        <f t="shared" si="134"/>
        <v>0</v>
      </c>
      <c r="GY24" s="351">
        <f t="shared" si="135"/>
        <v>0</v>
      </c>
      <c r="GZ24" s="51">
        <f>SISWA!E22</f>
        <v>0</v>
      </c>
      <c r="HA24" s="51" t="str">
        <f t="shared" si="136"/>
        <v/>
      </c>
      <c r="HB24" s="56" t="str">
        <f t="shared" si="137"/>
        <v/>
      </c>
      <c r="HC24" s="56" t="str">
        <f t="shared" si="138"/>
        <v/>
      </c>
      <c r="HD24" s="56" t="str">
        <f t="shared" si="139"/>
        <v/>
      </c>
      <c r="HE24" s="56" t="str">
        <f t="shared" si="140"/>
        <v/>
      </c>
      <c r="HF24" s="56" t="str">
        <f t="shared" si="141"/>
        <v/>
      </c>
      <c r="HG24" s="56" t="str">
        <f t="shared" si="142"/>
        <v/>
      </c>
      <c r="HH24" s="56" t="str">
        <f t="shared" si="143"/>
        <v/>
      </c>
      <c r="HI24" s="56" t="str">
        <f t="shared" si="144"/>
        <v/>
      </c>
      <c r="HJ24" s="56" t="str">
        <f t="shared" si="145"/>
        <v/>
      </c>
      <c r="HK24" s="56" t="str">
        <f t="shared" si="146"/>
        <v/>
      </c>
      <c r="HL24" s="56" t="str">
        <f t="shared" si="147"/>
        <v/>
      </c>
      <c r="HM24" s="56" t="str">
        <f t="shared" si="148"/>
        <v/>
      </c>
      <c r="HN24" s="56" t="str">
        <f t="shared" si="149"/>
        <v/>
      </c>
      <c r="HO24" s="58">
        <f t="shared" si="150"/>
        <v>0</v>
      </c>
      <c r="HP24" s="55" t="e">
        <f t="shared" si="151"/>
        <v>#N/A</v>
      </c>
      <c r="HQ24" s="58"/>
      <c r="HR24" s="59" t="e">
        <f>IF(GX24&gt;100,"",IF(GX24&gt;FQ$1,"sangat baik dalam "&amp;HP24,IF(GX24&gt;=FQ$2," baik dalam "&amp;HP24,IF(GX24&gt;=FQ$3,"cukup dalam "&amp;HP24,IF(GX24&lt;FQ$3,"dengan bimbingan dapat meningkatkan dalam "&amp;HP24,IF(GX24&lt;1," ",””))))))</f>
        <v>#N/A</v>
      </c>
      <c r="HS24" s="58"/>
      <c r="HT24" s="57" t="str">
        <f t="shared" si="152"/>
        <v/>
      </c>
      <c r="HU24" s="57" t="str">
        <f t="shared" si="153"/>
        <v/>
      </c>
      <c r="HV24" s="57" t="str">
        <f t="shared" si="154"/>
        <v/>
      </c>
      <c r="HW24" s="57" t="str">
        <f t="shared" si="155"/>
        <v/>
      </c>
      <c r="HX24" s="57" t="str">
        <f t="shared" si="156"/>
        <v/>
      </c>
      <c r="HY24" s="57" t="str">
        <f t="shared" si="157"/>
        <v/>
      </c>
      <c r="HZ24" s="57" t="str">
        <f t="shared" si="158"/>
        <v/>
      </c>
      <c r="IA24" s="57" t="str">
        <f t="shared" si="159"/>
        <v/>
      </c>
      <c r="IB24" s="57" t="str">
        <f t="shared" si="160"/>
        <v/>
      </c>
      <c r="IC24" s="57" t="str">
        <f t="shared" si="161"/>
        <v/>
      </c>
      <c r="ID24" s="57" t="str">
        <f t="shared" si="162"/>
        <v/>
      </c>
      <c r="IE24" s="57" t="str">
        <f t="shared" si="163"/>
        <v/>
      </c>
      <c r="IF24" s="57" t="str">
        <f t="shared" si="164"/>
        <v/>
      </c>
      <c r="IG24" s="57"/>
      <c r="IH24" s="55" t="e">
        <f t="shared" si="165"/>
        <v>#N/A</v>
      </c>
      <c r="II24" s="59" t="e">
        <f>IF(GY24&gt;100,"",IF(GY24&gt;FQ$1,"sangat baik dalam "&amp;IH24,IF(GY24&gt;=FQ$2," baik dalam "&amp;IH24,IF(GY24&gt;=FQ$3,"cukup dalam "&amp;IH24,IF(GY24&lt;FQ$3,"dengan bimbingan dapat meningkatkan dalam "&amp;IH24,IF(GY24&lt;1," ",””))))))</f>
        <v>#N/A</v>
      </c>
      <c r="IJ24" s="60"/>
      <c r="IK24" s="61" t="s">
        <v>201</v>
      </c>
      <c r="IL24" s="62" t="e">
        <f t="shared" si="166"/>
        <v>#N/A</v>
      </c>
      <c r="IM24" s="4" t="e">
        <f>CONCATENATE(IF(#REF!&gt;100,"  ",IF(#REF!&gt;95,"Sangat pandai "&amp;$B$45,IF(#REF!&gt;87,"Pandai "&amp;$B$45,IF(#REF!&gt;79,"Cukup pandai "&amp;$B$45,IF(#REF!&gt;71,"Menguasai dengan baik "&amp;$B$45,IF(#REF!&gt;62,"Perlu banyak latihan "&amp;$B$45,IF(#REF!&gt;0,"Perlu bimbingan "&amp;$B$45,IF(#REF!="","")))))))),IF(#REF!&gt;100,"  ",IF(#REF!&gt;95," Sangat pandai "&amp;$B$46,IF(#REF!&gt;87," Pandai "&amp;$B$46,IF(#REF!&gt;79," Cukup pandai "&amp;$B$46,IF(#REF!&gt;71," Menguasai dengan baik "&amp;$B$46,IF(#REF!&gt;62," Perlu banyak latihan "&amp;$B$46,IF(#REF!&gt;0," Perlu bimbingan "&amp;$B$46,IF(#REF!="","")))))))),IF(#REF!&gt;100,"  ",IF(#REF!&gt;95," Sangat pandai "&amp;$B$47,IF(#REF!&gt;87," Pandai "&amp;$B$47,IF(#REF!&gt;79," cukup pandai "&amp;$B$47,IF(#REF!&gt;71," Menguasai dengan baik "&amp;$B$47,IF(#REF!&gt;62," Perlu banyak latihan "&amp;$B$47,IF(#REF!&gt;0," Perlu bimbingan "&amp;$B$47,IF(#REF!="","")))))))),IF(#REF!&gt;100,"  ",IF(#REF!&gt;95," Sangat pandai "&amp;$B$48,IF(#REF!&gt;87," Pandai "&amp;$B$48,IF(#REF!&gt;79," Cukup pandai "&amp;$B$48,IF(#REF!&gt;71," Menguasai dengan baik "&amp;$B$48,IF(#REF!&gt;62," Perlu banyak latihan "&amp;$B$48,IF(#REF!&gt;0," Perlu bimbingan "&amp;$B$48,IF(#REF!="","")))))))),IF(#REF!&gt;100,"  ",IF(#REF!&gt;95," Sangat pandai "&amp;$B$49,IF(#REF!&gt;87," Pandai "&amp;$B$49,IF(#REF!&gt;79," Cukup pandai "&amp;$B$49,IF(#REF!&gt;71," Menguasai dengan baik "&amp;$B$49,IF(#REF!&gt;62," Perlu banyak latihan "&amp;$B$49,IF(#REF!&gt;0," Perlu bimbingan "&amp;$B$49,IF(#REF!="","")))))))),IF(#REF!&gt;100,"  ",IF(#REF!&gt;95," Sangat pandai "&amp;$B$50,IF(#REF!&gt;87," Pandai "&amp;$B$50,IF(#REF!&gt;79," Cukup pandai "&amp;$B$50,IF(#REF!&gt;71," Menguasai dengan baik "&amp;$B$50,IF(#REF!&gt;62," Perlu banyak latihan "&amp;$B$50,IF(#REF!&gt;0," Perlu bimbingan "&amp;$B$50,IF(#REF!="","")))))))),IF(#REF!&gt;100,"  ",IF(#REF!&gt;95," Sangat pandai "&amp;$B$51,IF(#REF!&gt;87," Pandai "&amp;$B$51,IF(#REF!&gt;79," Cukup pandai "&amp;$B$51,IF(#REF!&gt;71," Menguasai dengan baik "&amp;$B$51,IF(#REF!&gt;62," Perlu banyak latihan "&amp;$B$51,IF(#REF!&gt;0," Perlu bimbingan "&amp;$B$51,IF(#REF!="","")))))))))</f>
        <v>#REF!</v>
      </c>
    </row>
    <row r="25" spans="1:247">
      <c r="A25" s="39">
        <v>18</v>
      </c>
      <c r="B25" s="283">
        <f>SISWA!B23</f>
        <v>0</v>
      </c>
      <c r="C25" s="123"/>
      <c r="D25" s="123"/>
      <c r="E25" s="123"/>
      <c r="F25" s="123"/>
      <c r="G25" s="123"/>
      <c r="H25" s="123"/>
      <c r="I25" s="123"/>
      <c r="J25" s="123"/>
      <c r="K25" s="123"/>
      <c r="L25" s="123"/>
      <c r="M25" s="123"/>
      <c r="N25" s="123"/>
      <c r="O25" s="123"/>
      <c r="P25" s="256"/>
      <c r="Q25" s="256"/>
      <c r="R25" s="256"/>
      <c r="S25" s="256"/>
      <c r="T25" s="256"/>
      <c r="U25" s="256"/>
      <c r="V25" s="256"/>
      <c r="W25" s="256"/>
      <c r="X25" s="256"/>
      <c r="Y25" s="256"/>
      <c r="Z25" s="256"/>
      <c r="AA25" s="256"/>
      <c r="AB25" s="256"/>
      <c r="AC25" s="683"/>
      <c r="AD25" s="683"/>
      <c r="AE25" s="683"/>
      <c r="AF25" s="683"/>
      <c r="AG25" s="683"/>
      <c r="AH25" s="683"/>
      <c r="AI25" s="683"/>
      <c r="AJ25" s="683"/>
      <c r="AK25" s="683"/>
      <c r="AL25" s="683"/>
      <c r="AM25" s="683"/>
      <c r="AN25" s="683"/>
      <c r="AO25" s="683"/>
      <c r="AP25" s="680"/>
      <c r="AQ25" s="680"/>
      <c r="AR25" s="680"/>
      <c r="AS25" s="680"/>
      <c r="AT25" s="680"/>
      <c r="AU25" s="680"/>
      <c r="AV25" s="680"/>
      <c r="AW25" s="680"/>
      <c r="AX25" s="680"/>
      <c r="AY25" s="680"/>
      <c r="AZ25" s="680"/>
      <c r="BA25" s="680"/>
      <c r="BB25" s="680"/>
      <c r="BC25" s="683"/>
      <c r="BD25" s="683"/>
      <c r="BE25" s="683"/>
      <c r="BF25" s="683"/>
      <c r="BG25" s="683"/>
      <c r="BH25" s="683"/>
      <c r="BI25" s="683"/>
      <c r="BJ25" s="683"/>
      <c r="BK25" s="683"/>
      <c r="BL25" s="683"/>
      <c r="BM25" s="683"/>
      <c r="BN25" s="683"/>
      <c r="BO25" s="683"/>
      <c r="BP25" s="680"/>
      <c r="BQ25" s="680"/>
      <c r="BR25" s="680"/>
      <c r="BS25" s="680"/>
      <c r="BT25" s="680"/>
      <c r="BU25" s="680"/>
      <c r="BV25" s="680"/>
      <c r="BW25" s="680"/>
      <c r="BX25" s="680"/>
      <c r="BY25" s="680"/>
      <c r="BZ25" s="680"/>
      <c r="CA25" s="680"/>
      <c r="CB25" s="680"/>
      <c r="CC25" s="683"/>
      <c r="CD25" s="683"/>
      <c r="CE25" s="683"/>
      <c r="CF25" s="683"/>
      <c r="CG25" s="683"/>
      <c r="CH25" s="683"/>
      <c r="CI25" s="683"/>
      <c r="CJ25" s="683"/>
      <c r="CK25" s="683"/>
      <c r="CL25" s="683"/>
      <c r="CM25" s="683"/>
      <c r="CN25" s="683"/>
      <c r="CO25" s="683"/>
      <c r="CP25" s="680"/>
      <c r="CQ25" s="680"/>
      <c r="CR25" s="680"/>
      <c r="CS25" s="680"/>
      <c r="CT25" s="680"/>
      <c r="CU25" s="680"/>
      <c r="CV25" s="680"/>
      <c r="CW25" s="680"/>
      <c r="CX25" s="680"/>
      <c r="CY25" s="681"/>
      <c r="CZ25" s="681"/>
      <c r="DA25" s="681"/>
      <c r="DB25" s="681"/>
      <c r="DC25" s="682"/>
      <c r="DD25" s="682"/>
      <c r="DE25" s="682"/>
      <c r="DF25" s="682"/>
      <c r="DG25" s="682"/>
      <c r="DH25" s="682"/>
      <c r="DI25" s="682"/>
      <c r="DJ25" s="682"/>
      <c r="DK25" s="682"/>
      <c r="DL25" s="682"/>
      <c r="DM25" s="682"/>
      <c r="DN25" s="682"/>
      <c r="DO25" s="682"/>
      <c r="DP25" s="681"/>
      <c r="DQ25" s="681"/>
      <c r="DR25" s="681"/>
      <c r="DS25" s="681"/>
      <c r="DT25" s="681"/>
      <c r="DU25" s="681"/>
      <c r="DV25" s="681"/>
      <c r="DW25" s="681"/>
      <c r="DX25" s="681"/>
      <c r="DY25" s="681"/>
      <c r="DZ25" s="681"/>
      <c r="EA25" s="681"/>
      <c r="EB25" s="681"/>
      <c r="EC25" s="260" t="str">
        <f t="shared" si="91"/>
        <v xml:space="preserve"> </v>
      </c>
      <c r="ED25" s="260" t="str">
        <f t="shared" si="92"/>
        <v xml:space="preserve"> </v>
      </c>
      <c r="EE25" s="260" t="str">
        <f t="shared" si="93"/>
        <v xml:space="preserve"> </v>
      </c>
      <c r="EF25" s="260" t="str">
        <f t="shared" si="94"/>
        <v xml:space="preserve"> </v>
      </c>
      <c r="EG25" s="260" t="str">
        <f t="shared" si="95"/>
        <v xml:space="preserve"> </v>
      </c>
      <c r="EH25" s="260" t="str">
        <f t="shared" si="96"/>
        <v xml:space="preserve"> </v>
      </c>
      <c r="EI25" s="260" t="str">
        <f t="shared" si="97"/>
        <v xml:space="preserve"> </v>
      </c>
      <c r="EJ25" s="260" t="str">
        <f t="shared" si="98"/>
        <v xml:space="preserve"> </v>
      </c>
      <c r="EK25" s="260" t="str">
        <f t="shared" si="99"/>
        <v xml:space="preserve"> </v>
      </c>
      <c r="EL25" s="260" t="str">
        <f t="shared" si="100"/>
        <v xml:space="preserve"> </v>
      </c>
      <c r="EM25" s="260" t="str">
        <f t="shared" si="101"/>
        <v xml:space="preserve"> </v>
      </c>
      <c r="EN25" s="260" t="str">
        <f t="shared" si="102"/>
        <v xml:space="preserve"> </v>
      </c>
      <c r="EO25" s="260" t="str">
        <f t="shared" si="103"/>
        <v xml:space="preserve"> </v>
      </c>
      <c r="EP25" s="547"/>
      <c r="EQ25" s="547"/>
      <c r="ER25" s="547"/>
      <c r="ES25" s="547"/>
      <c r="ET25" s="547"/>
      <c r="EU25" s="547"/>
      <c r="EV25" s="547"/>
      <c r="EW25" s="547"/>
      <c r="EX25" s="547"/>
      <c r="EY25" s="547"/>
      <c r="EZ25" s="547"/>
      <c r="FA25" s="547"/>
      <c r="FB25" s="547"/>
      <c r="FC25" s="560"/>
      <c r="FD25" s="560"/>
      <c r="FE25" s="560"/>
      <c r="FF25" s="560"/>
      <c r="FG25" s="560"/>
      <c r="FH25" s="560"/>
      <c r="FI25" s="560"/>
      <c r="FJ25" s="560"/>
      <c r="FK25" s="560"/>
      <c r="FL25" s="560"/>
      <c r="FM25" s="560"/>
      <c r="FN25" s="560"/>
      <c r="FO25" s="560"/>
      <c r="FP25" s="549" t="str">
        <f t="shared" si="104"/>
        <v xml:space="preserve"> </v>
      </c>
      <c r="FQ25" s="291" t="str">
        <f t="shared" si="105"/>
        <v xml:space="preserve">  </v>
      </c>
      <c r="FR25" s="50" t="str">
        <f t="shared" si="106"/>
        <v xml:space="preserve"> </v>
      </c>
      <c r="FS25" s="282"/>
      <c r="FT25" s="51"/>
      <c r="FU25" s="46" t="str">
        <f t="shared" si="107"/>
        <v xml:space="preserve"> </v>
      </c>
      <c r="FV25" s="46" t="str">
        <f t="shared" si="108"/>
        <v xml:space="preserve"> </v>
      </c>
      <c r="FW25" s="46" t="str">
        <f t="shared" si="109"/>
        <v xml:space="preserve"> </v>
      </c>
      <c r="FX25" s="46" t="str">
        <f t="shared" si="110"/>
        <v xml:space="preserve"> </v>
      </c>
      <c r="FY25" s="46" t="str">
        <f t="shared" si="111"/>
        <v xml:space="preserve"> </v>
      </c>
      <c r="FZ25" s="46" t="str">
        <f t="shared" si="112"/>
        <v xml:space="preserve"> </v>
      </c>
      <c r="GA25" s="46" t="str">
        <f t="shared" si="113"/>
        <v xml:space="preserve"> </v>
      </c>
      <c r="GB25" s="46" t="str">
        <f t="shared" si="114"/>
        <v xml:space="preserve"> </v>
      </c>
      <c r="GC25" s="46" t="str">
        <f t="shared" si="115"/>
        <v xml:space="preserve"> </v>
      </c>
      <c r="GD25" s="46" t="str">
        <f t="shared" si="116"/>
        <v xml:space="preserve"> </v>
      </c>
      <c r="GE25" s="46" t="str">
        <f t="shared" si="117"/>
        <v xml:space="preserve"> </v>
      </c>
      <c r="GF25" s="46" t="str">
        <f t="shared" si="118"/>
        <v xml:space="preserve"> </v>
      </c>
      <c r="GG25" s="46" t="str">
        <f t="shared" si="119"/>
        <v xml:space="preserve"> </v>
      </c>
      <c r="GH25" s="46"/>
      <c r="GI25" s="53" t="str">
        <f t="shared" si="120"/>
        <v xml:space="preserve">  </v>
      </c>
      <c r="GJ25" s="53" t="str">
        <f t="shared" si="121"/>
        <v xml:space="preserve">  </v>
      </c>
      <c r="GK25" s="53" t="str">
        <f t="shared" si="122"/>
        <v xml:space="preserve">  </v>
      </c>
      <c r="GL25" s="53" t="str">
        <f t="shared" si="123"/>
        <v xml:space="preserve">  </v>
      </c>
      <c r="GM25" s="53" t="str">
        <f t="shared" si="124"/>
        <v xml:space="preserve">  </v>
      </c>
      <c r="GN25" s="53" t="str">
        <f t="shared" si="125"/>
        <v xml:space="preserve">  </v>
      </c>
      <c r="GO25" s="53" t="str">
        <f t="shared" si="126"/>
        <v xml:space="preserve">  </v>
      </c>
      <c r="GP25" s="53" t="str">
        <f t="shared" si="127"/>
        <v xml:space="preserve">  </v>
      </c>
      <c r="GQ25" s="53" t="str">
        <f t="shared" si="128"/>
        <v xml:space="preserve">  </v>
      </c>
      <c r="GR25" s="53" t="str">
        <f t="shared" si="129"/>
        <v xml:space="preserve">  </v>
      </c>
      <c r="GS25" s="53" t="str">
        <f t="shared" si="130"/>
        <v xml:space="preserve">  </v>
      </c>
      <c r="GT25" s="53" t="str">
        <f t="shared" si="131"/>
        <v xml:space="preserve">  </v>
      </c>
      <c r="GU25" s="53" t="str">
        <f t="shared" si="132"/>
        <v xml:space="preserve">  </v>
      </c>
      <c r="GV25" s="54" t="str">
        <f t="shared" si="133"/>
        <v xml:space="preserve"> </v>
      </c>
      <c r="GW25" s="51"/>
      <c r="GX25" s="351">
        <f t="shared" si="134"/>
        <v>0</v>
      </c>
      <c r="GY25" s="351">
        <f t="shared" si="135"/>
        <v>0</v>
      </c>
      <c r="GZ25" s="51">
        <f>SISWA!E23</f>
        <v>0</v>
      </c>
      <c r="HA25" s="51" t="str">
        <f t="shared" si="136"/>
        <v/>
      </c>
      <c r="HB25" s="56" t="str">
        <f t="shared" si="137"/>
        <v/>
      </c>
      <c r="HC25" s="56" t="str">
        <f t="shared" si="138"/>
        <v/>
      </c>
      <c r="HD25" s="56" t="str">
        <f t="shared" si="139"/>
        <v/>
      </c>
      <c r="HE25" s="56" t="str">
        <f t="shared" si="140"/>
        <v/>
      </c>
      <c r="HF25" s="56" t="str">
        <f t="shared" si="141"/>
        <v/>
      </c>
      <c r="HG25" s="56" t="str">
        <f t="shared" si="142"/>
        <v/>
      </c>
      <c r="HH25" s="56" t="str">
        <f t="shared" si="143"/>
        <v/>
      </c>
      <c r="HI25" s="56" t="str">
        <f t="shared" si="144"/>
        <v/>
      </c>
      <c r="HJ25" s="56" t="str">
        <f t="shared" si="145"/>
        <v/>
      </c>
      <c r="HK25" s="56" t="str">
        <f t="shared" si="146"/>
        <v/>
      </c>
      <c r="HL25" s="56" t="str">
        <f t="shared" si="147"/>
        <v/>
      </c>
      <c r="HM25" s="56" t="str">
        <f t="shared" si="148"/>
        <v/>
      </c>
      <c r="HN25" s="56" t="str">
        <f t="shared" si="149"/>
        <v/>
      </c>
      <c r="HO25" s="58">
        <f t="shared" si="150"/>
        <v>0</v>
      </c>
      <c r="HP25" s="55" t="e">
        <f t="shared" si="151"/>
        <v>#N/A</v>
      </c>
      <c r="HQ25" s="58"/>
      <c r="HR25" s="59" t="e">
        <f>IF(GX25&gt;100,"",IF(GX25&gt;FQ$1,"sangat baik dalam "&amp;HP25,IF(GX25&gt;=FQ$2," baik dalam "&amp;HP25,IF(GX25&gt;=FQ$3,"cukup dalam "&amp;HP25,IF(GX25&lt;FQ$3,"dengan bimbingan dapat meningkatkan dalam "&amp;HP25,IF(GX25&lt;1," ",””))))))</f>
        <v>#N/A</v>
      </c>
      <c r="HS25" s="58"/>
      <c r="HT25" s="57" t="str">
        <f t="shared" si="152"/>
        <v/>
      </c>
      <c r="HU25" s="57" t="str">
        <f t="shared" si="153"/>
        <v/>
      </c>
      <c r="HV25" s="57" t="str">
        <f t="shared" si="154"/>
        <v/>
      </c>
      <c r="HW25" s="57" t="str">
        <f t="shared" si="155"/>
        <v/>
      </c>
      <c r="HX25" s="57" t="str">
        <f t="shared" si="156"/>
        <v/>
      </c>
      <c r="HY25" s="57" t="str">
        <f t="shared" si="157"/>
        <v/>
      </c>
      <c r="HZ25" s="57" t="str">
        <f t="shared" si="158"/>
        <v/>
      </c>
      <c r="IA25" s="57" t="str">
        <f t="shared" si="159"/>
        <v/>
      </c>
      <c r="IB25" s="57" t="str">
        <f t="shared" si="160"/>
        <v/>
      </c>
      <c r="IC25" s="57" t="str">
        <f t="shared" si="161"/>
        <v/>
      </c>
      <c r="ID25" s="57" t="str">
        <f t="shared" si="162"/>
        <v/>
      </c>
      <c r="IE25" s="57" t="str">
        <f t="shared" si="163"/>
        <v/>
      </c>
      <c r="IF25" s="57" t="str">
        <f t="shared" si="164"/>
        <v/>
      </c>
      <c r="IG25" s="57"/>
      <c r="IH25" s="55" t="e">
        <f t="shared" si="165"/>
        <v>#N/A</v>
      </c>
      <c r="II25" s="59" t="e">
        <f>IF(GY25&gt;100,"",IF(GY25&gt;FQ$1,"sangat baik dalam "&amp;IH25,IF(GY25&gt;=FQ$2," baik dalam "&amp;IH25,IF(GY25&gt;=FQ$3,"cukup dalam "&amp;IH25,IF(GY25&lt;FQ$3,"dengan bimbingan dapat meningkatkan dalam "&amp;IH25,IF(GY25&lt;1," ",””))))))</f>
        <v>#N/A</v>
      </c>
      <c r="IJ25" s="60"/>
      <c r="IK25" s="61" t="s">
        <v>201</v>
      </c>
      <c r="IL25" s="62" t="e">
        <f t="shared" si="166"/>
        <v>#N/A</v>
      </c>
      <c r="IM25" s="4" t="e">
        <f>CONCATENATE(IF(#REF!&gt;100,"  ",IF(#REF!&gt;95,"Sangat pandai "&amp;$B$45,IF(#REF!&gt;87,"Pandai "&amp;$B$45,IF(#REF!&gt;79,"Cukup pandai "&amp;$B$45,IF(#REF!&gt;71,"Menguasai dengan baik "&amp;$B$45,IF(#REF!&gt;62,"Perlu banyak latihan "&amp;$B$45,IF(#REF!&gt;0,"Perlu bimbingan "&amp;$B$45,IF(#REF!="","")))))))),IF(#REF!&gt;100,"  ",IF(#REF!&gt;95," Sangat pandai "&amp;$B$46,IF(#REF!&gt;87," Pandai "&amp;$B$46,IF(#REF!&gt;79," Cukup pandai "&amp;$B$46,IF(#REF!&gt;71," Menguasai dengan baik "&amp;$B$46,IF(#REF!&gt;62," Perlu banyak latihan "&amp;$B$46,IF(#REF!&gt;0," Perlu bimbingan "&amp;$B$46,IF(#REF!="","")))))))),IF(#REF!&gt;100,"  ",IF(#REF!&gt;95," Sangat pandai "&amp;$B$47,IF(#REF!&gt;87," Pandai "&amp;$B$47,IF(#REF!&gt;79," cukup pandai "&amp;$B$47,IF(#REF!&gt;71," Menguasai dengan baik "&amp;$B$47,IF(#REF!&gt;62," Perlu banyak latihan "&amp;$B$47,IF(#REF!&gt;0," Perlu bimbingan "&amp;$B$47,IF(#REF!="","")))))))),IF(#REF!&gt;100,"  ",IF(#REF!&gt;95," Sangat pandai "&amp;$B$48,IF(#REF!&gt;87," Pandai "&amp;$B$48,IF(#REF!&gt;79," Cukup pandai "&amp;$B$48,IF(#REF!&gt;71," Menguasai dengan baik "&amp;$B$48,IF(#REF!&gt;62," Perlu banyak latihan "&amp;$B$48,IF(#REF!&gt;0," Perlu bimbingan "&amp;$B$48,IF(#REF!="","")))))))),IF(#REF!&gt;100,"  ",IF(#REF!&gt;95," Sangat pandai "&amp;$B$49,IF(#REF!&gt;87," Pandai "&amp;$B$49,IF(#REF!&gt;79," Cukup pandai "&amp;$B$49,IF(#REF!&gt;71," Menguasai dengan baik "&amp;$B$49,IF(#REF!&gt;62," Perlu banyak latihan "&amp;$B$49,IF(#REF!&gt;0," Perlu bimbingan "&amp;$B$49,IF(#REF!="","")))))))),IF(#REF!&gt;100,"  ",IF(#REF!&gt;95," Sangat pandai "&amp;$B$50,IF(#REF!&gt;87," Pandai "&amp;$B$50,IF(#REF!&gt;79," Cukup pandai "&amp;$B$50,IF(#REF!&gt;71," Menguasai dengan baik "&amp;$B$50,IF(#REF!&gt;62," Perlu banyak latihan "&amp;$B$50,IF(#REF!&gt;0," Perlu bimbingan "&amp;$B$50,IF(#REF!="","")))))))),IF(#REF!&gt;100,"  ",IF(#REF!&gt;95," Sangat pandai "&amp;$B$51,IF(#REF!&gt;87," Pandai "&amp;$B$51,IF(#REF!&gt;79," Cukup pandai "&amp;$B$51,IF(#REF!&gt;71," Menguasai dengan baik "&amp;$B$51,IF(#REF!&gt;62," Perlu banyak latihan "&amp;$B$51,IF(#REF!&gt;0," Perlu bimbingan "&amp;$B$51,IF(#REF!="","")))))))))</f>
        <v>#REF!</v>
      </c>
    </row>
    <row r="26" spans="1:247">
      <c r="A26" s="39">
        <v>19</v>
      </c>
      <c r="B26" s="283">
        <f>SISWA!B24</f>
        <v>0</v>
      </c>
      <c r="C26" s="123"/>
      <c r="D26" s="123"/>
      <c r="E26" s="123"/>
      <c r="F26" s="123"/>
      <c r="G26" s="123"/>
      <c r="H26" s="123"/>
      <c r="I26" s="123"/>
      <c r="J26" s="123"/>
      <c r="K26" s="123"/>
      <c r="L26" s="123"/>
      <c r="M26" s="123"/>
      <c r="N26" s="123"/>
      <c r="O26" s="123"/>
      <c r="P26" s="256"/>
      <c r="Q26" s="256"/>
      <c r="R26" s="256"/>
      <c r="S26" s="256"/>
      <c r="T26" s="256"/>
      <c r="U26" s="256"/>
      <c r="V26" s="256"/>
      <c r="W26" s="256"/>
      <c r="X26" s="256"/>
      <c r="Y26" s="256"/>
      <c r="Z26" s="256"/>
      <c r="AA26" s="256"/>
      <c r="AB26" s="256"/>
      <c r="AC26" s="683"/>
      <c r="AD26" s="683"/>
      <c r="AE26" s="683"/>
      <c r="AF26" s="683"/>
      <c r="AG26" s="683"/>
      <c r="AH26" s="683"/>
      <c r="AI26" s="683"/>
      <c r="AJ26" s="683"/>
      <c r="AK26" s="683"/>
      <c r="AL26" s="683"/>
      <c r="AM26" s="683"/>
      <c r="AN26" s="683"/>
      <c r="AO26" s="683"/>
      <c r="AP26" s="680"/>
      <c r="AQ26" s="680"/>
      <c r="AR26" s="680"/>
      <c r="AS26" s="680"/>
      <c r="AT26" s="680"/>
      <c r="AU26" s="680"/>
      <c r="AV26" s="680"/>
      <c r="AW26" s="680"/>
      <c r="AX26" s="680"/>
      <c r="AY26" s="680"/>
      <c r="AZ26" s="680"/>
      <c r="BA26" s="680"/>
      <c r="BB26" s="680"/>
      <c r="BC26" s="683"/>
      <c r="BD26" s="683"/>
      <c r="BE26" s="683"/>
      <c r="BF26" s="683"/>
      <c r="BG26" s="683"/>
      <c r="BH26" s="683"/>
      <c r="BI26" s="683"/>
      <c r="BJ26" s="683"/>
      <c r="BK26" s="683"/>
      <c r="BL26" s="683"/>
      <c r="BM26" s="683"/>
      <c r="BN26" s="683"/>
      <c r="BO26" s="683"/>
      <c r="BP26" s="680"/>
      <c r="BQ26" s="680"/>
      <c r="BR26" s="680"/>
      <c r="BS26" s="680"/>
      <c r="BT26" s="680"/>
      <c r="BU26" s="680"/>
      <c r="BV26" s="680"/>
      <c r="BW26" s="680"/>
      <c r="BX26" s="680"/>
      <c r="BY26" s="680"/>
      <c r="BZ26" s="680"/>
      <c r="CA26" s="680"/>
      <c r="CB26" s="680"/>
      <c r="CC26" s="683"/>
      <c r="CD26" s="683"/>
      <c r="CE26" s="683"/>
      <c r="CF26" s="683"/>
      <c r="CG26" s="683"/>
      <c r="CH26" s="683"/>
      <c r="CI26" s="683"/>
      <c r="CJ26" s="683"/>
      <c r="CK26" s="683"/>
      <c r="CL26" s="683"/>
      <c r="CM26" s="683"/>
      <c r="CN26" s="683"/>
      <c r="CO26" s="683"/>
      <c r="CP26" s="680"/>
      <c r="CQ26" s="680"/>
      <c r="CR26" s="680"/>
      <c r="CS26" s="680"/>
      <c r="CT26" s="680"/>
      <c r="CU26" s="680"/>
      <c r="CV26" s="680"/>
      <c r="CW26" s="680"/>
      <c r="CX26" s="680"/>
      <c r="CY26" s="681"/>
      <c r="CZ26" s="681"/>
      <c r="DA26" s="681"/>
      <c r="DB26" s="681"/>
      <c r="DC26" s="682"/>
      <c r="DD26" s="682"/>
      <c r="DE26" s="682"/>
      <c r="DF26" s="682"/>
      <c r="DG26" s="682"/>
      <c r="DH26" s="682"/>
      <c r="DI26" s="682"/>
      <c r="DJ26" s="682"/>
      <c r="DK26" s="682"/>
      <c r="DL26" s="682"/>
      <c r="DM26" s="682"/>
      <c r="DN26" s="682"/>
      <c r="DO26" s="682"/>
      <c r="DP26" s="681"/>
      <c r="DQ26" s="681"/>
      <c r="DR26" s="681"/>
      <c r="DS26" s="681"/>
      <c r="DT26" s="681"/>
      <c r="DU26" s="681"/>
      <c r="DV26" s="681"/>
      <c r="DW26" s="681"/>
      <c r="DX26" s="681"/>
      <c r="DY26" s="681"/>
      <c r="DZ26" s="681"/>
      <c r="EA26" s="681"/>
      <c r="EB26" s="681"/>
      <c r="EC26" s="260" t="str">
        <f t="shared" si="91"/>
        <v xml:space="preserve"> </v>
      </c>
      <c r="ED26" s="260" t="str">
        <f t="shared" si="92"/>
        <v xml:space="preserve"> </v>
      </c>
      <c r="EE26" s="260" t="str">
        <f t="shared" si="93"/>
        <v xml:space="preserve"> </v>
      </c>
      <c r="EF26" s="260" t="str">
        <f t="shared" si="94"/>
        <v xml:space="preserve"> </v>
      </c>
      <c r="EG26" s="260" t="str">
        <f t="shared" si="95"/>
        <v xml:space="preserve"> </v>
      </c>
      <c r="EH26" s="260" t="str">
        <f t="shared" si="96"/>
        <v xml:space="preserve"> </v>
      </c>
      <c r="EI26" s="260" t="str">
        <f t="shared" si="97"/>
        <v xml:space="preserve"> </v>
      </c>
      <c r="EJ26" s="260" t="str">
        <f t="shared" si="98"/>
        <v xml:space="preserve"> </v>
      </c>
      <c r="EK26" s="260" t="str">
        <f t="shared" si="99"/>
        <v xml:space="preserve"> </v>
      </c>
      <c r="EL26" s="260" t="str">
        <f t="shared" si="100"/>
        <v xml:space="preserve"> </v>
      </c>
      <c r="EM26" s="260" t="str">
        <f t="shared" si="101"/>
        <v xml:space="preserve"> </v>
      </c>
      <c r="EN26" s="260" t="str">
        <f t="shared" si="102"/>
        <v xml:space="preserve"> </v>
      </c>
      <c r="EO26" s="260" t="str">
        <f t="shared" si="103"/>
        <v xml:space="preserve"> </v>
      </c>
      <c r="EP26" s="547"/>
      <c r="EQ26" s="547"/>
      <c r="ER26" s="547"/>
      <c r="ES26" s="547"/>
      <c r="ET26" s="547"/>
      <c r="EU26" s="547"/>
      <c r="EV26" s="547"/>
      <c r="EW26" s="547"/>
      <c r="EX26" s="547"/>
      <c r="EY26" s="547"/>
      <c r="EZ26" s="547"/>
      <c r="FA26" s="547"/>
      <c r="FB26" s="547"/>
      <c r="FC26" s="560"/>
      <c r="FD26" s="560"/>
      <c r="FE26" s="560"/>
      <c r="FF26" s="560"/>
      <c r="FG26" s="560"/>
      <c r="FH26" s="560"/>
      <c r="FI26" s="560"/>
      <c r="FJ26" s="560"/>
      <c r="FK26" s="560"/>
      <c r="FL26" s="560"/>
      <c r="FM26" s="560"/>
      <c r="FN26" s="560"/>
      <c r="FO26" s="560"/>
      <c r="FP26" s="549" t="str">
        <f t="shared" si="104"/>
        <v xml:space="preserve"> </v>
      </c>
      <c r="FQ26" s="291" t="str">
        <f t="shared" si="105"/>
        <v xml:space="preserve">  </v>
      </c>
      <c r="FR26" s="50" t="str">
        <f t="shared" si="106"/>
        <v xml:space="preserve"> </v>
      </c>
      <c r="FS26" s="282"/>
      <c r="FT26" s="51"/>
      <c r="FU26" s="46" t="str">
        <f t="shared" si="107"/>
        <v xml:space="preserve"> </v>
      </c>
      <c r="FV26" s="46" t="str">
        <f t="shared" si="108"/>
        <v xml:space="preserve"> </v>
      </c>
      <c r="FW26" s="46" t="str">
        <f t="shared" si="109"/>
        <v xml:space="preserve"> </v>
      </c>
      <c r="FX26" s="46" t="str">
        <f t="shared" si="110"/>
        <v xml:space="preserve"> </v>
      </c>
      <c r="FY26" s="46" t="str">
        <f t="shared" si="111"/>
        <v xml:space="preserve"> </v>
      </c>
      <c r="FZ26" s="46" t="str">
        <f t="shared" si="112"/>
        <v xml:space="preserve"> </v>
      </c>
      <c r="GA26" s="46" t="str">
        <f t="shared" si="113"/>
        <v xml:space="preserve"> </v>
      </c>
      <c r="GB26" s="46" t="str">
        <f t="shared" si="114"/>
        <v xml:space="preserve"> </v>
      </c>
      <c r="GC26" s="46" t="str">
        <f t="shared" si="115"/>
        <v xml:space="preserve"> </v>
      </c>
      <c r="GD26" s="46" t="str">
        <f t="shared" si="116"/>
        <v xml:space="preserve"> </v>
      </c>
      <c r="GE26" s="46" t="str">
        <f t="shared" si="117"/>
        <v xml:space="preserve"> </v>
      </c>
      <c r="GF26" s="46" t="str">
        <f t="shared" si="118"/>
        <v xml:space="preserve"> </v>
      </c>
      <c r="GG26" s="46" t="str">
        <f t="shared" si="119"/>
        <v xml:space="preserve"> </v>
      </c>
      <c r="GH26" s="46"/>
      <c r="GI26" s="53" t="str">
        <f t="shared" si="120"/>
        <v xml:space="preserve">  </v>
      </c>
      <c r="GJ26" s="53" t="str">
        <f t="shared" si="121"/>
        <v xml:space="preserve">  </v>
      </c>
      <c r="GK26" s="53" t="str">
        <f t="shared" si="122"/>
        <v xml:space="preserve">  </v>
      </c>
      <c r="GL26" s="53" t="str">
        <f t="shared" si="123"/>
        <v xml:space="preserve">  </v>
      </c>
      <c r="GM26" s="53" t="str">
        <f t="shared" si="124"/>
        <v xml:space="preserve">  </v>
      </c>
      <c r="GN26" s="53" t="str">
        <f t="shared" si="125"/>
        <v xml:space="preserve">  </v>
      </c>
      <c r="GO26" s="53" t="str">
        <f t="shared" si="126"/>
        <v xml:space="preserve">  </v>
      </c>
      <c r="GP26" s="53" t="str">
        <f t="shared" si="127"/>
        <v xml:space="preserve">  </v>
      </c>
      <c r="GQ26" s="53" t="str">
        <f t="shared" si="128"/>
        <v xml:space="preserve">  </v>
      </c>
      <c r="GR26" s="53" t="str">
        <f t="shared" si="129"/>
        <v xml:space="preserve">  </v>
      </c>
      <c r="GS26" s="53" t="str">
        <f t="shared" si="130"/>
        <v xml:space="preserve">  </v>
      </c>
      <c r="GT26" s="53" t="str">
        <f t="shared" si="131"/>
        <v xml:space="preserve">  </v>
      </c>
      <c r="GU26" s="53" t="str">
        <f t="shared" si="132"/>
        <v xml:space="preserve">  </v>
      </c>
      <c r="GV26" s="54" t="str">
        <f t="shared" si="133"/>
        <v xml:space="preserve"> </v>
      </c>
      <c r="GW26" s="51"/>
      <c r="GX26" s="351">
        <f t="shared" si="134"/>
        <v>0</v>
      </c>
      <c r="GY26" s="351">
        <f t="shared" si="135"/>
        <v>0</v>
      </c>
      <c r="GZ26" s="51">
        <f>SISWA!E24</f>
        <v>0</v>
      </c>
      <c r="HA26" s="51" t="str">
        <f t="shared" si="136"/>
        <v/>
      </c>
      <c r="HB26" s="56" t="str">
        <f t="shared" si="137"/>
        <v/>
      </c>
      <c r="HC26" s="56" t="str">
        <f t="shared" si="138"/>
        <v/>
      </c>
      <c r="HD26" s="56" t="str">
        <f t="shared" si="139"/>
        <v/>
      </c>
      <c r="HE26" s="56" t="str">
        <f t="shared" si="140"/>
        <v/>
      </c>
      <c r="HF26" s="56" t="str">
        <f t="shared" si="141"/>
        <v/>
      </c>
      <c r="HG26" s="56" t="str">
        <f t="shared" si="142"/>
        <v/>
      </c>
      <c r="HH26" s="56" t="str">
        <f t="shared" si="143"/>
        <v/>
      </c>
      <c r="HI26" s="56" t="str">
        <f t="shared" si="144"/>
        <v/>
      </c>
      <c r="HJ26" s="56" t="str">
        <f t="shared" si="145"/>
        <v/>
      </c>
      <c r="HK26" s="56" t="str">
        <f t="shared" si="146"/>
        <v/>
      </c>
      <c r="HL26" s="56" t="str">
        <f t="shared" si="147"/>
        <v/>
      </c>
      <c r="HM26" s="56" t="str">
        <f t="shared" si="148"/>
        <v/>
      </c>
      <c r="HN26" s="56" t="str">
        <f t="shared" si="149"/>
        <v/>
      </c>
      <c r="HO26" s="58">
        <f t="shared" si="150"/>
        <v>0</v>
      </c>
      <c r="HP26" s="55" t="e">
        <f t="shared" si="151"/>
        <v>#N/A</v>
      </c>
      <c r="HQ26" s="58"/>
      <c r="HR26" s="59" t="e">
        <f>IF(GX26&gt;100,"",IF(GX26&gt;FQ$1,"sangat baik dalam "&amp;HP26,IF(GX26&gt;=FQ$2," baik dalam "&amp;HP26,IF(GX26&gt;=FQ$3,"cukup dalam "&amp;HP26,IF(GX26&lt;FQ$3,"dengan bimbingan dapat meningkatkan dalam "&amp;HP26,IF(GX26&lt;1," ",””))))))</f>
        <v>#N/A</v>
      </c>
      <c r="HS26" s="58"/>
      <c r="HT26" s="57" t="str">
        <f t="shared" si="152"/>
        <v/>
      </c>
      <c r="HU26" s="57" t="str">
        <f t="shared" si="153"/>
        <v/>
      </c>
      <c r="HV26" s="57" t="str">
        <f t="shared" si="154"/>
        <v/>
      </c>
      <c r="HW26" s="57" t="str">
        <f t="shared" si="155"/>
        <v/>
      </c>
      <c r="HX26" s="57" t="str">
        <f t="shared" si="156"/>
        <v/>
      </c>
      <c r="HY26" s="57" t="str">
        <f t="shared" si="157"/>
        <v/>
      </c>
      <c r="HZ26" s="57" t="str">
        <f t="shared" si="158"/>
        <v/>
      </c>
      <c r="IA26" s="57" t="str">
        <f t="shared" si="159"/>
        <v/>
      </c>
      <c r="IB26" s="57" t="str">
        <f t="shared" si="160"/>
        <v/>
      </c>
      <c r="IC26" s="57" t="str">
        <f t="shared" si="161"/>
        <v/>
      </c>
      <c r="ID26" s="57" t="str">
        <f t="shared" si="162"/>
        <v/>
      </c>
      <c r="IE26" s="57" t="str">
        <f t="shared" si="163"/>
        <v/>
      </c>
      <c r="IF26" s="57" t="str">
        <f t="shared" si="164"/>
        <v/>
      </c>
      <c r="IG26" s="57"/>
      <c r="IH26" s="55" t="e">
        <f t="shared" si="165"/>
        <v>#N/A</v>
      </c>
      <c r="II26" s="59" t="e">
        <f>IF(GY26&gt;100,"",IF(GY26&gt;FQ$1,"sangat baik dalam "&amp;IH26,IF(GY26&gt;=FQ$2," baik dalam "&amp;IH26,IF(GY26&gt;=FQ$3,"cukup dalam "&amp;IH26,IF(GY26&lt;FQ$3,"dengan bimbingan dapat meningkatkan dalam "&amp;IH26,IF(GY26&lt;1," ",””))))))</f>
        <v>#N/A</v>
      </c>
      <c r="IJ26" s="60"/>
      <c r="IK26" s="61" t="s">
        <v>201</v>
      </c>
      <c r="IL26" s="62" t="e">
        <f t="shared" si="166"/>
        <v>#N/A</v>
      </c>
      <c r="IM26" s="4" t="e">
        <f>CONCATENATE(IF(#REF!&gt;100,"  ",IF(#REF!&gt;95,"Sangat pandai "&amp;$B$45,IF(#REF!&gt;87,"Pandai "&amp;$B$45,IF(#REF!&gt;79,"Cukup pandai "&amp;$B$45,IF(#REF!&gt;71,"Menguasai dengan baik "&amp;$B$45,IF(#REF!&gt;62,"Perlu banyak latihan "&amp;$B$45,IF(#REF!&gt;0,"Perlu bimbingan "&amp;$B$45,IF(#REF!="","")))))))),IF(#REF!&gt;100,"  ",IF(#REF!&gt;95," Sangat pandai "&amp;$B$46,IF(#REF!&gt;87," Pandai "&amp;$B$46,IF(#REF!&gt;79," Cukup pandai "&amp;$B$46,IF(#REF!&gt;71," Menguasai dengan baik "&amp;$B$46,IF(#REF!&gt;62," Perlu banyak latihan "&amp;$B$46,IF(#REF!&gt;0," Perlu bimbingan "&amp;$B$46,IF(#REF!="","")))))))),IF(#REF!&gt;100,"  ",IF(#REF!&gt;95," Sangat pandai "&amp;$B$47,IF(#REF!&gt;87," Pandai "&amp;$B$47,IF(#REF!&gt;79," cukup pandai "&amp;$B$47,IF(#REF!&gt;71," Menguasai dengan baik "&amp;$B$47,IF(#REF!&gt;62," Perlu banyak latihan "&amp;$B$47,IF(#REF!&gt;0," Perlu bimbingan "&amp;$B$47,IF(#REF!="","")))))))),IF(#REF!&gt;100,"  ",IF(#REF!&gt;95," Sangat pandai "&amp;$B$48,IF(#REF!&gt;87," Pandai "&amp;$B$48,IF(#REF!&gt;79," Cukup pandai "&amp;$B$48,IF(#REF!&gt;71," Menguasai dengan baik "&amp;$B$48,IF(#REF!&gt;62," Perlu banyak latihan "&amp;$B$48,IF(#REF!&gt;0," Perlu bimbingan "&amp;$B$48,IF(#REF!="","")))))))),IF(#REF!&gt;100,"  ",IF(#REF!&gt;95," Sangat pandai "&amp;$B$49,IF(#REF!&gt;87," Pandai "&amp;$B$49,IF(#REF!&gt;79," Cukup pandai "&amp;$B$49,IF(#REF!&gt;71," Menguasai dengan baik "&amp;$B$49,IF(#REF!&gt;62," Perlu banyak latihan "&amp;$B$49,IF(#REF!&gt;0," Perlu bimbingan "&amp;$B$49,IF(#REF!="","")))))))),IF(#REF!&gt;100,"  ",IF(#REF!&gt;95," Sangat pandai "&amp;$B$50,IF(#REF!&gt;87," Pandai "&amp;$B$50,IF(#REF!&gt;79," Cukup pandai "&amp;$B$50,IF(#REF!&gt;71," Menguasai dengan baik "&amp;$B$50,IF(#REF!&gt;62," Perlu banyak latihan "&amp;$B$50,IF(#REF!&gt;0," Perlu bimbingan "&amp;$B$50,IF(#REF!="","")))))))),IF(#REF!&gt;100,"  ",IF(#REF!&gt;95," Sangat pandai "&amp;$B$51,IF(#REF!&gt;87," Pandai "&amp;$B$51,IF(#REF!&gt;79," Cukup pandai "&amp;$B$51,IF(#REF!&gt;71," Menguasai dengan baik "&amp;$B$51,IF(#REF!&gt;62," Perlu banyak latihan "&amp;$B$51,IF(#REF!&gt;0," Perlu bimbingan "&amp;$B$51,IF(#REF!="","")))))))))</f>
        <v>#REF!</v>
      </c>
    </row>
    <row r="27" spans="1:247">
      <c r="A27" s="39">
        <v>20</v>
      </c>
      <c r="B27" s="283">
        <f>SISWA!B25</f>
        <v>0</v>
      </c>
      <c r="C27" s="123"/>
      <c r="D27" s="123"/>
      <c r="E27" s="123"/>
      <c r="F27" s="123"/>
      <c r="G27" s="123"/>
      <c r="H27" s="123"/>
      <c r="I27" s="123"/>
      <c r="J27" s="123"/>
      <c r="K27" s="123"/>
      <c r="L27" s="123"/>
      <c r="M27" s="123"/>
      <c r="N27" s="123"/>
      <c r="O27" s="123"/>
      <c r="P27" s="256"/>
      <c r="Q27" s="256"/>
      <c r="R27" s="256"/>
      <c r="S27" s="256"/>
      <c r="T27" s="256"/>
      <c r="U27" s="256"/>
      <c r="V27" s="256"/>
      <c r="W27" s="256"/>
      <c r="X27" s="256"/>
      <c r="Y27" s="256"/>
      <c r="Z27" s="256"/>
      <c r="AA27" s="256"/>
      <c r="AB27" s="256"/>
      <c r="AC27" s="683"/>
      <c r="AD27" s="683"/>
      <c r="AE27" s="683"/>
      <c r="AF27" s="683"/>
      <c r="AG27" s="683"/>
      <c r="AH27" s="683"/>
      <c r="AI27" s="683"/>
      <c r="AJ27" s="683"/>
      <c r="AK27" s="683"/>
      <c r="AL27" s="683"/>
      <c r="AM27" s="683"/>
      <c r="AN27" s="683"/>
      <c r="AO27" s="683"/>
      <c r="AP27" s="680"/>
      <c r="AQ27" s="680"/>
      <c r="AR27" s="680"/>
      <c r="AS27" s="680"/>
      <c r="AT27" s="680"/>
      <c r="AU27" s="680"/>
      <c r="AV27" s="680"/>
      <c r="AW27" s="680"/>
      <c r="AX27" s="680"/>
      <c r="AY27" s="680"/>
      <c r="AZ27" s="680"/>
      <c r="BA27" s="680"/>
      <c r="BB27" s="680"/>
      <c r="BC27" s="683"/>
      <c r="BD27" s="683"/>
      <c r="BE27" s="683"/>
      <c r="BF27" s="683"/>
      <c r="BG27" s="683"/>
      <c r="BH27" s="683"/>
      <c r="BI27" s="683"/>
      <c r="BJ27" s="683"/>
      <c r="BK27" s="683"/>
      <c r="BL27" s="683"/>
      <c r="BM27" s="683"/>
      <c r="BN27" s="683"/>
      <c r="BO27" s="683"/>
      <c r="BP27" s="680"/>
      <c r="BQ27" s="680"/>
      <c r="BR27" s="680"/>
      <c r="BS27" s="680"/>
      <c r="BT27" s="680"/>
      <c r="BU27" s="680"/>
      <c r="BV27" s="680"/>
      <c r="BW27" s="680"/>
      <c r="BX27" s="680"/>
      <c r="BY27" s="680"/>
      <c r="BZ27" s="680"/>
      <c r="CA27" s="680"/>
      <c r="CB27" s="680"/>
      <c r="CC27" s="683"/>
      <c r="CD27" s="683"/>
      <c r="CE27" s="683"/>
      <c r="CF27" s="683"/>
      <c r="CG27" s="683"/>
      <c r="CH27" s="683"/>
      <c r="CI27" s="683"/>
      <c r="CJ27" s="683"/>
      <c r="CK27" s="683"/>
      <c r="CL27" s="683"/>
      <c r="CM27" s="683"/>
      <c r="CN27" s="683"/>
      <c r="CO27" s="683"/>
      <c r="CP27" s="680"/>
      <c r="CQ27" s="680"/>
      <c r="CR27" s="680"/>
      <c r="CS27" s="680"/>
      <c r="CT27" s="680"/>
      <c r="CU27" s="680"/>
      <c r="CV27" s="680"/>
      <c r="CW27" s="680"/>
      <c r="CX27" s="680"/>
      <c r="CY27" s="681"/>
      <c r="CZ27" s="681"/>
      <c r="DA27" s="681"/>
      <c r="DB27" s="681"/>
      <c r="DC27" s="682"/>
      <c r="DD27" s="682"/>
      <c r="DE27" s="682"/>
      <c r="DF27" s="682"/>
      <c r="DG27" s="682"/>
      <c r="DH27" s="682"/>
      <c r="DI27" s="682"/>
      <c r="DJ27" s="682"/>
      <c r="DK27" s="682"/>
      <c r="DL27" s="682"/>
      <c r="DM27" s="682"/>
      <c r="DN27" s="682"/>
      <c r="DO27" s="682"/>
      <c r="DP27" s="681"/>
      <c r="DQ27" s="681"/>
      <c r="DR27" s="681"/>
      <c r="DS27" s="681"/>
      <c r="DT27" s="681"/>
      <c r="DU27" s="681"/>
      <c r="DV27" s="681"/>
      <c r="DW27" s="681"/>
      <c r="DX27" s="681"/>
      <c r="DY27" s="681"/>
      <c r="DZ27" s="681"/>
      <c r="EA27" s="681"/>
      <c r="EB27" s="681"/>
      <c r="EC27" s="260" t="str">
        <f t="shared" si="91"/>
        <v xml:space="preserve"> </v>
      </c>
      <c r="ED27" s="260" t="str">
        <f t="shared" si="92"/>
        <v xml:space="preserve"> </v>
      </c>
      <c r="EE27" s="260" t="str">
        <f t="shared" si="93"/>
        <v xml:space="preserve"> </v>
      </c>
      <c r="EF27" s="260" t="str">
        <f t="shared" si="94"/>
        <v xml:space="preserve"> </v>
      </c>
      <c r="EG27" s="260" t="str">
        <f t="shared" si="95"/>
        <v xml:space="preserve"> </v>
      </c>
      <c r="EH27" s="260" t="str">
        <f t="shared" si="96"/>
        <v xml:space="preserve"> </v>
      </c>
      <c r="EI27" s="260" t="str">
        <f t="shared" si="97"/>
        <v xml:space="preserve"> </v>
      </c>
      <c r="EJ27" s="260" t="str">
        <f t="shared" si="98"/>
        <v xml:space="preserve"> </v>
      </c>
      <c r="EK27" s="260" t="str">
        <f t="shared" si="99"/>
        <v xml:space="preserve"> </v>
      </c>
      <c r="EL27" s="260" t="str">
        <f t="shared" si="100"/>
        <v xml:space="preserve"> </v>
      </c>
      <c r="EM27" s="260" t="str">
        <f t="shared" si="101"/>
        <v xml:space="preserve"> </v>
      </c>
      <c r="EN27" s="260" t="str">
        <f t="shared" si="102"/>
        <v xml:space="preserve"> </v>
      </c>
      <c r="EO27" s="260" t="str">
        <f t="shared" si="103"/>
        <v xml:space="preserve"> </v>
      </c>
      <c r="EP27" s="547"/>
      <c r="EQ27" s="547"/>
      <c r="ER27" s="547"/>
      <c r="ES27" s="547"/>
      <c r="ET27" s="547"/>
      <c r="EU27" s="547"/>
      <c r="EV27" s="547"/>
      <c r="EW27" s="547"/>
      <c r="EX27" s="547"/>
      <c r="EY27" s="547"/>
      <c r="EZ27" s="547"/>
      <c r="FA27" s="547"/>
      <c r="FB27" s="547"/>
      <c r="FC27" s="560"/>
      <c r="FD27" s="560"/>
      <c r="FE27" s="560"/>
      <c r="FF27" s="560"/>
      <c r="FG27" s="560"/>
      <c r="FH27" s="560"/>
      <c r="FI27" s="560"/>
      <c r="FJ27" s="560"/>
      <c r="FK27" s="560"/>
      <c r="FL27" s="560"/>
      <c r="FM27" s="560"/>
      <c r="FN27" s="560"/>
      <c r="FO27" s="560"/>
      <c r="FP27" s="549" t="str">
        <f t="shared" si="104"/>
        <v xml:space="preserve"> </v>
      </c>
      <c r="FQ27" s="291" t="str">
        <f t="shared" si="105"/>
        <v xml:space="preserve">  </v>
      </c>
      <c r="FR27" s="50" t="str">
        <f t="shared" si="106"/>
        <v xml:space="preserve"> </v>
      </c>
      <c r="FS27" s="282"/>
      <c r="FT27" s="51"/>
      <c r="FU27" s="46" t="str">
        <f t="shared" si="107"/>
        <v xml:space="preserve"> </v>
      </c>
      <c r="FV27" s="46" t="str">
        <f t="shared" si="108"/>
        <v xml:space="preserve"> </v>
      </c>
      <c r="FW27" s="46" t="str">
        <f t="shared" si="109"/>
        <v xml:space="preserve"> </v>
      </c>
      <c r="FX27" s="46" t="str">
        <f t="shared" si="110"/>
        <v xml:space="preserve"> </v>
      </c>
      <c r="FY27" s="46" t="str">
        <f t="shared" si="111"/>
        <v xml:space="preserve"> </v>
      </c>
      <c r="FZ27" s="46" t="str">
        <f t="shared" si="112"/>
        <v xml:space="preserve"> </v>
      </c>
      <c r="GA27" s="46" t="str">
        <f t="shared" si="113"/>
        <v xml:space="preserve"> </v>
      </c>
      <c r="GB27" s="46" t="str">
        <f t="shared" si="114"/>
        <v xml:space="preserve"> </v>
      </c>
      <c r="GC27" s="46" t="str">
        <f t="shared" si="115"/>
        <v xml:space="preserve"> </v>
      </c>
      <c r="GD27" s="46" t="str">
        <f t="shared" si="116"/>
        <v xml:space="preserve"> </v>
      </c>
      <c r="GE27" s="46" t="str">
        <f t="shared" si="117"/>
        <v xml:space="preserve"> </v>
      </c>
      <c r="GF27" s="46" t="str">
        <f t="shared" si="118"/>
        <v xml:space="preserve"> </v>
      </c>
      <c r="GG27" s="46" t="str">
        <f t="shared" si="119"/>
        <v xml:space="preserve"> </v>
      </c>
      <c r="GH27" s="46"/>
      <c r="GI27" s="53" t="str">
        <f t="shared" si="120"/>
        <v xml:space="preserve">  </v>
      </c>
      <c r="GJ27" s="53" t="str">
        <f t="shared" si="121"/>
        <v xml:space="preserve">  </v>
      </c>
      <c r="GK27" s="53" t="str">
        <f t="shared" si="122"/>
        <v xml:space="preserve">  </v>
      </c>
      <c r="GL27" s="53" t="str">
        <f t="shared" si="123"/>
        <v xml:space="preserve">  </v>
      </c>
      <c r="GM27" s="53" t="str">
        <f t="shared" si="124"/>
        <v xml:space="preserve">  </v>
      </c>
      <c r="GN27" s="53" t="str">
        <f t="shared" si="125"/>
        <v xml:space="preserve">  </v>
      </c>
      <c r="GO27" s="53" t="str">
        <f t="shared" si="126"/>
        <v xml:space="preserve">  </v>
      </c>
      <c r="GP27" s="53" t="str">
        <f t="shared" si="127"/>
        <v xml:space="preserve">  </v>
      </c>
      <c r="GQ27" s="53" t="str">
        <f t="shared" si="128"/>
        <v xml:space="preserve">  </v>
      </c>
      <c r="GR27" s="53" t="str">
        <f t="shared" si="129"/>
        <v xml:space="preserve">  </v>
      </c>
      <c r="GS27" s="53" t="str">
        <f t="shared" si="130"/>
        <v xml:space="preserve">  </v>
      </c>
      <c r="GT27" s="53" t="str">
        <f t="shared" si="131"/>
        <v xml:space="preserve">  </v>
      </c>
      <c r="GU27" s="53" t="str">
        <f t="shared" si="132"/>
        <v xml:space="preserve">  </v>
      </c>
      <c r="GV27" s="54" t="str">
        <f t="shared" si="133"/>
        <v xml:space="preserve"> </v>
      </c>
      <c r="GW27" s="51"/>
      <c r="GX27" s="351">
        <f t="shared" si="134"/>
        <v>0</v>
      </c>
      <c r="GY27" s="351">
        <f t="shared" si="135"/>
        <v>0</v>
      </c>
      <c r="GZ27" s="51">
        <f>SISWA!E25</f>
        <v>0</v>
      </c>
      <c r="HA27" s="51" t="str">
        <f t="shared" si="136"/>
        <v/>
      </c>
      <c r="HB27" s="56" t="str">
        <f t="shared" si="137"/>
        <v/>
      </c>
      <c r="HC27" s="56" t="str">
        <f t="shared" si="138"/>
        <v/>
      </c>
      <c r="HD27" s="56" t="str">
        <f t="shared" si="139"/>
        <v/>
      </c>
      <c r="HE27" s="56" t="str">
        <f t="shared" si="140"/>
        <v/>
      </c>
      <c r="HF27" s="56" t="str">
        <f t="shared" si="141"/>
        <v/>
      </c>
      <c r="HG27" s="56" t="str">
        <f t="shared" si="142"/>
        <v/>
      </c>
      <c r="HH27" s="56" t="str">
        <f t="shared" si="143"/>
        <v/>
      </c>
      <c r="HI27" s="56" t="str">
        <f t="shared" si="144"/>
        <v/>
      </c>
      <c r="HJ27" s="56" t="str">
        <f t="shared" si="145"/>
        <v/>
      </c>
      <c r="HK27" s="56" t="str">
        <f t="shared" si="146"/>
        <v/>
      </c>
      <c r="HL27" s="56" t="str">
        <f t="shared" si="147"/>
        <v/>
      </c>
      <c r="HM27" s="56" t="str">
        <f t="shared" si="148"/>
        <v/>
      </c>
      <c r="HN27" s="56" t="str">
        <f t="shared" si="149"/>
        <v/>
      </c>
      <c r="HO27" s="58">
        <f t="shared" si="150"/>
        <v>0</v>
      </c>
      <c r="HP27" s="55" t="e">
        <f t="shared" si="151"/>
        <v>#N/A</v>
      </c>
      <c r="HQ27" s="58"/>
      <c r="HR27" s="59" t="e">
        <f>IF(GX27&gt;100,"",IF(GX27&gt;FQ$1,"sangat baik dalam "&amp;HP27,IF(GX27&gt;=FQ$2," baik dalam "&amp;HP27,IF(GX27&gt;=FQ$3,"cukup dalam "&amp;HP27,IF(GX27&lt;FQ$3,"dengan bimbingan dapat meningkatkan dalam "&amp;HP27,IF(GX27&lt;1," ",””))))))</f>
        <v>#N/A</v>
      </c>
      <c r="HS27" s="58"/>
      <c r="HT27" s="57" t="str">
        <f t="shared" si="152"/>
        <v/>
      </c>
      <c r="HU27" s="57" t="str">
        <f t="shared" si="153"/>
        <v/>
      </c>
      <c r="HV27" s="57" t="str">
        <f t="shared" si="154"/>
        <v/>
      </c>
      <c r="HW27" s="57" t="str">
        <f t="shared" si="155"/>
        <v/>
      </c>
      <c r="HX27" s="57" t="str">
        <f t="shared" si="156"/>
        <v/>
      </c>
      <c r="HY27" s="57" t="str">
        <f t="shared" si="157"/>
        <v/>
      </c>
      <c r="HZ27" s="57" t="str">
        <f t="shared" si="158"/>
        <v/>
      </c>
      <c r="IA27" s="57" t="str">
        <f t="shared" si="159"/>
        <v/>
      </c>
      <c r="IB27" s="57" t="str">
        <f t="shared" si="160"/>
        <v/>
      </c>
      <c r="IC27" s="57" t="str">
        <f t="shared" si="161"/>
        <v/>
      </c>
      <c r="ID27" s="57" t="str">
        <f t="shared" si="162"/>
        <v/>
      </c>
      <c r="IE27" s="57" t="str">
        <f t="shared" si="163"/>
        <v/>
      </c>
      <c r="IF27" s="57" t="str">
        <f t="shared" si="164"/>
        <v/>
      </c>
      <c r="IG27" s="57"/>
      <c r="IH27" s="55" t="e">
        <f t="shared" si="165"/>
        <v>#N/A</v>
      </c>
      <c r="II27" s="59" t="e">
        <f>IF(GY27&gt;100,"",IF(GY27&gt;FQ$1,"sangat baik dalam "&amp;IH27,IF(GY27&gt;=FQ$2," baik dalam "&amp;IH27,IF(GY27&gt;=FQ$3,"cukup dalam "&amp;IH27,IF(GY27&lt;FQ$3,"dengan bimbingan dapat meningkatkan dalam "&amp;IH27,IF(GY27&lt;1," ",””))))))</f>
        <v>#N/A</v>
      </c>
      <c r="IJ27" s="60"/>
      <c r="IK27" s="61" t="s">
        <v>201</v>
      </c>
      <c r="IL27" s="62" t="e">
        <f t="shared" si="166"/>
        <v>#N/A</v>
      </c>
      <c r="IM27" s="4" t="e">
        <f>CONCATENATE(IF(#REF!&gt;100,"  ",IF(#REF!&gt;95,"Sangat pandai "&amp;$B$45,IF(#REF!&gt;87,"Pandai "&amp;$B$45,IF(#REF!&gt;79,"Cukup pandai "&amp;$B$45,IF(#REF!&gt;71,"Menguasai dengan baik "&amp;$B$45,IF(#REF!&gt;62,"Perlu banyak latihan "&amp;$B$45,IF(#REF!&gt;0,"Perlu bimbingan "&amp;$B$45,IF(#REF!="","")))))))),IF(#REF!&gt;100,"  ",IF(#REF!&gt;95," Sangat pandai "&amp;$B$46,IF(#REF!&gt;87," Pandai "&amp;$B$46,IF(#REF!&gt;79," Cukup pandai "&amp;$B$46,IF(#REF!&gt;71," Menguasai dengan baik "&amp;$B$46,IF(#REF!&gt;62," Perlu banyak latihan "&amp;$B$46,IF(#REF!&gt;0," Perlu bimbingan "&amp;$B$46,IF(#REF!="","")))))))),IF(#REF!&gt;100,"  ",IF(#REF!&gt;95," Sangat pandai "&amp;$B$47,IF(#REF!&gt;87," Pandai "&amp;$B$47,IF(#REF!&gt;79," cukup pandai "&amp;$B$47,IF(#REF!&gt;71," Menguasai dengan baik "&amp;$B$47,IF(#REF!&gt;62," Perlu banyak latihan "&amp;$B$47,IF(#REF!&gt;0," Perlu bimbingan "&amp;$B$47,IF(#REF!="","")))))))),IF(#REF!&gt;100,"  ",IF(#REF!&gt;95," Sangat pandai "&amp;$B$48,IF(#REF!&gt;87," Pandai "&amp;$B$48,IF(#REF!&gt;79," Cukup pandai "&amp;$B$48,IF(#REF!&gt;71," Menguasai dengan baik "&amp;$B$48,IF(#REF!&gt;62," Perlu banyak latihan "&amp;$B$48,IF(#REF!&gt;0," Perlu bimbingan "&amp;$B$48,IF(#REF!="","")))))))),IF(#REF!&gt;100,"  ",IF(#REF!&gt;95," Sangat pandai "&amp;$B$49,IF(#REF!&gt;87," Pandai "&amp;$B$49,IF(#REF!&gt;79," Cukup pandai "&amp;$B$49,IF(#REF!&gt;71," Menguasai dengan baik "&amp;$B$49,IF(#REF!&gt;62," Perlu banyak latihan "&amp;$B$49,IF(#REF!&gt;0," Perlu bimbingan "&amp;$B$49,IF(#REF!="","")))))))),IF(#REF!&gt;100,"  ",IF(#REF!&gt;95," Sangat pandai "&amp;$B$50,IF(#REF!&gt;87," Pandai "&amp;$B$50,IF(#REF!&gt;79," Cukup pandai "&amp;$B$50,IF(#REF!&gt;71," Menguasai dengan baik "&amp;$B$50,IF(#REF!&gt;62," Perlu banyak latihan "&amp;$B$50,IF(#REF!&gt;0," Perlu bimbingan "&amp;$B$50,IF(#REF!="","")))))))),IF(#REF!&gt;100,"  ",IF(#REF!&gt;95," Sangat pandai "&amp;$B$51,IF(#REF!&gt;87," Pandai "&amp;$B$51,IF(#REF!&gt;79," Cukup pandai "&amp;$B$51,IF(#REF!&gt;71," Menguasai dengan baik "&amp;$B$51,IF(#REF!&gt;62," Perlu banyak latihan "&amp;$B$51,IF(#REF!&gt;0," Perlu bimbingan "&amp;$B$51,IF(#REF!="","")))))))))</f>
        <v>#REF!</v>
      </c>
    </row>
    <row r="28" spans="1:247">
      <c r="A28" s="39">
        <v>21</v>
      </c>
      <c r="B28" s="283">
        <f>SISWA!B26</f>
        <v>0</v>
      </c>
      <c r="C28" s="123"/>
      <c r="D28" s="123"/>
      <c r="E28" s="123"/>
      <c r="F28" s="123"/>
      <c r="G28" s="123"/>
      <c r="H28" s="123"/>
      <c r="I28" s="123"/>
      <c r="J28" s="123"/>
      <c r="K28" s="123"/>
      <c r="L28" s="123"/>
      <c r="M28" s="123"/>
      <c r="N28" s="123"/>
      <c r="O28" s="123"/>
      <c r="P28" s="256"/>
      <c r="Q28" s="256"/>
      <c r="R28" s="256"/>
      <c r="S28" s="256"/>
      <c r="T28" s="256"/>
      <c r="U28" s="256"/>
      <c r="V28" s="256"/>
      <c r="W28" s="256"/>
      <c r="X28" s="256"/>
      <c r="Y28" s="256"/>
      <c r="Z28" s="256"/>
      <c r="AA28" s="256"/>
      <c r="AB28" s="256"/>
      <c r="AC28" s="683"/>
      <c r="AD28" s="683"/>
      <c r="AE28" s="683"/>
      <c r="AF28" s="683"/>
      <c r="AG28" s="683"/>
      <c r="AH28" s="683"/>
      <c r="AI28" s="683"/>
      <c r="AJ28" s="683"/>
      <c r="AK28" s="683"/>
      <c r="AL28" s="683"/>
      <c r="AM28" s="683"/>
      <c r="AN28" s="683"/>
      <c r="AO28" s="683"/>
      <c r="AP28" s="680"/>
      <c r="AQ28" s="680"/>
      <c r="AR28" s="680"/>
      <c r="AS28" s="680"/>
      <c r="AT28" s="680"/>
      <c r="AU28" s="680"/>
      <c r="AV28" s="680"/>
      <c r="AW28" s="680"/>
      <c r="AX28" s="680"/>
      <c r="AY28" s="680"/>
      <c r="AZ28" s="680"/>
      <c r="BA28" s="680"/>
      <c r="BB28" s="680"/>
      <c r="BC28" s="683"/>
      <c r="BD28" s="683"/>
      <c r="BE28" s="683"/>
      <c r="BF28" s="683"/>
      <c r="BG28" s="683"/>
      <c r="BH28" s="683"/>
      <c r="BI28" s="683"/>
      <c r="BJ28" s="683"/>
      <c r="BK28" s="683"/>
      <c r="BL28" s="683"/>
      <c r="BM28" s="683"/>
      <c r="BN28" s="683"/>
      <c r="BO28" s="683"/>
      <c r="BP28" s="680"/>
      <c r="BQ28" s="680"/>
      <c r="BR28" s="680"/>
      <c r="BS28" s="680"/>
      <c r="BT28" s="680"/>
      <c r="BU28" s="680"/>
      <c r="BV28" s="680"/>
      <c r="BW28" s="680"/>
      <c r="BX28" s="680"/>
      <c r="BY28" s="680"/>
      <c r="BZ28" s="680"/>
      <c r="CA28" s="680"/>
      <c r="CB28" s="680"/>
      <c r="CC28" s="683"/>
      <c r="CD28" s="683"/>
      <c r="CE28" s="683"/>
      <c r="CF28" s="683"/>
      <c r="CG28" s="683"/>
      <c r="CH28" s="683"/>
      <c r="CI28" s="683"/>
      <c r="CJ28" s="683"/>
      <c r="CK28" s="683"/>
      <c r="CL28" s="683"/>
      <c r="CM28" s="683"/>
      <c r="CN28" s="683"/>
      <c r="CO28" s="683"/>
      <c r="CP28" s="680"/>
      <c r="CQ28" s="680"/>
      <c r="CR28" s="680"/>
      <c r="CS28" s="680"/>
      <c r="CT28" s="680"/>
      <c r="CU28" s="680"/>
      <c r="CV28" s="680"/>
      <c r="CW28" s="680"/>
      <c r="CX28" s="680"/>
      <c r="CY28" s="681"/>
      <c r="CZ28" s="681"/>
      <c r="DA28" s="681"/>
      <c r="DB28" s="681"/>
      <c r="DC28" s="682"/>
      <c r="DD28" s="682"/>
      <c r="DE28" s="682"/>
      <c r="DF28" s="682"/>
      <c r="DG28" s="682"/>
      <c r="DH28" s="682"/>
      <c r="DI28" s="682"/>
      <c r="DJ28" s="682"/>
      <c r="DK28" s="682"/>
      <c r="DL28" s="682"/>
      <c r="DM28" s="682"/>
      <c r="DN28" s="682"/>
      <c r="DO28" s="682"/>
      <c r="DP28" s="681"/>
      <c r="DQ28" s="681"/>
      <c r="DR28" s="681"/>
      <c r="DS28" s="681"/>
      <c r="DT28" s="681"/>
      <c r="DU28" s="681"/>
      <c r="DV28" s="681"/>
      <c r="DW28" s="681"/>
      <c r="DX28" s="681"/>
      <c r="DY28" s="681"/>
      <c r="DZ28" s="681"/>
      <c r="EA28" s="681"/>
      <c r="EB28" s="681"/>
      <c r="EC28" s="260" t="str">
        <f t="shared" si="91"/>
        <v xml:space="preserve"> </v>
      </c>
      <c r="ED28" s="260" t="str">
        <f t="shared" si="92"/>
        <v xml:space="preserve"> </v>
      </c>
      <c r="EE28" s="260" t="str">
        <f t="shared" si="93"/>
        <v xml:space="preserve"> </v>
      </c>
      <c r="EF28" s="260" t="str">
        <f t="shared" si="94"/>
        <v xml:space="preserve"> </v>
      </c>
      <c r="EG28" s="260" t="str">
        <f t="shared" si="95"/>
        <v xml:space="preserve"> </v>
      </c>
      <c r="EH28" s="260" t="str">
        <f t="shared" si="96"/>
        <v xml:space="preserve"> </v>
      </c>
      <c r="EI28" s="260" t="str">
        <f t="shared" si="97"/>
        <v xml:space="preserve"> </v>
      </c>
      <c r="EJ28" s="260" t="str">
        <f t="shared" si="98"/>
        <v xml:space="preserve"> </v>
      </c>
      <c r="EK28" s="260" t="str">
        <f t="shared" si="99"/>
        <v xml:space="preserve"> </v>
      </c>
      <c r="EL28" s="260" t="str">
        <f t="shared" si="100"/>
        <v xml:space="preserve"> </v>
      </c>
      <c r="EM28" s="260" t="str">
        <f t="shared" si="101"/>
        <v xml:space="preserve"> </v>
      </c>
      <c r="EN28" s="260" t="str">
        <f t="shared" si="102"/>
        <v xml:space="preserve"> </v>
      </c>
      <c r="EO28" s="260" t="str">
        <f t="shared" si="103"/>
        <v xml:space="preserve"> </v>
      </c>
      <c r="EP28" s="547"/>
      <c r="EQ28" s="547"/>
      <c r="ER28" s="547"/>
      <c r="ES28" s="547"/>
      <c r="ET28" s="547"/>
      <c r="EU28" s="547"/>
      <c r="EV28" s="547"/>
      <c r="EW28" s="547"/>
      <c r="EX28" s="547"/>
      <c r="EY28" s="547"/>
      <c r="EZ28" s="547"/>
      <c r="FA28" s="547"/>
      <c r="FB28" s="547"/>
      <c r="FC28" s="560"/>
      <c r="FD28" s="560"/>
      <c r="FE28" s="560"/>
      <c r="FF28" s="560"/>
      <c r="FG28" s="560"/>
      <c r="FH28" s="560"/>
      <c r="FI28" s="560"/>
      <c r="FJ28" s="560"/>
      <c r="FK28" s="560"/>
      <c r="FL28" s="560"/>
      <c r="FM28" s="560"/>
      <c r="FN28" s="560"/>
      <c r="FO28" s="560"/>
      <c r="FP28" s="549" t="str">
        <f t="shared" si="104"/>
        <v xml:space="preserve"> </v>
      </c>
      <c r="FQ28" s="291" t="str">
        <f t="shared" si="105"/>
        <v xml:space="preserve">  </v>
      </c>
      <c r="FR28" s="50" t="str">
        <f t="shared" si="106"/>
        <v xml:space="preserve"> </v>
      </c>
      <c r="FS28" s="282"/>
      <c r="FT28" s="51"/>
      <c r="FU28" s="46" t="str">
        <f t="shared" si="107"/>
        <v xml:space="preserve"> </v>
      </c>
      <c r="FV28" s="46" t="str">
        <f t="shared" si="108"/>
        <v xml:space="preserve"> </v>
      </c>
      <c r="FW28" s="46" t="str">
        <f t="shared" si="109"/>
        <v xml:space="preserve"> </v>
      </c>
      <c r="FX28" s="46" t="str">
        <f t="shared" si="110"/>
        <v xml:space="preserve"> </v>
      </c>
      <c r="FY28" s="46" t="str">
        <f t="shared" si="111"/>
        <v xml:space="preserve"> </v>
      </c>
      <c r="FZ28" s="46" t="str">
        <f t="shared" si="112"/>
        <v xml:space="preserve"> </v>
      </c>
      <c r="GA28" s="46" t="str">
        <f t="shared" si="113"/>
        <v xml:space="preserve"> </v>
      </c>
      <c r="GB28" s="46" t="str">
        <f t="shared" si="114"/>
        <v xml:space="preserve"> </v>
      </c>
      <c r="GC28" s="46" t="str">
        <f t="shared" si="115"/>
        <v xml:space="preserve"> </v>
      </c>
      <c r="GD28" s="46" t="str">
        <f t="shared" si="116"/>
        <v xml:space="preserve"> </v>
      </c>
      <c r="GE28" s="46" t="str">
        <f t="shared" si="117"/>
        <v xml:space="preserve"> </v>
      </c>
      <c r="GF28" s="46" t="str">
        <f t="shared" si="118"/>
        <v xml:space="preserve"> </v>
      </c>
      <c r="GG28" s="46" t="str">
        <f t="shared" si="119"/>
        <v xml:space="preserve"> </v>
      </c>
      <c r="GH28" s="46"/>
      <c r="GI28" s="53" t="str">
        <f t="shared" si="120"/>
        <v xml:space="preserve">  </v>
      </c>
      <c r="GJ28" s="53" t="str">
        <f t="shared" si="121"/>
        <v xml:space="preserve">  </v>
      </c>
      <c r="GK28" s="53" t="str">
        <f t="shared" si="122"/>
        <v xml:space="preserve">  </v>
      </c>
      <c r="GL28" s="53" t="str">
        <f t="shared" si="123"/>
        <v xml:space="preserve">  </v>
      </c>
      <c r="GM28" s="53" t="str">
        <f t="shared" si="124"/>
        <v xml:space="preserve">  </v>
      </c>
      <c r="GN28" s="53" t="str">
        <f t="shared" si="125"/>
        <v xml:space="preserve">  </v>
      </c>
      <c r="GO28" s="53" t="str">
        <f t="shared" si="126"/>
        <v xml:space="preserve">  </v>
      </c>
      <c r="GP28" s="53" t="str">
        <f t="shared" si="127"/>
        <v xml:space="preserve">  </v>
      </c>
      <c r="GQ28" s="53" t="str">
        <f t="shared" si="128"/>
        <v xml:space="preserve">  </v>
      </c>
      <c r="GR28" s="53" t="str">
        <f t="shared" si="129"/>
        <v xml:space="preserve">  </v>
      </c>
      <c r="GS28" s="53" t="str">
        <f t="shared" si="130"/>
        <v xml:space="preserve">  </v>
      </c>
      <c r="GT28" s="53" t="str">
        <f t="shared" si="131"/>
        <v xml:space="preserve">  </v>
      </c>
      <c r="GU28" s="53" t="str">
        <f t="shared" si="132"/>
        <v xml:space="preserve">  </v>
      </c>
      <c r="GV28" s="54" t="str">
        <f t="shared" si="133"/>
        <v xml:space="preserve"> </v>
      </c>
      <c r="GW28" s="51"/>
      <c r="GX28" s="351">
        <f t="shared" si="134"/>
        <v>0</v>
      </c>
      <c r="GY28" s="351">
        <f t="shared" si="135"/>
        <v>0</v>
      </c>
      <c r="GZ28" s="51">
        <f>SISWA!E26</f>
        <v>0</v>
      </c>
      <c r="HA28" s="51" t="str">
        <f t="shared" si="136"/>
        <v/>
      </c>
      <c r="HB28" s="56" t="str">
        <f t="shared" si="137"/>
        <v/>
      </c>
      <c r="HC28" s="56" t="str">
        <f t="shared" si="138"/>
        <v/>
      </c>
      <c r="HD28" s="56" t="str">
        <f t="shared" si="139"/>
        <v/>
      </c>
      <c r="HE28" s="56" t="str">
        <f t="shared" si="140"/>
        <v/>
      </c>
      <c r="HF28" s="56" t="str">
        <f t="shared" si="141"/>
        <v/>
      </c>
      <c r="HG28" s="56" t="str">
        <f t="shared" si="142"/>
        <v/>
      </c>
      <c r="HH28" s="56" t="str">
        <f t="shared" si="143"/>
        <v/>
      </c>
      <c r="HI28" s="56" t="str">
        <f t="shared" si="144"/>
        <v/>
      </c>
      <c r="HJ28" s="56" t="str">
        <f t="shared" si="145"/>
        <v/>
      </c>
      <c r="HK28" s="56" t="str">
        <f t="shared" si="146"/>
        <v/>
      </c>
      <c r="HL28" s="56" t="str">
        <f t="shared" si="147"/>
        <v/>
      </c>
      <c r="HM28" s="56" t="str">
        <f t="shared" si="148"/>
        <v/>
      </c>
      <c r="HN28" s="56" t="str">
        <f t="shared" si="149"/>
        <v/>
      </c>
      <c r="HO28" s="58">
        <f t="shared" si="150"/>
        <v>0</v>
      </c>
      <c r="HP28" s="55" t="e">
        <f t="shared" si="151"/>
        <v>#N/A</v>
      </c>
      <c r="HQ28" s="58"/>
      <c r="HR28" s="59" t="e">
        <f>IF(GX28&gt;100,"",IF(GX28&gt;FQ$1,"sangat baik dalam "&amp;HP28,IF(GX28&gt;=FQ$2," baik dalam "&amp;HP28,IF(GX28&gt;=FQ$3,"cukup dalam "&amp;HP28,IF(GX28&lt;FQ$3,"dengan bimbingan dapat meningkatkan dalam "&amp;HP28,IF(GX28&lt;1," ",””))))))</f>
        <v>#N/A</v>
      </c>
      <c r="HS28" s="58"/>
      <c r="HT28" s="57" t="str">
        <f t="shared" si="152"/>
        <v/>
      </c>
      <c r="HU28" s="57" t="str">
        <f t="shared" si="153"/>
        <v/>
      </c>
      <c r="HV28" s="57" t="str">
        <f t="shared" si="154"/>
        <v/>
      </c>
      <c r="HW28" s="57" t="str">
        <f t="shared" si="155"/>
        <v/>
      </c>
      <c r="HX28" s="57" t="str">
        <f t="shared" si="156"/>
        <v/>
      </c>
      <c r="HY28" s="57" t="str">
        <f t="shared" si="157"/>
        <v/>
      </c>
      <c r="HZ28" s="57" t="str">
        <f t="shared" si="158"/>
        <v/>
      </c>
      <c r="IA28" s="57" t="str">
        <f t="shared" si="159"/>
        <v/>
      </c>
      <c r="IB28" s="57" t="str">
        <f t="shared" si="160"/>
        <v/>
      </c>
      <c r="IC28" s="57" t="str">
        <f t="shared" si="161"/>
        <v/>
      </c>
      <c r="ID28" s="57" t="str">
        <f t="shared" si="162"/>
        <v/>
      </c>
      <c r="IE28" s="57" t="str">
        <f t="shared" si="163"/>
        <v/>
      </c>
      <c r="IF28" s="57" t="str">
        <f t="shared" si="164"/>
        <v/>
      </c>
      <c r="IG28" s="57"/>
      <c r="IH28" s="55" t="e">
        <f t="shared" si="165"/>
        <v>#N/A</v>
      </c>
      <c r="II28" s="59" t="e">
        <f>IF(GY28&gt;100,"",IF(GY28&gt;FQ$1,"sangat baik dalam "&amp;IH28,IF(GY28&gt;=FQ$2," baik dalam "&amp;IH28,IF(GY28&gt;=FQ$3,"cukup dalam "&amp;IH28,IF(GY28&lt;FQ$3,"dengan bimbingan dapat meningkatkan dalam "&amp;IH28,IF(GY28&lt;1," ",””))))))</f>
        <v>#N/A</v>
      </c>
      <c r="IJ28" s="60"/>
      <c r="IK28" s="61" t="s">
        <v>201</v>
      </c>
      <c r="IL28" s="62" t="e">
        <f t="shared" si="166"/>
        <v>#N/A</v>
      </c>
    </row>
    <row r="29" spans="1:247">
      <c r="A29" s="39">
        <v>22</v>
      </c>
      <c r="B29" s="283">
        <f>SISWA!B27</f>
        <v>0</v>
      </c>
      <c r="C29" s="123"/>
      <c r="D29" s="123"/>
      <c r="E29" s="123"/>
      <c r="F29" s="123"/>
      <c r="G29" s="123"/>
      <c r="H29" s="123"/>
      <c r="I29" s="123"/>
      <c r="J29" s="123"/>
      <c r="K29" s="123"/>
      <c r="L29" s="123"/>
      <c r="M29" s="123"/>
      <c r="N29" s="123"/>
      <c r="O29" s="123"/>
      <c r="P29" s="256"/>
      <c r="Q29" s="256"/>
      <c r="R29" s="256"/>
      <c r="S29" s="256"/>
      <c r="T29" s="256"/>
      <c r="U29" s="256"/>
      <c r="V29" s="256"/>
      <c r="W29" s="256"/>
      <c r="X29" s="256"/>
      <c r="Y29" s="256"/>
      <c r="Z29" s="256"/>
      <c r="AA29" s="256"/>
      <c r="AB29" s="256"/>
      <c r="AC29" s="683"/>
      <c r="AD29" s="683"/>
      <c r="AE29" s="683"/>
      <c r="AF29" s="683"/>
      <c r="AG29" s="683"/>
      <c r="AH29" s="683"/>
      <c r="AI29" s="683"/>
      <c r="AJ29" s="683"/>
      <c r="AK29" s="683"/>
      <c r="AL29" s="683"/>
      <c r="AM29" s="683"/>
      <c r="AN29" s="683"/>
      <c r="AO29" s="683"/>
      <c r="AP29" s="680"/>
      <c r="AQ29" s="680"/>
      <c r="AR29" s="680"/>
      <c r="AS29" s="680"/>
      <c r="AT29" s="680"/>
      <c r="AU29" s="680"/>
      <c r="AV29" s="680"/>
      <c r="AW29" s="680"/>
      <c r="AX29" s="680"/>
      <c r="AY29" s="680"/>
      <c r="AZ29" s="680"/>
      <c r="BA29" s="680"/>
      <c r="BB29" s="680"/>
      <c r="BC29" s="683"/>
      <c r="BD29" s="683"/>
      <c r="BE29" s="683"/>
      <c r="BF29" s="683"/>
      <c r="BG29" s="683"/>
      <c r="BH29" s="683"/>
      <c r="BI29" s="683"/>
      <c r="BJ29" s="683"/>
      <c r="BK29" s="683"/>
      <c r="BL29" s="683"/>
      <c r="BM29" s="683"/>
      <c r="BN29" s="683"/>
      <c r="BO29" s="683"/>
      <c r="BP29" s="680"/>
      <c r="BQ29" s="680"/>
      <c r="BR29" s="680"/>
      <c r="BS29" s="680"/>
      <c r="BT29" s="680"/>
      <c r="BU29" s="680"/>
      <c r="BV29" s="680"/>
      <c r="BW29" s="680"/>
      <c r="BX29" s="680"/>
      <c r="BY29" s="680"/>
      <c r="BZ29" s="680"/>
      <c r="CA29" s="680"/>
      <c r="CB29" s="680"/>
      <c r="CC29" s="683"/>
      <c r="CD29" s="683"/>
      <c r="CE29" s="683"/>
      <c r="CF29" s="683"/>
      <c r="CG29" s="683"/>
      <c r="CH29" s="683"/>
      <c r="CI29" s="683"/>
      <c r="CJ29" s="683"/>
      <c r="CK29" s="683"/>
      <c r="CL29" s="683"/>
      <c r="CM29" s="683"/>
      <c r="CN29" s="683"/>
      <c r="CO29" s="683"/>
      <c r="CP29" s="680"/>
      <c r="CQ29" s="680"/>
      <c r="CR29" s="680"/>
      <c r="CS29" s="680"/>
      <c r="CT29" s="680"/>
      <c r="CU29" s="680"/>
      <c r="CV29" s="680"/>
      <c r="CW29" s="680"/>
      <c r="CX29" s="680"/>
      <c r="CY29" s="681"/>
      <c r="CZ29" s="681"/>
      <c r="DA29" s="681"/>
      <c r="DB29" s="681"/>
      <c r="DC29" s="682"/>
      <c r="DD29" s="682"/>
      <c r="DE29" s="682"/>
      <c r="DF29" s="682"/>
      <c r="DG29" s="682"/>
      <c r="DH29" s="682"/>
      <c r="DI29" s="682"/>
      <c r="DJ29" s="682"/>
      <c r="DK29" s="682"/>
      <c r="DL29" s="682"/>
      <c r="DM29" s="682"/>
      <c r="DN29" s="682"/>
      <c r="DO29" s="682"/>
      <c r="DP29" s="681"/>
      <c r="DQ29" s="681"/>
      <c r="DR29" s="681"/>
      <c r="DS29" s="681"/>
      <c r="DT29" s="681"/>
      <c r="DU29" s="681"/>
      <c r="DV29" s="681"/>
      <c r="DW29" s="681"/>
      <c r="DX29" s="681"/>
      <c r="DY29" s="681"/>
      <c r="DZ29" s="681"/>
      <c r="EA29" s="681"/>
      <c r="EB29" s="681"/>
      <c r="EC29" s="260" t="str">
        <f t="shared" si="91"/>
        <v xml:space="preserve"> </v>
      </c>
      <c r="ED29" s="260" t="str">
        <f t="shared" si="92"/>
        <v xml:space="preserve"> </v>
      </c>
      <c r="EE29" s="260" t="str">
        <f t="shared" si="93"/>
        <v xml:space="preserve"> </v>
      </c>
      <c r="EF29" s="260" t="str">
        <f t="shared" si="94"/>
        <v xml:space="preserve"> </v>
      </c>
      <c r="EG29" s="260" t="str">
        <f t="shared" si="95"/>
        <v xml:space="preserve"> </v>
      </c>
      <c r="EH29" s="260" t="str">
        <f t="shared" si="96"/>
        <v xml:space="preserve"> </v>
      </c>
      <c r="EI29" s="260" t="str">
        <f t="shared" si="97"/>
        <v xml:space="preserve"> </v>
      </c>
      <c r="EJ29" s="260" t="str">
        <f t="shared" si="98"/>
        <v xml:space="preserve"> </v>
      </c>
      <c r="EK29" s="260" t="str">
        <f t="shared" si="99"/>
        <v xml:space="preserve"> </v>
      </c>
      <c r="EL29" s="260" t="str">
        <f t="shared" si="100"/>
        <v xml:space="preserve"> </v>
      </c>
      <c r="EM29" s="260" t="str">
        <f t="shared" si="101"/>
        <v xml:space="preserve"> </v>
      </c>
      <c r="EN29" s="260" t="str">
        <f t="shared" si="102"/>
        <v xml:space="preserve"> </v>
      </c>
      <c r="EO29" s="260" t="str">
        <f t="shared" si="103"/>
        <v xml:space="preserve"> </v>
      </c>
      <c r="EP29" s="547"/>
      <c r="EQ29" s="547"/>
      <c r="ER29" s="547"/>
      <c r="ES29" s="547"/>
      <c r="ET29" s="547"/>
      <c r="EU29" s="547"/>
      <c r="EV29" s="547"/>
      <c r="EW29" s="547"/>
      <c r="EX29" s="547"/>
      <c r="EY29" s="547"/>
      <c r="EZ29" s="547"/>
      <c r="FA29" s="547"/>
      <c r="FB29" s="547"/>
      <c r="FC29" s="560"/>
      <c r="FD29" s="560"/>
      <c r="FE29" s="560"/>
      <c r="FF29" s="560"/>
      <c r="FG29" s="560"/>
      <c r="FH29" s="560"/>
      <c r="FI29" s="560"/>
      <c r="FJ29" s="560"/>
      <c r="FK29" s="560"/>
      <c r="FL29" s="560"/>
      <c r="FM29" s="560"/>
      <c r="FN29" s="560"/>
      <c r="FO29" s="560"/>
      <c r="FP29" s="549" t="str">
        <f t="shared" si="104"/>
        <v xml:space="preserve"> </v>
      </c>
      <c r="FQ29" s="291" t="str">
        <f t="shared" si="105"/>
        <v xml:space="preserve">  </v>
      </c>
      <c r="FR29" s="50" t="str">
        <f t="shared" si="106"/>
        <v xml:space="preserve"> </v>
      </c>
      <c r="FS29" s="282"/>
      <c r="FT29" s="51"/>
      <c r="FU29" s="46" t="str">
        <f t="shared" si="107"/>
        <v xml:space="preserve"> </v>
      </c>
      <c r="FV29" s="46" t="str">
        <f t="shared" si="108"/>
        <v xml:space="preserve"> </v>
      </c>
      <c r="FW29" s="46" t="str">
        <f t="shared" si="109"/>
        <v xml:space="preserve"> </v>
      </c>
      <c r="FX29" s="46" t="str">
        <f t="shared" si="110"/>
        <v xml:space="preserve"> </v>
      </c>
      <c r="FY29" s="46" t="str">
        <f t="shared" si="111"/>
        <v xml:space="preserve"> </v>
      </c>
      <c r="FZ29" s="46" t="str">
        <f t="shared" si="112"/>
        <v xml:space="preserve"> </v>
      </c>
      <c r="GA29" s="46" t="str">
        <f t="shared" si="113"/>
        <v xml:space="preserve"> </v>
      </c>
      <c r="GB29" s="46" t="str">
        <f t="shared" si="114"/>
        <v xml:space="preserve"> </v>
      </c>
      <c r="GC29" s="46" t="str">
        <f t="shared" si="115"/>
        <v xml:space="preserve"> </v>
      </c>
      <c r="GD29" s="46" t="str">
        <f t="shared" si="116"/>
        <v xml:space="preserve"> </v>
      </c>
      <c r="GE29" s="46" t="str">
        <f t="shared" si="117"/>
        <v xml:space="preserve"> </v>
      </c>
      <c r="GF29" s="46" t="str">
        <f t="shared" si="118"/>
        <v xml:space="preserve"> </v>
      </c>
      <c r="GG29" s="46" t="str">
        <f t="shared" si="119"/>
        <v xml:space="preserve"> </v>
      </c>
      <c r="GH29" s="46"/>
      <c r="GI29" s="53" t="str">
        <f t="shared" si="120"/>
        <v xml:space="preserve">  </v>
      </c>
      <c r="GJ29" s="53" t="str">
        <f t="shared" si="121"/>
        <v xml:space="preserve">  </v>
      </c>
      <c r="GK29" s="53" t="str">
        <f t="shared" si="122"/>
        <v xml:space="preserve">  </v>
      </c>
      <c r="GL29" s="53" t="str">
        <f t="shared" si="123"/>
        <v xml:space="preserve">  </v>
      </c>
      <c r="GM29" s="53" t="str">
        <f t="shared" si="124"/>
        <v xml:space="preserve">  </v>
      </c>
      <c r="GN29" s="53" t="str">
        <f t="shared" si="125"/>
        <v xml:space="preserve">  </v>
      </c>
      <c r="GO29" s="53" t="str">
        <f t="shared" si="126"/>
        <v xml:space="preserve">  </v>
      </c>
      <c r="GP29" s="53" t="str">
        <f t="shared" si="127"/>
        <v xml:space="preserve">  </v>
      </c>
      <c r="GQ29" s="53" t="str">
        <f t="shared" si="128"/>
        <v xml:space="preserve">  </v>
      </c>
      <c r="GR29" s="53" t="str">
        <f t="shared" si="129"/>
        <v xml:space="preserve">  </v>
      </c>
      <c r="GS29" s="53" t="str">
        <f t="shared" si="130"/>
        <v xml:space="preserve">  </v>
      </c>
      <c r="GT29" s="53" t="str">
        <f t="shared" si="131"/>
        <v xml:space="preserve">  </v>
      </c>
      <c r="GU29" s="53" t="str">
        <f t="shared" si="132"/>
        <v xml:space="preserve">  </v>
      </c>
      <c r="GV29" s="54" t="str">
        <f t="shared" si="133"/>
        <v xml:space="preserve"> </v>
      </c>
      <c r="GW29" s="51"/>
      <c r="GX29" s="351">
        <f t="shared" si="134"/>
        <v>0</v>
      </c>
      <c r="GY29" s="351">
        <f t="shared" si="135"/>
        <v>0</v>
      </c>
      <c r="GZ29" s="51">
        <f>SISWA!E27</f>
        <v>0</v>
      </c>
      <c r="HA29" s="51" t="str">
        <f t="shared" si="136"/>
        <v/>
      </c>
      <c r="HB29" s="56" t="str">
        <f t="shared" si="137"/>
        <v/>
      </c>
      <c r="HC29" s="56" t="str">
        <f t="shared" si="138"/>
        <v/>
      </c>
      <c r="HD29" s="56" t="str">
        <f t="shared" si="139"/>
        <v/>
      </c>
      <c r="HE29" s="56" t="str">
        <f t="shared" si="140"/>
        <v/>
      </c>
      <c r="HF29" s="56" t="str">
        <f t="shared" si="141"/>
        <v/>
      </c>
      <c r="HG29" s="56" t="str">
        <f t="shared" si="142"/>
        <v/>
      </c>
      <c r="HH29" s="56" t="str">
        <f t="shared" si="143"/>
        <v/>
      </c>
      <c r="HI29" s="56" t="str">
        <f t="shared" si="144"/>
        <v/>
      </c>
      <c r="HJ29" s="56" t="str">
        <f t="shared" si="145"/>
        <v/>
      </c>
      <c r="HK29" s="56" t="str">
        <f t="shared" si="146"/>
        <v/>
      </c>
      <c r="HL29" s="56" t="str">
        <f t="shared" si="147"/>
        <v/>
      </c>
      <c r="HM29" s="56" t="str">
        <f t="shared" si="148"/>
        <v/>
      </c>
      <c r="HN29" s="56" t="str">
        <f t="shared" si="149"/>
        <v/>
      </c>
      <c r="HO29" s="58">
        <f t="shared" si="150"/>
        <v>0</v>
      </c>
      <c r="HP29" s="55" t="e">
        <f t="shared" si="151"/>
        <v>#N/A</v>
      </c>
      <c r="HQ29" s="58"/>
      <c r="HR29" s="59" t="e">
        <f>IF(GX29&gt;100,"",IF(GX29&gt;FQ$1,"sangat baik dalam "&amp;HP29,IF(GX29&gt;=FQ$2," baik dalam "&amp;HP29,IF(GX29&gt;=FQ$3,"cukup dalam "&amp;HP29,IF(GX29&lt;FQ$3,"dengan bimbingan dapat meningkatkan dalam "&amp;HP29,IF(GX29&lt;1," ",””))))))</f>
        <v>#N/A</v>
      </c>
      <c r="HS29" s="58"/>
      <c r="HT29" s="57" t="str">
        <f t="shared" si="152"/>
        <v/>
      </c>
      <c r="HU29" s="57" t="str">
        <f t="shared" si="153"/>
        <v/>
      </c>
      <c r="HV29" s="57" t="str">
        <f t="shared" si="154"/>
        <v/>
      </c>
      <c r="HW29" s="57" t="str">
        <f t="shared" si="155"/>
        <v/>
      </c>
      <c r="HX29" s="57" t="str">
        <f t="shared" si="156"/>
        <v/>
      </c>
      <c r="HY29" s="57" t="str">
        <f t="shared" si="157"/>
        <v/>
      </c>
      <c r="HZ29" s="57" t="str">
        <f t="shared" si="158"/>
        <v/>
      </c>
      <c r="IA29" s="57" t="str">
        <f t="shared" si="159"/>
        <v/>
      </c>
      <c r="IB29" s="57" t="str">
        <f t="shared" si="160"/>
        <v/>
      </c>
      <c r="IC29" s="57" t="str">
        <f t="shared" si="161"/>
        <v/>
      </c>
      <c r="ID29" s="57" t="str">
        <f t="shared" si="162"/>
        <v/>
      </c>
      <c r="IE29" s="57" t="str">
        <f t="shared" si="163"/>
        <v/>
      </c>
      <c r="IF29" s="57" t="str">
        <f t="shared" si="164"/>
        <v/>
      </c>
      <c r="IG29" s="57"/>
      <c r="IH29" s="55" t="e">
        <f t="shared" si="165"/>
        <v>#N/A</v>
      </c>
      <c r="II29" s="59" t="e">
        <f>IF(GY29&gt;100,"",IF(GY29&gt;FQ$1,"sangat baik dalam "&amp;IH29,IF(GY29&gt;=FQ$2," baik dalam "&amp;IH29,IF(GY29&gt;=FQ$3,"cukup dalam "&amp;IH29,IF(GY29&lt;FQ$3,"dengan bimbingan dapat meningkatkan dalam "&amp;IH29,IF(GY29&lt;1," ",””))))))</f>
        <v>#N/A</v>
      </c>
      <c r="IJ29" s="60"/>
      <c r="IK29" s="61" t="s">
        <v>201</v>
      </c>
      <c r="IL29" s="62" t="e">
        <f t="shared" si="166"/>
        <v>#N/A</v>
      </c>
    </row>
    <row r="30" spans="1:247">
      <c r="A30" s="39">
        <v>23</v>
      </c>
      <c r="B30" s="283">
        <f>SISWA!B28</f>
        <v>0</v>
      </c>
      <c r="C30" s="123"/>
      <c r="D30" s="123"/>
      <c r="E30" s="123"/>
      <c r="F30" s="123"/>
      <c r="G30" s="123"/>
      <c r="H30" s="123"/>
      <c r="I30" s="123"/>
      <c r="J30" s="123"/>
      <c r="K30" s="123"/>
      <c r="L30" s="123"/>
      <c r="M30" s="123"/>
      <c r="N30" s="123"/>
      <c r="O30" s="123"/>
      <c r="P30" s="256"/>
      <c r="Q30" s="256"/>
      <c r="R30" s="256"/>
      <c r="S30" s="256"/>
      <c r="T30" s="256"/>
      <c r="U30" s="256"/>
      <c r="V30" s="256"/>
      <c r="W30" s="256"/>
      <c r="X30" s="256"/>
      <c r="Y30" s="256"/>
      <c r="Z30" s="256"/>
      <c r="AA30" s="256"/>
      <c r="AB30" s="256"/>
      <c r="AC30" s="683"/>
      <c r="AD30" s="683"/>
      <c r="AE30" s="683"/>
      <c r="AF30" s="683"/>
      <c r="AG30" s="683"/>
      <c r="AH30" s="683"/>
      <c r="AI30" s="683"/>
      <c r="AJ30" s="683"/>
      <c r="AK30" s="683"/>
      <c r="AL30" s="683"/>
      <c r="AM30" s="683"/>
      <c r="AN30" s="683"/>
      <c r="AO30" s="683"/>
      <c r="AP30" s="680"/>
      <c r="AQ30" s="680"/>
      <c r="AR30" s="680"/>
      <c r="AS30" s="680"/>
      <c r="AT30" s="680"/>
      <c r="AU30" s="680"/>
      <c r="AV30" s="680"/>
      <c r="AW30" s="680"/>
      <c r="AX30" s="680"/>
      <c r="AY30" s="680"/>
      <c r="AZ30" s="680"/>
      <c r="BA30" s="680"/>
      <c r="BB30" s="680"/>
      <c r="BC30" s="683"/>
      <c r="BD30" s="683"/>
      <c r="BE30" s="683"/>
      <c r="BF30" s="683"/>
      <c r="BG30" s="683"/>
      <c r="BH30" s="683"/>
      <c r="BI30" s="683"/>
      <c r="BJ30" s="683"/>
      <c r="BK30" s="683"/>
      <c r="BL30" s="683"/>
      <c r="BM30" s="683"/>
      <c r="BN30" s="683"/>
      <c r="BO30" s="683"/>
      <c r="BP30" s="680"/>
      <c r="BQ30" s="680"/>
      <c r="BR30" s="680"/>
      <c r="BS30" s="680"/>
      <c r="BT30" s="680"/>
      <c r="BU30" s="680"/>
      <c r="BV30" s="680"/>
      <c r="BW30" s="680"/>
      <c r="BX30" s="680"/>
      <c r="BY30" s="680"/>
      <c r="BZ30" s="680"/>
      <c r="CA30" s="680"/>
      <c r="CB30" s="680"/>
      <c r="CC30" s="683"/>
      <c r="CD30" s="683"/>
      <c r="CE30" s="683"/>
      <c r="CF30" s="683"/>
      <c r="CG30" s="683"/>
      <c r="CH30" s="683"/>
      <c r="CI30" s="683"/>
      <c r="CJ30" s="683"/>
      <c r="CK30" s="683"/>
      <c r="CL30" s="683"/>
      <c r="CM30" s="683"/>
      <c r="CN30" s="683"/>
      <c r="CO30" s="683"/>
      <c r="CP30" s="680"/>
      <c r="CQ30" s="680"/>
      <c r="CR30" s="680"/>
      <c r="CS30" s="680"/>
      <c r="CT30" s="680"/>
      <c r="CU30" s="680"/>
      <c r="CV30" s="680"/>
      <c r="CW30" s="680"/>
      <c r="CX30" s="680"/>
      <c r="CY30" s="681"/>
      <c r="CZ30" s="681"/>
      <c r="DA30" s="681"/>
      <c r="DB30" s="681"/>
      <c r="DC30" s="682"/>
      <c r="DD30" s="682"/>
      <c r="DE30" s="682"/>
      <c r="DF30" s="682"/>
      <c r="DG30" s="682"/>
      <c r="DH30" s="682"/>
      <c r="DI30" s="682"/>
      <c r="DJ30" s="682"/>
      <c r="DK30" s="682"/>
      <c r="DL30" s="682"/>
      <c r="DM30" s="682"/>
      <c r="DN30" s="682"/>
      <c r="DO30" s="682"/>
      <c r="DP30" s="681"/>
      <c r="DQ30" s="681"/>
      <c r="DR30" s="681"/>
      <c r="DS30" s="681"/>
      <c r="DT30" s="681"/>
      <c r="DU30" s="681"/>
      <c r="DV30" s="681"/>
      <c r="DW30" s="681"/>
      <c r="DX30" s="681"/>
      <c r="DY30" s="681"/>
      <c r="DZ30" s="681"/>
      <c r="EA30" s="681"/>
      <c r="EB30" s="681"/>
      <c r="EC30" s="260" t="str">
        <f t="shared" si="91"/>
        <v xml:space="preserve"> </v>
      </c>
      <c r="ED30" s="260" t="str">
        <f t="shared" si="92"/>
        <v xml:space="preserve"> </v>
      </c>
      <c r="EE30" s="260" t="str">
        <f t="shared" si="93"/>
        <v xml:space="preserve"> </v>
      </c>
      <c r="EF30" s="260" t="str">
        <f t="shared" si="94"/>
        <v xml:space="preserve"> </v>
      </c>
      <c r="EG30" s="260" t="str">
        <f t="shared" si="95"/>
        <v xml:space="preserve"> </v>
      </c>
      <c r="EH30" s="260" t="str">
        <f t="shared" si="96"/>
        <v xml:space="preserve"> </v>
      </c>
      <c r="EI30" s="260" t="str">
        <f t="shared" si="97"/>
        <v xml:space="preserve"> </v>
      </c>
      <c r="EJ30" s="260" t="str">
        <f t="shared" si="98"/>
        <v xml:space="preserve"> </v>
      </c>
      <c r="EK30" s="260" t="str">
        <f t="shared" si="99"/>
        <v xml:space="preserve"> </v>
      </c>
      <c r="EL30" s="260" t="str">
        <f t="shared" si="100"/>
        <v xml:space="preserve"> </v>
      </c>
      <c r="EM30" s="260" t="str">
        <f t="shared" si="101"/>
        <v xml:space="preserve"> </v>
      </c>
      <c r="EN30" s="260" t="str">
        <f t="shared" si="102"/>
        <v xml:space="preserve"> </v>
      </c>
      <c r="EO30" s="260" t="str">
        <f t="shared" si="103"/>
        <v xml:space="preserve"> </v>
      </c>
      <c r="EP30" s="547"/>
      <c r="EQ30" s="547"/>
      <c r="ER30" s="547"/>
      <c r="ES30" s="547"/>
      <c r="ET30" s="547"/>
      <c r="EU30" s="547"/>
      <c r="EV30" s="547"/>
      <c r="EW30" s="547"/>
      <c r="EX30" s="547"/>
      <c r="EY30" s="547"/>
      <c r="EZ30" s="547"/>
      <c r="FA30" s="547"/>
      <c r="FB30" s="547"/>
      <c r="FC30" s="560"/>
      <c r="FD30" s="560"/>
      <c r="FE30" s="560"/>
      <c r="FF30" s="560"/>
      <c r="FG30" s="560"/>
      <c r="FH30" s="560"/>
      <c r="FI30" s="560"/>
      <c r="FJ30" s="560"/>
      <c r="FK30" s="560"/>
      <c r="FL30" s="560"/>
      <c r="FM30" s="560"/>
      <c r="FN30" s="560"/>
      <c r="FO30" s="560"/>
      <c r="FP30" s="549" t="str">
        <f t="shared" si="104"/>
        <v xml:space="preserve"> </v>
      </c>
      <c r="FQ30" s="291" t="str">
        <f t="shared" si="105"/>
        <v xml:space="preserve">  </v>
      </c>
      <c r="FR30" s="50" t="str">
        <f t="shared" si="106"/>
        <v xml:space="preserve"> </v>
      </c>
      <c r="FS30" s="282"/>
      <c r="FT30" s="51"/>
      <c r="FU30" s="46" t="str">
        <f t="shared" si="107"/>
        <v xml:space="preserve"> </v>
      </c>
      <c r="FV30" s="46" t="str">
        <f t="shared" si="108"/>
        <v xml:space="preserve"> </v>
      </c>
      <c r="FW30" s="46" t="str">
        <f t="shared" si="109"/>
        <v xml:space="preserve"> </v>
      </c>
      <c r="FX30" s="46" t="str">
        <f t="shared" si="110"/>
        <v xml:space="preserve"> </v>
      </c>
      <c r="FY30" s="46" t="str">
        <f t="shared" si="111"/>
        <v xml:space="preserve"> </v>
      </c>
      <c r="FZ30" s="46" t="str">
        <f t="shared" si="112"/>
        <v xml:space="preserve"> </v>
      </c>
      <c r="GA30" s="46" t="str">
        <f t="shared" si="113"/>
        <v xml:space="preserve"> </v>
      </c>
      <c r="GB30" s="46" t="str">
        <f t="shared" si="114"/>
        <v xml:space="preserve"> </v>
      </c>
      <c r="GC30" s="46" t="str">
        <f t="shared" si="115"/>
        <v xml:space="preserve"> </v>
      </c>
      <c r="GD30" s="46" t="str">
        <f t="shared" si="116"/>
        <v xml:space="preserve"> </v>
      </c>
      <c r="GE30" s="46" t="str">
        <f t="shared" si="117"/>
        <v xml:space="preserve"> </v>
      </c>
      <c r="GF30" s="46" t="str">
        <f t="shared" si="118"/>
        <v xml:space="preserve"> </v>
      </c>
      <c r="GG30" s="46" t="str">
        <f t="shared" si="119"/>
        <v xml:space="preserve"> </v>
      </c>
      <c r="GH30" s="46"/>
      <c r="GI30" s="53" t="str">
        <f t="shared" si="120"/>
        <v xml:space="preserve">  </v>
      </c>
      <c r="GJ30" s="53" t="str">
        <f t="shared" si="121"/>
        <v xml:space="preserve">  </v>
      </c>
      <c r="GK30" s="53" t="str">
        <f t="shared" si="122"/>
        <v xml:space="preserve">  </v>
      </c>
      <c r="GL30" s="53" t="str">
        <f t="shared" si="123"/>
        <v xml:space="preserve">  </v>
      </c>
      <c r="GM30" s="53" t="str">
        <f t="shared" si="124"/>
        <v xml:space="preserve">  </v>
      </c>
      <c r="GN30" s="53" t="str">
        <f t="shared" si="125"/>
        <v xml:space="preserve">  </v>
      </c>
      <c r="GO30" s="53" t="str">
        <f t="shared" si="126"/>
        <v xml:space="preserve">  </v>
      </c>
      <c r="GP30" s="53" t="str">
        <f t="shared" si="127"/>
        <v xml:space="preserve">  </v>
      </c>
      <c r="GQ30" s="53" t="str">
        <f t="shared" si="128"/>
        <v xml:space="preserve">  </v>
      </c>
      <c r="GR30" s="53" t="str">
        <f t="shared" si="129"/>
        <v xml:space="preserve">  </v>
      </c>
      <c r="GS30" s="53" t="str">
        <f t="shared" si="130"/>
        <v xml:space="preserve">  </v>
      </c>
      <c r="GT30" s="53" t="str">
        <f t="shared" si="131"/>
        <v xml:space="preserve">  </v>
      </c>
      <c r="GU30" s="53" t="str">
        <f t="shared" si="132"/>
        <v xml:space="preserve">  </v>
      </c>
      <c r="GV30" s="54" t="str">
        <f t="shared" si="133"/>
        <v xml:space="preserve"> </v>
      </c>
      <c r="GW30" s="51"/>
      <c r="GX30" s="351">
        <f t="shared" si="134"/>
        <v>0</v>
      </c>
      <c r="GY30" s="351">
        <f t="shared" si="135"/>
        <v>0</v>
      </c>
      <c r="GZ30" s="51">
        <f>SISWA!E28</f>
        <v>0</v>
      </c>
      <c r="HA30" s="51" t="str">
        <f t="shared" si="136"/>
        <v/>
      </c>
      <c r="HB30" s="56" t="str">
        <f t="shared" si="137"/>
        <v/>
      </c>
      <c r="HC30" s="56" t="str">
        <f t="shared" si="138"/>
        <v/>
      </c>
      <c r="HD30" s="56" t="str">
        <f t="shared" si="139"/>
        <v/>
      </c>
      <c r="HE30" s="56" t="str">
        <f t="shared" si="140"/>
        <v/>
      </c>
      <c r="HF30" s="56" t="str">
        <f t="shared" si="141"/>
        <v/>
      </c>
      <c r="HG30" s="56" t="str">
        <f t="shared" si="142"/>
        <v/>
      </c>
      <c r="HH30" s="56" t="str">
        <f t="shared" si="143"/>
        <v/>
      </c>
      <c r="HI30" s="56" t="str">
        <f t="shared" si="144"/>
        <v/>
      </c>
      <c r="HJ30" s="56" t="str">
        <f t="shared" si="145"/>
        <v/>
      </c>
      <c r="HK30" s="56" t="str">
        <f t="shared" si="146"/>
        <v/>
      </c>
      <c r="HL30" s="56" t="str">
        <f t="shared" si="147"/>
        <v/>
      </c>
      <c r="HM30" s="56" t="str">
        <f t="shared" si="148"/>
        <v/>
      </c>
      <c r="HN30" s="56" t="str">
        <f t="shared" si="149"/>
        <v/>
      </c>
      <c r="HO30" s="58">
        <f t="shared" si="150"/>
        <v>0</v>
      </c>
      <c r="HP30" s="55" t="e">
        <f t="shared" si="151"/>
        <v>#N/A</v>
      </c>
      <c r="HQ30" s="58"/>
      <c r="HR30" s="59" t="e">
        <f>IF(GX30&gt;100,"",IF(GX30&gt;FQ$1,"sangat baik dalam "&amp;HP30,IF(GX30&gt;=FQ$2," baik dalam "&amp;HP30,IF(GX30&gt;=FQ$3,"cukup dalam "&amp;HP30,IF(GX30&lt;FQ$3,"dengan bimbingan dapat meningkatkan dalam "&amp;HP30,IF(GX30&lt;1," ",””))))))</f>
        <v>#N/A</v>
      </c>
      <c r="HS30" s="58"/>
      <c r="HT30" s="57" t="str">
        <f t="shared" si="152"/>
        <v/>
      </c>
      <c r="HU30" s="57" t="str">
        <f t="shared" si="153"/>
        <v/>
      </c>
      <c r="HV30" s="57" t="str">
        <f t="shared" si="154"/>
        <v/>
      </c>
      <c r="HW30" s="57" t="str">
        <f t="shared" si="155"/>
        <v/>
      </c>
      <c r="HX30" s="57" t="str">
        <f t="shared" si="156"/>
        <v/>
      </c>
      <c r="HY30" s="57" t="str">
        <f t="shared" si="157"/>
        <v/>
      </c>
      <c r="HZ30" s="57" t="str">
        <f t="shared" si="158"/>
        <v/>
      </c>
      <c r="IA30" s="57" t="str">
        <f t="shared" si="159"/>
        <v/>
      </c>
      <c r="IB30" s="57" t="str">
        <f t="shared" si="160"/>
        <v/>
      </c>
      <c r="IC30" s="57" t="str">
        <f t="shared" si="161"/>
        <v/>
      </c>
      <c r="ID30" s="57" t="str">
        <f t="shared" si="162"/>
        <v/>
      </c>
      <c r="IE30" s="57" t="str">
        <f t="shared" si="163"/>
        <v/>
      </c>
      <c r="IF30" s="57" t="str">
        <f t="shared" si="164"/>
        <v/>
      </c>
      <c r="IG30" s="57"/>
      <c r="IH30" s="55" t="e">
        <f t="shared" si="165"/>
        <v>#N/A</v>
      </c>
      <c r="II30" s="59" t="e">
        <f>IF(GY30&gt;100,"",IF(GY30&gt;FQ$1,"sangat baik dalam "&amp;IH30,IF(GY30&gt;=FQ$2," baik dalam "&amp;IH30,IF(GY30&gt;=FQ$3,"cukup dalam "&amp;IH30,IF(GY30&lt;FQ$3,"dengan bimbingan dapat meningkatkan dalam "&amp;IH30,IF(GY30&lt;1," ",””))))))</f>
        <v>#N/A</v>
      </c>
      <c r="IJ30" s="60"/>
      <c r="IK30" s="61" t="s">
        <v>201</v>
      </c>
      <c r="IL30" s="62" t="e">
        <f t="shared" si="166"/>
        <v>#N/A</v>
      </c>
    </row>
    <row r="31" spans="1:247">
      <c r="A31" s="39">
        <v>24</v>
      </c>
      <c r="B31" s="283">
        <f>SISWA!B29</f>
        <v>0</v>
      </c>
      <c r="C31" s="123"/>
      <c r="D31" s="123"/>
      <c r="E31" s="123"/>
      <c r="F31" s="123"/>
      <c r="G31" s="123"/>
      <c r="H31" s="123"/>
      <c r="I31" s="123"/>
      <c r="J31" s="123"/>
      <c r="K31" s="123"/>
      <c r="L31" s="123"/>
      <c r="M31" s="123"/>
      <c r="N31" s="123"/>
      <c r="O31" s="123"/>
      <c r="P31" s="256"/>
      <c r="Q31" s="256"/>
      <c r="R31" s="256"/>
      <c r="S31" s="256"/>
      <c r="T31" s="256"/>
      <c r="U31" s="256"/>
      <c r="V31" s="256"/>
      <c r="W31" s="256"/>
      <c r="X31" s="256"/>
      <c r="Y31" s="256"/>
      <c r="Z31" s="256"/>
      <c r="AA31" s="256"/>
      <c r="AB31" s="256"/>
      <c r="AC31" s="683"/>
      <c r="AD31" s="683"/>
      <c r="AE31" s="683"/>
      <c r="AF31" s="683"/>
      <c r="AG31" s="683"/>
      <c r="AH31" s="683"/>
      <c r="AI31" s="683"/>
      <c r="AJ31" s="683"/>
      <c r="AK31" s="683"/>
      <c r="AL31" s="683"/>
      <c r="AM31" s="683"/>
      <c r="AN31" s="683"/>
      <c r="AO31" s="683"/>
      <c r="AP31" s="680"/>
      <c r="AQ31" s="680"/>
      <c r="AR31" s="680"/>
      <c r="AS31" s="680"/>
      <c r="AT31" s="680"/>
      <c r="AU31" s="680"/>
      <c r="AV31" s="680"/>
      <c r="AW31" s="680"/>
      <c r="AX31" s="680"/>
      <c r="AY31" s="680"/>
      <c r="AZ31" s="680"/>
      <c r="BA31" s="680"/>
      <c r="BB31" s="680"/>
      <c r="BC31" s="683"/>
      <c r="BD31" s="683"/>
      <c r="BE31" s="683"/>
      <c r="BF31" s="683"/>
      <c r="BG31" s="683"/>
      <c r="BH31" s="683"/>
      <c r="BI31" s="683"/>
      <c r="BJ31" s="683"/>
      <c r="BK31" s="683"/>
      <c r="BL31" s="683"/>
      <c r="BM31" s="683"/>
      <c r="BN31" s="683"/>
      <c r="BO31" s="683"/>
      <c r="BP31" s="680"/>
      <c r="BQ31" s="680"/>
      <c r="BR31" s="680"/>
      <c r="BS31" s="680"/>
      <c r="BT31" s="680"/>
      <c r="BU31" s="680"/>
      <c r="BV31" s="680"/>
      <c r="BW31" s="680"/>
      <c r="BX31" s="680"/>
      <c r="BY31" s="680"/>
      <c r="BZ31" s="680"/>
      <c r="CA31" s="680"/>
      <c r="CB31" s="680"/>
      <c r="CC31" s="683"/>
      <c r="CD31" s="683"/>
      <c r="CE31" s="683"/>
      <c r="CF31" s="683"/>
      <c r="CG31" s="683"/>
      <c r="CH31" s="683"/>
      <c r="CI31" s="683"/>
      <c r="CJ31" s="683"/>
      <c r="CK31" s="683"/>
      <c r="CL31" s="683"/>
      <c r="CM31" s="683"/>
      <c r="CN31" s="683"/>
      <c r="CO31" s="683"/>
      <c r="CP31" s="680"/>
      <c r="CQ31" s="680"/>
      <c r="CR31" s="680"/>
      <c r="CS31" s="680"/>
      <c r="CT31" s="680"/>
      <c r="CU31" s="680"/>
      <c r="CV31" s="680"/>
      <c r="CW31" s="680"/>
      <c r="CX31" s="680"/>
      <c r="CY31" s="681"/>
      <c r="CZ31" s="681"/>
      <c r="DA31" s="681"/>
      <c r="DB31" s="681"/>
      <c r="DC31" s="682"/>
      <c r="DD31" s="682"/>
      <c r="DE31" s="682"/>
      <c r="DF31" s="682"/>
      <c r="DG31" s="682"/>
      <c r="DH31" s="682"/>
      <c r="DI31" s="682"/>
      <c r="DJ31" s="682"/>
      <c r="DK31" s="682"/>
      <c r="DL31" s="682"/>
      <c r="DM31" s="682"/>
      <c r="DN31" s="682"/>
      <c r="DO31" s="682"/>
      <c r="DP31" s="681"/>
      <c r="DQ31" s="681"/>
      <c r="DR31" s="681"/>
      <c r="DS31" s="681"/>
      <c r="DT31" s="681"/>
      <c r="DU31" s="681"/>
      <c r="DV31" s="681"/>
      <c r="DW31" s="681"/>
      <c r="DX31" s="681"/>
      <c r="DY31" s="681"/>
      <c r="DZ31" s="681"/>
      <c r="EA31" s="681"/>
      <c r="EB31" s="681"/>
      <c r="EC31" s="260" t="str">
        <f t="shared" si="91"/>
        <v xml:space="preserve"> </v>
      </c>
      <c r="ED31" s="260" t="str">
        <f t="shared" si="92"/>
        <v xml:space="preserve"> </v>
      </c>
      <c r="EE31" s="260" t="str">
        <f t="shared" si="93"/>
        <v xml:space="preserve"> </v>
      </c>
      <c r="EF31" s="260" t="str">
        <f t="shared" si="94"/>
        <v xml:space="preserve"> </v>
      </c>
      <c r="EG31" s="260" t="str">
        <f t="shared" si="95"/>
        <v xml:space="preserve"> </v>
      </c>
      <c r="EH31" s="260" t="str">
        <f t="shared" si="96"/>
        <v xml:space="preserve"> </v>
      </c>
      <c r="EI31" s="260" t="str">
        <f t="shared" si="97"/>
        <v xml:space="preserve"> </v>
      </c>
      <c r="EJ31" s="260" t="str">
        <f t="shared" si="98"/>
        <v xml:space="preserve"> </v>
      </c>
      <c r="EK31" s="260" t="str">
        <f t="shared" si="99"/>
        <v xml:space="preserve"> </v>
      </c>
      <c r="EL31" s="260" t="str">
        <f t="shared" si="100"/>
        <v xml:space="preserve"> </v>
      </c>
      <c r="EM31" s="260" t="str">
        <f t="shared" si="101"/>
        <v xml:space="preserve"> </v>
      </c>
      <c r="EN31" s="260" t="str">
        <f t="shared" si="102"/>
        <v xml:space="preserve"> </v>
      </c>
      <c r="EO31" s="260" t="str">
        <f t="shared" si="103"/>
        <v xml:space="preserve"> </v>
      </c>
      <c r="EP31" s="547"/>
      <c r="EQ31" s="547"/>
      <c r="ER31" s="547"/>
      <c r="ES31" s="547"/>
      <c r="ET31" s="547"/>
      <c r="EU31" s="547"/>
      <c r="EV31" s="547"/>
      <c r="EW31" s="547"/>
      <c r="EX31" s="547"/>
      <c r="EY31" s="547"/>
      <c r="EZ31" s="547"/>
      <c r="FA31" s="547"/>
      <c r="FB31" s="547"/>
      <c r="FC31" s="560"/>
      <c r="FD31" s="560"/>
      <c r="FE31" s="560"/>
      <c r="FF31" s="560"/>
      <c r="FG31" s="560"/>
      <c r="FH31" s="560"/>
      <c r="FI31" s="560"/>
      <c r="FJ31" s="560"/>
      <c r="FK31" s="560"/>
      <c r="FL31" s="560"/>
      <c r="FM31" s="560"/>
      <c r="FN31" s="560"/>
      <c r="FO31" s="560"/>
      <c r="FP31" s="549" t="str">
        <f t="shared" si="104"/>
        <v xml:space="preserve"> </v>
      </c>
      <c r="FQ31" s="291" t="str">
        <f t="shared" si="105"/>
        <v xml:space="preserve">  </v>
      </c>
      <c r="FR31" s="50" t="str">
        <f t="shared" si="106"/>
        <v xml:space="preserve"> </v>
      </c>
      <c r="FS31" s="282"/>
      <c r="FT31" s="51"/>
      <c r="FU31" s="46" t="str">
        <f t="shared" si="107"/>
        <v xml:space="preserve"> </v>
      </c>
      <c r="FV31" s="46" t="str">
        <f t="shared" si="108"/>
        <v xml:space="preserve"> </v>
      </c>
      <c r="FW31" s="46" t="str">
        <f t="shared" si="109"/>
        <v xml:space="preserve"> </v>
      </c>
      <c r="FX31" s="46" t="str">
        <f t="shared" si="110"/>
        <v xml:space="preserve"> </v>
      </c>
      <c r="FY31" s="46" t="str">
        <f t="shared" si="111"/>
        <v xml:space="preserve"> </v>
      </c>
      <c r="FZ31" s="46" t="str">
        <f t="shared" si="112"/>
        <v xml:space="preserve"> </v>
      </c>
      <c r="GA31" s="46" t="str">
        <f t="shared" si="113"/>
        <v xml:space="preserve"> </v>
      </c>
      <c r="GB31" s="46" t="str">
        <f t="shared" si="114"/>
        <v xml:space="preserve"> </v>
      </c>
      <c r="GC31" s="46" t="str">
        <f t="shared" si="115"/>
        <v xml:space="preserve"> </v>
      </c>
      <c r="GD31" s="46" t="str">
        <f t="shared" si="116"/>
        <v xml:space="preserve"> </v>
      </c>
      <c r="GE31" s="46" t="str">
        <f t="shared" si="117"/>
        <v xml:space="preserve"> </v>
      </c>
      <c r="GF31" s="46" t="str">
        <f t="shared" si="118"/>
        <v xml:space="preserve"> </v>
      </c>
      <c r="GG31" s="46" t="str">
        <f t="shared" si="119"/>
        <v xml:space="preserve"> </v>
      </c>
      <c r="GH31" s="46"/>
      <c r="GI31" s="53" t="str">
        <f t="shared" si="120"/>
        <v xml:space="preserve">  </v>
      </c>
      <c r="GJ31" s="53" t="str">
        <f t="shared" si="121"/>
        <v xml:space="preserve">  </v>
      </c>
      <c r="GK31" s="53" t="str">
        <f t="shared" si="122"/>
        <v xml:space="preserve">  </v>
      </c>
      <c r="GL31" s="53" t="str">
        <f t="shared" si="123"/>
        <v xml:space="preserve">  </v>
      </c>
      <c r="GM31" s="53" t="str">
        <f t="shared" si="124"/>
        <v xml:space="preserve">  </v>
      </c>
      <c r="GN31" s="53" t="str">
        <f t="shared" si="125"/>
        <v xml:space="preserve">  </v>
      </c>
      <c r="GO31" s="53" t="str">
        <f t="shared" si="126"/>
        <v xml:space="preserve">  </v>
      </c>
      <c r="GP31" s="53" t="str">
        <f t="shared" si="127"/>
        <v xml:space="preserve">  </v>
      </c>
      <c r="GQ31" s="53" t="str">
        <f t="shared" si="128"/>
        <v xml:space="preserve">  </v>
      </c>
      <c r="GR31" s="53" t="str">
        <f t="shared" si="129"/>
        <v xml:space="preserve">  </v>
      </c>
      <c r="GS31" s="53" t="str">
        <f t="shared" si="130"/>
        <v xml:space="preserve">  </v>
      </c>
      <c r="GT31" s="53" t="str">
        <f t="shared" si="131"/>
        <v xml:space="preserve">  </v>
      </c>
      <c r="GU31" s="53" t="str">
        <f t="shared" si="132"/>
        <v xml:space="preserve">  </v>
      </c>
      <c r="GV31" s="54" t="str">
        <f t="shared" si="133"/>
        <v xml:space="preserve"> </v>
      </c>
      <c r="GW31" s="51"/>
      <c r="GX31" s="351">
        <f t="shared" si="134"/>
        <v>0</v>
      </c>
      <c r="GY31" s="351">
        <f t="shared" si="135"/>
        <v>0</v>
      </c>
      <c r="GZ31" s="51">
        <f>SISWA!E29</f>
        <v>0</v>
      </c>
      <c r="HA31" s="51" t="str">
        <f t="shared" si="136"/>
        <v/>
      </c>
      <c r="HB31" s="56" t="str">
        <f t="shared" si="137"/>
        <v/>
      </c>
      <c r="HC31" s="56" t="str">
        <f t="shared" si="138"/>
        <v/>
      </c>
      <c r="HD31" s="56" t="str">
        <f t="shared" si="139"/>
        <v/>
      </c>
      <c r="HE31" s="56" t="str">
        <f t="shared" si="140"/>
        <v/>
      </c>
      <c r="HF31" s="56" t="str">
        <f t="shared" si="141"/>
        <v/>
      </c>
      <c r="HG31" s="56" t="str">
        <f t="shared" si="142"/>
        <v/>
      </c>
      <c r="HH31" s="56" t="str">
        <f t="shared" si="143"/>
        <v/>
      </c>
      <c r="HI31" s="56" t="str">
        <f t="shared" si="144"/>
        <v/>
      </c>
      <c r="HJ31" s="56" t="str">
        <f t="shared" si="145"/>
        <v/>
      </c>
      <c r="HK31" s="56" t="str">
        <f t="shared" si="146"/>
        <v/>
      </c>
      <c r="HL31" s="56" t="str">
        <f t="shared" si="147"/>
        <v/>
      </c>
      <c r="HM31" s="56" t="str">
        <f t="shared" si="148"/>
        <v/>
      </c>
      <c r="HN31" s="56" t="str">
        <f t="shared" si="149"/>
        <v/>
      </c>
      <c r="HO31" s="58">
        <f t="shared" si="150"/>
        <v>0</v>
      </c>
      <c r="HP31" s="55" t="e">
        <f t="shared" si="151"/>
        <v>#N/A</v>
      </c>
      <c r="HQ31" s="58"/>
      <c r="HR31" s="59" t="e">
        <f>IF(GX31&gt;100,"",IF(GX31&gt;FQ$1,"sangat baik dalam "&amp;HP31,IF(GX31&gt;=FQ$2," baik dalam "&amp;HP31,IF(GX31&gt;=FQ$3,"cukup dalam "&amp;HP31,IF(GX31&lt;FQ$3,"dengan bimbingan dapat meningkatkan dalam "&amp;HP31,IF(GX31&lt;1," ",””))))))</f>
        <v>#N/A</v>
      </c>
      <c r="HS31" s="58"/>
      <c r="HT31" s="57" t="str">
        <f t="shared" si="152"/>
        <v/>
      </c>
      <c r="HU31" s="57" t="str">
        <f t="shared" si="153"/>
        <v/>
      </c>
      <c r="HV31" s="57" t="str">
        <f t="shared" si="154"/>
        <v/>
      </c>
      <c r="HW31" s="57" t="str">
        <f t="shared" si="155"/>
        <v/>
      </c>
      <c r="HX31" s="57" t="str">
        <f t="shared" si="156"/>
        <v/>
      </c>
      <c r="HY31" s="57" t="str">
        <f t="shared" si="157"/>
        <v/>
      </c>
      <c r="HZ31" s="57" t="str">
        <f t="shared" si="158"/>
        <v/>
      </c>
      <c r="IA31" s="57" t="str">
        <f t="shared" si="159"/>
        <v/>
      </c>
      <c r="IB31" s="57" t="str">
        <f t="shared" si="160"/>
        <v/>
      </c>
      <c r="IC31" s="57" t="str">
        <f t="shared" si="161"/>
        <v/>
      </c>
      <c r="ID31" s="57" t="str">
        <f t="shared" si="162"/>
        <v/>
      </c>
      <c r="IE31" s="57" t="str">
        <f t="shared" si="163"/>
        <v/>
      </c>
      <c r="IF31" s="57" t="str">
        <f t="shared" si="164"/>
        <v/>
      </c>
      <c r="IG31" s="57"/>
      <c r="IH31" s="55" t="e">
        <f t="shared" si="165"/>
        <v>#N/A</v>
      </c>
      <c r="II31" s="59" t="e">
        <f>IF(GY31&gt;100,"",IF(GY31&gt;FQ$1,"sangat baik dalam "&amp;IH31,IF(GY31&gt;=FQ$2," baik dalam "&amp;IH31,IF(GY31&gt;=FQ$3,"cukup dalam "&amp;IH31,IF(GY31&lt;FQ$3,"dengan bimbingan dapat meningkatkan dalam "&amp;IH31,IF(GY31&lt;1," ",””))))))</f>
        <v>#N/A</v>
      </c>
      <c r="IJ31" s="60"/>
      <c r="IK31" s="61" t="s">
        <v>201</v>
      </c>
      <c r="IL31" s="62" t="e">
        <f t="shared" si="166"/>
        <v>#N/A</v>
      </c>
    </row>
    <row r="32" spans="1:247">
      <c r="A32" s="39">
        <v>25</v>
      </c>
      <c r="B32" s="283">
        <f>SISWA!B30</f>
        <v>0</v>
      </c>
      <c r="C32" s="123"/>
      <c r="D32" s="123"/>
      <c r="E32" s="123"/>
      <c r="F32" s="123"/>
      <c r="G32" s="123"/>
      <c r="H32" s="123"/>
      <c r="I32" s="123"/>
      <c r="J32" s="123"/>
      <c r="K32" s="123"/>
      <c r="L32" s="123"/>
      <c r="M32" s="123"/>
      <c r="N32" s="123"/>
      <c r="O32" s="123"/>
      <c r="P32" s="256"/>
      <c r="Q32" s="256"/>
      <c r="R32" s="256"/>
      <c r="S32" s="256"/>
      <c r="T32" s="256"/>
      <c r="U32" s="256"/>
      <c r="V32" s="256"/>
      <c r="W32" s="256"/>
      <c r="X32" s="256"/>
      <c r="Y32" s="256"/>
      <c r="Z32" s="256"/>
      <c r="AA32" s="256"/>
      <c r="AB32" s="256"/>
      <c r="AC32" s="683"/>
      <c r="AD32" s="683"/>
      <c r="AE32" s="683"/>
      <c r="AF32" s="683"/>
      <c r="AG32" s="683"/>
      <c r="AH32" s="683"/>
      <c r="AI32" s="683"/>
      <c r="AJ32" s="683"/>
      <c r="AK32" s="683"/>
      <c r="AL32" s="683"/>
      <c r="AM32" s="683"/>
      <c r="AN32" s="683"/>
      <c r="AO32" s="683"/>
      <c r="AP32" s="680"/>
      <c r="AQ32" s="680"/>
      <c r="AR32" s="680"/>
      <c r="AS32" s="680"/>
      <c r="AT32" s="680"/>
      <c r="AU32" s="680"/>
      <c r="AV32" s="680"/>
      <c r="AW32" s="680"/>
      <c r="AX32" s="680"/>
      <c r="AY32" s="680"/>
      <c r="AZ32" s="680"/>
      <c r="BA32" s="680"/>
      <c r="BB32" s="680"/>
      <c r="BC32" s="683"/>
      <c r="BD32" s="683"/>
      <c r="BE32" s="683"/>
      <c r="BF32" s="683"/>
      <c r="BG32" s="683"/>
      <c r="BH32" s="683"/>
      <c r="BI32" s="683"/>
      <c r="BJ32" s="683"/>
      <c r="BK32" s="683"/>
      <c r="BL32" s="683"/>
      <c r="BM32" s="683"/>
      <c r="BN32" s="683"/>
      <c r="BO32" s="683"/>
      <c r="BP32" s="680"/>
      <c r="BQ32" s="680"/>
      <c r="BR32" s="680"/>
      <c r="BS32" s="680"/>
      <c r="BT32" s="680"/>
      <c r="BU32" s="680"/>
      <c r="BV32" s="680"/>
      <c r="BW32" s="680"/>
      <c r="BX32" s="680"/>
      <c r="BY32" s="680"/>
      <c r="BZ32" s="680"/>
      <c r="CA32" s="680"/>
      <c r="CB32" s="680"/>
      <c r="CC32" s="683"/>
      <c r="CD32" s="683"/>
      <c r="CE32" s="683"/>
      <c r="CF32" s="683"/>
      <c r="CG32" s="683"/>
      <c r="CH32" s="683"/>
      <c r="CI32" s="683"/>
      <c r="CJ32" s="683"/>
      <c r="CK32" s="683"/>
      <c r="CL32" s="683"/>
      <c r="CM32" s="683"/>
      <c r="CN32" s="683"/>
      <c r="CO32" s="683"/>
      <c r="CP32" s="680"/>
      <c r="CQ32" s="680"/>
      <c r="CR32" s="680"/>
      <c r="CS32" s="680"/>
      <c r="CT32" s="680"/>
      <c r="CU32" s="680"/>
      <c r="CV32" s="680"/>
      <c r="CW32" s="680"/>
      <c r="CX32" s="680"/>
      <c r="CY32" s="681"/>
      <c r="CZ32" s="681"/>
      <c r="DA32" s="681"/>
      <c r="DB32" s="681"/>
      <c r="DC32" s="682"/>
      <c r="DD32" s="682"/>
      <c r="DE32" s="682"/>
      <c r="DF32" s="682"/>
      <c r="DG32" s="682"/>
      <c r="DH32" s="682"/>
      <c r="DI32" s="682"/>
      <c r="DJ32" s="682"/>
      <c r="DK32" s="682"/>
      <c r="DL32" s="682"/>
      <c r="DM32" s="682"/>
      <c r="DN32" s="682"/>
      <c r="DO32" s="682"/>
      <c r="DP32" s="681"/>
      <c r="DQ32" s="681"/>
      <c r="DR32" s="681"/>
      <c r="DS32" s="681"/>
      <c r="DT32" s="681"/>
      <c r="DU32" s="681"/>
      <c r="DV32" s="681"/>
      <c r="DW32" s="681"/>
      <c r="DX32" s="681"/>
      <c r="DY32" s="681"/>
      <c r="DZ32" s="681"/>
      <c r="EA32" s="681"/>
      <c r="EB32" s="681"/>
      <c r="EC32" s="260" t="str">
        <f t="shared" si="91"/>
        <v xml:space="preserve"> </v>
      </c>
      <c r="ED32" s="260" t="str">
        <f t="shared" si="92"/>
        <v xml:space="preserve"> </v>
      </c>
      <c r="EE32" s="260" t="str">
        <f t="shared" si="93"/>
        <v xml:space="preserve"> </v>
      </c>
      <c r="EF32" s="260" t="str">
        <f t="shared" si="94"/>
        <v xml:space="preserve"> </v>
      </c>
      <c r="EG32" s="260" t="str">
        <f t="shared" si="95"/>
        <v xml:space="preserve"> </v>
      </c>
      <c r="EH32" s="260" t="str">
        <f t="shared" si="96"/>
        <v xml:space="preserve"> </v>
      </c>
      <c r="EI32" s="260" t="str">
        <f t="shared" si="97"/>
        <v xml:space="preserve"> </v>
      </c>
      <c r="EJ32" s="260" t="str">
        <f t="shared" si="98"/>
        <v xml:space="preserve"> </v>
      </c>
      <c r="EK32" s="260" t="str">
        <f t="shared" si="99"/>
        <v xml:space="preserve"> </v>
      </c>
      <c r="EL32" s="260" t="str">
        <f t="shared" si="100"/>
        <v xml:space="preserve"> </v>
      </c>
      <c r="EM32" s="260" t="str">
        <f t="shared" si="101"/>
        <v xml:space="preserve"> </v>
      </c>
      <c r="EN32" s="260" t="str">
        <f t="shared" si="102"/>
        <v xml:space="preserve"> </v>
      </c>
      <c r="EO32" s="260" t="str">
        <f t="shared" si="103"/>
        <v xml:space="preserve"> </v>
      </c>
      <c r="EP32" s="547"/>
      <c r="EQ32" s="547"/>
      <c r="ER32" s="547"/>
      <c r="ES32" s="547"/>
      <c r="ET32" s="547"/>
      <c r="EU32" s="547"/>
      <c r="EV32" s="547"/>
      <c r="EW32" s="547"/>
      <c r="EX32" s="547"/>
      <c r="EY32" s="547"/>
      <c r="EZ32" s="547"/>
      <c r="FA32" s="547"/>
      <c r="FB32" s="547"/>
      <c r="FC32" s="560"/>
      <c r="FD32" s="560"/>
      <c r="FE32" s="560"/>
      <c r="FF32" s="560"/>
      <c r="FG32" s="560"/>
      <c r="FH32" s="560"/>
      <c r="FI32" s="560"/>
      <c r="FJ32" s="560"/>
      <c r="FK32" s="560"/>
      <c r="FL32" s="560"/>
      <c r="FM32" s="560"/>
      <c r="FN32" s="560"/>
      <c r="FO32" s="560"/>
      <c r="FP32" s="549" t="str">
        <f t="shared" si="104"/>
        <v xml:space="preserve"> </v>
      </c>
      <c r="FQ32" s="291" t="str">
        <f t="shared" si="105"/>
        <v xml:space="preserve">  </v>
      </c>
      <c r="FR32" s="50" t="str">
        <f t="shared" si="106"/>
        <v xml:space="preserve"> </v>
      </c>
      <c r="FS32" s="282"/>
      <c r="FT32" s="51"/>
      <c r="FU32" s="46" t="str">
        <f t="shared" si="107"/>
        <v xml:space="preserve"> </v>
      </c>
      <c r="FV32" s="46" t="str">
        <f t="shared" si="108"/>
        <v xml:space="preserve"> </v>
      </c>
      <c r="FW32" s="46" t="str">
        <f t="shared" si="109"/>
        <v xml:space="preserve"> </v>
      </c>
      <c r="FX32" s="46" t="str">
        <f t="shared" si="110"/>
        <v xml:space="preserve"> </v>
      </c>
      <c r="FY32" s="46" t="str">
        <f t="shared" si="111"/>
        <v xml:space="preserve"> </v>
      </c>
      <c r="FZ32" s="46" t="str">
        <f t="shared" si="112"/>
        <v xml:space="preserve"> </v>
      </c>
      <c r="GA32" s="46" t="str">
        <f t="shared" si="113"/>
        <v xml:space="preserve"> </v>
      </c>
      <c r="GB32" s="46" t="str">
        <f t="shared" si="114"/>
        <v xml:space="preserve"> </v>
      </c>
      <c r="GC32" s="46" t="str">
        <f t="shared" si="115"/>
        <v xml:space="preserve"> </v>
      </c>
      <c r="GD32" s="46" t="str">
        <f t="shared" si="116"/>
        <v xml:space="preserve"> </v>
      </c>
      <c r="GE32" s="46" t="str">
        <f t="shared" si="117"/>
        <v xml:space="preserve"> </v>
      </c>
      <c r="GF32" s="46" t="str">
        <f t="shared" si="118"/>
        <v xml:space="preserve"> </v>
      </c>
      <c r="GG32" s="46" t="str">
        <f t="shared" si="119"/>
        <v xml:space="preserve"> </v>
      </c>
      <c r="GH32" s="46"/>
      <c r="GI32" s="53" t="str">
        <f t="shared" si="120"/>
        <v xml:space="preserve">  </v>
      </c>
      <c r="GJ32" s="53" t="str">
        <f t="shared" si="121"/>
        <v xml:space="preserve">  </v>
      </c>
      <c r="GK32" s="53" t="str">
        <f t="shared" si="122"/>
        <v xml:space="preserve">  </v>
      </c>
      <c r="GL32" s="53" t="str">
        <f t="shared" si="123"/>
        <v xml:space="preserve">  </v>
      </c>
      <c r="GM32" s="53" t="str">
        <f t="shared" si="124"/>
        <v xml:space="preserve">  </v>
      </c>
      <c r="GN32" s="53" t="str">
        <f t="shared" si="125"/>
        <v xml:space="preserve">  </v>
      </c>
      <c r="GO32" s="53" t="str">
        <f t="shared" si="126"/>
        <v xml:space="preserve">  </v>
      </c>
      <c r="GP32" s="53" t="str">
        <f t="shared" si="127"/>
        <v xml:space="preserve">  </v>
      </c>
      <c r="GQ32" s="53" t="str">
        <f t="shared" si="128"/>
        <v xml:space="preserve">  </v>
      </c>
      <c r="GR32" s="53" t="str">
        <f t="shared" si="129"/>
        <v xml:space="preserve">  </v>
      </c>
      <c r="GS32" s="53" t="str">
        <f t="shared" si="130"/>
        <v xml:space="preserve">  </v>
      </c>
      <c r="GT32" s="53" t="str">
        <f t="shared" si="131"/>
        <v xml:space="preserve">  </v>
      </c>
      <c r="GU32" s="53" t="str">
        <f t="shared" si="132"/>
        <v xml:space="preserve">  </v>
      </c>
      <c r="GV32" s="54" t="str">
        <f t="shared" si="133"/>
        <v xml:space="preserve"> </v>
      </c>
      <c r="GW32" s="51"/>
      <c r="GX32" s="351">
        <f t="shared" si="134"/>
        <v>0</v>
      </c>
      <c r="GY32" s="351">
        <f t="shared" si="135"/>
        <v>0</v>
      </c>
      <c r="GZ32" s="51">
        <f>SISWA!E30</f>
        <v>0</v>
      </c>
      <c r="HA32" s="51" t="str">
        <f t="shared" si="136"/>
        <v/>
      </c>
      <c r="HB32" s="56" t="str">
        <f t="shared" si="137"/>
        <v/>
      </c>
      <c r="HC32" s="56" t="str">
        <f t="shared" si="138"/>
        <v/>
      </c>
      <c r="HD32" s="56" t="str">
        <f t="shared" si="139"/>
        <v/>
      </c>
      <c r="HE32" s="56" t="str">
        <f t="shared" si="140"/>
        <v/>
      </c>
      <c r="HF32" s="56" t="str">
        <f t="shared" si="141"/>
        <v/>
      </c>
      <c r="HG32" s="56" t="str">
        <f t="shared" si="142"/>
        <v/>
      </c>
      <c r="HH32" s="56" t="str">
        <f t="shared" si="143"/>
        <v/>
      </c>
      <c r="HI32" s="56" t="str">
        <f t="shared" si="144"/>
        <v/>
      </c>
      <c r="HJ32" s="56" t="str">
        <f t="shared" si="145"/>
        <v/>
      </c>
      <c r="HK32" s="56" t="str">
        <f t="shared" si="146"/>
        <v/>
      </c>
      <c r="HL32" s="56" t="str">
        <f t="shared" si="147"/>
        <v/>
      </c>
      <c r="HM32" s="56" t="str">
        <f t="shared" si="148"/>
        <v/>
      </c>
      <c r="HN32" s="56" t="str">
        <f t="shared" si="149"/>
        <v/>
      </c>
      <c r="HO32" s="58">
        <f t="shared" si="150"/>
        <v>0</v>
      </c>
      <c r="HP32" s="55" t="e">
        <f t="shared" si="151"/>
        <v>#N/A</v>
      </c>
      <c r="HQ32" s="58"/>
      <c r="HR32" s="59" t="e">
        <f>IF(GX32&gt;100,"",IF(GX32&gt;FQ$1,"sangat baik dalam "&amp;HP32,IF(GX32&gt;=FQ$2," baik dalam "&amp;HP32,IF(GX32&gt;=FQ$3,"cukup dalam "&amp;HP32,IF(GX32&lt;FQ$3,"dengan bimbingan dapat meningkatkan dalam "&amp;HP32,IF(GX32&lt;1," ",””))))))</f>
        <v>#N/A</v>
      </c>
      <c r="HS32" s="58"/>
      <c r="HT32" s="57" t="str">
        <f t="shared" si="152"/>
        <v/>
      </c>
      <c r="HU32" s="57" t="str">
        <f t="shared" si="153"/>
        <v/>
      </c>
      <c r="HV32" s="57" t="str">
        <f t="shared" si="154"/>
        <v/>
      </c>
      <c r="HW32" s="57" t="str">
        <f t="shared" si="155"/>
        <v/>
      </c>
      <c r="HX32" s="57" t="str">
        <f t="shared" si="156"/>
        <v/>
      </c>
      <c r="HY32" s="57" t="str">
        <f t="shared" si="157"/>
        <v/>
      </c>
      <c r="HZ32" s="57" t="str">
        <f t="shared" si="158"/>
        <v/>
      </c>
      <c r="IA32" s="57" t="str">
        <f t="shared" si="159"/>
        <v/>
      </c>
      <c r="IB32" s="57" t="str">
        <f t="shared" si="160"/>
        <v/>
      </c>
      <c r="IC32" s="57" t="str">
        <f t="shared" si="161"/>
        <v/>
      </c>
      <c r="ID32" s="57" t="str">
        <f t="shared" si="162"/>
        <v/>
      </c>
      <c r="IE32" s="57" t="str">
        <f t="shared" si="163"/>
        <v/>
      </c>
      <c r="IF32" s="57" t="str">
        <f t="shared" si="164"/>
        <v/>
      </c>
      <c r="IG32" s="57"/>
      <c r="IH32" s="55" t="e">
        <f t="shared" si="165"/>
        <v>#N/A</v>
      </c>
      <c r="II32" s="59" t="e">
        <f>IF(GY32&gt;100,"",IF(GY32&gt;FQ$1,"sangat baik dalam "&amp;IH32,IF(GY32&gt;=FQ$2," baik dalam "&amp;IH32,IF(GY32&gt;=FQ$3,"cukup dalam "&amp;IH32,IF(GY32&lt;FQ$3,"dengan bimbingan dapat meningkatkan dalam "&amp;IH32,IF(GY32&lt;1," ",””))))))</f>
        <v>#N/A</v>
      </c>
      <c r="IJ32" s="60"/>
      <c r="IK32" s="61" t="s">
        <v>201</v>
      </c>
      <c r="IL32" s="62" t="e">
        <f t="shared" si="166"/>
        <v>#N/A</v>
      </c>
    </row>
    <row r="33" spans="1:246">
      <c r="A33" s="39">
        <v>26</v>
      </c>
      <c r="B33" s="283">
        <f>SISWA!B31</f>
        <v>0</v>
      </c>
      <c r="C33" s="123"/>
      <c r="D33" s="123"/>
      <c r="E33" s="123"/>
      <c r="F33" s="123"/>
      <c r="G33" s="123"/>
      <c r="H33" s="123"/>
      <c r="I33" s="123"/>
      <c r="J33" s="123"/>
      <c r="K33" s="123"/>
      <c r="L33" s="123"/>
      <c r="M33" s="123"/>
      <c r="N33" s="123"/>
      <c r="O33" s="123"/>
      <c r="P33" s="256"/>
      <c r="Q33" s="256"/>
      <c r="R33" s="256"/>
      <c r="S33" s="256"/>
      <c r="T33" s="256"/>
      <c r="U33" s="256"/>
      <c r="V33" s="256"/>
      <c r="W33" s="256"/>
      <c r="X33" s="256"/>
      <c r="Y33" s="256"/>
      <c r="Z33" s="256"/>
      <c r="AA33" s="256"/>
      <c r="AB33" s="256"/>
      <c r="AC33" s="683"/>
      <c r="AD33" s="683"/>
      <c r="AE33" s="683"/>
      <c r="AF33" s="683"/>
      <c r="AG33" s="683"/>
      <c r="AH33" s="683"/>
      <c r="AI33" s="683"/>
      <c r="AJ33" s="683"/>
      <c r="AK33" s="683"/>
      <c r="AL33" s="683"/>
      <c r="AM33" s="683"/>
      <c r="AN33" s="683"/>
      <c r="AO33" s="683"/>
      <c r="AP33" s="680"/>
      <c r="AQ33" s="680"/>
      <c r="AR33" s="680"/>
      <c r="AS33" s="680"/>
      <c r="AT33" s="680"/>
      <c r="AU33" s="680"/>
      <c r="AV33" s="680"/>
      <c r="AW33" s="680"/>
      <c r="AX33" s="680"/>
      <c r="AY33" s="680"/>
      <c r="AZ33" s="680"/>
      <c r="BA33" s="680"/>
      <c r="BB33" s="680"/>
      <c r="BC33" s="683"/>
      <c r="BD33" s="683"/>
      <c r="BE33" s="683"/>
      <c r="BF33" s="683"/>
      <c r="BG33" s="683"/>
      <c r="BH33" s="683"/>
      <c r="BI33" s="683"/>
      <c r="BJ33" s="683"/>
      <c r="BK33" s="683"/>
      <c r="BL33" s="683"/>
      <c r="BM33" s="683"/>
      <c r="BN33" s="683"/>
      <c r="BO33" s="683"/>
      <c r="BP33" s="680"/>
      <c r="BQ33" s="680"/>
      <c r="BR33" s="680"/>
      <c r="BS33" s="680"/>
      <c r="BT33" s="680"/>
      <c r="BU33" s="680"/>
      <c r="BV33" s="680"/>
      <c r="BW33" s="680"/>
      <c r="BX33" s="680"/>
      <c r="BY33" s="680"/>
      <c r="BZ33" s="680"/>
      <c r="CA33" s="680"/>
      <c r="CB33" s="680"/>
      <c r="CC33" s="683"/>
      <c r="CD33" s="683"/>
      <c r="CE33" s="683"/>
      <c r="CF33" s="683"/>
      <c r="CG33" s="683"/>
      <c r="CH33" s="683"/>
      <c r="CI33" s="683"/>
      <c r="CJ33" s="683"/>
      <c r="CK33" s="683"/>
      <c r="CL33" s="683"/>
      <c r="CM33" s="683"/>
      <c r="CN33" s="683"/>
      <c r="CO33" s="683"/>
      <c r="CP33" s="680"/>
      <c r="CQ33" s="680"/>
      <c r="CR33" s="680"/>
      <c r="CS33" s="680"/>
      <c r="CT33" s="680"/>
      <c r="CU33" s="680"/>
      <c r="CV33" s="680"/>
      <c r="CW33" s="680"/>
      <c r="CX33" s="680"/>
      <c r="CY33" s="681"/>
      <c r="CZ33" s="681"/>
      <c r="DA33" s="681"/>
      <c r="DB33" s="681"/>
      <c r="DC33" s="682"/>
      <c r="DD33" s="682"/>
      <c r="DE33" s="682"/>
      <c r="DF33" s="682"/>
      <c r="DG33" s="682"/>
      <c r="DH33" s="682"/>
      <c r="DI33" s="682"/>
      <c r="DJ33" s="682"/>
      <c r="DK33" s="682"/>
      <c r="DL33" s="682"/>
      <c r="DM33" s="682"/>
      <c r="DN33" s="682"/>
      <c r="DO33" s="682"/>
      <c r="DP33" s="681"/>
      <c r="DQ33" s="681"/>
      <c r="DR33" s="681"/>
      <c r="DS33" s="681"/>
      <c r="DT33" s="681"/>
      <c r="DU33" s="681"/>
      <c r="DV33" s="681"/>
      <c r="DW33" s="681"/>
      <c r="DX33" s="681"/>
      <c r="DY33" s="681"/>
      <c r="DZ33" s="681"/>
      <c r="EA33" s="681"/>
      <c r="EB33" s="681"/>
      <c r="EC33" s="260" t="str">
        <f t="shared" si="91"/>
        <v xml:space="preserve"> </v>
      </c>
      <c r="ED33" s="260" t="str">
        <f t="shared" si="92"/>
        <v xml:space="preserve"> </v>
      </c>
      <c r="EE33" s="260" t="str">
        <f t="shared" si="93"/>
        <v xml:space="preserve"> </v>
      </c>
      <c r="EF33" s="260" t="str">
        <f t="shared" si="94"/>
        <v xml:space="preserve"> </v>
      </c>
      <c r="EG33" s="260" t="str">
        <f t="shared" si="95"/>
        <v xml:space="preserve"> </v>
      </c>
      <c r="EH33" s="260" t="str">
        <f t="shared" si="96"/>
        <v xml:space="preserve"> </v>
      </c>
      <c r="EI33" s="260" t="str">
        <f t="shared" si="97"/>
        <v xml:space="preserve"> </v>
      </c>
      <c r="EJ33" s="260" t="str">
        <f t="shared" si="98"/>
        <v xml:space="preserve"> </v>
      </c>
      <c r="EK33" s="260" t="str">
        <f t="shared" si="99"/>
        <v xml:space="preserve"> </v>
      </c>
      <c r="EL33" s="260" t="str">
        <f t="shared" si="100"/>
        <v xml:space="preserve"> </v>
      </c>
      <c r="EM33" s="260" t="str">
        <f t="shared" si="101"/>
        <v xml:space="preserve"> </v>
      </c>
      <c r="EN33" s="260" t="str">
        <f t="shared" si="102"/>
        <v xml:space="preserve"> </v>
      </c>
      <c r="EO33" s="260" t="str">
        <f t="shared" si="103"/>
        <v xml:space="preserve"> </v>
      </c>
      <c r="EP33" s="547"/>
      <c r="EQ33" s="547"/>
      <c r="ER33" s="547"/>
      <c r="ES33" s="547"/>
      <c r="ET33" s="547"/>
      <c r="EU33" s="547"/>
      <c r="EV33" s="547"/>
      <c r="EW33" s="547"/>
      <c r="EX33" s="547"/>
      <c r="EY33" s="547"/>
      <c r="EZ33" s="547"/>
      <c r="FA33" s="547"/>
      <c r="FB33" s="547"/>
      <c r="FC33" s="560"/>
      <c r="FD33" s="560"/>
      <c r="FE33" s="560"/>
      <c r="FF33" s="560"/>
      <c r="FG33" s="560"/>
      <c r="FH33" s="560"/>
      <c r="FI33" s="560"/>
      <c r="FJ33" s="560"/>
      <c r="FK33" s="560"/>
      <c r="FL33" s="560"/>
      <c r="FM33" s="560"/>
      <c r="FN33" s="560"/>
      <c r="FO33" s="560"/>
      <c r="FP33" s="549" t="str">
        <f t="shared" si="104"/>
        <v xml:space="preserve"> </v>
      </c>
      <c r="FQ33" s="291" t="str">
        <f t="shared" si="105"/>
        <v xml:space="preserve">  </v>
      </c>
      <c r="FR33" s="50" t="str">
        <f t="shared" si="106"/>
        <v xml:space="preserve"> </v>
      </c>
      <c r="FS33" s="282"/>
      <c r="FT33" s="51"/>
      <c r="FU33" s="46" t="str">
        <f t="shared" si="107"/>
        <v xml:space="preserve"> </v>
      </c>
      <c r="FV33" s="46" t="str">
        <f t="shared" si="108"/>
        <v xml:space="preserve"> </v>
      </c>
      <c r="FW33" s="46" t="str">
        <f t="shared" si="109"/>
        <v xml:space="preserve"> </v>
      </c>
      <c r="FX33" s="46" t="str">
        <f t="shared" si="110"/>
        <v xml:space="preserve"> </v>
      </c>
      <c r="FY33" s="46" t="str">
        <f t="shared" si="111"/>
        <v xml:space="preserve"> </v>
      </c>
      <c r="FZ33" s="46" t="str">
        <f t="shared" si="112"/>
        <v xml:space="preserve"> </v>
      </c>
      <c r="GA33" s="46" t="str">
        <f t="shared" si="113"/>
        <v xml:space="preserve"> </v>
      </c>
      <c r="GB33" s="46" t="str">
        <f t="shared" si="114"/>
        <v xml:space="preserve"> </v>
      </c>
      <c r="GC33" s="46" t="str">
        <f t="shared" si="115"/>
        <v xml:space="preserve"> </v>
      </c>
      <c r="GD33" s="46" t="str">
        <f t="shared" si="116"/>
        <v xml:space="preserve"> </v>
      </c>
      <c r="GE33" s="46" t="str">
        <f t="shared" si="117"/>
        <v xml:space="preserve"> </v>
      </c>
      <c r="GF33" s="46" t="str">
        <f t="shared" si="118"/>
        <v xml:space="preserve"> </v>
      </c>
      <c r="GG33" s="46" t="str">
        <f t="shared" si="119"/>
        <v xml:space="preserve"> </v>
      </c>
      <c r="GH33" s="46"/>
      <c r="GI33" s="53" t="str">
        <f t="shared" si="120"/>
        <v xml:space="preserve">  </v>
      </c>
      <c r="GJ33" s="53" t="str">
        <f t="shared" si="121"/>
        <v xml:space="preserve">  </v>
      </c>
      <c r="GK33" s="53" t="str">
        <f t="shared" si="122"/>
        <v xml:space="preserve">  </v>
      </c>
      <c r="GL33" s="53" t="str">
        <f t="shared" si="123"/>
        <v xml:space="preserve">  </v>
      </c>
      <c r="GM33" s="53" t="str">
        <f t="shared" si="124"/>
        <v xml:space="preserve">  </v>
      </c>
      <c r="GN33" s="53" t="str">
        <f t="shared" si="125"/>
        <v xml:space="preserve">  </v>
      </c>
      <c r="GO33" s="53" t="str">
        <f t="shared" si="126"/>
        <v xml:space="preserve">  </v>
      </c>
      <c r="GP33" s="53" t="str">
        <f t="shared" si="127"/>
        <v xml:space="preserve">  </v>
      </c>
      <c r="GQ33" s="53" t="str">
        <f t="shared" si="128"/>
        <v xml:space="preserve">  </v>
      </c>
      <c r="GR33" s="53" t="str">
        <f t="shared" si="129"/>
        <v xml:space="preserve">  </v>
      </c>
      <c r="GS33" s="53" t="str">
        <f t="shared" si="130"/>
        <v xml:space="preserve">  </v>
      </c>
      <c r="GT33" s="53" t="str">
        <f t="shared" si="131"/>
        <v xml:space="preserve">  </v>
      </c>
      <c r="GU33" s="53" t="str">
        <f t="shared" si="132"/>
        <v xml:space="preserve">  </v>
      </c>
      <c r="GV33" s="54" t="str">
        <f t="shared" si="133"/>
        <v xml:space="preserve"> </v>
      </c>
      <c r="GW33" s="51"/>
      <c r="GX33" s="351">
        <f t="shared" si="134"/>
        <v>0</v>
      </c>
      <c r="GY33" s="351">
        <f t="shared" si="135"/>
        <v>0</v>
      </c>
      <c r="GZ33" s="51">
        <f>SISWA!E31</f>
        <v>0</v>
      </c>
      <c r="HA33" s="51" t="str">
        <f t="shared" si="136"/>
        <v/>
      </c>
      <c r="HB33" s="56" t="str">
        <f t="shared" si="137"/>
        <v/>
      </c>
      <c r="HC33" s="56" t="str">
        <f t="shared" si="138"/>
        <v/>
      </c>
      <c r="HD33" s="56" t="str">
        <f t="shared" si="139"/>
        <v/>
      </c>
      <c r="HE33" s="56" t="str">
        <f t="shared" si="140"/>
        <v/>
      </c>
      <c r="HF33" s="56" t="str">
        <f t="shared" si="141"/>
        <v/>
      </c>
      <c r="HG33" s="56" t="str">
        <f t="shared" si="142"/>
        <v/>
      </c>
      <c r="HH33" s="56" t="str">
        <f t="shared" si="143"/>
        <v/>
      </c>
      <c r="HI33" s="56" t="str">
        <f t="shared" si="144"/>
        <v/>
      </c>
      <c r="HJ33" s="56" t="str">
        <f t="shared" si="145"/>
        <v/>
      </c>
      <c r="HK33" s="56" t="str">
        <f t="shared" si="146"/>
        <v/>
      </c>
      <c r="HL33" s="56" t="str">
        <f t="shared" si="147"/>
        <v/>
      </c>
      <c r="HM33" s="56" t="str">
        <f t="shared" si="148"/>
        <v/>
      </c>
      <c r="HN33" s="56" t="str">
        <f t="shared" si="149"/>
        <v/>
      </c>
      <c r="HO33" s="58">
        <f t="shared" si="150"/>
        <v>0</v>
      </c>
      <c r="HP33" s="55" t="e">
        <f t="shared" si="151"/>
        <v>#N/A</v>
      </c>
      <c r="HQ33" s="58"/>
      <c r="HR33" s="59" t="e">
        <f>IF(GX33&gt;100,"",IF(GX33&gt;FQ$1,"sangat baik dalam "&amp;HP33,IF(GX33&gt;=FQ$2," baik dalam "&amp;HP33,IF(GX33&gt;=FQ$3,"cukup dalam "&amp;HP33,IF(GX33&lt;FQ$3,"dengan bimbingan dapat meningkatkan dalam "&amp;HP33,IF(GX33&lt;1," ",””))))))</f>
        <v>#N/A</v>
      </c>
      <c r="HS33" s="58"/>
      <c r="HT33" s="57" t="str">
        <f t="shared" si="152"/>
        <v/>
      </c>
      <c r="HU33" s="57" t="str">
        <f t="shared" si="153"/>
        <v/>
      </c>
      <c r="HV33" s="57" t="str">
        <f t="shared" si="154"/>
        <v/>
      </c>
      <c r="HW33" s="57" t="str">
        <f t="shared" si="155"/>
        <v/>
      </c>
      <c r="HX33" s="57" t="str">
        <f t="shared" si="156"/>
        <v/>
      </c>
      <c r="HY33" s="57" t="str">
        <f t="shared" si="157"/>
        <v/>
      </c>
      <c r="HZ33" s="57" t="str">
        <f t="shared" si="158"/>
        <v/>
      </c>
      <c r="IA33" s="57" t="str">
        <f t="shared" si="159"/>
        <v/>
      </c>
      <c r="IB33" s="57" t="str">
        <f t="shared" si="160"/>
        <v/>
      </c>
      <c r="IC33" s="57" t="str">
        <f t="shared" si="161"/>
        <v/>
      </c>
      <c r="ID33" s="57" t="str">
        <f t="shared" si="162"/>
        <v/>
      </c>
      <c r="IE33" s="57" t="str">
        <f t="shared" si="163"/>
        <v/>
      </c>
      <c r="IF33" s="57" t="str">
        <f t="shared" si="164"/>
        <v/>
      </c>
      <c r="IG33" s="57"/>
      <c r="IH33" s="55" t="e">
        <f t="shared" si="165"/>
        <v>#N/A</v>
      </c>
      <c r="II33" s="59" t="e">
        <f>IF(GY33&gt;100,"",IF(GY33&gt;FQ$1,"sangat baik dalam "&amp;IH33,IF(GY33&gt;=FQ$2," baik dalam "&amp;IH33,IF(GY33&gt;=FQ$3,"cukup dalam "&amp;IH33,IF(GY33&lt;FQ$3,"dengan bimbingan dapat meningkatkan dalam "&amp;IH33,IF(GY33&lt;1," ",””))))))</f>
        <v>#N/A</v>
      </c>
      <c r="IJ33" s="60"/>
      <c r="IK33" s="61" t="s">
        <v>201</v>
      </c>
      <c r="IL33" s="62" t="e">
        <f t="shared" si="166"/>
        <v>#N/A</v>
      </c>
    </row>
    <row r="34" spans="1:246">
      <c r="A34" s="39">
        <v>27</v>
      </c>
      <c r="B34" s="283">
        <f>SISWA!B32</f>
        <v>0</v>
      </c>
      <c r="C34" s="123"/>
      <c r="D34" s="123"/>
      <c r="E34" s="123"/>
      <c r="F34" s="123"/>
      <c r="G34" s="123"/>
      <c r="H34" s="123"/>
      <c r="I34" s="123"/>
      <c r="J34" s="123"/>
      <c r="K34" s="123"/>
      <c r="L34" s="123"/>
      <c r="M34" s="123"/>
      <c r="N34" s="123"/>
      <c r="O34" s="123"/>
      <c r="P34" s="256"/>
      <c r="Q34" s="256"/>
      <c r="R34" s="256"/>
      <c r="S34" s="256"/>
      <c r="T34" s="256"/>
      <c r="U34" s="256"/>
      <c r="V34" s="256"/>
      <c r="W34" s="256"/>
      <c r="X34" s="256"/>
      <c r="Y34" s="256"/>
      <c r="Z34" s="256"/>
      <c r="AA34" s="256"/>
      <c r="AB34" s="256"/>
      <c r="AC34" s="683"/>
      <c r="AD34" s="683"/>
      <c r="AE34" s="683"/>
      <c r="AF34" s="683"/>
      <c r="AG34" s="683"/>
      <c r="AH34" s="683"/>
      <c r="AI34" s="683"/>
      <c r="AJ34" s="683"/>
      <c r="AK34" s="683"/>
      <c r="AL34" s="683"/>
      <c r="AM34" s="683"/>
      <c r="AN34" s="683"/>
      <c r="AO34" s="683"/>
      <c r="AP34" s="680"/>
      <c r="AQ34" s="680"/>
      <c r="AR34" s="680"/>
      <c r="AS34" s="680"/>
      <c r="AT34" s="680"/>
      <c r="AU34" s="680"/>
      <c r="AV34" s="680"/>
      <c r="AW34" s="680"/>
      <c r="AX34" s="680"/>
      <c r="AY34" s="680"/>
      <c r="AZ34" s="680"/>
      <c r="BA34" s="680"/>
      <c r="BB34" s="680"/>
      <c r="BC34" s="683"/>
      <c r="BD34" s="683"/>
      <c r="BE34" s="683"/>
      <c r="BF34" s="683"/>
      <c r="BG34" s="683"/>
      <c r="BH34" s="683"/>
      <c r="BI34" s="683"/>
      <c r="BJ34" s="683"/>
      <c r="BK34" s="683"/>
      <c r="BL34" s="683"/>
      <c r="BM34" s="683"/>
      <c r="BN34" s="683"/>
      <c r="BO34" s="683"/>
      <c r="BP34" s="680"/>
      <c r="BQ34" s="680"/>
      <c r="BR34" s="680"/>
      <c r="BS34" s="680"/>
      <c r="BT34" s="680"/>
      <c r="BU34" s="680"/>
      <c r="BV34" s="680"/>
      <c r="BW34" s="680"/>
      <c r="BX34" s="680"/>
      <c r="BY34" s="680"/>
      <c r="BZ34" s="680"/>
      <c r="CA34" s="680"/>
      <c r="CB34" s="680"/>
      <c r="CC34" s="683"/>
      <c r="CD34" s="683"/>
      <c r="CE34" s="683"/>
      <c r="CF34" s="683"/>
      <c r="CG34" s="683"/>
      <c r="CH34" s="683"/>
      <c r="CI34" s="683"/>
      <c r="CJ34" s="683"/>
      <c r="CK34" s="683"/>
      <c r="CL34" s="683"/>
      <c r="CM34" s="683"/>
      <c r="CN34" s="683"/>
      <c r="CO34" s="683"/>
      <c r="CP34" s="680"/>
      <c r="CQ34" s="680"/>
      <c r="CR34" s="680"/>
      <c r="CS34" s="680"/>
      <c r="CT34" s="680"/>
      <c r="CU34" s="680"/>
      <c r="CV34" s="680"/>
      <c r="CW34" s="680"/>
      <c r="CX34" s="680"/>
      <c r="CY34" s="681"/>
      <c r="CZ34" s="681"/>
      <c r="DA34" s="681"/>
      <c r="DB34" s="681"/>
      <c r="DC34" s="682"/>
      <c r="DD34" s="682"/>
      <c r="DE34" s="682"/>
      <c r="DF34" s="682"/>
      <c r="DG34" s="682"/>
      <c r="DH34" s="682"/>
      <c r="DI34" s="682"/>
      <c r="DJ34" s="682"/>
      <c r="DK34" s="682"/>
      <c r="DL34" s="682"/>
      <c r="DM34" s="682"/>
      <c r="DN34" s="682"/>
      <c r="DO34" s="682"/>
      <c r="DP34" s="681"/>
      <c r="DQ34" s="681"/>
      <c r="DR34" s="681"/>
      <c r="DS34" s="681"/>
      <c r="DT34" s="681"/>
      <c r="DU34" s="681"/>
      <c r="DV34" s="681"/>
      <c r="DW34" s="681"/>
      <c r="DX34" s="681"/>
      <c r="DY34" s="681"/>
      <c r="DZ34" s="681"/>
      <c r="EA34" s="681"/>
      <c r="EB34" s="681"/>
      <c r="EC34" s="260" t="str">
        <f t="shared" si="91"/>
        <v xml:space="preserve"> </v>
      </c>
      <c r="ED34" s="260" t="str">
        <f t="shared" si="92"/>
        <v xml:space="preserve"> </v>
      </c>
      <c r="EE34" s="260" t="str">
        <f t="shared" si="93"/>
        <v xml:space="preserve"> </v>
      </c>
      <c r="EF34" s="260" t="str">
        <f t="shared" si="94"/>
        <v xml:space="preserve"> </v>
      </c>
      <c r="EG34" s="260" t="str">
        <f t="shared" si="95"/>
        <v xml:space="preserve"> </v>
      </c>
      <c r="EH34" s="260" t="str">
        <f t="shared" si="96"/>
        <v xml:space="preserve"> </v>
      </c>
      <c r="EI34" s="260" t="str">
        <f t="shared" si="97"/>
        <v xml:space="preserve"> </v>
      </c>
      <c r="EJ34" s="260" t="str">
        <f t="shared" si="98"/>
        <v xml:space="preserve"> </v>
      </c>
      <c r="EK34" s="260" t="str">
        <f t="shared" si="99"/>
        <v xml:space="preserve"> </v>
      </c>
      <c r="EL34" s="260" t="str">
        <f t="shared" si="100"/>
        <v xml:space="preserve"> </v>
      </c>
      <c r="EM34" s="260" t="str">
        <f t="shared" si="101"/>
        <v xml:space="preserve"> </v>
      </c>
      <c r="EN34" s="260" t="str">
        <f t="shared" si="102"/>
        <v xml:space="preserve"> </v>
      </c>
      <c r="EO34" s="260" t="str">
        <f t="shared" si="103"/>
        <v xml:space="preserve"> </v>
      </c>
      <c r="EP34" s="547"/>
      <c r="EQ34" s="547"/>
      <c r="ER34" s="547"/>
      <c r="ES34" s="547"/>
      <c r="ET34" s="547"/>
      <c r="EU34" s="547"/>
      <c r="EV34" s="547"/>
      <c r="EW34" s="547"/>
      <c r="EX34" s="547"/>
      <c r="EY34" s="547"/>
      <c r="EZ34" s="547"/>
      <c r="FA34" s="547"/>
      <c r="FB34" s="547"/>
      <c r="FC34" s="560"/>
      <c r="FD34" s="560"/>
      <c r="FE34" s="560"/>
      <c r="FF34" s="560"/>
      <c r="FG34" s="560"/>
      <c r="FH34" s="560"/>
      <c r="FI34" s="560"/>
      <c r="FJ34" s="560"/>
      <c r="FK34" s="560"/>
      <c r="FL34" s="560"/>
      <c r="FM34" s="560"/>
      <c r="FN34" s="560"/>
      <c r="FO34" s="560"/>
      <c r="FP34" s="549" t="str">
        <f t="shared" si="104"/>
        <v xml:space="preserve"> </v>
      </c>
      <c r="FQ34" s="291" t="str">
        <f t="shared" si="105"/>
        <v xml:space="preserve">  </v>
      </c>
      <c r="FR34" s="50" t="str">
        <f t="shared" si="106"/>
        <v xml:space="preserve"> </v>
      </c>
      <c r="FS34" s="282"/>
      <c r="FT34" s="51"/>
      <c r="FU34" s="46" t="str">
        <f t="shared" si="107"/>
        <v xml:space="preserve"> </v>
      </c>
      <c r="FV34" s="46" t="str">
        <f t="shared" si="108"/>
        <v xml:space="preserve"> </v>
      </c>
      <c r="FW34" s="46" t="str">
        <f t="shared" si="109"/>
        <v xml:space="preserve"> </v>
      </c>
      <c r="FX34" s="46" t="str">
        <f t="shared" si="110"/>
        <v xml:space="preserve"> </v>
      </c>
      <c r="FY34" s="46" t="str">
        <f t="shared" si="111"/>
        <v xml:space="preserve"> </v>
      </c>
      <c r="FZ34" s="46" t="str">
        <f t="shared" si="112"/>
        <v xml:space="preserve"> </v>
      </c>
      <c r="GA34" s="46" t="str">
        <f t="shared" si="113"/>
        <v xml:space="preserve"> </v>
      </c>
      <c r="GB34" s="46" t="str">
        <f t="shared" si="114"/>
        <v xml:space="preserve"> </v>
      </c>
      <c r="GC34" s="46" t="str">
        <f t="shared" si="115"/>
        <v xml:space="preserve"> </v>
      </c>
      <c r="GD34" s="46" t="str">
        <f t="shared" si="116"/>
        <v xml:space="preserve"> </v>
      </c>
      <c r="GE34" s="46" t="str">
        <f t="shared" si="117"/>
        <v xml:space="preserve"> </v>
      </c>
      <c r="GF34" s="46" t="str">
        <f t="shared" si="118"/>
        <v xml:space="preserve"> </v>
      </c>
      <c r="GG34" s="46" t="str">
        <f t="shared" si="119"/>
        <v xml:space="preserve"> </v>
      </c>
      <c r="GH34" s="46"/>
      <c r="GI34" s="53" t="str">
        <f t="shared" si="120"/>
        <v xml:space="preserve">  </v>
      </c>
      <c r="GJ34" s="53" t="str">
        <f t="shared" si="121"/>
        <v xml:space="preserve">  </v>
      </c>
      <c r="GK34" s="53" t="str">
        <f t="shared" si="122"/>
        <v xml:space="preserve">  </v>
      </c>
      <c r="GL34" s="53" t="str">
        <f t="shared" si="123"/>
        <v xml:space="preserve">  </v>
      </c>
      <c r="GM34" s="53" t="str">
        <f t="shared" si="124"/>
        <v xml:space="preserve">  </v>
      </c>
      <c r="GN34" s="53" t="str">
        <f t="shared" si="125"/>
        <v xml:space="preserve">  </v>
      </c>
      <c r="GO34" s="53" t="str">
        <f t="shared" si="126"/>
        <v xml:space="preserve">  </v>
      </c>
      <c r="GP34" s="53" t="str">
        <f t="shared" si="127"/>
        <v xml:space="preserve">  </v>
      </c>
      <c r="GQ34" s="53" t="str">
        <f t="shared" si="128"/>
        <v xml:space="preserve">  </v>
      </c>
      <c r="GR34" s="53" t="str">
        <f t="shared" si="129"/>
        <v xml:space="preserve">  </v>
      </c>
      <c r="GS34" s="53" t="str">
        <f t="shared" si="130"/>
        <v xml:space="preserve">  </v>
      </c>
      <c r="GT34" s="53" t="str">
        <f t="shared" si="131"/>
        <v xml:space="preserve">  </v>
      </c>
      <c r="GU34" s="53" t="str">
        <f t="shared" si="132"/>
        <v xml:space="preserve">  </v>
      </c>
      <c r="GV34" s="54" t="str">
        <f t="shared" si="133"/>
        <v xml:space="preserve"> </v>
      </c>
      <c r="GW34" s="51"/>
      <c r="GX34" s="351">
        <f t="shared" si="134"/>
        <v>0</v>
      </c>
      <c r="GY34" s="351">
        <f t="shared" si="135"/>
        <v>0</v>
      </c>
      <c r="GZ34" s="51">
        <f>SISWA!E32</f>
        <v>0</v>
      </c>
      <c r="HA34" s="51" t="str">
        <f t="shared" si="136"/>
        <v/>
      </c>
      <c r="HB34" s="56" t="str">
        <f t="shared" si="137"/>
        <v/>
      </c>
      <c r="HC34" s="56" t="str">
        <f t="shared" si="138"/>
        <v/>
      </c>
      <c r="HD34" s="56" t="str">
        <f t="shared" si="139"/>
        <v/>
      </c>
      <c r="HE34" s="56" t="str">
        <f t="shared" si="140"/>
        <v/>
      </c>
      <c r="HF34" s="56" t="str">
        <f t="shared" si="141"/>
        <v/>
      </c>
      <c r="HG34" s="56" t="str">
        <f t="shared" si="142"/>
        <v/>
      </c>
      <c r="HH34" s="56" t="str">
        <f t="shared" si="143"/>
        <v/>
      </c>
      <c r="HI34" s="56" t="str">
        <f t="shared" si="144"/>
        <v/>
      </c>
      <c r="HJ34" s="56" t="str">
        <f t="shared" si="145"/>
        <v/>
      </c>
      <c r="HK34" s="56" t="str">
        <f t="shared" si="146"/>
        <v/>
      </c>
      <c r="HL34" s="56" t="str">
        <f t="shared" si="147"/>
        <v/>
      </c>
      <c r="HM34" s="56" t="str">
        <f t="shared" si="148"/>
        <v/>
      </c>
      <c r="HN34" s="56" t="str">
        <f t="shared" si="149"/>
        <v/>
      </c>
      <c r="HO34" s="58">
        <f t="shared" si="150"/>
        <v>0</v>
      </c>
      <c r="HP34" s="55" t="e">
        <f t="shared" si="151"/>
        <v>#N/A</v>
      </c>
      <c r="HQ34" s="58"/>
      <c r="HR34" s="59" t="e">
        <f>IF(GX34&gt;100,"",IF(GX34&gt;FQ$1,"sangat baik dalam "&amp;HP34,IF(GX34&gt;=FQ$2," baik dalam "&amp;HP34,IF(GX34&gt;=FQ$3,"cukup dalam "&amp;HP34,IF(GX34&lt;FQ$3,"dengan bimbingan dapat meningkatkan dalam "&amp;HP34,IF(GX34&lt;1," ",””))))))</f>
        <v>#N/A</v>
      </c>
      <c r="HS34" s="58"/>
      <c r="HT34" s="57" t="str">
        <f t="shared" si="152"/>
        <v/>
      </c>
      <c r="HU34" s="57" t="str">
        <f t="shared" si="153"/>
        <v/>
      </c>
      <c r="HV34" s="57" t="str">
        <f t="shared" si="154"/>
        <v/>
      </c>
      <c r="HW34" s="57" t="str">
        <f t="shared" si="155"/>
        <v/>
      </c>
      <c r="HX34" s="57" t="str">
        <f t="shared" si="156"/>
        <v/>
      </c>
      <c r="HY34" s="57" t="str">
        <f t="shared" si="157"/>
        <v/>
      </c>
      <c r="HZ34" s="57" t="str">
        <f t="shared" si="158"/>
        <v/>
      </c>
      <c r="IA34" s="57" t="str">
        <f t="shared" si="159"/>
        <v/>
      </c>
      <c r="IB34" s="57" t="str">
        <f t="shared" si="160"/>
        <v/>
      </c>
      <c r="IC34" s="57" t="str">
        <f t="shared" si="161"/>
        <v/>
      </c>
      <c r="ID34" s="57" t="str">
        <f t="shared" si="162"/>
        <v/>
      </c>
      <c r="IE34" s="57" t="str">
        <f t="shared" si="163"/>
        <v/>
      </c>
      <c r="IF34" s="57" t="str">
        <f t="shared" si="164"/>
        <v/>
      </c>
      <c r="IG34" s="57"/>
      <c r="IH34" s="55" t="e">
        <f t="shared" si="165"/>
        <v>#N/A</v>
      </c>
      <c r="II34" s="59" t="e">
        <f>IF(GY34&gt;100,"",IF(GY34&gt;FQ$1,"sangat baik dalam "&amp;IH34,IF(GY34&gt;=FQ$2," baik dalam "&amp;IH34,IF(GY34&gt;=FQ$3,"cukup dalam "&amp;IH34,IF(GY34&lt;FQ$3,"dengan bimbingan dapat meningkatkan dalam "&amp;IH34,IF(GY34&lt;1," ",””))))))</f>
        <v>#N/A</v>
      </c>
      <c r="IJ34" s="60"/>
      <c r="IK34" s="61" t="s">
        <v>201</v>
      </c>
      <c r="IL34" s="62" t="e">
        <f t="shared" si="166"/>
        <v>#N/A</v>
      </c>
    </row>
    <row r="35" spans="1:246">
      <c r="A35" s="39">
        <v>28</v>
      </c>
      <c r="B35" s="283">
        <f>SISWA!B33</f>
        <v>0</v>
      </c>
      <c r="C35" s="123"/>
      <c r="D35" s="123"/>
      <c r="E35" s="123"/>
      <c r="F35" s="123"/>
      <c r="G35" s="123"/>
      <c r="H35" s="123"/>
      <c r="I35" s="123"/>
      <c r="J35" s="123"/>
      <c r="K35" s="123"/>
      <c r="L35" s="123"/>
      <c r="M35" s="123"/>
      <c r="N35" s="123"/>
      <c r="O35" s="123"/>
      <c r="P35" s="256"/>
      <c r="Q35" s="256"/>
      <c r="R35" s="256"/>
      <c r="S35" s="256"/>
      <c r="T35" s="256"/>
      <c r="U35" s="256"/>
      <c r="V35" s="256"/>
      <c r="W35" s="256"/>
      <c r="X35" s="256"/>
      <c r="Y35" s="256"/>
      <c r="Z35" s="256"/>
      <c r="AA35" s="256"/>
      <c r="AB35" s="256"/>
      <c r="AC35" s="683"/>
      <c r="AD35" s="683"/>
      <c r="AE35" s="683"/>
      <c r="AF35" s="683"/>
      <c r="AG35" s="683"/>
      <c r="AH35" s="683"/>
      <c r="AI35" s="683"/>
      <c r="AJ35" s="683"/>
      <c r="AK35" s="683"/>
      <c r="AL35" s="683"/>
      <c r="AM35" s="683"/>
      <c r="AN35" s="683"/>
      <c r="AO35" s="683"/>
      <c r="AP35" s="680"/>
      <c r="AQ35" s="680"/>
      <c r="AR35" s="680"/>
      <c r="AS35" s="680"/>
      <c r="AT35" s="680"/>
      <c r="AU35" s="680"/>
      <c r="AV35" s="680"/>
      <c r="AW35" s="680"/>
      <c r="AX35" s="680"/>
      <c r="AY35" s="680"/>
      <c r="AZ35" s="680"/>
      <c r="BA35" s="680"/>
      <c r="BB35" s="680"/>
      <c r="BC35" s="683"/>
      <c r="BD35" s="683"/>
      <c r="BE35" s="683"/>
      <c r="BF35" s="683"/>
      <c r="BG35" s="683"/>
      <c r="BH35" s="683"/>
      <c r="BI35" s="683"/>
      <c r="BJ35" s="683"/>
      <c r="BK35" s="683"/>
      <c r="BL35" s="683"/>
      <c r="BM35" s="683"/>
      <c r="BN35" s="683"/>
      <c r="BO35" s="683"/>
      <c r="BP35" s="680"/>
      <c r="BQ35" s="680"/>
      <c r="BR35" s="680"/>
      <c r="BS35" s="680"/>
      <c r="BT35" s="680"/>
      <c r="BU35" s="680"/>
      <c r="BV35" s="680"/>
      <c r="BW35" s="680"/>
      <c r="BX35" s="680"/>
      <c r="BY35" s="680"/>
      <c r="BZ35" s="680"/>
      <c r="CA35" s="680"/>
      <c r="CB35" s="680"/>
      <c r="CC35" s="683"/>
      <c r="CD35" s="683"/>
      <c r="CE35" s="683"/>
      <c r="CF35" s="683"/>
      <c r="CG35" s="683"/>
      <c r="CH35" s="683"/>
      <c r="CI35" s="683"/>
      <c r="CJ35" s="683"/>
      <c r="CK35" s="683"/>
      <c r="CL35" s="683"/>
      <c r="CM35" s="683"/>
      <c r="CN35" s="683"/>
      <c r="CO35" s="683"/>
      <c r="CP35" s="680"/>
      <c r="CQ35" s="680"/>
      <c r="CR35" s="680"/>
      <c r="CS35" s="680"/>
      <c r="CT35" s="680"/>
      <c r="CU35" s="680"/>
      <c r="CV35" s="680"/>
      <c r="CW35" s="680"/>
      <c r="CX35" s="680"/>
      <c r="CY35" s="681"/>
      <c r="CZ35" s="681"/>
      <c r="DA35" s="681"/>
      <c r="DB35" s="681"/>
      <c r="DC35" s="682"/>
      <c r="DD35" s="682"/>
      <c r="DE35" s="682"/>
      <c r="DF35" s="682"/>
      <c r="DG35" s="682"/>
      <c r="DH35" s="682"/>
      <c r="DI35" s="682"/>
      <c r="DJ35" s="682"/>
      <c r="DK35" s="682"/>
      <c r="DL35" s="682"/>
      <c r="DM35" s="682"/>
      <c r="DN35" s="682"/>
      <c r="DO35" s="682"/>
      <c r="DP35" s="681"/>
      <c r="DQ35" s="681"/>
      <c r="DR35" s="681"/>
      <c r="DS35" s="681"/>
      <c r="DT35" s="681"/>
      <c r="DU35" s="681"/>
      <c r="DV35" s="681"/>
      <c r="DW35" s="681"/>
      <c r="DX35" s="681"/>
      <c r="DY35" s="681"/>
      <c r="DZ35" s="681"/>
      <c r="EA35" s="681"/>
      <c r="EB35" s="681"/>
      <c r="EC35" s="260" t="str">
        <f t="shared" si="91"/>
        <v xml:space="preserve"> </v>
      </c>
      <c r="ED35" s="260" t="str">
        <f t="shared" si="92"/>
        <v xml:space="preserve"> </v>
      </c>
      <c r="EE35" s="260" t="str">
        <f t="shared" si="93"/>
        <v xml:space="preserve"> </v>
      </c>
      <c r="EF35" s="260" t="str">
        <f t="shared" si="94"/>
        <v xml:space="preserve"> </v>
      </c>
      <c r="EG35" s="260" t="str">
        <f t="shared" si="95"/>
        <v xml:space="preserve"> </v>
      </c>
      <c r="EH35" s="260" t="str">
        <f t="shared" si="96"/>
        <v xml:space="preserve"> </v>
      </c>
      <c r="EI35" s="260" t="str">
        <f t="shared" si="97"/>
        <v xml:space="preserve"> </v>
      </c>
      <c r="EJ35" s="260" t="str">
        <f t="shared" si="98"/>
        <v xml:space="preserve"> </v>
      </c>
      <c r="EK35" s="260" t="str">
        <f t="shared" si="99"/>
        <v xml:space="preserve"> </v>
      </c>
      <c r="EL35" s="260" t="str">
        <f t="shared" si="100"/>
        <v xml:space="preserve"> </v>
      </c>
      <c r="EM35" s="260" t="str">
        <f t="shared" si="101"/>
        <v xml:space="preserve"> </v>
      </c>
      <c r="EN35" s="260" t="str">
        <f t="shared" si="102"/>
        <v xml:space="preserve"> </v>
      </c>
      <c r="EO35" s="260" t="str">
        <f t="shared" si="103"/>
        <v xml:space="preserve"> </v>
      </c>
      <c r="EP35" s="547"/>
      <c r="EQ35" s="547"/>
      <c r="ER35" s="547"/>
      <c r="ES35" s="547"/>
      <c r="ET35" s="547"/>
      <c r="EU35" s="547"/>
      <c r="EV35" s="547"/>
      <c r="EW35" s="547"/>
      <c r="EX35" s="547"/>
      <c r="EY35" s="547"/>
      <c r="EZ35" s="547"/>
      <c r="FA35" s="547"/>
      <c r="FB35" s="547"/>
      <c r="FC35" s="560"/>
      <c r="FD35" s="560"/>
      <c r="FE35" s="560"/>
      <c r="FF35" s="560"/>
      <c r="FG35" s="560"/>
      <c r="FH35" s="560"/>
      <c r="FI35" s="560"/>
      <c r="FJ35" s="560"/>
      <c r="FK35" s="560"/>
      <c r="FL35" s="560"/>
      <c r="FM35" s="560"/>
      <c r="FN35" s="560"/>
      <c r="FO35" s="560"/>
      <c r="FP35" s="549" t="str">
        <f t="shared" si="104"/>
        <v xml:space="preserve"> </v>
      </c>
      <c r="FQ35" s="291" t="str">
        <f t="shared" si="105"/>
        <v xml:space="preserve">  </v>
      </c>
      <c r="FR35" s="50" t="str">
        <f t="shared" si="106"/>
        <v xml:space="preserve"> </v>
      </c>
      <c r="FS35" s="282"/>
      <c r="FT35" s="51"/>
      <c r="FU35" s="46" t="str">
        <f t="shared" si="107"/>
        <v xml:space="preserve"> </v>
      </c>
      <c r="FV35" s="46" t="str">
        <f t="shared" si="108"/>
        <v xml:space="preserve"> </v>
      </c>
      <c r="FW35" s="46" t="str">
        <f t="shared" si="109"/>
        <v xml:space="preserve"> </v>
      </c>
      <c r="FX35" s="46" t="str">
        <f t="shared" si="110"/>
        <v xml:space="preserve"> </v>
      </c>
      <c r="FY35" s="46" t="str">
        <f t="shared" si="111"/>
        <v xml:space="preserve"> </v>
      </c>
      <c r="FZ35" s="46" t="str">
        <f t="shared" si="112"/>
        <v xml:space="preserve"> </v>
      </c>
      <c r="GA35" s="46" t="str">
        <f t="shared" si="113"/>
        <v xml:space="preserve"> </v>
      </c>
      <c r="GB35" s="46" t="str">
        <f t="shared" si="114"/>
        <v xml:space="preserve"> </v>
      </c>
      <c r="GC35" s="46" t="str">
        <f t="shared" si="115"/>
        <v xml:space="preserve"> </v>
      </c>
      <c r="GD35" s="46" t="str">
        <f t="shared" si="116"/>
        <v xml:space="preserve"> </v>
      </c>
      <c r="GE35" s="46" t="str">
        <f t="shared" si="117"/>
        <v xml:space="preserve"> </v>
      </c>
      <c r="GF35" s="46" t="str">
        <f t="shared" si="118"/>
        <v xml:space="preserve"> </v>
      </c>
      <c r="GG35" s="46" t="str">
        <f t="shared" si="119"/>
        <v xml:space="preserve"> </v>
      </c>
      <c r="GH35" s="46"/>
      <c r="GI35" s="53" t="str">
        <f t="shared" si="120"/>
        <v xml:space="preserve">  </v>
      </c>
      <c r="GJ35" s="53" t="str">
        <f t="shared" si="121"/>
        <v xml:space="preserve">  </v>
      </c>
      <c r="GK35" s="53" t="str">
        <f t="shared" si="122"/>
        <v xml:space="preserve">  </v>
      </c>
      <c r="GL35" s="53" t="str">
        <f t="shared" si="123"/>
        <v xml:space="preserve">  </v>
      </c>
      <c r="GM35" s="53" t="str">
        <f t="shared" si="124"/>
        <v xml:space="preserve">  </v>
      </c>
      <c r="GN35" s="53" t="str">
        <f t="shared" si="125"/>
        <v xml:space="preserve">  </v>
      </c>
      <c r="GO35" s="53" t="str">
        <f t="shared" si="126"/>
        <v xml:space="preserve">  </v>
      </c>
      <c r="GP35" s="53" t="str">
        <f t="shared" si="127"/>
        <v xml:space="preserve">  </v>
      </c>
      <c r="GQ35" s="53" t="str">
        <f t="shared" si="128"/>
        <v xml:space="preserve">  </v>
      </c>
      <c r="GR35" s="53" t="str">
        <f t="shared" si="129"/>
        <v xml:space="preserve">  </v>
      </c>
      <c r="GS35" s="53" t="str">
        <f t="shared" si="130"/>
        <v xml:space="preserve">  </v>
      </c>
      <c r="GT35" s="53" t="str">
        <f t="shared" si="131"/>
        <v xml:space="preserve">  </v>
      </c>
      <c r="GU35" s="53" t="str">
        <f t="shared" si="132"/>
        <v xml:space="preserve">  </v>
      </c>
      <c r="GV35" s="54" t="str">
        <f t="shared" si="133"/>
        <v xml:space="preserve"> </v>
      </c>
      <c r="GW35" s="51"/>
      <c r="GX35" s="351">
        <f t="shared" si="134"/>
        <v>0</v>
      </c>
      <c r="GY35" s="351">
        <f t="shared" si="135"/>
        <v>0</v>
      </c>
      <c r="GZ35" s="51">
        <f>SISWA!E33</f>
        <v>0</v>
      </c>
      <c r="HA35" s="51" t="str">
        <f t="shared" si="136"/>
        <v/>
      </c>
      <c r="HB35" s="56" t="str">
        <f t="shared" si="137"/>
        <v/>
      </c>
      <c r="HC35" s="56" t="str">
        <f t="shared" si="138"/>
        <v/>
      </c>
      <c r="HD35" s="56" t="str">
        <f t="shared" si="139"/>
        <v/>
      </c>
      <c r="HE35" s="56" t="str">
        <f t="shared" si="140"/>
        <v/>
      </c>
      <c r="HF35" s="56" t="str">
        <f t="shared" si="141"/>
        <v/>
      </c>
      <c r="HG35" s="56" t="str">
        <f t="shared" si="142"/>
        <v/>
      </c>
      <c r="HH35" s="56" t="str">
        <f t="shared" si="143"/>
        <v/>
      </c>
      <c r="HI35" s="56" t="str">
        <f t="shared" si="144"/>
        <v/>
      </c>
      <c r="HJ35" s="56" t="str">
        <f t="shared" si="145"/>
        <v/>
      </c>
      <c r="HK35" s="56" t="str">
        <f t="shared" si="146"/>
        <v/>
      </c>
      <c r="HL35" s="56" t="str">
        <f t="shared" si="147"/>
        <v/>
      </c>
      <c r="HM35" s="56" t="str">
        <f t="shared" si="148"/>
        <v/>
      </c>
      <c r="HN35" s="56" t="str">
        <f t="shared" si="149"/>
        <v/>
      </c>
      <c r="HO35" s="58">
        <f t="shared" si="150"/>
        <v>0</v>
      </c>
      <c r="HP35" s="55" t="e">
        <f t="shared" si="151"/>
        <v>#N/A</v>
      </c>
      <c r="HQ35" s="58"/>
      <c r="HR35" s="59" t="e">
        <f>IF(GX35&gt;100,"",IF(GX35&gt;FQ$1,"sangat baik dalam "&amp;HP35,IF(GX35&gt;=FQ$2," baik dalam "&amp;HP35,IF(GX35&gt;=FQ$3,"cukup dalam "&amp;HP35,IF(GX35&lt;FQ$3,"dengan bimbingan dapat meningkatkan dalam "&amp;HP35,IF(GX35&lt;1," ",””))))))</f>
        <v>#N/A</v>
      </c>
      <c r="HS35" s="58"/>
      <c r="HT35" s="57" t="str">
        <f t="shared" si="152"/>
        <v/>
      </c>
      <c r="HU35" s="57" t="str">
        <f t="shared" si="153"/>
        <v/>
      </c>
      <c r="HV35" s="57" t="str">
        <f t="shared" si="154"/>
        <v/>
      </c>
      <c r="HW35" s="57" t="str">
        <f t="shared" si="155"/>
        <v/>
      </c>
      <c r="HX35" s="57" t="str">
        <f t="shared" si="156"/>
        <v/>
      </c>
      <c r="HY35" s="57" t="str">
        <f t="shared" si="157"/>
        <v/>
      </c>
      <c r="HZ35" s="57" t="str">
        <f t="shared" si="158"/>
        <v/>
      </c>
      <c r="IA35" s="57" t="str">
        <f t="shared" si="159"/>
        <v/>
      </c>
      <c r="IB35" s="57" t="str">
        <f t="shared" si="160"/>
        <v/>
      </c>
      <c r="IC35" s="57" t="str">
        <f t="shared" si="161"/>
        <v/>
      </c>
      <c r="ID35" s="57" t="str">
        <f t="shared" si="162"/>
        <v/>
      </c>
      <c r="IE35" s="57" t="str">
        <f t="shared" si="163"/>
        <v/>
      </c>
      <c r="IF35" s="57" t="str">
        <f t="shared" si="164"/>
        <v/>
      </c>
      <c r="IG35" s="57"/>
      <c r="IH35" s="55" t="e">
        <f t="shared" si="165"/>
        <v>#N/A</v>
      </c>
      <c r="II35" s="59" t="e">
        <f>IF(GY35&gt;100,"",IF(GY35&gt;FQ$1,"sangat baik dalam "&amp;IH35,IF(GY35&gt;=FQ$2," baik dalam "&amp;IH35,IF(GY35&gt;=FQ$3,"cukup dalam "&amp;IH35,IF(GY35&lt;FQ$3,"dengan bimbingan dapat meningkatkan dalam "&amp;IH35,IF(GY35&lt;1," ",””))))))</f>
        <v>#N/A</v>
      </c>
      <c r="IJ35" s="60"/>
      <c r="IK35" s="61" t="s">
        <v>201</v>
      </c>
      <c r="IL35" s="62" t="e">
        <f t="shared" si="166"/>
        <v>#N/A</v>
      </c>
    </row>
    <row r="36" spans="1:246">
      <c r="A36" s="39">
        <v>29</v>
      </c>
      <c r="B36" s="283">
        <f>SISWA!B34</f>
        <v>0</v>
      </c>
      <c r="C36" s="123"/>
      <c r="D36" s="123"/>
      <c r="E36" s="123"/>
      <c r="F36" s="123"/>
      <c r="G36" s="123"/>
      <c r="H36" s="123"/>
      <c r="I36" s="123"/>
      <c r="J36" s="123"/>
      <c r="K36" s="123"/>
      <c r="L36" s="123"/>
      <c r="M36" s="123"/>
      <c r="N36" s="123"/>
      <c r="O36" s="123"/>
      <c r="P36" s="256"/>
      <c r="Q36" s="256"/>
      <c r="R36" s="256"/>
      <c r="S36" s="256"/>
      <c r="T36" s="256"/>
      <c r="U36" s="256"/>
      <c r="V36" s="256"/>
      <c r="W36" s="256"/>
      <c r="X36" s="256"/>
      <c r="Y36" s="256"/>
      <c r="Z36" s="256"/>
      <c r="AA36" s="256"/>
      <c r="AB36" s="256"/>
      <c r="AC36" s="683"/>
      <c r="AD36" s="683"/>
      <c r="AE36" s="683"/>
      <c r="AF36" s="683"/>
      <c r="AG36" s="683"/>
      <c r="AH36" s="683"/>
      <c r="AI36" s="683"/>
      <c r="AJ36" s="683"/>
      <c r="AK36" s="683"/>
      <c r="AL36" s="683"/>
      <c r="AM36" s="683"/>
      <c r="AN36" s="683"/>
      <c r="AO36" s="683"/>
      <c r="AP36" s="680"/>
      <c r="AQ36" s="680"/>
      <c r="AR36" s="680"/>
      <c r="AS36" s="680"/>
      <c r="AT36" s="680"/>
      <c r="AU36" s="680"/>
      <c r="AV36" s="680"/>
      <c r="AW36" s="680"/>
      <c r="AX36" s="680"/>
      <c r="AY36" s="680"/>
      <c r="AZ36" s="680"/>
      <c r="BA36" s="680"/>
      <c r="BB36" s="680"/>
      <c r="BC36" s="683"/>
      <c r="BD36" s="683"/>
      <c r="BE36" s="683"/>
      <c r="BF36" s="683"/>
      <c r="BG36" s="683"/>
      <c r="BH36" s="683"/>
      <c r="BI36" s="683"/>
      <c r="BJ36" s="683"/>
      <c r="BK36" s="683"/>
      <c r="BL36" s="683"/>
      <c r="BM36" s="683"/>
      <c r="BN36" s="683"/>
      <c r="BO36" s="683"/>
      <c r="BP36" s="680"/>
      <c r="BQ36" s="680"/>
      <c r="BR36" s="680"/>
      <c r="BS36" s="680"/>
      <c r="BT36" s="680"/>
      <c r="BU36" s="680"/>
      <c r="BV36" s="680"/>
      <c r="BW36" s="680"/>
      <c r="BX36" s="680"/>
      <c r="BY36" s="680"/>
      <c r="BZ36" s="680"/>
      <c r="CA36" s="680"/>
      <c r="CB36" s="680"/>
      <c r="CC36" s="683"/>
      <c r="CD36" s="683"/>
      <c r="CE36" s="683"/>
      <c r="CF36" s="683"/>
      <c r="CG36" s="683"/>
      <c r="CH36" s="683"/>
      <c r="CI36" s="683"/>
      <c r="CJ36" s="683"/>
      <c r="CK36" s="683"/>
      <c r="CL36" s="683"/>
      <c r="CM36" s="683"/>
      <c r="CN36" s="683"/>
      <c r="CO36" s="683"/>
      <c r="CP36" s="680"/>
      <c r="CQ36" s="680"/>
      <c r="CR36" s="680"/>
      <c r="CS36" s="680"/>
      <c r="CT36" s="680"/>
      <c r="CU36" s="680"/>
      <c r="CV36" s="680"/>
      <c r="CW36" s="680"/>
      <c r="CX36" s="680"/>
      <c r="CY36" s="681"/>
      <c r="CZ36" s="681"/>
      <c r="DA36" s="681"/>
      <c r="DB36" s="681"/>
      <c r="DC36" s="682"/>
      <c r="DD36" s="682"/>
      <c r="DE36" s="682"/>
      <c r="DF36" s="682"/>
      <c r="DG36" s="682"/>
      <c r="DH36" s="682"/>
      <c r="DI36" s="682"/>
      <c r="DJ36" s="682"/>
      <c r="DK36" s="682"/>
      <c r="DL36" s="682"/>
      <c r="DM36" s="682"/>
      <c r="DN36" s="682"/>
      <c r="DO36" s="682"/>
      <c r="DP36" s="681"/>
      <c r="DQ36" s="681"/>
      <c r="DR36" s="681"/>
      <c r="DS36" s="681"/>
      <c r="DT36" s="681"/>
      <c r="DU36" s="681"/>
      <c r="DV36" s="681"/>
      <c r="DW36" s="681"/>
      <c r="DX36" s="681"/>
      <c r="DY36" s="681"/>
      <c r="DZ36" s="681"/>
      <c r="EA36" s="681"/>
      <c r="EB36" s="681"/>
      <c r="EC36" s="260" t="str">
        <f t="shared" si="91"/>
        <v xml:space="preserve"> </v>
      </c>
      <c r="ED36" s="260" t="str">
        <f t="shared" si="92"/>
        <v xml:space="preserve"> </v>
      </c>
      <c r="EE36" s="260" t="str">
        <f t="shared" si="93"/>
        <v xml:space="preserve"> </v>
      </c>
      <c r="EF36" s="260" t="str">
        <f t="shared" si="94"/>
        <v xml:space="preserve"> </v>
      </c>
      <c r="EG36" s="260" t="str">
        <f t="shared" si="95"/>
        <v xml:space="preserve"> </v>
      </c>
      <c r="EH36" s="260" t="str">
        <f t="shared" si="96"/>
        <v xml:space="preserve"> </v>
      </c>
      <c r="EI36" s="260" t="str">
        <f t="shared" si="97"/>
        <v xml:space="preserve"> </v>
      </c>
      <c r="EJ36" s="260" t="str">
        <f t="shared" si="98"/>
        <v xml:space="preserve"> </v>
      </c>
      <c r="EK36" s="260" t="str">
        <f t="shared" si="99"/>
        <v xml:space="preserve"> </v>
      </c>
      <c r="EL36" s="260" t="str">
        <f t="shared" si="100"/>
        <v xml:space="preserve"> </v>
      </c>
      <c r="EM36" s="260" t="str">
        <f t="shared" si="101"/>
        <v xml:space="preserve"> </v>
      </c>
      <c r="EN36" s="260" t="str">
        <f t="shared" si="102"/>
        <v xml:space="preserve"> </v>
      </c>
      <c r="EO36" s="260" t="str">
        <f t="shared" si="103"/>
        <v xml:space="preserve"> </v>
      </c>
      <c r="EP36" s="547"/>
      <c r="EQ36" s="547"/>
      <c r="ER36" s="547"/>
      <c r="ES36" s="547"/>
      <c r="ET36" s="547"/>
      <c r="EU36" s="547"/>
      <c r="EV36" s="547"/>
      <c r="EW36" s="547"/>
      <c r="EX36" s="547"/>
      <c r="EY36" s="547"/>
      <c r="EZ36" s="547"/>
      <c r="FA36" s="547"/>
      <c r="FB36" s="547"/>
      <c r="FC36" s="560"/>
      <c r="FD36" s="560"/>
      <c r="FE36" s="560"/>
      <c r="FF36" s="560"/>
      <c r="FG36" s="560"/>
      <c r="FH36" s="560"/>
      <c r="FI36" s="560"/>
      <c r="FJ36" s="560"/>
      <c r="FK36" s="560"/>
      <c r="FL36" s="560"/>
      <c r="FM36" s="560"/>
      <c r="FN36" s="560"/>
      <c r="FO36" s="560"/>
      <c r="FP36" s="549" t="str">
        <f t="shared" si="104"/>
        <v xml:space="preserve"> </v>
      </c>
      <c r="FQ36" s="291" t="str">
        <f t="shared" si="105"/>
        <v xml:space="preserve">  </v>
      </c>
      <c r="FR36" s="50" t="str">
        <f t="shared" si="106"/>
        <v xml:space="preserve"> </v>
      </c>
      <c r="FS36" s="282"/>
      <c r="FT36" s="51"/>
      <c r="FU36" s="46" t="str">
        <f t="shared" si="107"/>
        <v xml:space="preserve"> </v>
      </c>
      <c r="FV36" s="46" t="str">
        <f t="shared" si="108"/>
        <v xml:space="preserve"> </v>
      </c>
      <c r="FW36" s="46" t="str">
        <f t="shared" si="109"/>
        <v xml:space="preserve"> </v>
      </c>
      <c r="FX36" s="46" t="str">
        <f t="shared" si="110"/>
        <v xml:space="preserve"> </v>
      </c>
      <c r="FY36" s="46" t="str">
        <f t="shared" si="111"/>
        <v xml:space="preserve"> </v>
      </c>
      <c r="FZ36" s="46" t="str">
        <f t="shared" si="112"/>
        <v xml:space="preserve"> </v>
      </c>
      <c r="GA36" s="46" t="str">
        <f t="shared" si="113"/>
        <v xml:space="preserve"> </v>
      </c>
      <c r="GB36" s="46" t="str">
        <f t="shared" si="114"/>
        <v xml:space="preserve"> </v>
      </c>
      <c r="GC36" s="46" t="str">
        <f t="shared" si="115"/>
        <v xml:space="preserve"> </v>
      </c>
      <c r="GD36" s="46" t="str">
        <f t="shared" si="116"/>
        <v xml:space="preserve"> </v>
      </c>
      <c r="GE36" s="46" t="str">
        <f t="shared" si="117"/>
        <v xml:space="preserve"> </v>
      </c>
      <c r="GF36" s="46" t="str">
        <f t="shared" si="118"/>
        <v xml:space="preserve"> </v>
      </c>
      <c r="GG36" s="46" t="str">
        <f t="shared" si="119"/>
        <v xml:space="preserve"> </v>
      </c>
      <c r="GH36" s="46"/>
      <c r="GI36" s="53" t="str">
        <f t="shared" si="120"/>
        <v xml:space="preserve">  </v>
      </c>
      <c r="GJ36" s="53" t="str">
        <f t="shared" si="121"/>
        <v xml:space="preserve">  </v>
      </c>
      <c r="GK36" s="53" t="str">
        <f t="shared" si="122"/>
        <v xml:space="preserve">  </v>
      </c>
      <c r="GL36" s="53" t="str">
        <f t="shared" si="123"/>
        <v xml:space="preserve">  </v>
      </c>
      <c r="GM36" s="53" t="str">
        <f t="shared" si="124"/>
        <v xml:space="preserve">  </v>
      </c>
      <c r="GN36" s="53" t="str">
        <f t="shared" si="125"/>
        <v xml:space="preserve">  </v>
      </c>
      <c r="GO36" s="53" t="str">
        <f t="shared" si="126"/>
        <v xml:space="preserve">  </v>
      </c>
      <c r="GP36" s="53" t="str">
        <f t="shared" si="127"/>
        <v xml:space="preserve">  </v>
      </c>
      <c r="GQ36" s="53" t="str">
        <f t="shared" si="128"/>
        <v xml:space="preserve">  </v>
      </c>
      <c r="GR36" s="53" t="str">
        <f t="shared" si="129"/>
        <v xml:space="preserve">  </v>
      </c>
      <c r="GS36" s="53" t="str">
        <f t="shared" si="130"/>
        <v xml:space="preserve">  </v>
      </c>
      <c r="GT36" s="53" t="str">
        <f t="shared" si="131"/>
        <v xml:space="preserve">  </v>
      </c>
      <c r="GU36" s="53" t="str">
        <f t="shared" si="132"/>
        <v xml:space="preserve">  </v>
      </c>
      <c r="GV36" s="54" t="str">
        <f t="shared" si="133"/>
        <v xml:space="preserve"> </v>
      </c>
      <c r="GW36" s="51"/>
      <c r="GX36" s="351">
        <f t="shared" si="134"/>
        <v>0</v>
      </c>
      <c r="GY36" s="351">
        <f t="shared" si="135"/>
        <v>0</v>
      </c>
      <c r="GZ36" s="51">
        <f>SISWA!E34</f>
        <v>0</v>
      </c>
      <c r="HA36" s="51" t="str">
        <f t="shared" si="136"/>
        <v/>
      </c>
      <c r="HB36" s="56" t="str">
        <f t="shared" si="137"/>
        <v/>
      </c>
      <c r="HC36" s="56" t="str">
        <f t="shared" si="138"/>
        <v/>
      </c>
      <c r="HD36" s="56" t="str">
        <f t="shared" si="139"/>
        <v/>
      </c>
      <c r="HE36" s="56" t="str">
        <f t="shared" si="140"/>
        <v/>
      </c>
      <c r="HF36" s="56" t="str">
        <f t="shared" si="141"/>
        <v/>
      </c>
      <c r="HG36" s="56" t="str">
        <f t="shared" si="142"/>
        <v/>
      </c>
      <c r="HH36" s="56" t="str">
        <f t="shared" si="143"/>
        <v/>
      </c>
      <c r="HI36" s="56" t="str">
        <f t="shared" si="144"/>
        <v/>
      </c>
      <c r="HJ36" s="56" t="str">
        <f t="shared" si="145"/>
        <v/>
      </c>
      <c r="HK36" s="56" t="str">
        <f t="shared" si="146"/>
        <v/>
      </c>
      <c r="HL36" s="56" t="str">
        <f t="shared" si="147"/>
        <v/>
      </c>
      <c r="HM36" s="56" t="str">
        <f t="shared" si="148"/>
        <v/>
      </c>
      <c r="HN36" s="56" t="str">
        <f t="shared" si="149"/>
        <v/>
      </c>
      <c r="HO36" s="58">
        <f t="shared" si="150"/>
        <v>0</v>
      </c>
      <c r="HP36" s="55" t="e">
        <f t="shared" si="151"/>
        <v>#N/A</v>
      </c>
      <c r="HQ36" s="58"/>
      <c r="HR36" s="59" t="e">
        <f>IF(GX36&gt;100,"",IF(GX36&gt;FQ$1,"sangat baik dalam "&amp;HP36,IF(GX36&gt;=FQ$2," baik dalam "&amp;HP36,IF(GX36&gt;=FQ$3,"cukup dalam "&amp;HP36,IF(GX36&lt;FQ$3,"dengan bimbingan dapat meningkatkan dalam "&amp;HP36,IF(GX36&lt;1," ",””))))))</f>
        <v>#N/A</v>
      </c>
      <c r="HS36" s="58"/>
      <c r="HT36" s="57" t="str">
        <f t="shared" si="152"/>
        <v/>
      </c>
      <c r="HU36" s="57" t="str">
        <f t="shared" si="153"/>
        <v/>
      </c>
      <c r="HV36" s="57" t="str">
        <f t="shared" si="154"/>
        <v/>
      </c>
      <c r="HW36" s="57" t="str">
        <f t="shared" si="155"/>
        <v/>
      </c>
      <c r="HX36" s="57" t="str">
        <f t="shared" si="156"/>
        <v/>
      </c>
      <c r="HY36" s="57" t="str">
        <f t="shared" si="157"/>
        <v/>
      </c>
      <c r="HZ36" s="57" t="str">
        <f t="shared" si="158"/>
        <v/>
      </c>
      <c r="IA36" s="57" t="str">
        <f t="shared" si="159"/>
        <v/>
      </c>
      <c r="IB36" s="57" t="str">
        <f t="shared" si="160"/>
        <v/>
      </c>
      <c r="IC36" s="57" t="str">
        <f t="shared" si="161"/>
        <v/>
      </c>
      <c r="ID36" s="57" t="str">
        <f t="shared" si="162"/>
        <v/>
      </c>
      <c r="IE36" s="57" t="str">
        <f t="shared" si="163"/>
        <v/>
      </c>
      <c r="IF36" s="57" t="str">
        <f t="shared" si="164"/>
        <v/>
      </c>
      <c r="IG36" s="57"/>
      <c r="IH36" s="55" t="e">
        <f t="shared" si="165"/>
        <v>#N/A</v>
      </c>
      <c r="II36" s="59" t="e">
        <f>IF(GY36&gt;100,"",IF(GY36&gt;FQ$1,"sangat baik dalam "&amp;IH36,IF(GY36&gt;=FQ$2," baik dalam "&amp;IH36,IF(GY36&gt;=FQ$3,"cukup dalam "&amp;IH36,IF(GY36&lt;FQ$3,"dengan bimbingan dapat meningkatkan dalam "&amp;IH36,IF(GY36&lt;1," ",””))))))</f>
        <v>#N/A</v>
      </c>
      <c r="IJ36" s="60"/>
      <c r="IK36" s="61" t="s">
        <v>201</v>
      </c>
      <c r="IL36" s="62" t="e">
        <f t="shared" si="166"/>
        <v>#N/A</v>
      </c>
    </row>
    <row r="37" spans="1:246">
      <c r="A37" s="39">
        <v>30</v>
      </c>
      <c r="B37" s="283">
        <f>SISWA!B35</f>
        <v>0</v>
      </c>
      <c r="C37" s="123"/>
      <c r="D37" s="123"/>
      <c r="E37" s="123"/>
      <c r="F37" s="123"/>
      <c r="G37" s="123"/>
      <c r="H37" s="123"/>
      <c r="I37" s="123"/>
      <c r="J37" s="123"/>
      <c r="K37" s="123"/>
      <c r="L37" s="123"/>
      <c r="M37" s="123"/>
      <c r="N37" s="123"/>
      <c r="O37" s="123"/>
      <c r="P37" s="256"/>
      <c r="Q37" s="256"/>
      <c r="R37" s="256"/>
      <c r="S37" s="256"/>
      <c r="T37" s="256"/>
      <c r="U37" s="256"/>
      <c r="V37" s="256"/>
      <c r="W37" s="256"/>
      <c r="X37" s="256"/>
      <c r="Y37" s="256"/>
      <c r="Z37" s="256"/>
      <c r="AA37" s="256"/>
      <c r="AB37" s="256"/>
      <c r="AC37" s="683"/>
      <c r="AD37" s="683"/>
      <c r="AE37" s="683"/>
      <c r="AF37" s="683"/>
      <c r="AG37" s="683"/>
      <c r="AH37" s="683"/>
      <c r="AI37" s="683"/>
      <c r="AJ37" s="683"/>
      <c r="AK37" s="683"/>
      <c r="AL37" s="683"/>
      <c r="AM37" s="683"/>
      <c r="AN37" s="683"/>
      <c r="AO37" s="683"/>
      <c r="AP37" s="680"/>
      <c r="AQ37" s="680"/>
      <c r="AR37" s="680"/>
      <c r="AS37" s="680"/>
      <c r="AT37" s="680"/>
      <c r="AU37" s="680"/>
      <c r="AV37" s="680"/>
      <c r="AW37" s="680"/>
      <c r="AX37" s="680"/>
      <c r="AY37" s="680"/>
      <c r="AZ37" s="680"/>
      <c r="BA37" s="680"/>
      <c r="BB37" s="680"/>
      <c r="BC37" s="683"/>
      <c r="BD37" s="683"/>
      <c r="BE37" s="683"/>
      <c r="BF37" s="683"/>
      <c r="BG37" s="683"/>
      <c r="BH37" s="683"/>
      <c r="BI37" s="683"/>
      <c r="BJ37" s="683"/>
      <c r="BK37" s="683"/>
      <c r="BL37" s="683"/>
      <c r="BM37" s="683"/>
      <c r="BN37" s="683"/>
      <c r="BO37" s="683"/>
      <c r="BP37" s="680"/>
      <c r="BQ37" s="680"/>
      <c r="BR37" s="680"/>
      <c r="BS37" s="680"/>
      <c r="BT37" s="680"/>
      <c r="BU37" s="680"/>
      <c r="BV37" s="680"/>
      <c r="BW37" s="680"/>
      <c r="BX37" s="680"/>
      <c r="BY37" s="680"/>
      <c r="BZ37" s="680"/>
      <c r="CA37" s="680"/>
      <c r="CB37" s="680"/>
      <c r="CC37" s="683"/>
      <c r="CD37" s="683"/>
      <c r="CE37" s="683"/>
      <c r="CF37" s="683"/>
      <c r="CG37" s="683"/>
      <c r="CH37" s="683"/>
      <c r="CI37" s="683"/>
      <c r="CJ37" s="683"/>
      <c r="CK37" s="683"/>
      <c r="CL37" s="683"/>
      <c r="CM37" s="683"/>
      <c r="CN37" s="683"/>
      <c r="CO37" s="683"/>
      <c r="CP37" s="680"/>
      <c r="CQ37" s="680"/>
      <c r="CR37" s="680"/>
      <c r="CS37" s="680"/>
      <c r="CT37" s="680"/>
      <c r="CU37" s="680"/>
      <c r="CV37" s="680"/>
      <c r="CW37" s="680"/>
      <c r="CX37" s="680"/>
      <c r="CY37" s="681"/>
      <c r="CZ37" s="681"/>
      <c r="DA37" s="681"/>
      <c r="DB37" s="681"/>
      <c r="DC37" s="682"/>
      <c r="DD37" s="682"/>
      <c r="DE37" s="682"/>
      <c r="DF37" s="682"/>
      <c r="DG37" s="682"/>
      <c r="DH37" s="682"/>
      <c r="DI37" s="682"/>
      <c r="DJ37" s="682"/>
      <c r="DK37" s="682"/>
      <c r="DL37" s="682"/>
      <c r="DM37" s="682"/>
      <c r="DN37" s="682"/>
      <c r="DO37" s="682"/>
      <c r="DP37" s="681"/>
      <c r="DQ37" s="681"/>
      <c r="DR37" s="681"/>
      <c r="DS37" s="681"/>
      <c r="DT37" s="681"/>
      <c r="DU37" s="681"/>
      <c r="DV37" s="681"/>
      <c r="DW37" s="681"/>
      <c r="DX37" s="681"/>
      <c r="DY37" s="681"/>
      <c r="DZ37" s="681"/>
      <c r="EA37" s="681"/>
      <c r="EB37" s="681"/>
      <c r="EC37" s="260" t="str">
        <f t="shared" si="91"/>
        <v xml:space="preserve"> </v>
      </c>
      <c r="ED37" s="260" t="str">
        <f t="shared" si="92"/>
        <v xml:space="preserve"> </v>
      </c>
      <c r="EE37" s="260" t="str">
        <f t="shared" si="93"/>
        <v xml:space="preserve"> </v>
      </c>
      <c r="EF37" s="260" t="str">
        <f t="shared" si="94"/>
        <v xml:space="preserve"> </v>
      </c>
      <c r="EG37" s="260" t="str">
        <f t="shared" si="95"/>
        <v xml:space="preserve"> </v>
      </c>
      <c r="EH37" s="260" t="str">
        <f t="shared" si="96"/>
        <v xml:space="preserve"> </v>
      </c>
      <c r="EI37" s="260" t="str">
        <f t="shared" si="97"/>
        <v xml:space="preserve"> </v>
      </c>
      <c r="EJ37" s="260" t="str">
        <f t="shared" si="98"/>
        <v xml:space="preserve"> </v>
      </c>
      <c r="EK37" s="260" t="str">
        <f t="shared" si="99"/>
        <v xml:space="preserve"> </v>
      </c>
      <c r="EL37" s="260" t="str">
        <f t="shared" si="100"/>
        <v xml:space="preserve"> </v>
      </c>
      <c r="EM37" s="260" t="str">
        <f t="shared" si="101"/>
        <v xml:space="preserve"> </v>
      </c>
      <c r="EN37" s="260" t="str">
        <f t="shared" si="102"/>
        <v xml:space="preserve"> </v>
      </c>
      <c r="EO37" s="260" t="str">
        <f t="shared" si="103"/>
        <v xml:space="preserve"> </v>
      </c>
      <c r="EP37" s="547"/>
      <c r="EQ37" s="547"/>
      <c r="ER37" s="547"/>
      <c r="ES37" s="547"/>
      <c r="ET37" s="547"/>
      <c r="EU37" s="547"/>
      <c r="EV37" s="547"/>
      <c r="EW37" s="547"/>
      <c r="EX37" s="547"/>
      <c r="EY37" s="547"/>
      <c r="EZ37" s="547"/>
      <c r="FA37" s="547"/>
      <c r="FB37" s="547"/>
      <c r="FC37" s="560"/>
      <c r="FD37" s="560"/>
      <c r="FE37" s="560"/>
      <c r="FF37" s="560"/>
      <c r="FG37" s="560"/>
      <c r="FH37" s="560"/>
      <c r="FI37" s="560"/>
      <c r="FJ37" s="560"/>
      <c r="FK37" s="560"/>
      <c r="FL37" s="560"/>
      <c r="FM37" s="560"/>
      <c r="FN37" s="560"/>
      <c r="FO37" s="560"/>
      <c r="FP37" s="549" t="str">
        <f t="shared" si="104"/>
        <v xml:space="preserve"> </v>
      </c>
      <c r="FQ37" s="291" t="str">
        <f t="shared" si="105"/>
        <v xml:space="preserve">  </v>
      </c>
      <c r="FR37" s="50" t="str">
        <f t="shared" si="106"/>
        <v xml:space="preserve"> </v>
      </c>
      <c r="FS37" s="282"/>
      <c r="FT37" s="51"/>
      <c r="FU37" s="46" t="str">
        <f t="shared" si="107"/>
        <v xml:space="preserve"> </v>
      </c>
      <c r="FV37" s="46" t="str">
        <f t="shared" si="108"/>
        <v xml:space="preserve"> </v>
      </c>
      <c r="FW37" s="46" t="str">
        <f t="shared" si="109"/>
        <v xml:space="preserve"> </v>
      </c>
      <c r="FX37" s="46" t="str">
        <f t="shared" si="110"/>
        <v xml:space="preserve"> </v>
      </c>
      <c r="FY37" s="46" t="str">
        <f t="shared" si="111"/>
        <v xml:space="preserve"> </v>
      </c>
      <c r="FZ37" s="46" t="str">
        <f t="shared" si="112"/>
        <v xml:space="preserve"> </v>
      </c>
      <c r="GA37" s="46" t="str">
        <f t="shared" si="113"/>
        <v xml:space="preserve"> </v>
      </c>
      <c r="GB37" s="46" t="str">
        <f t="shared" si="114"/>
        <v xml:space="preserve"> </v>
      </c>
      <c r="GC37" s="46" t="str">
        <f t="shared" si="115"/>
        <v xml:space="preserve"> </v>
      </c>
      <c r="GD37" s="46" t="str">
        <f t="shared" si="116"/>
        <v xml:space="preserve"> </v>
      </c>
      <c r="GE37" s="46" t="str">
        <f t="shared" si="117"/>
        <v xml:space="preserve"> </v>
      </c>
      <c r="GF37" s="46" t="str">
        <f t="shared" si="118"/>
        <v xml:space="preserve"> </v>
      </c>
      <c r="GG37" s="46" t="str">
        <f t="shared" si="119"/>
        <v xml:space="preserve"> </v>
      </c>
      <c r="GH37" s="46"/>
      <c r="GI37" s="53" t="str">
        <f t="shared" si="120"/>
        <v xml:space="preserve">  </v>
      </c>
      <c r="GJ37" s="53" t="str">
        <f t="shared" si="121"/>
        <v xml:space="preserve">  </v>
      </c>
      <c r="GK37" s="53" t="str">
        <f t="shared" si="122"/>
        <v xml:space="preserve">  </v>
      </c>
      <c r="GL37" s="53" t="str">
        <f t="shared" si="123"/>
        <v xml:space="preserve">  </v>
      </c>
      <c r="GM37" s="53" t="str">
        <f t="shared" si="124"/>
        <v xml:space="preserve">  </v>
      </c>
      <c r="GN37" s="53" t="str">
        <f t="shared" si="125"/>
        <v xml:space="preserve">  </v>
      </c>
      <c r="GO37" s="53" t="str">
        <f t="shared" si="126"/>
        <v xml:space="preserve">  </v>
      </c>
      <c r="GP37" s="53" t="str">
        <f t="shared" si="127"/>
        <v xml:space="preserve">  </v>
      </c>
      <c r="GQ37" s="53" t="str">
        <f t="shared" si="128"/>
        <v xml:space="preserve">  </v>
      </c>
      <c r="GR37" s="53" t="str">
        <f t="shared" si="129"/>
        <v xml:space="preserve">  </v>
      </c>
      <c r="GS37" s="53" t="str">
        <f t="shared" si="130"/>
        <v xml:space="preserve">  </v>
      </c>
      <c r="GT37" s="53" t="str">
        <f t="shared" si="131"/>
        <v xml:space="preserve">  </v>
      </c>
      <c r="GU37" s="53" t="str">
        <f t="shared" si="132"/>
        <v xml:space="preserve">  </v>
      </c>
      <c r="GV37" s="54" t="str">
        <f t="shared" si="133"/>
        <v xml:space="preserve"> </v>
      </c>
      <c r="GW37" s="51"/>
      <c r="GX37" s="351">
        <f t="shared" si="134"/>
        <v>0</v>
      </c>
      <c r="GY37" s="351">
        <f t="shared" si="135"/>
        <v>0</v>
      </c>
      <c r="GZ37" s="51">
        <f>SISWA!E35</f>
        <v>0</v>
      </c>
      <c r="HA37" s="51" t="str">
        <f t="shared" si="136"/>
        <v/>
      </c>
      <c r="HB37" s="56" t="str">
        <f t="shared" si="137"/>
        <v/>
      </c>
      <c r="HC37" s="56" t="str">
        <f t="shared" si="138"/>
        <v/>
      </c>
      <c r="HD37" s="56" t="str">
        <f t="shared" si="139"/>
        <v/>
      </c>
      <c r="HE37" s="56" t="str">
        <f t="shared" si="140"/>
        <v/>
      </c>
      <c r="HF37" s="56" t="str">
        <f t="shared" si="141"/>
        <v/>
      </c>
      <c r="HG37" s="56" t="str">
        <f t="shared" si="142"/>
        <v/>
      </c>
      <c r="HH37" s="56" t="str">
        <f t="shared" si="143"/>
        <v/>
      </c>
      <c r="HI37" s="56" t="str">
        <f t="shared" si="144"/>
        <v/>
      </c>
      <c r="HJ37" s="56" t="str">
        <f t="shared" si="145"/>
        <v/>
      </c>
      <c r="HK37" s="56" t="str">
        <f t="shared" si="146"/>
        <v/>
      </c>
      <c r="HL37" s="56" t="str">
        <f t="shared" si="147"/>
        <v/>
      </c>
      <c r="HM37" s="56" t="str">
        <f t="shared" si="148"/>
        <v/>
      </c>
      <c r="HN37" s="56" t="str">
        <f t="shared" si="149"/>
        <v/>
      </c>
      <c r="HO37" s="58">
        <f t="shared" si="150"/>
        <v>0</v>
      </c>
      <c r="HP37" s="55" t="e">
        <f t="shared" si="151"/>
        <v>#N/A</v>
      </c>
      <c r="HQ37" s="58"/>
      <c r="HR37" s="59" t="e">
        <f>IF(GX37&gt;100,"",IF(GX37&gt;FQ$1,"sangat baik dalam "&amp;HP37,IF(GX37&gt;=FQ$2," baik dalam "&amp;HP37,IF(GX37&gt;=FQ$3,"cukup dalam "&amp;HP37,IF(GX37&lt;FQ$3,"dengan bimbingan dapat meningkatkan dalam "&amp;HP37,IF(GX37&lt;1," ",””))))))</f>
        <v>#N/A</v>
      </c>
      <c r="HS37" s="58"/>
      <c r="HT37" s="57" t="str">
        <f t="shared" si="152"/>
        <v/>
      </c>
      <c r="HU37" s="57" t="str">
        <f t="shared" si="153"/>
        <v/>
      </c>
      <c r="HV37" s="57" t="str">
        <f t="shared" si="154"/>
        <v/>
      </c>
      <c r="HW37" s="57" t="str">
        <f t="shared" si="155"/>
        <v/>
      </c>
      <c r="HX37" s="57" t="str">
        <f t="shared" si="156"/>
        <v/>
      </c>
      <c r="HY37" s="57" t="str">
        <f t="shared" si="157"/>
        <v/>
      </c>
      <c r="HZ37" s="57" t="str">
        <f t="shared" si="158"/>
        <v/>
      </c>
      <c r="IA37" s="57" t="str">
        <f t="shared" si="159"/>
        <v/>
      </c>
      <c r="IB37" s="57" t="str">
        <f t="shared" si="160"/>
        <v/>
      </c>
      <c r="IC37" s="57" t="str">
        <f t="shared" si="161"/>
        <v/>
      </c>
      <c r="ID37" s="57" t="str">
        <f t="shared" si="162"/>
        <v/>
      </c>
      <c r="IE37" s="57" t="str">
        <f t="shared" si="163"/>
        <v/>
      </c>
      <c r="IF37" s="57" t="str">
        <f t="shared" si="164"/>
        <v/>
      </c>
      <c r="IG37" s="57"/>
      <c r="IH37" s="55" t="e">
        <f t="shared" si="165"/>
        <v>#N/A</v>
      </c>
      <c r="II37" s="59" t="e">
        <f>IF(GY37&gt;100,"",IF(GY37&gt;FQ$1,"sangat baik dalam "&amp;IH37,IF(GY37&gt;=FQ$2," baik dalam "&amp;IH37,IF(GY37&gt;=FQ$3,"cukup dalam "&amp;IH37,IF(GY37&lt;FQ$3,"dengan bimbingan dapat meningkatkan dalam "&amp;IH37,IF(GY37&lt;1," ",””))))))</f>
        <v>#N/A</v>
      </c>
      <c r="IJ37" s="60"/>
      <c r="IK37" s="61" t="s">
        <v>201</v>
      </c>
      <c r="IL37" s="62" t="e">
        <f t="shared" si="166"/>
        <v>#N/A</v>
      </c>
    </row>
    <row r="38" spans="1:246">
      <c r="A38" s="39">
        <v>31</v>
      </c>
      <c r="B38" s="283">
        <f>SISWA!B36</f>
        <v>0</v>
      </c>
      <c r="C38" s="123"/>
      <c r="D38" s="123"/>
      <c r="E38" s="123"/>
      <c r="F38" s="123"/>
      <c r="G38" s="123"/>
      <c r="H38" s="123"/>
      <c r="I38" s="123"/>
      <c r="J38" s="123"/>
      <c r="K38" s="123"/>
      <c r="L38" s="123"/>
      <c r="M38" s="123"/>
      <c r="N38" s="123"/>
      <c r="O38" s="123"/>
      <c r="P38" s="256"/>
      <c r="Q38" s="256"/>
      <c r="R38" s="256"/>
      <c r="S38" s="256"/>
      <c r="T38" s="256"/>
      <c r="U38" s="256"/>
      <c r="V38" s="256"/>
      <c r="W38" s="256"/>
      <c r="X38" s="256"/>
      <c r="Y38" s="256"/>
      <c r="Z38" s="256"/>
      <c r="AA38" s="256"/>
      <c r="AB38" s="256"/>
      <c r="AC38" s="683"/>
      <c r="AD38" s="683"/>
      <c r="AE38" s="683"/>
      <c r="AF38" s="683"/>
      <c r="AG38" s="683"/>
      <c r="AH38" s="683"/>
      <c r="AI38" s="683"/>
      <c r="AJ38" s="683"/>
      <c r="AK38" s="683"/>
      <c r="AL38" s="683"/>
      <c r="AM38" s="683"/>
      <c r="AN38" s="683"/>
      <c r="AO38" s="683"/>
      <c r="AP38" s="680"/>
      <c r="AQ38" s="680"/>
      <c r="AR38" s="680"/>
      <c r="AS38" s="680"/>
      <c r="AT38" s="680"/>
      <c r="AU38" s="680"/>
      <c r="AV38" s="680"/>
      <c r="AW38" s="680"/>
      <c r="AX38" s="680"/>
      <c r="AY38" s="680"/>
      <c r="AZ38" s="680"/>
      <c r="BA38" s="680"/>
      <c r="BB38" s="680"/>
      <c r="BC38" s="683"/>
      <c r="BD38" s="683"/>
      <c r="BE38" s="683"/>
      <c r="BF38" s="683"/>
      <c r="BG38" s="683"/>
      <c r="BH38" s="683"/>
      <c r="BI38" s="683"/>
      <c r="BJ38" s="683"/>
      <c r="BK38" s="683"/>
      <c r="BL38" s="683"/>
      <c r="BM38" s="683"/>
      <c r="BN38" s="683"/>
      <c r="BO38" s="683"/>
      <c r="BP38" s="680"/>
      <c r="BQ38" s="680"/>
      <c r="BR38" s="680"/>
      <c r="BS38" s="680"/>
      <c r="BT38" s="680"/>
      <c r="BU38" s="680"/>
      <c r="BV38" s="680"/>
      <c r="BW38" s="680"/>
      <c r="BX38" s="680"/>
      <c r="BY38" s="680"/>
      <c r="BZ38" s="680"/>
      <c r="CA38" s="680"/>
      <c r="CB38" s="680"/>
      <c r="CC38" s="683"/>
      <c r="CD38" s="683"/>
      <c r="CE38" s="683"/>
      <c r="CF38" s="683"/>
      <c r="CG38" s="683"/>
      <c r="CH38" s="683"/>
      <c r="CI38" s="683"/>
      <c r="CJ38" s="683"/>
      <c r="CK38" s="683"/>
      <c r="CL38" s="683"/>
      <c r="CM38" s="683"/>
      <c r="CN38" s="683"/>
      <c r="CO38" s="683"/>
      <c r="CP38" s="680"/>
      <c r="CQ38" s="680"/>
      <c r="CR38" s="680"/>
      <c r="CS38" s="680"/>
      <c r="CT38" s="680"/>
      <c r="CU38" s="680"/>
      <c r="CV38" s="680"/>
      <c r="CW38" s="680"/>
      <c r="CX38" s="680"/>
      <c r="CY38" s="681"/>
      <c r="CZ38" s="681"/>
      <c r="DA38" s="681"/>
      <c r="DB38" s="681"/>
      <c r="DC38" s="682"/>
      <c r="DD38" s="682"/>
      <c r="DE38" s="682"/>
      <c r="DF38" s="682"/>
      <c r="DG38" s="682"/>
      <c r="DH38" s="682"/>
      <c r="DI38" s="682"/>
      <c r="DJ38" s="682"/>
      <c r="DK38" s="682"/>
      <c r="DL38" s="682"/>
      <c r="DM38" s="682"/>
      <c r="DN38" s="682"/>
      <c r="DO38" s="682"/>
      <c r="DP38" s="681"/>
      <c r="DQ38" s="681"/>
      <c r="DR38" s="681"/>
      <c r="DS38" s="681"/>
      <c r="DT38" s="681"/>
      <c r="DU38" s="681"/>
      <c r="DV38" s="681"/>
      <c r="DW38" s="681"/>
      <c r="DX38" s="681"/>
      <c r="DY38" s="681"/>
      <c r="DZ38" s="681"/>
      <c r="EA38" s="681"/>
      <c r="EB38" s="681"/>
      <c r="EC38" s="260" t="str">
        <f t="shared" si="91"/>
        <v xml:space="preserve"> </v>
      </c>
      <c r="ED38" s="260" t="str">
        <f t="shared" si="92"/>
        <v xml:space="preserve"> </v>
      </c>
      <c r="EE38" s="260" t="str">
        <f t="shared" si="93"/>
        <v xml:space="preserve"> </v>
      </c>
      <c r="EF38" s="260" t="str">
        <f t="shared" si="94"/>
        <v xml:space="preserve"> </v>
      </c>
      <c r="EG38" s="260" t="str">
        <f t="shared" si="95"/>
        <v xml:space="preserve"> </v>
      </c>
      <c r="EH38" s="260" t="str">
        <f t="shared" si="96"/>
        <v xml:space="preserve"> </v>
      </c>
      <c r="EI38" s="260" t="str">
        <f t="shared" si="97"/>
        <v xml:space="preserve"> </v>
      </c>
      <c r="EJ38" s="260" t="str">
        <f t="shared" si="98"/>
        <v xml:space="preserve"> </v>
      </c>
      <c r="EK38" s="260" t="str">
        <f t="shared" si="99"/>
        <v xml:space="preserve"> </v>
      </c>
      <c r="EL38" s="260" t="str">
        <f t="shared" si="100"/>
        <v xml:space="preserve"> </v>
      </c>
      <c r="EM38" s="260" t="str">
        <f t="shared" si="101"/>
        <v xml:space="preserve"> </v>
      </c>
      <c r="EN38" s="260" t="str">
        <f t="shared" si="102"/>
        <v xml:space="preserve"> </v>
      </c>
      <c r="EO38" s="260" t="str">
        <f t="shared" si="103"/>
        <v xml:space="preserve"> </v>
      </c>
      <c r="EP38" s="547"/>
      <c r="EQ38" s="547"/>
      <c r="ER38" s="547"/>
      <c r="ES38" s="547"/>
      <c r="ET38" s="547"/>
      <c r="EU38" s="547"/>
      <c r="EV38" s="547"/>
      <c r="EW38" s="547"/>
      <c r="EX38" s="547"/>
      <c r="EY38" s="547"/>
      <c r="EZ38" s="547"/>
      <c r="FA38" s="547"/>
      <c r="FB38" s="547"/>
      <c r="FC38" s="560"/>
      <c r="FD38" s="560"/>
      <c r="FE38" s="560"/>
      <c r="FF38" s="560"/>
      <c r="FG38" s="560"/>
      <c r="FH38" s="560"/>
      <c r="FI38" s="560"/>
      <c r="FJ38" s="560"/>
      <c r="FK38" s="560"/>
      <c r="FL38" s="560"/>
      <c r="FM38" s="560"/>
      <c r="FN38" s="560"/>
      <c r="FO38" s="560"/>
      <c r="FP38" s="549" t="str">
        <f t="shared" si="104"/>
        <v xml:space="preserve"> </v>
      </c>
      <c r="FQ38" s="291" t="str">
        <f t="shared" si="105"/>
        <v xml:space="preserve">  </v>
      </c>
      <c r="FR38" s="50" t="str">
        <f t="shared" si="106"/>
        <v xml:space="preserve"> </v>
      </c>
      <c r="FS38" s="282"/>
      <c r="FT38" s="51"/>
      <c r="FU38" s="46" t="str">
        <f t="shared" si="107"/>
        <v xml:space="preserve"> </v>
      </c>
      <c r="FV38" s="46" t="str">
        <f t="shared" si="108"/>
        <v xml:space="preserve"> </v>
      </c>
      <c r="FW38" s="46" t="str">
        <f t="shared" si="109"/>
        <v xml:space="preserve"> </v>
      </c>
      <c r="FX38" s="46" t="str">
        <f t="shared" si="110"/>
        <v xml:space="preserve"> </v>
      </c>
      <c r="FY38" s="46" t="str">
        <f t="shared" si="111"/>
        <v xml:space="preserve"> </v>
      </c>
      <c r="FZ38" s="46" t="str">
        <f t="shared" si="112"/>
        <v xml:space="preserve"> </v>
      </c>
      <c r="GA38" s="46" t="str">
        <f t="shared" si="113"/>
        <v xml:space="preserve"> </v>
      </c>
      <c r="GB38" s="46" t="str">
        <f t="shared" si="114"/>
        <v xml:space="preserve"> </v>
      </c>
      <c r="GC38" s="46" t="str">
        <f t="shared" si="115"/>
        <v xml:space="preserve"> </v>
      </c>
      <c r="GD38" s="46" t="str">
        <f t="shared" si="116"/>
        <v xml:space="preserve"> </v>
      </c>
      <c r="GE38" s="46" t="str">
        <f t="shared" si="117"/>
        <v xml:space="preserve"> </v>
      </c>
      <c r="GF38" s="46" t="str">
        <f t="shared" si="118"/>
        <v xml:space="preserve"> </v>
      </c>
      <c r="GG38" s="46" t="str">
        <f t="shared" si="119"/>
        <v xml:space="preserve"> </v>
      </c>
      <c r="GH38" s="46"/>
      <c r="GI38" s="53" t="str">
        <f t="shared" si="120"/>
        <v xml:space="preserve">  </v>
      </c>
      <c r="GJ38" s="53" t="str">
        <f t="shared" si="121"/>
        <v xml:space="preserve">  </v>
      </c>
      <c r="GK38" s="53" t="str">
        <f t="shared" si="122"/>
        <v xml:space="preserve">  </v>
      </c>
      <c r="GL38" s="53" t="str">
        <f t="shared" si="123"/>
        <v xml:space="preserve">  </v>
      </c>
      <c r="GM38" s="53" t="str">
        <f t="shared" si="124"/>
        <v xml:space="preserve">  </v>
      </c>
      <c r="GN38" s="53" t="str">
        <f t="shared" si="125"/>
        <v xml:space="preserve">  </v>
      </c>
      <c r="GO38" s="53" t="str">
        <f t="shared" si="126"/>
        <v xml:space="preserve">  </v>
      </c>
      <c r="GP38" s="53" t="str">
        <f t="shared" si="127"/>
        <v xml:space="preserve">  </v>
      </c>
      <c r="GQ38" s="53" t="str">
        <f t="shared" si="128"/>
        <v xml:space="preserve">  </v>
      </c>
      <c r="GR38" s="53" t="str">
        <f t="shared" si="129"/>
        <v xml:space="preserve">  </v>
      </c>
      <c r="GS38" s="53" t="str">
        <f t="shared" si="130"/>
        <v xml:space="preserve">  </v>
      </c>
      <c r="GT38" s="53" t="str">
        <f t="shared" si="131"/>
        <v xml:space="preserve">  </v>
      </c>
      <c r="GU38" s="53" t="str">
        <f t="shared" si="132"/>
        <v xml:space="preserve">  </v>
      </c>
      <c r="GV38" s="54" t="str">
        <f t="shared" si="133"/>
        <v xml:space="preserve"> </v>
      </c>
      <c r="GW38" s="51"/>
      <c r="GX38" s="351">
        <f t="shared" si="134"/>
        <v>0</v>
      </c>
      <c r="GY38" s="351">
        <f t="shared" si="135"/>
        <v>0</v>
      </c>
      <c r="GZ38" s="51">
        <f>SISWA!E36</f>
        <v>0</v>
      </c>
      <c r="HA38" s="51" t="str">
        <f t="shared" si="136"/>
        <v/>
      </c>
      <c r="HB38" s="56" t="str">
        <f t="shared" si="137"/>
        <v/>
      </c>
      <c r="HC38" s="56" t="str">
        <f t="shared" si="138"/>
        <v/>
      </c>
      <c r="HD38" s="56" t="str">
        <f t="shared" si="139"/>
        <v/>
      </c>
      <c r="HE38" s="56" t="str">
        <f t="shared" si="140"/>
        <v/>
      </c>
      <c r="HF38" s="56" t="str">
        <f t="shared" si="141"/>
        <v/>
      </c>
      <c r="HG38" s="56" t="str">
        <f t="shared" si="142"/>
        <v/>
      </c>
      <c r="HH38" s="56" t="str">
        <f t="shared" si="143"/>
        <v/>
      </c>
      <c r="HI38" s="56" t="str">
        <f t="shared" si="144"/>
        <v/>
      </c>
      <c r="HJ38" s="56" t="str">
        <f t="shared" si="145"/>
        <v/>
      </c>
      <c r="HK38" s="56" t="str">
        <f t="shared" si="146"/>
        <v/>
      </c>
      <c r="HL38" s="56" t="str">
        <f t="shared" si="147"/>
        <v/>
      </c>
      <c r="HM38" s="56" t="str">
        <f t="shared" si="148"/>
        <v/>
      </c>
      <c r="HN38" s="56" t="str">
        <f t="shared" si="149"/>
        <v/>
      </c>
      <c r="HO38" s="58">
        <f t="shared" si="150"/>
        <v>0</v>
      </c>
      <c r="HP38" s="55" t="e">
        <f t="shared" si="151"/>
        <v>#N/A</v>
      </c>
      <c r="HQ38" s="58"/>
      <c r="HR38" s="59" t="e">
        <f>IF(GX38&gt;100,"",IF(GX38&gt;FQ$1,"sangat baik dalam "&amp;HP38,IF(GX38&gt;=FQ$2," baik dalam "&amp;HP38,IF(GX38&gt;=FQ$3,"cukup dalam "&amp;HP38,IF(GX38&lt;FQ$3,"dengan bimbingan dapat meningkatkan dalam "&amp;HP38,IF(GX38&lt;1," ",””))))))</f>
        <v>#N/A</v>
      </c>
      <c r="HS38" s="58"/>
      <c r="HT38" s="57" t="str">
        <f t="shared" si="152"/>
        <v/>
      </c>
      <c r="HU38" s="57" t="str">
        <f t="shared" si="153"/>
        <v/>
      </c>
      <c r="HV38" s="57" t="str">
        <f t="shared" si="154"/>
        <v/>
      </c>
      <c r="HW38" s="57" t="str">
        <f t="shared" si="155"/>
        <v/>
      </c>
      <c r="HX38" s="57" t="str">
        <f t="shared" si="156"/>
        <v/>
      </c>
      <c r="HY38" s="57" t="str">
        <f t="shared" si="157"/>
        <v/>
      </c>
      <c r="HZ38" s="57" t="str">
        <f t="shared" si="158"/>
        <v/>
      </c>
      <c r="IA38" s="57" t="str">
        <f t="shared" si="159"/>
        <v/>
      </c>
      <c r="IB38" s="57" t="str">
        <f t="shared" si="160"/>
        <v/>
      </c>
      <c r="IC38" s="57" t="str">
        <f t="shared" si="161"/>
        <v/>
      </c>
      <c r="ID38" s="57" t="str">
        <f t="shared" si="162"/>
        <v/>
      </c>
      <c r="IE38" s="57" t="str">
        <f t="shared" si="163"/>
        <v/>
      </c>
      <c r="IF38" s="57" t="str">
        <f t="shared" si="164"/>
        <v/>
      </c>
      <c r="IG38" s="57"/>
      <c r="IH38" s="55" t="e">
        <f t="shared" si="165"/>
        <v>#N/A</v>
      </c>
      <c r="II38" s="59" t="e">
        <f>IF(GY38&gt;100,"",IF(GY38&gt;FQ$1,"sangat baik dalam "&amp;IH38,IF(GY38&gt;=FQ$2," baik dalam "&amp;IH38,IF(GY38&gt;=FQ$3,"cukup dalam "&amp;IH38,IF(GY38&lt;FQ$3,"dengan bimbingan dapat meningkatkan dalam "&amp;IH38,IF(GY38&lt;1," ",””))))))</f>
        <v>#N/A</v>
      </c>
      <c r="IJ38" s="60"/>
      <c r="IK38" s="61" t="s">
        <v>201</v>
      </c>
      <c r="IL38" s="62" t="e">
        <f t="shared" si="166"/>
        <v>#N/A</v>
      </c>
    </row>
    <row r="39" spans="1:246">
      <c r="A39" s="39">
        <v>32</v>
      </c>
      <c r="B39" s="283">
        <f>SISWA!B37</f>
        <v>0</v>
      </c>
      <c r="C39" s="123"/>
      <c r="D39" s="123"/>
      <c r="E39" s="123"/>
      <c r="F39" s="123"/>
      <c r="G39" s="123"/>
      <c r="H39" s="123"/>
      <c r="I39" s="123"/>
      <c r="J39" s="123"/>
      <c r="K39" s="123"/>
      <c r="L39" s="123"/>
      <c r="M39" s="123"/>
      <c r="N39" s="123"/>
      <c r="O39" s="123"/>
      <c r="P39" s="256"/>
      <c r="Q39" s="256"/>
      <c r="R39" s="256"/>
      <c r="S39" s="256"/>
      <c r="T39" s="256"/>
      <c r="U39" s="256"/>
      <c r="V39" s="256"/>
      <c r="W39" s="256"/>
      <c r="X39" s="256"/>
      <c r="Y39" s="256"/>
      <c r="Z39" s="256"/>
      <c r="AA39" s="256"/>
      <c r="AB39" s="256"/>
      <c r="AC39" s="683"/>
      <c r="AD39" s="683"/>
      <c r="AE39" s="683"/>
      <c r="AF39" s="683"/>
      <c r="AG39" s="683"/>
      <c r="AH39" s="683"/>
      <c r="AI39" s="683"/>
      <c r="AJ39" s="683"/>
      <c r="AK39" s="683"/>
      <c r="AL39" s="683"/>
      <c r="AM39" s="683"/>
      <c r="AN39" s="683"/>
      <c r="AO39" s="683"/>
      <c r="AP39" s="680"/>
      <c r="AQ39" s="680"/>
      <c r="AR39" s="680"/>
      <c r="AS39" s="680"/>
      <c r="AT39" s="680"/>
      <c r="AU39" s="680"/>
      <c r="AV39" s="680"/>
      <c r="AW39" s="680"/>
      <c r="AX39" s="680"/>
      <c r="AY39" s="680"/>
      <c r="AZ39" s="680"/>
      <c r="BA39" s="680"/>
      <c r="BB39" s="680"/>
      <c r="BC39" s="683"/>
      <c r="BD39" s="683"/>
      <c r="BE39" s="683"/>
      <c r="BF39" s="683"/>
      <c r="BG39" s="683"/>
      <c r="BH39" s="683"/>
      <c r="BI39" s="683"/>
      <c r="BJ39" s="683"/>
      <c r="BK39" s="683"/>
      <c r="BL39" s="683"/>
      <c r="BM39" s="683"/>
      <c r="BN39" s="683"/>
      <c r="BO39" s="683"/>
      <c r="BP39" s="680"/>
      <c r="BQ39" s="680"/>
      <c r="BR39" s="680"/>
      <c r="BS39" s="680"/>
      <c r="BT39" s="680"/>
      <c r="BU39" s="680"/>
      <c r="BV39" s="680"/>
      <c r="BW39" s="680"/>
      <c r="BX39" s="680"/>
      <c r="BY39" s="680"/>
      <c r="BZ39" s="680"/>
      <c r="CA39" s="680"/>
      <c r="CB39" s="680"/>
      <c r="CC39" s="683"/>
      <c r="CD39" s="683"/>
      <c r="CE39" s="683"/>
      <c r="CF39" s="683"/>
      <c r="CG39" s="683"/>
      <c r="CH39" s="683"/>
      <c r="CI39" s="683"/>
      <c r="CJ39" s="683"/>
      <c r="CK39" s="683"/>
      <c r="CL39" s="683"/>
      <c r="CM39" s="683"/>
      <c r="CN39" s="683"/>
      <c r="CO39" s="683"/>
      <c r="CP39" s="680"/>
      <c r="CQ39" s="680"/>
      <c r="CR39" s="680"/>
      <c r="CS39" s="680"/>
      <c r="CT39" s="680"/>
      <c r="CU39" s="680"/>
      <c r="CV39" s="680"/>
      <c r="CW39" s="680"/>
      <c r="CX39" s="680"/>
      <c r="CY39" s="681"/>
      <c r="CZ39" s="681"/>
      <c r="DA39" s="681"/>
      <c r="DB39" s="681"/>
      <c r="DC39" s="682"/>
      <c r="DD39" s="682"/>
      <c r="DE39" s="682"/>
      <c r="DF39" s="682"/>
      <c r="DG39" s="682"/>
      <c r="DH39" s="682"/>
      <c r="DI39" s="682"/>
      <c r="DJ39" s="682"/>
      <c r="DK39" s="682"/>
      <c r="DL39" s="682"/>
      <c r="DM39" s="682"/>
      <c r="DN39" s="682"/>
      <c r="DO39" s="682"/>
      <c r="DP39" s="681"/>
      <c r="DQ39" s="681"/>
      <c r="DR39" s="681"/>
      <c r="DS39" s="681"/>
      <c r="DT39" s="681"/>
      <c r="DU39" s="681"/>
      <c r="DV39" s="681"/>
      <c r="DW39" s="681"/>
      <c r="DX39" s="681"/>
      <c r="DY39" s="681"/>
      <c r="DZ39" s="681"/>
      <c r="EA39" s="681"/>
      <c r="EB39" s="681"/>
      <c r="EC39" s="260" t="str">
        <f t="shared" si="91"/>
        <v xml:space="preserve"> </v>
      </c>
      <c r="ED39" s="260" t="str">
        <f t="shared" si="92"/>
        <v xml:space="preserve"> </v>
      </c>
      <c r="EE39" s="260" t="str">
        <f t="shared" si="93"/>
        <v xml:space="preserve"> </v>
      </c>
      <c r="EF39" s="260" t="str">
        <f t="shared" si="94"/>
        <v xml:space="preserve"> </v>
      </c>
      <c r="EG39" s="260" t="str">
        <f t="shared" si="95"/>
        <v xml:space="preserve"> </v>
      </c>
      <c r="EH39" s="260" t="str">
        <f t="shared" si="96"/>
        <v xml:space="preserve"> </v>
      </c>
      <c r="EI39" s="260" t="str">
        <f t="shared" si="97"/>
        <v xml:space="preserve"> </v>
      </c>
      <c r="EJ39" s="260" t="str">
        <f t="shared" si="98"/>
        <v xml:space="preserve"> </v>
      </c>
      <c r="EK39" s="260" t="str">
        <f t="shared" si="99"/>
        <v xml:space="preserve"> </v>
      </c>
      <c r="EL39" s="260" t="str">
        <f t="shared" si="100"/>
        <v xml:space="preserve"> </v>
      </c>
      <c r="EM39" s="260" t="str">
        <f t="shared" si="101"/>
        <v xml:space="preserve"> </v>
      </c>
      <c r="EN39" s="260" t="str">
        <f t="shared" si="102"/>
        <v xml:space="preserve"> </v>
      </c>
      <c r="EO39" s="260" t="str">
        <f t="shared" si="103"/>
        <v xml:space="preserve"> </v>
      </c>
      <c r="EP39" s="547"/>
      <c r="EQ39" s="547"/>
      <c r="ER39" s="547"/>
      <c r="ES39" s="547"/>
      <c r="ET39" s="547"/>
      <c r="EU39" s="547"/>
      <c r="EV39" s="547"/>
      <c r="EW39" s="547"/>
      <c r="EX39" s="547"/>
      <c r="EY39" s="547"/>
      <c r="EZ39" s="547"/>
      <c r="FA39" s="547"/>
      <c r="FB39" s="547"/>
      <c r="FC39" s="560"/>
      <c r="FD39" s="560"/>
      <c r="FE39" s="560"/>
      <c r="FF39" s="560"/>
      <c r="FG39" s="560"/>
      <c r="FH39" s="560"/>
      <c r="FI39" s="560"/>
      <c r="FJ39" s="560"/>
      <c r="FK39" s="560"/>
      <c r="FL39" s="560"/>
      <c r="FM39" s="560"/>
      <c r="FN39" s="560"/>
      <c r="FO39" s="560"/>
      <c r="FP39" s="549" t="str">
        <f t="shared" si="104"/>
        <v xml:space="preserve"> </v>
      </c>
      <c r="FQ39" s="291" t="str">
        <f t="shared" si="105"/>
        <v xml:space="preserve">  </v>
      </c>
      <c r="FR39" s="50" t="str">
        <f t="shared" si="106"/>
        <v xml:space="preserve"> </v>
      </c>
      <c r="FS39" s="282"/>
      <c r="FT39" s="51"/>
      <c r="FU39" s="46" t="str">
        <f t="shared" si="107"/>
        <v xml:space="preserve"> </v>
      </c>
      <c r="FV39" s="46" t="str">
        <f t="shared" si="108"/>
        <v xml:space="preserve"> </v>
      </c>
      <c r="FW39" s="46" t="str">
        <f t="shared" si="109"/>
        <v xml:space="preserve"> </v>
      </c>
      <c r="FX39" s="46" t="str">
        <f t="shared" si="110"/>
        <v xml:space="preserve"> </v>
      </c>
      <c r="FY39" s="46" t="str">
        <f t="shared" si="111"/>
        <v xml:space="preserve"> </v>
      </c>
      <c r="FZ39" s="46" t="str">
        <f t="shared" si="112"/>
        <v xml:space="preserve"> </v>
      </c>
      <c r="GA39" s="46" t="str">
        <f t="shared" si="113"/>
        <v xml:space="preserve"> </v>
      </c>
      <c r="GB39" s="46" t="str">
        <f t="shared" si="114"/>
        <v xml:space="preserve"> </v>
      </c>
      <c r="GC39" s="46" t="str">
        <f t="shared" si="115"/>
        <v xml:space="preserve"> </v>
      </c>
      <c r="GD39" s="46" t="str">
        <f t="shared" si="116"/>
        <v xml:space="preserve"> </v>
      </c>
      <c r="GE39" s="46" t="str">
        <f t="shared" si="117"/>
        <v xml:space="preserve"> </v>
      </c>
      <c r="GF39" s="46" t="str">
        <f t="shared" si="118"/>
        <v xml:space="preserve"> </v>
      </c>
      <c r="GG39" s="46" t="str">
        <f t="shared" si="119"/>
        <v xml:space="preserve"> </v>
      </c>
      <c r="GH39" s="46"/>
      <c r="GI39" s="53" t="str">
        <f t="shared" si="120"/>
        <v xml:space="preserve">  </v>
      </c>
      <c r="GJ39" s="53" t="str">
        <f t="shared" si="121"/>
        <v xml:space="preserve">  </v>
      </c>
      <c r="GK39" s="53" t="str">
        <f t="shared" si="122"/>
        <v xml:space="preserve">  </v>
      </c>
      <c r="GL39" s="53" t="str">
        <f t="shared" si="123"/>
        <v xml:space="preserve">  </v>
      </c>
      <c r="GM39" s="53" t="str">
        <f t="shared" si="124"/>
        <v xml:space="preserve">  </v>
      </c>
      <c r="GN39" s="53" t="str">
        <f t="shared" si="125"/>
        <v xml:space="preserve">  </v>
      </c>
      <c r="GO39" s="53" t="str">
        <f t="shared" si="126"/>
        <v xml:space="preserve">  </v>
      </c>
      <c r="GP39" s="53" t="str">
        <f t="shared" si="127"/>
        <v xml:space="preserve">  </v>
      </c>
      <c r="GQ39" s="53" t="str">
        <f t="shared" si="128"/>
        <v xml:space="preserve">  </v>
      </c>
      <c r="GR39" s="53" t="str">
        <f t="shared" si="129"/>
        <v xml:space="preserve">  </v>
      </c>
      <c r="GS39" s="53" t="str">
        <f t="shared" si="130"/>
        <v xml:space="preserve">  </v>
      </c>
      <c r="GT39" s="53" t="str">
        <f t="shared" si="131"/>
        <v xml:space="preserve">  </v>
      </c>
      <c r="GU39" s="53" t="str">
        <f t="shared" si="132"/>
        <v xml:space="preserve">  </v>
      </c>
      <c r="GV39" s="54" t="str">
        <f t="shared" si="133"/>
        <v xml:space="preserve"> </v>
      </c>
      <c r="GW39" s="51"/>
      <c r="GX39" s="351">
        <f t="shared" si="134"/>
        <v>0</v>
      </c>
      <c r="GY39" s="351">
        <f t="shared" si="135"/>
        <v>0</v>
      </c>
      <c r="GZ39" s="51">
        <f>SISWA!E37</f>
        <v>0</v>
      </c>
      <c r="HA39" s="51" t="str">
        <f t="shared" si="136"/>
        <v/>
      </c>
      <c r="HB39" s="56" t="str">
        <f t="shared" si="137"/>
        <v/>
      </c>
      <c r="HC39" s="56" t="str">
        <f t="shared" si="138"/>
        <v/>
      </c>
      <c r="HD39" s="56" t="str">
        <f t="shared" si="139"/>
        <v/>
      </c>
      <c r="HE39" s="56" t="str">
        <f t="shared" si="140"/>
        <v/>
      </c>
      <c r="HF39" s="56" t="str">
        <f t="shared" si="141"/>
        <v/>
      </c>
      <c r="HG39" s="56" t="str">
        <f t="shared" si="142"/>
        <v/>
      </c>
      <c r="HH39" s="56" t="str">
        <f t="shared" si="143"/>
        <v/>
      </c>
      <c r="HI39" s="56" t="str">
        <f t="shared" si="144"/>
        <v/>
      </c>
      <c r="HJ39" s="56" t="str">
        <f t="shared" si="145"/>
        <v/>
      </c>
      <c r="HK39" s="56" t="str">
        <f t="shared" si="146"/>
        <v/>
      </c>
      <c r="HL39" s="56" t="str">
        <f t="shared" si="147"/>
        <v/>
      </c>
      <c r="HM39" s="56" t="str">
        <f t="shared" si="148"/>
        <v/>
      </c>
      <c r="HN39" s="56" t="str">
        <f t="shared" si="149"/>
        <v/>
      </c>
      <c r="HO39" s="58">
        <f t="shared" si="150"/>
        <v>0</v>
      </c>
      <c r="HP39" s="55" t="e">
        <f t="shared" si="151"/>
        <v>#N/A</v>
      </c>
      <c r="HQ39" s="58"/>
      <c r="HR39" s="59" t="e">
        <f>IF(GX39&gt;100,"",IF(GX39&gt;FQ$1,"sangat baik dalam "&amp;HP39,IF(GX39&gt;=FQ$2," baik dalam "&amp;HP39,IF(GX39&gt;=FQ$3,"cukup dalam "&amp;HP39,IF(GX39&lt;FQ$3,"dengan bimbingan dapat meningkatkan dalam "&amp;HP39,IF(GX39&lt;1," ",””))))))</f>
        <v>#N/A</v>
      </c>
      <c r="HS39" s="58"/>
      <c r="HT39" s="57" t="str">
        <f t="shared" si="152"/>
        <v/>
      </c>
      <c r="HU39" s="57" t="str">
        <f t="shared" si="153"/>
        <v/>
      </c>
      <c r="HV39" s="57" t="str">
        <f t="shared" si="154"/>
        <v/>
      </c>
      <c r="HW39" s="57" t="str">
        <f t="shared" si="155"/>
        <v/>
      </c>
      <c r="HX39" s="57" t="str">
        <f t="shared" si="156"/>
        <v/>
      </c>
      <c r="HY39" s="57" t="str">
        <f t="shared" si="157"/>
        <v/>
      </c>
      <c r="HZ39" s="57" t="str">
        <f t="shared" si="158"/>
        <v/>
      </c>
      <c r="IA39" s="57" t="str">
        <f t="shared" si="159"/>
        <v/>
      </c>
      <c r="IB39" s="57" t="str">
        <f t="shared" si="160"/>
        <v/>
      </c>
      <c r="IC39" s="57" t="str">
        <f t="shared" si="161"/>
        <v/>
      </c>
      <c r="ID39" s="57" t="str">
        <f t="shared" si="162"/>
        <v/>
      </c>
      <c r="IE39" s="57" t="str">
        <f t="shared" si="163"/>
        <v/>
      </c>
      <c r="IF39" s="57" t="str">
        <f t="shared" si="164"/>
        <v/>
      </c>
      <c r="IG39" s="57"/>
      <c r="IH39" s="55" t="e">
        <f t="shared" si="165"/>
        <v>#N/A</v>
      </c>
      <c r="II39" s="59" t="e">
        <f>IF(GY39&gt;100,"",IF(GY39&gt;FQ$1,"sangat baik dalam "&amp;IH39,IF(GY39&gt;=FQ$2," baik dalam "&amp;IH39,IF(GY39&gt;=FQ$3,"cukup dalam "&amp;IH39,IF(GY39&lt;FQ$3,"dengan bimbingan dapat meningkatkan dalam "&amp;IH39,IF(GY39&lt;1," ",””))))))</f>
        <v>#N/A</v>
      </c>
      <c r="IJ39" s="60"/>
      <c r="IK39" s="61" t="s">
        <v>201</v>
      </c>
      <c r="IL39" s="62" t="e">
        <f t="shared" si="166"/>
        <v>#N/A</v>
      </c>
    </row>
    <row r="40" spans="1:246">
      <c r="A40" s="39">
        <v>33</v>
      </c>
      <c r="B40" s="283">
        <f>SISWA!B38</f>
        <v>0</v>
      </c>
      <c r="C40" s="123"/>
      <c r="D40" s="123"/>
      <c r="E40" s="123"/>
      <c r="F40" s="123"/>
      <c r="G40" s="123"/>
      <c r="H40" s="123"/>
      <c r="I40" s="123"/>
      <c r="J40" s="123"/>
      <c r="K40" s="123"/>
      <c r="L40" s="123"/>
      <c r="M40" s="123"/>
      <c r="N40" s="123"/>
      <c r="O40" s="123"/>
      <c r="P40" s="256"/>
      <c r="Q40" s="256"/>
      <c r="R40" s="256"/>
      <c r="S40" s="256"/>
      <c r="T40" s="256"/>
      <c r="U40" s="256"/>
      <c r="V40" s="256"/>
      <c r="W40" s="256"/>
      <c r="X40" s="256"/>
      <c r="Y40" s="256"/>
      <c r="Z40" s="256"/>
      <c r="AA40" s="256"/>
      <c r="AB40" s="256"/>
      <c r="AC40" s="683"/>
      <c r="AD40" s="683"/>
      <c r="AE40" s="683"/>
      <c r="AF40" s="683"/>
      <c r="AG40" s="683"/>
      <c r="AH40" s="683"/>
      <c r="AI40" s="683"/>
      <c r="AJ40" s="683"/>
      <c r="AK40" s="683"/>
      <c r="AL40" s="683"/>
      <c r="AM40" s="683"/>
      <c r="AN40" s="683"/>
      <c r="AO40" s="683"/>
      <c r="AP40" s="680"/>
      <c r="AQ40" s="680"/>
      <c r="AR40" s="680"/>
      <c r="AS40" s="680"/>
      <c r="AT40" s="680"/>
      <c r="AU40" s="680"/>
      <c r="AV40" s="680"/>
      <c r="AW40" s="680"/>
      <c r="AX40" s="680"/>
      <c r="AY40" s="680"/>
      <c r="AZ40" s="680"/>
      <c r="BA40" s="680"/>
      <c r="BB40" s="680"/>
      <c r="BC40" s="683"/>
      <c r="BD40" s="683"/>
      <c r="BE40" s="683"/>
      <c r="BF40" s="683"/>
      <c r="BG40" s="683"/>
      <c r="BH40" s="683"/>
      <c r="BI40" s="683"/>
      <c r="BJ40" s="683"/>
      <c r="BK40" s="683"/>
      <c r="BL40" s="683"/>
      <c r="BM40" s="683"/>
      <c r="BN40" s="683"/>
      <c r="BO40" s="683"/>
      <c r="BP40" s="680"/>
      <c r="BQ40" s="680"/>
      <c r="BR40" s="680"/>
      <c r="BS40" s="680"/>
      <c r="BT40" s="680"/>
      <c r="BU40" s="680"/>
      <c r="BV40" s="680"/>
      <c r="BW40" s="680"/>
      <c r="BX40" s="680"/>
      <c r="BY40" s="680"/>
      <c r="BZ40" s="680"/>
      <c r="CA40" s="680"/>
      <c r="CB40" s="680"/>
      <c r="CC40" s="683"/>
      <c r="CD40" s="683"/>
      <c r="CE40" s="683"/>
      <c r="CF40" s="683"/>
      <c r="CG40" s="683"/>
      <c r="CH40" s="683"/>
      <c r="CI40" s="683"/>
      <c r="CJ40" s="683"/>
      <c r="CK40" s="683"/>
      <c r="CL40" s="683"/>
      <c r="CM40" s="683"/>
      <c r="CN40" s="683"/>
      <c r="CO40" s="683"/>
      <c r="CP40" s="680"/>
      <c r="CQ40" s="680"/>
      <c r="CR40" s="680"/>
      <c r="CS40" s="680"/>
      <c r="CT40" s="680"/>
      <c r="CU40" s="680"/>
      <c r="CV40" s="680"/>
      <c r="CW40" s="680"/>
      <c r="CX40" s="680"/>
      <c r="CY40" s="681"/>
      <c r="CZ40" s="681"/>
      <c r="DA40" s="681"/>
      <c r="DB40" s="681"/>
      <c r="DC40" s="682"/>
      <c r="DD40" s="682"/>
      <c r="DE40" s="682"/>
      <c r="DF40" s="682"/>
      <c r="DG40" s="682"/>
      <c r="DH40" s="682"/>
      <c r="DI40" s="682"/>
      <c r="DJ40" s="682"/>
      <c r="DK40" s="682"/>
      <c r="DL40" s="682"/>
      <c r="DM40" s="682"/>
      <c r="DN40" s="682"/>
      <c r="DO40" s="682"/>
      <c r="DP40" s="681"/>
      <c r="DQ40" s="681"/>
      <c r="DR40" s="681"/>
      <c r="DS40" s="681"/>
      <c r="DT40" s="681"/>
      <c r="DU40" s="681"/>
      <c r="DV40" s="681"/>
      <c r="DW40" s="681"/>
      <c r="DX40" s="681"/>
      <c r="DY40" s="681"/>
      <c r="DZ40" s="681"/>
      <c r="EA40" s="681"/>
      <c r="EB40" s="681"/>
      <c r="EC40" s="260" t="str">
        <f t="shared" si="91"/>
        <v xml:space="preserve"> </v>
      </c>
      <c r="ED40" s="260" t="str">
        <f t="shared" si="92"/>
        <v xml:space="preserve"> </v>
      </c>
      <c r="EE40" s="260" t="str">
        <f t="shared" si="93"/>
        <v xml:space="preserve"> </v>
      </c>
      <c r="EF40" s="260" t="str">
        <f t="shared" si="94"/>
        <v xml:space="preserve"> </v>
      </c>
      <c r="EG40" s="260" t="str">
        <f t="shared" si="95"/>
        <v xml:space="preserve"> </v>
      </c>
      <c r="EH40" s="260" t="str">
        <f t="shared" si="96"/>
        <v xml:space="preserve"> </v>
      </c>
      <c r="EI40" s="260" t="str">
        <f t="shared" si="97"/>
        <v xml:space="preserve"> </v>
      </c>
      <c r="EJ40" s="260" t="str">
        <f t="shared" si="98"/>
        <v xml:space="preserve"> </v>
      </c>
      <c r="EK40" s="260" t="str">
        <f t="shared" si="99"/>
        <v xml:space="preserve"> </v>
      </c>
      <c r="EL40" s="260" t="str">
        <f t="shared" si="100"/>
        <v xml:space="preserve"> </v>
      </c>
      <c r="EM40" s="260" t="str">
        <f t="shared" si="101"/>
        <v xml:space="preserve"> </v>
      </c>
      <c r="EN40" s="260" t="str">
        <f t="shared" si="102"/>
        <v xml:space="preserve"> </v>
      </c>
      <c r="EO40" s="260" t="str">
        <f t="shared" si="103"/>
        <v xml:space="preserve"> </v>
      </c>
      <c r="EP40" s="547"/>
      <c r="EQ40" s="547"/>
      <c r="ER40" s="547"/>
      <c r="ES40" s="547"/>
      <c r="ET40" s="547"/>
      <c r="EU40" s="547"/>
      <c r="EV40" s="547"/>
      <c r="EW40" s="547"/>
      <c r="EX40" s="547"/>
      <c r="EY40" s="547"/>
      <c r="EZ40" s="547"/>
      <c r="FA40" s="547"/>
      <c r="FB40" s="547"/>
      <c r="FC40" s="560"/>
      <c r="FD40" s="560"/>
      <c r="FE40" s="560"/>
      <c r="FF40" s="560"/>
      <c r="FG40" s="560"/>
      <c r="FH40" s="560"/>
      <c r="FI40" s="560"/>
      <c r="FJ40" s="560"/>
      <c r="FK40" s="560"/>
      <c r="FL40" s="560"/>
      <c r="FM40" s="560"/>
      <c r="FN40" s="560"/>
      <c r="FO40" s="560"/>
      <c r="FP40" s="549" t="str">
        <f t="shared" si="104"/>
        <v xml:space="preserve"> </v>
      </c>
      <c r="FQ40" s="291" t="str">
        <f t="shared" si="105"/>
        <v xml:space="preserve">  </v>
      </c>
      <c r="FR40" s="50" t="str">
        <f t="shared" si="106"/>
        <v xml:space="preserve"> </v>
      </c>
      <c r="FS40" s="282"/>
      <c r="FT40" s="51"/>
      <c r="FU40" s="46" t="str">
        <f t="shared" si="107"/>
        <v xml:space="preserve"> </v>
      </c>
      <c r="FV40" s="46" t="str">
        <f t="shared" si="108"/>
        <v xml:space="preserve"> </v>
      </c>
      <c r="FW40" s="46" t="str">
        <f t="shared" si="109"/>
        <v xml:space="preserve"> </v>
      </c>
      <c r="FX40" s="46" t="str">
        <f t="shared" si="110"/>
        <v xml:space="preserve"> </v>
      </c>
      <c r="FY40" s="46" t="str">
        <f t="shared" si="111"/>
        <v xml:space="preserve"> </v>
      </c>
      <c r="FZ40" s="46" t="str">
        <f t="shared" si="112"/>
        <v xml:space="preserve"> </v>
      </c>
      <c r="GA40" s="46" t="str">
        <f t="shared" si="113"/>
        <v xml:space="preserve"> </v>
      </c>
      <c r="GB40" s="46" t="str">
        <f t="shared" si="114"/>
        <v xml:space="preserve"> </v>
      </c>
      <c r="GC40" s="46" t="str">
        <f t="shared" si="115"/>
        <v xml:space="preserve"> </v>
      </c>
      <c r="GD40" s="46" t="str">
        <f t="shared" si="116"/>
        <v xml:space="preserve"> </v>
      </c>
      <c r="GE40" s="46" t="str">
        <f t="shared" si="117"/>
        <v xml:space="preserve"> </v>
      </c>
      <c r="GF40" s="46" t="str">
        <f t="shared" si="118"/>
        <v xml:space="preserve"> </v>
      </c>
      <c r="GG40" s="46" t="str">
        <f t="shared" si="119"/>
        <v xml:space="preserve"> </v>
      </c>
      <c r="GH40" s="46"/>
      <c r="GI40" s="53" t="str">
        <f t="shared" si="120"/>
        <v xml:space="preserve">  </v>
      </c>
      <c r="GJ40" s="53" t="str">
        <f t="shared" si="121"/>
        <v xml:space="preserve">  </v>
      </c>
      <c r="GK40" s="53" t="str">
        <f t="shared" si="122"/>
        <v xml:space="preserve">  </v>
      </c>
      <c r="GL40" s="53" t="str">
        <f t="shared" si="123"/>
        <v xml:space="preserve">  </v>
      </c>
      <c r="GM40" s="53" t="str">
        <f t="shared" si="124"/>
        <v xml:space="preserve">  </v>
      </c>
      <c r="GN40" s="53" t="str">
        <f t="shared" si="125"/>
        <v xml:space="preserve">  </v>
      </c>
      <c r="GO40" s="53" t="str">
        <f t="shared" si="126"/>
        <v xml:space="preserve">  </v>
      </c>
      <c r="GP40" s="53" t="str">
        <f t="shared" si="127"/>
        <v xml:space="preserve">  </v>
      </c>
      <c r="GQ40" s="53" t="str">
        <f t="shared" si="128"/>
        <v xml:space="preserve">  </v>
      </c>
      <c r="GR40" s="53" t="str">
        <f t="shared" si="129"/>
        <v xml:space="preserve">  </v>
      </c>
      <c r="GS40" s="53" t="str">
        <f t="shared" si="130"/>
        <v xml:space="preserve">  </v>
      </c>
      <c r="GT40" s="53" t="str">
        <f t="shared" si="131"/>
        <v xml:space="preserve">  </v>
      </c>
      <c r="GU40" s="53" t="str">
        <f t="shared" si="132"/>
        <v xml:space="preserve">  </v>
      </c>
      <c r="GV40" s="54" t="str">
        <f t="shared" si="133"/>
        <v xml:space="preserve"> </v>
      </c>
      <c r="GW40" s="51"/>
      <c r="GX40" s="351">
        <f t="shared" si="134"/>
        <v>0</v>
      </c>
      <c r="GY40" s="351">
        <f t="shared" si="135"/>
        <v>0</v>
      </c>
      <c r="GZ40" s="51">
        <f>SISWA!E38</f>
        <v>0</v>
      </c>
      <c r="HA40" s="51" t="str">
        <f t="shared" si="136"/>
        <v/>
      </c>
      <c r="HB40" s="56" t="str">
        <f t="shared" si="137"/>
        <v/>
      </c>
      <c r="HC40" s="56" t="str">
        <f t="shared" si="138"/>
        <v/>
      </c>
      <c r="HD40" s="56" t="str">
        <f t="shared" si="139"/>
        <v/>
      </c>
      <c r="HE40" s="56" t="str">
        <f t="shared" si="140"/>
        <v/>
      </c>
      <c r="HF40" s="56" t="str">
        <f t="shared" si="141"/>
        <v/>
      </c>
      <c r="HG40" s="56" t="str">
        <f t="shared" si="142"/>
        <v/>
      </c>
      <c r="HH40" s="56" t="str">
        <f t="shared" si="143"/>
        <v/>
      </c>
      <c r="HI40" s="56" t="str">
        <f t="shared" si="144"/>
        <v/>
      </c>
      <c r="HJ40" s="56" t="str">
        <f t="shared" si="145"/>
        <v/>
      </c>
      <c r="HK40" s="56" t="str">
        <f t="shared" si="146"/>
        <v/>
      </c>
      <c r="HL40" s="56" t="str">
        <f t="shared" si="147"/>
        <v/>
      </c>
      <c r="HM40" s="56" t="str">
        <f t="shared" si="148"/>
        <v/>
      </c>
      <c r="HN40" s="56" t="str">
        <f t="shared" si="149"/>
        <v/>
      </c>
      <c r="HO40" s="58">
        <f t="shared" si="150"/>
        <v>0</v>
      </c>
      <c r="HP40" s="55" t="e">
        <f t="shared" si="151"/>
        <v>#N/A</v>
      </c>
      <c r="HQ40" s="58"/>
      <c r="HR40" s="59" t="e">
        <f>IF(GX40&gt;100,"",IF(GX40&gt;FQ$1,"sangat baik dalam "&amp;HP40,IF(GX40&gt;=FQ$2," baik dalam "&amp;HP40,IF(GX40&gt;=FQ$3,"cukup dalam "&amp;HP40,IF(GX40&lt;FQ$3,"dengan bimbingan dapat meningkatkan dalam "&amp;HP40,IF(GX40&lt;1," ",””))))))</f>
        <v>#N/A</v>
      </c>
      <c r="HS40" s="58"/>
      <c r="HT40" s="57" t="str">
        <f t="shared" si="152"/>
        <v/>
      </c>
      <c r="HU40" s="57" t="str">
        <f t="shared" si="153"/>
        <v/>
      </c>
      <c r="HV40" s="57" t="str">
        <f t="shared" si="154"/>
        <v/>
      </c>
      <c r="HW40" s="57" t="str">
        <f t="shared" si="155"/>
        <v/>
      </c>
      <c r="HX40" s="57" t="str">
        <f t="shared" si="156"/>
        <v/>
      </c>
      <c r="HY40" s="57" t="str">
        <f t="shared" si="157"/>
        <v/>
      </c>
      <c r="HZ40" s="57" t="str">
        <f t="shared" si="158"/>
        <v/>
      </c>
      <c r="IA40" s="57" t="str">
        <f t="shared" si="159"/>
        <v/>
      </c>
      <c r="IB40" s="57" t="str">
        <f t="shared" si="160"/>
        <v/>
      </c>
      <c r="IC40" s="57" t="str">
        <f t="shared" si="161"/>
        <v/>
      </c>
      <c r="ID40" s="57" t="str">
        <f t="shared" si="162"/>
        <v/>
      </c>
      <c r="IE40" s="57" t="str">
        <f t="shared" si="163"/>
        <v/>
      </c>
      <c r="IF40" s="57" t="str">
        <f t="shared" si="164"/>
        <v/>
      </c>
      <c r="IG40" s="57"/>
      <c r="IH40" s="55" t="e">
        <f t="shared" si="165"/>
        <v>#N/A</v>
      </c>
      <c r="II40" s="59" t="e">
        <f>IF(GY40&gt;100,"",IF(GY40&gt;FQ$1,"sangat baik dalam "&amp;IH40,IF(GY40&gt;=FQ$2," baik dalam "&amp;IH40,IF(GY40&gt;=FQ$3,"cukup dalam "&amp;IH40,IF(GY40&lt;FQ$3,"dengan bimbingan dapat meningkatkan dalam "&amp;IH40,IF(GY40&lt;1," ",””))))))</f>
        <v>#N/A</v>
      </c>
      <c r="IJ40" s="60"/>
      <c r="IK40" s="61" t="s">
        <v>201</v>
      </c>
      <c r="IL40" s="62" t="e">
        <f t="shared" si="166"/>
        <v>#N/A</v>
      </c>
    </row>
    <row r="41" spans="1:246">
      <c r="A41" s="39">
        <v>34</v>
      </c>
      <c r="B41" s="283">
        <f>SISWA!B39</f>
        <v>0</v>
      </c>
      <c r="C41" s="123"/>
      <c r="D41" s="123"/>
      <c r="E41" s="123"/>
      <c r="F41" s="123"/>
      <c r="G41" s="123"/>
      <c r="H41" s="123"/>
      <c r="I41" s="123"/>
      <c r="J41" s="123"/>
      <c r="K41" s="123"/>
      <c r="L41" s="123"/>
      <c r="M41" s="123"/>
      <c r="N41" s="123"/>
      <c r="O41" s="123"/>
      <c r="P41" s="256"/>
      <c r="Q41" s="256"/>
      <c r="R41" s="256"/>
      <c r="S41" s="256"/>
      <c r="T41" s="256"/>
      <c r="U41" s="256"/>
      <c r="V41" s="256"/>
      <c r="W41" s="256"/>
      <c r="X41" s="256"/>
      <c r="Y41" s="256"/>
      <c r="Z41" s="256"/>
      <c r="AA41" s="256"/>
      <c r="AB41" s="256"/>
      <c r="AC41" s="683"/>
      <c r="AD41" s="683"/>
      <c r="AE41" s="683"/>
      <c r="AF41" s="683"/>
      <c r="AG41" s="683"/>
      <c r="AH41" s="683"/>
      <c r="AI41" s="683"/>
      <c r="AJ41" s="683"/>
      <c r="AK41" s="683"/>
      <c r="AL41" s="683"/>
      <c r="AM41" s="683"/>
      <c r="AN41" s="683"/>
      <c r="AO41" s="683"/>
      <c r="AP41" s="680"/>
      <c r="AQ41" s="680"/>
      <c r="AR41" s="680"/>
      <c r="AS41" s="680"/>
      <c r="AT41" s="680"/>
      <c r="AU41" s="680"/>
      <c r="AV41" s="680"/>
      <c r="AW41" s="680"/>
      <c r="AX41" s="680"/>
      <c r="AY41" s="680"/>
      <c r="AZ41" s="680"/>
      <c r="BA41" s="680"/>
      <c r="BB41" s="680"/>
      <c r="BC41" s="683"/>
      <c r="BD41" s="683"/>
      <c r="BE41" s="683"/>
      <c r="BF41" s="683"/>
      <c r="BG41" s="683"/>
      <c r="BH41" s="683"/>
      <c r="BI41" s="683"/>
      <c r="BJ41" s="683"/>
      <c r="BK41" s="683"/>
      <c r="BL41" s="683"/>
      <c r="BM41" s="683"/>
      <c r="BN41" s="683"/>
      <c r="BO41" s="683"/>
      <c r="BP41" s="680"/>
      <c r="BQ41" s="680"/>
      <c r="BR41" s="680"/>
      <c r="BS41" s="680"/>
      <c r="BT41" s="680"/>
      <c r="BU41" s="680"/>
      <c r="BV41" s="680"/>
      <c r="BW41" s="680"/>
      <c r="BX41" s="680"/>
      <c r="BY41" s="680"/>
      <c r="BZ41" s="680"/>
      <c r="CA41" s="680"/>
      <c r="CB41" s="680"/>
      <c r="CC41" s="683"/>
      <c r="CD41" s="683"/>
      <c r="CE41" s="683"/>
      <c r="CF41" s="683"/>
      <c r="CG41" s="683"/>
      <c r="CH41" s="683"/>
      <c r="CI41" s="683"/>
      <c r="CJ41" s="683"/>
      <c r="CK41" s="683"/>
      <c r="CL41" s="683"/>
      <c r="CM41" s="683"/>
      <c r="CN41" s="683"/>
      <c r="CO41" s="683"/>
      <c r="CP41" s="680"/>
      <c r="CQ41" s="680"/>
      <c r="CR41" s="680"/>
      <c r="CS41" s="680"/>
      <c r="CT41" s="680"/>
      <c r="CU41" s="680"/>
      <c r="CV41" s="680"/>
      <c r="CW41" s="680"/>
      <c r="CX41" s="680"/>
      <c r="CY41" s="681"/>
      <c r="CZ41" s="681"/>
      <c r="DA41" s="681"/>
      <c r="DB41" s="681"/>
      <c r="DC41" s="682"/>
      <c r="DD41" s="682"/>
      <c r="DE41" s="682"/>
      <c r="DF41" s="682"/>
      <c r="DG41" s="682"/>
      <c r="DH41" s="682"/>
      <c r="DI41" s="682"/>
      <c r="DJ41" s="682"/>
      <c r="DK41" s="682"/>
      <c r="DL41" s="682"/>
      <c r="DM41" s="682"/>
      <c r="DN41" s="682"/>
      <c r="DO41" s="682"/>
      <c r="DP41" s="681"/>
      <c r="DQ41" s="681"/>
      <c r="DR41" s="681"/>
      <c r="DS41" s="681"/>
      <c r="DT41" s="681"/>
      <c r="DU41" s="681"/>
      <c r="DV41" s="681"/>
      <c r="DW41" s="681"/>
      <c r="DX41" s="681"/>
      <c r="DY41" s="681"/>
      <c r="DZ41" s="681"/>
      <c r="EA41" s="681"/>
      <c r="EB41" s="681"/>
      <c r="EC41" s="260" t="str">
        <f t="shared" si="91"/>
        <v xml:space="preserve"> </v>
      </c>
      <c r="ED41" s="260" t="str">
        <f t="shared" si="92"/>
        <v xml:space="preserve"> </v>
      </c>
      <c r="EE41" s="260" t="str">
        <f t="shared" si="93"/>
        <v xml:space="preserve"> </v>
      </c>
      <c r="EF41" s="260" t="str">
        <f t="shared" si="94"/>
        <v xml:space="preserve"> </v>
      </c>
      <c r="EG41" s="260" t="str">
        <f t="shared" si="95"/>
        <v xml:space="preserve"> </v>
      </c>
      <c r="EH41" s="260" t="str">
        <f t="shared" si="96"/>
        <v xml:space="preserve"> </v>
      </c>
      <c r="EI41" s="260" t="str">
        <f t="shared" si="97"/>
        <v xml:space="preserve"> </v>
      </c>
      <c r="EJ41" s="260" t="str">
        <f t="shared" si="98"/>
        <v xml:space="preserve"> </v>
      </c>
      <c r="EK41" s="260" t="str">
        <f t="shared" si="99"/>
        <v xml:space="preserve"> </v>
      </c>
      <c r="EL41" s="260" t="str">
        <f t="shared" si="100"/>
        <v xml:space="preserve"> </v>
      </c>
      <c r="EM41" s="260" t="str">
        <f t="shared" si="101"/>
        <v xml:space="preserve"> </v>
      </c>
      <c r="EN41" s="260" t="str">
        <f t="shared" si="102"/>
        <v xml:space="preserve"> </v>
      </c>
      <c r="EO41" s="260" t="str">
        <f t="shared" si="103"/>
        <v xml:space="preserve"> </v>
      </c>
      <c r="EP41" s="547"/>
      <c r="EQ41" s="547"/>
      <c r="ER41" s="547"/>
      <c r="ES41" s="547"/>
      <c r="ET41" s="547"/>
      <c r="EU41" s="547"/>
      <c r="EV41" s="547"/>
      <c r="EW41" s="547"/>
      <c r="EX41" s="547"/>
      <c r="EY41" s="547"/>
      <c r="EZ41" s="547"/>
      <c r="FA41" s="547"/>
      <c r="FB41" s="547"/>
      <c r="FC41" s="560"/>
      <c r="FD41" s="560"/>
      <c r="FE41" s="560"/>
      <c r="FF41" s="560"/>
      <c r="FG41" s="560"/>
      <c r="FH41" s="560"/>
      <c r="FI41" s="560"/>
      <c r="FJ41" s="560"/>
      <c r="FK41" s="560"/>
      <c r="FL41" s="560"/>
      <c r="FM41" s="560"/>
      <c r="FN41" s="560"/>
      <c r="FO41" s="560"/>
      <c r="FP41" s="549" t="str">
        <f t="shared" si="104"/>
        <v xml:space="preserve"> </v>
      </c>
      <c r="FQ41" s="291" t="str">
        <f t="shared" si="105"/>
        <v xml:space="preserve">  </v>
      </c>
      <c r="FR41" s="50" t="str">
        <f t="shared" si="106"/>
        <v xml:space="preserve"> </v>
      </c>
      <c r="FS41" s="282"/>
      <c r="FT41" s="51"/>
      <c r="FU41" s="46" t="str">
        <f t="shared" si="107"/>
        <v xml:space="preserve"> </v>
      </c>
      <c r="FV41" s="46" t="str">
        <f t="shared" si="108"/>
        <v xml:space="preserve"> </v>
      </c>
      <c r="FW41" s="46" t="str">
        <f t="shared" si="109"/>
        <v xml:space="preserve"> </v>
      </c>
      <c r="FX41" s="46" t="str">
        <f t="shared" si="110"/>
        <v xml:space="preserve"> </v>
      </c>
      <c r="FY41" s="46" t="str">
        <f t="shared" si="111"/>
        <v xml:space="preserve"> </v>
      </c>
      <c r="FZ41" s="46" t="str">
        <f t="shared" si="112"/>
        <v xml:space="preserve"> </v>
      </c>
      <c r="GA41" s="46" t="str">
        <f t="shared" si="113"/>
        <v xml:space="preserve"> </v>
      </c>
      <c r="GB41" s="46" t="str">
        <f t="shared" si="114"/>
        <v xml:space="preserve"> </v>
      </c>
      <c r="GC41" s="46" t="str">
        <f t="shared" si="115"/>
        <v xml:space="preserve"> </v>
      </c>
      <c r="GD41" s="46" t="str">
        <f t="shared" si="116"/>
        <v xml:space="preserve"> </v>
      </c>
      <c r="GE41" s="46" t="str">
        <f t="shared" si="117"/>
        <v xml:space="preserve"> </v>
      </c>
      <c r="GF41" s="46" t="str">
        <f t="shared" si="118"/>
        <v xml:space="preserve"> </v>
      </c>
      <c r="GG41" s="46" t="str">
        <f t="shared" si="119"/>
        <v xml:space="preserve"> </v>
      </c>
      <c r="GH41" s="46"/>
      <c r="GI41" s="53" t="str">
        <f t="shared" si="120"/>
        <v xml:space="preserve">  </v>
      </c>
      <c r="GJ41" s="53" t="str">
        <f t="shared" si="121"/>
        <v xml:space="preserve">  </v>
      </c>
      <c r="GK41" s="53" t="str">
        <f t="shared" si="122"/>
        <v xml:space="preserve">  </v>
      </c>
      <c r="GL41" s="53" t="str">
        <f t="shared" si="123"/>
        <v xml:space="preserve">  </v>
      </c>
      <c r="GM41" s="53" t="str">
        <f t="shared" si="124"/>
        <v xml:space="preserve">  </v>
      </c>
      <c r="GN41" s="53" t="str">
        <f t="shared" si="125"/>
        <v xml:space="preserve">  </v>
      </c>
      <c r="GO41" s="53" t="str">
        <f t="shared" si="126"/>
        <v xml:space="preserve">  </v>
      </c>
      <c r="GP41" s="53" t="str">
        <f t="shared" si="127"/>
        <v xml:space="preserve">  </v>
      </c>
      <c r="GQ41" s="53" t="str">
        <f t="shared" si="128"/>
        <v xml:space="preserve">  </v>
      </c>
      <c r="GR41" s="53" t="str">
        <f t="shared" si="129"/>
        <v xml:space="preserve">  </v>
      </c>
      <c r="GS41" s="53" t="str">
        <f t="shared" si="130"/>
        <v xml:space="preserve">  </v>
      </c>
      <c r="GT41" s="53" t="str">
        <f t="shared" si="131"/>
        <v xml:space="preserve">  </v>
      </c>
      <c r="GU41" s="53" t="str">
        <f t="shared" si="132"/>
        <v xml:space="preserve">  </v>
      </c>
      <c r="GV41" s="54" t="str">
        <f t="shared" si="133"/>
        <v xml:space="preserve"> </v>
      </c>
      <c r="GW41" s="51"/>
      <c r="GX41" s="351">
        <f t="shared" si="134"/>
        <v>0</v>
      </c>
      <c r="GY41" s="351">
        <f t="shared" si="135"/>
        <v>0</v>
      </c>
      <c r="GZ41" s="51">
        <f>SISWA!E39</f>
        <v>0</v>
      </c>
      <c r="HA41" s="51" t="str">
        <f t="shared" si="136"/>
        <v/>
      </c>
      <c r="HB41" s="56" t="str">
        <f t="shared" si="137"/>
        <v/>
      </c>
      <c r="HC41" s="56" t="str">
        <f t="shared" si="138"/>
        <v/>
      </c>
      <c r="HD41" s="56" t="str">
        <f t="shared" si="139"/>
        <v/>
      </c>
      <c r="HE41" s="56" t="str">
        <f t="shared" si="140"/>
        <v/>
      </c>
      <c r="HF41" s="56" t="str">
        <f t="shared" si="141"/>
        <v/>
      </c>
      <c r="HG41" s="56" t="str">
        <f t="shared" si="142"/>
        <v/>
      </c>
      <c r="HH41" s="56" t="str">
        <f t="shared" si="143"/>
        <v/>
      </c>
      <c r="HI41" s="56" t="str">
        <f t="shared" si="144"/>
        <v/>
      </c>
      <c r="HJ41" s="56" t="str">
        <f t="shared" si="145"/>
        <v/>
      </c>
      <c r="HK41" s="56" t="str">
        <f t="shared" si="146"/>
        <v/>
      </c>
      <c r="HL41" s="56" t="str">
        <f t="shared" si="147"/>
        <v/>
      </c>
      <c r="HM41" s="56" t="str">
        <f t="shared" si="148"/>
        <v/>
      </c>
      <c r="HN41" s="56" t="str">
        <f t="shared" si="149"/>
        <v/>
      </c>
      <c r="HO41" s="58">
        <f t="shared" si="150"/>
        <v>0</v>
      </c>
      <c r="HP41" s="55" t="e">
        <f t="shared" si="151"/>
        <v>#N/A</v>
      </c>
      <c r="HQ41" s="58"/>
      <c r="HR41" s="59" t="e">
        <f>IF(GX41&gt;100,"",IF(GX41&gt;FQ$1,"sangat baik dalam "&amp;HP41,IF(GX41&gt;=FQ$2," baik dalam "&amp;HP41,IF(GX41&gt;=FQ$3,"cukup dalam "&amp;HP41,IF(GX41&lt;FQ$3,"dengan bimbingan dapat meningkatkan dalam "&amp;HP41,IF(GX41&lt;1," ",””))))))</f>
        <v>#N/A</v>
      </c>
      <c r="HS41" s="58"/>
      <c r="HT41" s="57" t="str">
        <f t="shared" si="152"/>
        <v/>
      </c>
      <c r="HU41" s="57" t="str">
        <f t="shared" si="153"/>
        <v/>
      </c>
      <c r="HV41" s="57" t="str">
        <f t="shared" si="154"/>
        <v/>
      </c>
      <c r="HW41" s="57" t="str">
        <f t="shared" si="155"/>
        <v/>
      </c>
      <c r="HX41" s="57" t="str">
        <f t="shared" si="156"/>
        <v/>
      </c>
      <c r="HY41" s="57" t="str">
        <f t="shared" si="157"/>
        <v/>
      </c>
      <c r="HZ41" s="57" t="str">
        <f t="shared" si="158"/>
        <v/>
      </c>
      <c r="IA41" s="57" t="str">
        <f t="shared" si="159"/>
        <v/>
      </c>
      <c r="IB41" s="57" t="str">
        <f t="shared" si="160"/>
        <v/>
      </c>
      <c r="IC41" s="57" t="str">
        <f t="shared" si="161"/>
        <v/>
      </c>
      <c r="ID41" s="57" t="str">
        <f t="shared" si="162"/>
        <v/>
      </c>
      <c r="IE41" s="57" t="str">
        <f t="shared" si="163"/>
        <v/>
      </c>
      <c r="IF41" s="57" t="str">
        <f t="shared" si="164"/>
        <v/>
      </c>
      <c r="IG41" s="57"/>
      <c r="IH41" s="55" t="e">
        <f t="shared" si="165"/>
        <v>#N/A</v>
      </c>
      <c r="II41" s="59" t="e">
        <f>IF(GY41&gt;100,"",IF(GY41&gt;FQ$1,"sangat baik dalam "&amp;IH41,IF(GY41&gt;=FQ$2," baik dalam "&amp;IH41,IF(GY41&gt;=FQ$3,"cukup dalam "&amp;IH41,IF(GY41&lt;FQ$3,"dengan bimbingan dapat meningkatkan dalam "&amp;IH41,IF(GY41&lt;1," ",””))))))</f>
        <v>#N/A</v>
      </c>
      <c r="IJ41" s="60"/>
      <c r="IK41" s="61" t="s">
        <v>201</v>
      </c>
      <c r="IL41" s="62" t="e">
        <f t="shared" si="166"/>
        <v>#N/A</v>
      </c>
    </row>
    <row r="42" spans="1:246">
      <c r="A42" s="39">
        <v>35</v>
      </c>
      <c r="B42" s="283">
        <f>SISWA!B40</f>
        <v>0</v>
      </c>
      <c r="C42" s="123"/>
      <c r="D42" s="123"/>
      <c r="E42" s="123"/>
      <c r="F42" s="123"/>
      <c r="G42" s="123"/>
      <c r="H42" s="123"/>
      <c r="I42" s="123"/>
      <c r="J42" s="123"/>
      <c r="K42" s="123"/>
      <c r="L42" s="123"/>
      <c r="M42" s="123"/>
      <c r="N42" s="123"/>
      <c r="O42" s="123"/>
      <c r="P42" s="256"/>
      <c r="Q42" s="256"/>
      <c r="R42" s="256"/>
      <c r="S42" s="256"/>
      <c r="T42" s="256"/>
      <c r="U42" s="256"/>
      <c r="V42" s="256"/>
      <c r="W42" s="256"/>
      <c r="X42" s="256"/>
      <c r="Y42" s="256"/>
      <c r="Z42" s="256"/>
      <c r="AA42" s="256"/>
      <c r="AB42" s="256"/>
      <c r="AC42" s="683"/>
      <c r="AD42" s="683"/>
      <c r="AE42" s="683"/>
      <c r="AF42" s="683"/>
      <c r="AG42" s="683"/>
      <c r="AH42" s="683"/>
      <c r="AI42" s="683"/>
      <c r="AJ42" s="683"/>
      <c r="AK42" s="683"/>
      <c r="AL42" s="683"/>
      <c r="AM42" s="683"/>
      <c r="AN42" s="683"/>
      <c r="AO42" s="683"/>
      <c r="AP42" s="680"/>
      <c r="AQ42" s="680"/>
      <c r="AR42" s="680"/>
      <c r="AS42" s="680"/>
      <c r="AT42" s="680"/>
      <c r="AU42" s="680"/>
      <c r="AV42" s="680"/>
      <c r="AW42" s="680"/>
      <c r="AX42" s="680"/>
      <c r="AY42" s="680"/>
      <c r="AZ42" s="680"/>
      <c r="BA42" s="680"/>
      <c r="BB42" s="680"/>
      <c r="BC42" s="683"/>
      <c r="BD42" s="683"/>
      <c r="BE42" s="683"/>
      <c r="BF42" s="683"/>
      <c r="BG42" s="683"/>
      <c r="BH42" s="683"/>
      <c r="BI42" s="683"/>
      <c r="BJ42" s="683"/>
      <c r="BK42" s="683"/>
      <c r="BL42" s="683"/>
      <c r="BM42" s="683"/>
      <c r="BN42" s="683"/>
      <c r="BO42" s="683"/>
      <c r="BP42" s="680"/>
      <c r="BQ42" s="680"/>
      <c r="BR42" s="680"/>
      <c r="BS42" s="680"/>
      <c r="BT42" s="680"/>
      <c r="BU42" s="680"/>
      <c r="BV42" s="680"/>
      <c r="BW42" s="680"/>
      <c r="BX42" s="680"/>
      <c r="BY42" s="680"/>
      <c r="BZ42" s="680"/>
      <c r="CA42" s="680"/>
      <c r="CB42" s="680"/>
      <c r="CC42" s="683"/>
      <c r="CD42" s="683"/>
      <c r="CE42" s="683"/>
      <c r="CF42" s="683"/>
      <c r="CG42" s="683"/>
      <c r="CH42" s="683"/>
      <c r="CI42" s="683"/>
      <c r="CJ42" s="683"/>
      <c r="CK42" s="683"/>
      <c r="CL42" s="683"/>
      <c r="CM42" s="683"/>
      <c r="CN42" s="683"/>
      <c r="CO42" s="683"/>
      <c r="CP42" s="680"/>
      <c r="CQ42" s="680"/>
      <c r="CR42" s="680"/>
      <c r="CS42" s="680"/>
      <c r="CT42" s="680"/>
      <c r="CU42" s="680"/>
      <c r="CV42" s="680"/>
      <c r="CW42" s="680"/>
      <c r="CX42" s="680"/>
      <c r="CY42" s="681"/>
      <c r="CZ42" s="681"/>
      <c r="DA42" s="681"/>
      <c r="DB42" s="681"/>
      <c r="DC42" s="682"/>
      <c r="DD42" s="682"/>
      <c r="DE42" s="682"/>
      <c r="DF42" s="682"/>
      <c r="DG42" s="682"/>
      <c r="DH42" s="682"/>
      <c r="DI42" s="682"/>
      <c r="DJ42" s="682"/>
      <c r="DK42" s="682"/>
      <c r="DL42" s="682"/>
      <c r="DM42" s="682"/>
      <c r="DN42" s="682"/>
      <c r="DO42" s="682"/>
      <c r="DP42" s="681"/>
      <c r="DQ42" s="681"/>
      <c r="DR42" s="681"/>
      <c r="DS42" s="681"/>
      <c r="DT42" s="681"/>
      <c r="DU42" s="681"/>
      <c r="DV42" s="681"/>
      <c r="DW42" s="681"/>
      <c r="DX42" s="681"/>
      <c r="DY42" s="681"/>
      <c r="DZ42" s="681"/>
      <c r="EA42" s="681"/>
      <c r="EB42" s="681"/>
      <c r="EC42" s="260" t="str">
        <f t="shared" si="91"/>
        <v xml:space="preserve"> </v>
      </c>
      <c r="ED42" s="260" t="str">
        <f t="shared" si="92"/>
        <v xml:space="preserve"> </v>
      </c>
      <c r="EE42" s="260" t="str">
        <f t="shared" si="93"/>
        <v xml:space="preserve"> </v>
      </c>
      <c r="EF42" s="260" t="str">
        <f t="shared" si="94"/>
        <v xml:space="preserve"> </v>
      </c>
      <c r="EG42" s="260" t="str">
        <f t="shared" si="95"/>
        <v xml:space="preserve"> </v>
      </c>
      <c r="EH42" s="260" t="str">
        <f t="shared" si="96"/>
        <v xml:space="preserve"> </v>
      </c>
      <c r="EI42" s="260" t="str">
        <f t="shared" si="97"/>
        <v xml:space="preserve"> </v>
      </c>
      <c r="EJ42" s="260" t="str">
        <f t="shared" si="98"/>
        <v xml:space="preserve"> </v>
      </c>
      <c r="EK42" s="260" t="str">
        <f t="shared" si="99"/>
        <v xml:space="preserve"> </v>
      </c>
      <c r="EL42" s="260" t="str">
        <f t="shared" si="100"/>
        <v xml:space="preserve"> </v>
      </c>
      <c r="EM42" s="260" t="str">
        <f t="shared" si="101"/>
        <v xml:space="preserve"> </v>
      </c>
      <c r="EN42" s="260" t="str">
        <f t="shared" si="102"/>
        <v xml:space="preserve"> </v>
      </c>
      <c r="EO42" s="260" t="str">
        <f t="shared" si="103"/>
        <v xml:space="preserve"> </v>
      </c>
      <c r="EP42" s="547"/>
      <c r="EQ42" s="547"/>
      <c r="ER42" s="547"/>
      <c r="ES42" s="547"/>
      <c r="ET42" s="547"/>
      <c r="EU42" s="547"/>
      <c r="EV42" s="547"/>
      <c r="EW42" s="547"/>
      <c r="EX42" s="547"/>
      <c r="EY42" s="547"/>
      <c r="EZ42" s="547"/>
      <c r="FA42" s="547"/>
      <c r="FB42" s="547"/>
      <c r="FC42" s="560"/>
      <c r="FD42" s="560"/>
      <c r="FE42" s="560"/>
      <c r="FF42" s="560"/>
      <c r="FG42" s="560"/>
      <c r="FH42" s="560"/>
      <c r="FI42" s="560"/>
      <c r="FJ42" s="560"/>
      <c r="FK42" s="560"/>
      <c r="FL42" s="560"/>
      <c r="FM42" s="560"/>
      <c r="FN42" s="560"/>
      <c r="FO42" s="560"/>
      <c r="FP42" s="549" t="str">
        <f t="shared" si="104"/>
        <v xml:space="preserve"> </v>
      </c>
      <c r="FQ42" s="291" t="str">
        <f t="shared" si="105"/>
        <v xml:space="preserve">  </v>
      </c>
      <c r="FR42" s="50" t="str">
        <f t="shared" si="106"/>
        <v xml:space="preserve"> </v>
      </c>
      <c r="FS42" s="282"/>
      <c r="FT42" s="51"/>
      <c r="FU42" s="46" t="str">
        <f t="shared" si="107"/>
        <v xml:space="preserve"> </v>
      </c>
      <c r="FV42" s="46" t="str">
        <f t="shared" si="108"/>
        <v xml:space="preserve"> </v>
      </c>
      <c r="FW42" s="46" t="str">
        <f t="shared" si="109"/>
        <v xml:space="preserve"> </v>
      </c>
      <c r="FX42" s="46" t="str">
        <f t="shared" si="110"/>
        <v xml:space="preserve"> </v>
      </c>
      <c r="FY42" s="46" t="str">
        <f t="shared" si="111"/>
        <v xml:space="preserve"> </v>
      </c>
      <c r="FZ42" s="46" t="str">
        <f t="shared" si="112"/>
        <v xml:space="preserve"> </v>
      </c>
      <c r="GA42" s="46" t="str">
        <f t="shared" si="113"/>
        <v xml:space="preserve"> </v>
      </c>
      <c r="GB42" s="46" t="str">
        <f t="shared" si="114"/>
        <v xml:space="preserve"> </v>
      </c>
      <c r="GC42" s="46" t="str">
        <f t="shared" si="115"/>
        <v xml:space="preserve"> </v>
      </c>
      <c r="GD42" s="46" t="str">
        <f t="shared" si="116"/>
        <v xml:space="preserve"> </v>
      </c>
      <c r="GE42" s="46" t="str">
        <f t="shared" si="117"/>
        <v xml:space="preserve"> </v>
      </c>
      <c r="GF42" s="46" t="str">
        <f t="shared" si="118"/>
        <v xml:space="preserve"> </v>
      </c>
      <c r="GG42" s="46" t="str">
        <f t="shared" si="119"/>
        <v xml:space="preserve"> </v>
      </c>
      <c r="GH42" s="46"/>
      <c r="GI42" s="53" t="str">
        <f t="shared" si="120"/>
        <v xml:space="preserve">  </v>
      </c>
      <c r="GJ42" s="53" t="str">
        <f t="shared" si="121"/>
        <v xml:space="preserve">  </v>
      </c>
      <c r="GK42" s="53" t="str">
        <f t="shared" si="122"/>
        <v xml:space="preserve">  </v>
      </c>
      <c r="GL42" s="53" t="str">
        <f t="shared" si="123"/>
        <v xml:space="preserve">  </v>
      </c>
      <c r="GM42" s="53" t="str">
        <f t="shared" si="124"/>
        <v xml:space="preserve">  </v>
      </c>
      <c r="GN42" s="53" t="str">
        <f t="shared" si="125"/>
        <v xml:space="preserve">  </v>
      </c>
      <c r="GO42" s="53" t="str">
        <f t="shared" si="126"/>
        <v xml:space="preserve">  </v>
      </c>
      <c r="GP42" s="53" t="str">
        <f t="shared" si="127"/>
        <v xml:space="preserve">  </v>
      </c>
      <c r="GQ42" s="53" t="str">
        <f t="shared" si="128"/>
        <v xml:space="preserve">  </v>
      </c>
      <c r="GR42" s="53" t="str">
        <f t="shared" si="129"/>
        <v xml:space="preserve">  </v>
      </c>
      <c r="GS42" s="53" t="str">
        <f t="shared" si="130"/>
        <v xml:space="preserve">  </v>
      </c>
      <c r="GT42" s="53" t="str">
        <f t="shared" si="131"/>
        <v xml:space="preserve">  </v>
      </c>
      <c r="GU42" s="53" t="str">
        <f t="shared" si="132"/>
        <v xml:space="preserve">  </v>
      </c>
      <c r="GV42" s="54" t="str">
        <f t="shared" si="133"/>
        <v xml:space="preserve"> </v>
      </c>
      <c r="GW42" s="51"/>
      <c r="GX42" s="351">
        <f t="shared" si="134"/>
        <v>0</v>
      </c>
      <c r="GY42" s="351">
        <f t="shared" si="135"/>
        <v>0</v>
      </c>
      <c r="GZ42" s="51">
        <f>SISWA!E40</f>
        <v>0</v>
      </c>
      <c r="HA42" s="51" t="str">
        <f t="shared" si="136"/>
        <v/>
      </c>
      <c r="HB42" s="56" t="str">
        <f t="shared" si="137"/>
        <v/>
      </c>
      <c r="HC42" s="56" t="str">
        <f t="shared" si="138"/>
        <v/>
      </c>
      <c r="HD42" s="56" t="str">
        <f t="shared" si="139"/>
        <v/>
      </c>
      <c r="HE42" s="56" t="str">
        <f t="shared" si="140"/>
        <v/>
      </c>
      <c r="HF42" s="56" t="str">
        <f t="shared" si="141"/>
        <v/>
      </c>
      <c r="HG42" s="56" t="str">
        <f t="shared" si="142"/>
        <v/>
      </c>
      <c r="HH42" s="56" t="str">
        <f t="shared" si="143"/>
        <v/>
      </c>
      <c r="HI42" s="56" t="str">
        <f t="shared" si="144"/>
        <v/>
      </c>
      <c r="HJ42" s="56" t="str">
        <f t="shared" si="145"/>
        <v/>
      </c>
      <c r="HK42" s="56" t="str">
        <f t="shared" si="146"/>
        <v/>
      </c>
      <c r="HL42" s="56" t="str">
        <f t="shared" si="147"/>
        <v/>
      </c>
      <c r="HM42" s="56" t="str">
        <f t="shared" si="148"/>
        <v/>
      </c>
      <c r="HN42" s="56" t="str">
        <f t="shared" si="149"/>
        <v/>
      </c>
      <c r="HO42" s="58">
        <f t="shared" si="150"/>
        <v>0</v>
      </c>
      <c r="HP42" s="55" t="e">
        <f t="shared" si="151"/>
        <v>#N/A</v>
      </c>
      <c r="HQ42" s="58"/>
      <c r="HR42" s="59" t="e">
        <f>IF(GX42&gt;100,"",IF(GX42&gt;FQ$1,"sangat baik dalam "&amp;HP42,IF(GX42&gt;=FQ$2," baik dalam "&amp;HP42,IF(GX42&gt;=FQ$3,"cukup dalam "&amp;HP42,IF(GX42&lt;FQ$3,"dengan bimbingan dapat meningkatkan dalam "&amp;HP42,IF(GX42&lt;1," ",””))))))</f>
        <v>#N/A</v>
      </c>
      <c r="HS42" s="58"/>
      <c r="HT42" s="57" t="str">
        <f t="shared" si="152"/>
        <v/>
      </c>
      <c r="HU42" s="57" t="str">
        <f t="shared" si="153"/>
        <v/>
      </c>
      <c r="HV42" s="57" t="str">
        <f t="shared" si="154"/>
        <v/>
      </c>
      <c r="HW42" s="57" t="str">
        <f t="shared" si="155"/>
        <v/>
      </c>
      <c r="HX42" s="57" t="str">
        <f t="shared" si="156"/>
        <v/>
      </c>
      <c r="HY42" s="57" t="str">
        <f t="shared" si="157"/>
        <v/>
      </c>
      <c r="HZ42" s="57" t="str">
        <f t="shared" si="158"/>
        <v/>
      </c>
      <c r="IA42" s="57" t="str">
        <f t="shared" si="159"/>
        <v/>
      </c>
      <c r="IB42" s="57" t="str">
        <f t="shared" si="160"/>
        <v/>
      </c>
      <c r="IC42" s="57" t="str">
        <f t="shared" si="161"/>
        <v/>
      </c>
      <c r="ID42" s="57" t="str">
        <f t="shared" si="162"/>
        <v/>
      </c>
      <c r="IE42" s="57" t="str">
        <f t="shared" si="163"/>
        <v/>
      </c>
      <c r="IF42" s="57" t="str">
        <f t="shared" si="164"/>
        <v/>
      </c>
      <c r="IG42" s="57"/>
      <c r="IH42" s="55" t="e">
        <f t="shared" si="165"/>
        <v>#N/A</v>
      </c>
      <c r="II42" s="59" t="e">
        <f>IF(GY42&gt;100,"",IF(GY42&gt;FQ$1,"sangat baik dalam "&amp;IH42,IF(GY42&gt;=FQ$2," baik dalam "&amp;IH42,IF(GY42&gt;=FQ$3,"cukup dalam "&amp;IH42,IF(GY42&lt;FQ$3,"dengan bimbingan dapat meningkatkan dalam "&amp;IH42,IF(GY42&lt;1," ",””))))))</f>
        <v>#N/A</v>
      </c>
      <c r="IJ42" s="60"/>
      <c r="IK42" s="61" t="s">
        <v>201</v>
      </c>
      <c r="IL42" s="62" t="e">
        <f t="shared" si="166"/>
        <v>#N/A</v>
      </c>
    </row>
    <row r="43" spans="1:246">
      <c r="DC43" s="221"/>
      <c r="DD43" s="221"/>
      <c r="DE43" s="221"/>
      <c r="DF43" s="221"/>
      <c r="DG43" s="221"/>
      <c r="DH43" s="221"/>
      <c r="DI43" s="221"/>
    </row>
    <row r="44" spans="1:246">
      <c r="B44" s="1010" t="str">
        <f>"Kompetensi Dasar "&amp;C2&amp;" :"</f>
        <v>Kompetensi Dasar MATEMATIKA :</v>
      </c>
      <c r="C44" s="1011"/>
      <c r="D44" s="1011"/>
      <c r="E44" s="1011"/>
      <c r="F44" s="1011"/>
      <c r="G44" s="1011"/>
      <c r="H44" s="1011"/>
      <c r="I44" s="1011"/>
      <c r="J44" s="1011"/>
      <c r="K44" s="1011"/>
      <c r="L44" s="1011"/>
      <c r="M44" s="1011"/>
      <c r="N44" s="1011"/>
      <c r="O44" s="1011"/>
      <c r="P44" s="1011"/>
      <c r="Q44" s="1011"/>
      <c r="R44" s="1011"/>
      <c r="S44" s="1011"/>
      <c r="T44" s="1011"/>
      <c r="U44" s="1011"/>
      <c r="V44" s="1011"/>
      <c r="W44" s="1011"/>
      <c r="X44" s="1011"/>
      <c r="Y44" s="1011"/>
      <c r="Z44" s="1011"/>
      <c r="AA44" s="1011"/>
      <c r="AB44" s="1011"/>
      <c r="AC44" s="1011"/>
      <c r="AD44" s="1011"/>
      <c r="AE44" s="1011"/>
      <c r="AF44" s="1011"/>
      <c r="AG44" s="1011"/>
      <c r="AH44" s="1011"/>
      <c r="AI44" s="1011"/>
      <c r="AJ44" s="1011"/>
      <c r="AK44" s="1011"/>
      <c r="AL44" s="1011"/>
      <c r="AM44" s="1011"/>
      <c r="AN44" s="1011"/>
      <c r="AO44" s="1011"/>
      <c r="AP44" s="1011"/>
      <c r="AQ44" s="1011"/>
      <c r="AR44" s="1011"/>
      <c r="DC44" s="221"/>
      <c r="DD44" s="221"/>
      <c r="DE44" s="221"/>
      <c r="DF44" s="221"/>
      <c r="DG44" s="221"/>
      <c r="DH44" s="221"/>
      <c r="DI44" s="221"/>
    </row>
    <row r="45" spans="1:246">
      <c r="A45" s="357" t="str">
        <f>'KDKI-3'!A23</f>
        <v>3.1</v>
      </c>
      <c r="B45" s="357" t="str">
        <f>'KDKI-3'!B23</f>
        <v>menjelaskan dan melakukan penjumlahan dan pengurangan dua pecahan dengan penyebut berbeda</v>
      </c>
      <c r="C45" s="70"/>
      <c r="D45" s="70"/>
      <c r="E45" s="70"/>
      <c r="F45" s="70"/>
      <c r="G45" s="70"/>
      <c r="H45" s="70"/>
      <c r="I45" s="70"/>
      <c r="J45" s="70"/>
      <c r="K45" s="70"/>
      <c r="L45" s="70"/>
      <c r="M45" s="70"/>
      <c r="N45" s="70"/>
      <c r="O45" s="70"/>
      <c r="P45" s="70"/>
      <c r="Q45" s="70"/>
      <c r="R45" s="70"/>
      <c r="S45" s="70"/>
      <c r="T45" s="70"/>
      <c r="U45" s="70"/>
      <c r="V45" s="70"/>
      <c r="W45" s="70"/>
      <c r="X45" s="70"/>
      <c r="Y45" s="70"/>
      <c r="Z45" s="70"/>
      <c r="AA45" s="70"/>
      <c r="AB45" s="70"/>
      <c r="AC45" s="70"/>
      <c r="AD45" s="70"/>
      <c r="AE45" s="70"/>
      <c r="AF45" s="70"/>
      <c r="AG45" s="70"/>
      <c r="AH45" s="70"/>
      <c r="AI45" s="70"/>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1"/>
      <c r="BJ45" s="72"/>
      <c r="BK45" s="72"/>
      <c r="BL45" s="72"/>
      <c r="BM45" s="72"/>
      <c r="BN45" s="72"/>
      <c r="BO45" s="72"/>
    </row>
    <row r="46" spans="1:246">
      <c r="A46" s="357" t="str">
        <f>'KDKI-3'!A24</f>
        <v>3.2</v>
      </c>
      <c r="B46" s="357" t="str">
        <f>'KDKI-3'!B24</f>
        <v>menjelaskan dan melakukan perkalian dan pembagian pecahan dan desimal</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74"/>
      <c r="AG46" s="74"/>
      <c r="AH46" s="74"/>
      <c r="AI46" s="74"/>
      <c r="AJ46" s="74"/>
      <c r="AK46" s="74"/>
      <c r="AL46" s="74"/>
      <c r="AM46" s="74"/>
      <c r="AN46" s="74"/>
      <c r="AO46" s="74"/>
      <c r="AP46" s="74"/>
      <c r="AQ46" s="74"/>
      <c r="AR46" s="74"/>
      <c r="AS46" s="74"/>
      <c r="AT46" s="74"/>
      <c r="AU46" s="74"/>
      <c r="AV46" s="74"/>
      <c r="AW46" s="74"/>
      <c r="AX46" s="74"/>
      <c r="AY46" s="74"/>
      <c r="AZ46" s="74"/>
      <c r="BA46" s="74"/>
      <c r="BB46" s="74"/>
      <c r="BC46" s="74"/>
      <c r="BD46" s="74"/>
      <c r="BE46" s="74"/>
      <c r="BF46" s="74"/>
      <c r="BG46" s="74"/>
      <c r="BH46" s="74"/>
      <c r="BI46" s="75"/>
      <c r="BJ46" s="72"/>
      <c r="BK46" s="72"/>
      <c r="BL46" s="72"/>
      <c r="BM46" s="72"/>
      <c r="BN46" s="72"/>
      <c r="BO46" s="72"/>
    </row>
    <row r="47" spans="1:246">
      <c r="A47" s="357" t="str">
        <f>'KDKI-3'!A25</f>
        <v>3.3</v>
      </c>
      <c r="B47" s="357" t="str">
        <f>'KDKI-3'!B25</f>
        <v>menjelaskan perbandingan dua besaran yang berbeda (kecepatan sebagai perbandingan jarak dengan waktu, debit sebagai perbandingan volume dan waktu)</v>
      </c>
      <c r="C47" s="72"/>
      <c r="D47" s="72"/>
      <c r="E47" s="72"/>
      <c r="F47" s="72"/>
      <c r="G47" s="72"/>
      <c r="H47" s="72"/>
      <c r="I47" s="72"/>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6"/>
      <c r="BJ47" s="72"/>
      <c r="BK47" s="72"/>
      <c r="BL47" s="72"/>
      <c r="BM47" s="72"/>
      <c r="BN47" s="72"/>
      <c r="BO47" s="72"/>
    </row>
    <row r="48" spans="1:246">
      <c r="A48" s="357" t="str">
        <f>'KDKI-3'!A26</f>
        <v>3.4</v>
      </c>
      <c r="B48" s="357" t="str">
        <f>'KDKI-3'!B26</f>
        <v>menjelaskan skala melalui denah</v>
      </c>
      <c r="C48" s="74"/>
      <c r="D48" s="74"/>
      <c r="E48" s="74"/>
      <c r="F48" s="74"/>
      <c r="G48" s="74"/>
      <c r="H48" s="74"/>
      <c r="I48" s="74"/>
      <c r="J48" s="74"/>
      <c r="K48" s="74"/>
      <c r="L48" s="74"/>
      <c r="M48" s="74"/>
      <c r="N48" s="74"/>
      <c r="O48" s="74"/>
      <c r="P48" s="74"/>
      <c r="Q48" s="74"/>
      <c r="R48" s="74"/>
      <c r="S48" s="74"/>
      <c r="T48" s="74"/>
      <c r="U48" s="74"/>
      <c r="V48" s="74"/>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74"/>
      <c r="BF48" s="74"/>
      <c r="BG48" s="74"/>
      <c r="BH48" s="74"/>
      <c r="BI48" s="75"/>
      <c r="BJ48" s="72"/>
      <c r="BK48" s="72"/>
      <c r="BL48" s="72"/>
      <c r="BM48" s="72"/>
      <c r="BN48" s="72"/>
      <c r="BO48" s="72"/>
    </row>
    <row r="49" spans="1:67">
      <c r="A49" s="357" t="str">
        <f>'KDKI-3'!A27</f>
        <v>3.5</v>
      </c>
      <c r="B49" s="357" t="str">
        <f>'KDKI-3'!B27</f>
        <v>menjelaskan, dan menentukan volume bangun ruang dengan menggunakan satuan volume (seperti kubus satuan) serta hubungan pangkat tiga dengan akar pangkat tiga</v>
      </c>
      <c r="C49" s="74"/>
      <c r="D49" s="74"/>
      <c r="E49" s="74"/>
      <c r="F49" s="74"/>
      <c r="G49" s="74"/>
      <c r="H49" s="74"/>
      <c r="I49" s="74"/>
      <c r="J49" s="74"/>
      <c r="K49" s="74"/>
      <c r="L49" s="74"/>
      <c r="M49" s="74"/>
      <c r="N49" s="74"/>
      <c r="O49" s="74"/>
      <c r="P49" s="74"/>
      <c r="Q49" s="74"/>
      <c r="R49" s="74"/>
      <c r="S49" s="74"/>
      <c r="T49" s="74"/>
      <c r="U49" s="74"/>
      <c r="V49" s="74"/>
      <c r="W49" s="74"/>
      <c r="X49" s="74"/>
      <c r="Y49" s="74"/>
      <c r="Z49" s="74"/>
      <c r="AA49" s="74"/>
      <c r="AB49" s="74"/>
      <c r="AC49" s="74"/>
      <c r="AD49" s="74"/>
      <c r="AE49" s="74"/>
      <c r="AF49" s="74"/>
      <c r="AG49" s="74"/>
      <c r="AH49" s="74"/>
      <c r="AI49" s="74"/>
      <c r="AJ49" s="74"/>
      <c r="AK49" s="74"/>
      <c r="AL49" s="74"/>
      <c r="AM49" s="74"/>
      <c r="AN49" s="74"/>
      <c r="AO49" s="74"/>
      <c r="AP49" s="74"/>
      <c r="AQ49" s="74"/>
      <c r="AR49" s="74"/>
      <c r="AS49" s="74"/>
      <c r="AT49" s="74"/>
      <c r="AU49" s="74"/>
      <c r="AV49" s="74"/>
      <c r="AW49" s="74"/>
      <c r="AX49" s="74"/>
      <c r="AY49" s="74"/>
      <c r="AZ49" s="74"/>
      <c r="BA49" s="74"/>
      <c r="BB49" s="74"/>
      <c r="BC49" s="74"/>
      <c r="BD49" s="74"/>
      <c r="BE49" s="74"/>
      <c r="BF49" s="74"/>
      <c r="BG49" s="74"/>
      <c r="BH49" s="74"/>
      <c r="BI49" s="75"/>
      <c r="BJ49" s="72"/>
      <c r="BK49" s="72"/>
      <c r="BL49" s="72"/>
      <c r="BM49" s="72"/>
      <c r="BN49" s="72"/>
      <c r="BO49" s="72"/>
    </row>
    <row r="50" spans="1:67">
      <c r="A50" s="357" t="str">
        <f>'KDKI-3'!A28</f>
        <v>3.6</v>
      </c>
      <c r="B50" s="357" t="str">
        <f>'KDKI-3'!B28</f>
        <v>menjelaskan dan menemukan jaring-jaring bangun ruang sederhana (kubus dan balok)</v>
      </c>
      <c r="C50" s="72"/>
      <c r="D50" s="72"/>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2"/>
      <c r="AT50" s="72"/>
      <c r="AU50" s="72"/>
      <c r="AV50" s="72"/>
      <c r="AW50" s="72"/>
      <c r="AX50" s="72"/>
      <c r="AY50" s="72"/>
      <c r="AZ50" s="72"/>
      <c r="BA50" s="72"/>
      <c r="BB50" s="72"/>
      <c r="BC50" s="72"/>
      <c r="BD50" s="72"/>
      <c r="BE50" s="72"/>
      <c r="BF50" s="72"/>
      <c r="BG50" s="72"/>
      <c r="BH50" s="72"/>
      <c r="BI50" s="76"/>
      <c r="BJ50" s="72"/>
      <c r="BK50" s="72"/>
      <c r="BL50" s="72"/>
      <c r="BM50" s="72"/>
      <c r="BN50" s="72"/>
      <c r="BO50" s="72"/>
    </row>
    <row r="51" spans="1:67">
      <c r="A51" s="357" t="str">
        <f>'KDKI-3'!A29</f>
        <v>3.7</v>
      </c>
      <c r="B51" s="357" t="str">
        <f>'KDKI-3'!B29</f>
        <v>menjelaskan data yang berkaitan dengan diri peserta didik atau lingkungan sekitar serta cara pengumpulannya</v>
      </c>
      <c r="C51" s="74"/>
      <c r="D51" s="74"/>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c r="AJ51" s="74"/>
      <c r="AK51" s="74"/>
      <c r="AL51" s="74"/>
      <c r="AM51" s="74"/>
      <c r="AN51" s="74"/>
      <c r="AO51" s="74"/>
      <c r="AP51" s="74"/>
      <c r="AQ51" s="74"/>
      <c r="AR51" s="74"/>
      <c r="AS51" s="74"/>
      <c r="AT51" s="74"/>
      <c r="AU51" s="74"/>
      <c r="AV51" s="74"/>
      <c r="AW51" s="74"/>
      <c r="AX51" s="74"/>
      <c r="AY51" s="74"/>
      <c r="AZ51" s="74"/>
      <c r="BA51" s="74"/>
      <c r="BB51" s="74"/>
      <c r="BC51" s="74"/>
      <c r="BD51" s="74"/>
      <c r="BE51" s="74"/>
      <c r="BF51" s="74"/>
      <c r="BG51" s="74"/>
      <c r="BH51" s="74"/>
      <c r="BI51" s="75"/>
      <c r="BJ51" s="72"/>
      <c r="BK51" s="72"/>
      <c r="BL51" s="72"/>
      <c r="BM51" s="72"/>
      <c r="BN51" s="72"/>
      <c r="BO51" s="72"/>
    </row>
    <row r="52" spans="1:67">
      <c r="A52" s="357" t="str">
        <f>'KDKI-3'!A30</f>
        <v>3.8</v>
      </c>
      <c r="B52" s="357" t="str">
        <f>'KDKI-3'!B30</f>
        <v>menjelaskan penyajian data yang berkaitan dengan diri peserta didik dan membandingkan dengan data dari lingkungan sekitar dalam bentuk daftar, tabel, diagram gambar (piktogram), diagram batang, atau diagram garis</v>
      </c>
      <c r="C52" s="72"/>
      <c r="D52" s="72"/>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72"/>
      <c r="AN52" s="72"/>
      <c r="AO52" s="72"/>
      <c r="AP52" s="72"/>
      <c r="AQ52" s="72"/>
      <c r="AR52" s="72"/>
      <c r="AS52" s="72"/>
      <c r="AT52" s="72"/>
      <c r="AU52" s="72"/>
      <c r="AV52" s="72"/>
      <c r="AW52" s="72"/>
      <c r="AX52" s="72"/>
      <c r="AY52" s="72"/>
      <c r="AZ52" s="72"/>
      <c r="BA52" s="72"/>
      <c r="BB52" s="72"/>
      <c r="BC52" s="72"/>
      <c r="BD52" s="72"/>
      <c r="BE52" s="72"/>
      <c r="BF52" s="72"/>
      <c r="BG52" s="72"/>
      <c r="BH52" s="72"/>
      <c r="BI52" s="76"/>
      <c r="BJ52" s="72"/>
      <c r="BK52" s="72"/>
      <c r="BL52" s="72"/>
      <c r="BM52" s="72"/>
      <c r="BN52" s="72"/>
      <c r="BO52" s="72"/>
    </row>
    <row r="53" spans="1:67">
      <c r="A53" s="357">
        <f>'KDKI-3'!A31</f>
        <v>0</v>
      </c>
      <c r="B53" s="357">
        <f>'KDKI-3'!B31</f>
        <v>0</v>
      </c>
      <c r="C53" s="74"/>
      <c r="D53" s="74"/>
      <c r="E53" s="74"/>
      <c r="F53" s="74"/>
      <c r="G53" s="74"/>
      <c r="H53" s="74"/>
      <c r="I53" s="74"/>
      <c r="J53" s="74"/>
      <c r="K53" s="74"/>
      <c r="L53" s="74"/>
      <c r="M53" s="74"/>
      <c r="N53" s="74"/>
      <c r="O53" s="74"/>
      <c r="P53" s="74"/>
      <c r="Q53" s="74"/>
      <c r="R53" s="74"/>
      <c r="S53" s="74"/>
      <c r="T53" s="74"/>
      <c r="U53" s="74"/>
      <c r="V53" s="74"/>
      <c r="W53" s="74"/>
      <c r="X53" s="74"/>
      <c r="Y53" s="74"/>
      <c r="Z53" s="74"/>
      <c r="AA53" s="74"/>
      <c r="AB53" s="74"/>
      <c r="AC53" s="74"/>
      <c r="AD53" s="74"/>
      <c r="AE53" s="74"/>
      <c r="AF53" s="74"/>
      <c r="AG53" s="74"/>
      <c r="AH53" s="74"/>
      <c r="AI53" s="74"/>
      <c r="AJ53" s="74"/>
      <c r="AK53" s="74"/>
      <c r="AL53" s="74"/>
      <c r="AM53" s="74"/>
      <c r="AN53" s="74"/>
      <c r="AO53" s="74"/>
      <c r="AP53" s="74"/>
      <c r="AQ53" s="74"/>
      <c r="AR53" s="74"/>
      <c r="AS53" s="74"/>
      <c r="AT53" s="74"/>
      <c r="AU53" s="74"/>
      <c r="AV53" s="74"/>
      <c r="AW53" s="74"/>
      <c r="AX53" s="74"/>
      <c r="AY53" s="74"/>
      <c r="AZ53" s="74"/>
      <c r="BA53" s="74"/>
      <c r="BB53" s="74"/>
      <c r="BC53" s="74"/>
      <c r="BD53" s="74"/>
      <c r="BE53" s="74"/>
      <c r="BF53" s="74"/>
      <c r="BG53" s="74"/>
      <c r="BH53" s="74"/>
      <c r="BI53" s="75"/>
      <c r="BJ53" s="72"/>
      <c r="BK53" s="72"/>
      <c r="BL53" s="72"/>
      <c r="BM53" s="72"/>
      <c r="BN53" s="72"/>
      <c r="BO53" s="72"/>
    </row>
    <row r="54" spans="1:67">
      <c r="A54" s="357">
        <f>'KDKI-3'!A32</f>
        <v>0</v>
      </c>
      <c r="B54" s="357">
        <f>'KDKI-3'!B32</f>
        <v>0</v>
      </c>
      <c r="C54" s="84"/>
      <c r="D54" s="84"/>
      <c r="E54" s="84"/>
      <c r="F54" s="84"/>
      <c r="G54" s="84"/>
      <c r="H54" s="84"/>
      <c r="I54" s="84"/>
      <c r="J54" s="84"/>
      <c r="K54" s="84"/>
      <c r="L54" s="84"/>
      <c r="M54" s="84"/>
      <c r="N54" s="84"/>
      <c r="O54" s="84"/>
      <c r="P54" s="84"/>
      <c r="Q54" s="84"/>
      <c r="R54" s="84"/>
      <c r="S54" s="84"/>
      <c r="T54" s="84"/>
      <c r="U54" s="84"/>
      <c r="V54" s="84"/>
      <c r="W54" s="84"/>
      <c r="X54" s="84"/>
      <c r="Y54" s="84"/>
      <c r="Z54" s="84"/>
      <c r="AA54" s="84"/>
      <c r="AB54" s="84"/>
      <c r="AC54" s="84"/>
      <c r="AD54" s="84"/>
      <c r="AE54" s="84"/>
      <c r="AF54" s="84"/>
      <c r="AG54" s="84"/>
      <c r="AH54" s="84"/>
      <c r="AI54" s="84"/>
      <c r="AJ54" s="84"/>
      <c r="AK54" s="84"/>
      <c r="AL54" s="84"/>
      <c r="AM54" s="84"/>
      <c r="AN54" s="84"/>
      <c r="AO54" s="84"/>
      <c r="AP54" s="84"/>
      <c r="AQ54" s="84"/>
      <c r="AR54" s="84"/>
      <c r="AS54" s="84"/>
      <c r="AT54" s="84"/>
      <c r="AU54" s="84"/>
      <c r="AV54" s="84"/>
      <c r="AW54" s="84"/>
      <c r="AX54" s="84"/>
      <c r="AY54" s="84"/>
      <c r="AZ54" s="84"/>
      <c r="BA54" s="84"/>
      <c r="BB54" s="84"/>
      <c r="BC54" s="84"/>
      <c r="BD54" s="84"/>
      <c r="BE54" s="84"/>
      <c r="BF54" s="84"/>
      <c r="BG54" s="84"/>
      <c r="BH54" s="84"/>
      <c r="BI54" s="85"/>
      <c r="BJ54" s="72"/>
      <c r="BK54" s="72"/>
      <c r="BL54" s="72"/>
      <c r="BM54" s="72"/>
      <c r="BN54" s="72"/>
      <c r="BO54" s="72"/>
    </row>
    <row r="55" spans="1:67">
      <c r="A55" s="358">
        <f>'KDKI-3'!A33</f>
        <v>0</v>
      </c>
      <c r="B55" s="358">
        <f>'KDKI-3'!B33</f>
        <v>0</v>
      </c>
      <c r="C55" s="74"/>
      <c r="D55" s="74"/>
      <c r="E55" s="74"/>
      <c r="F55" s="74"/>
      <c r="G55" s="74"/>
      <c r="H55" s="74"/>
      <c r="I55" s="74"/>
      <c r="J55" s="74"/>
      <c r="K55" s="74"/>
      <c r="L55" s="74"/>
      <c r="M55" s="74"/>
      <c r="N55" s="74"/>
      <c r="O55" s="74"/>
      <c r="P55" s="74"/>
      <c r="Q55" s="74"/>
      <c r="R55" s="74"/>
      <c r="S55" s="74"/>
      <c r="T55" s="74"/>
      <c r="U55" s="74"/>
      <c r="V55" s="74"/>
      <c r="W55" s="74"/>
      <c r="X55" s="74"/>
      <c r="Y55" s="74"/>
      <c r="Z55" s="74"/>
      <c r="AA55" s="74"/>
      <c r="AB55" s="74"/>
      <c r="AC55" s="74"/>
      <c r="AD55" s="74"/>
      <c r="AE55" s="74"/>
      <c r="AF55" s="74"/>
      <c r="AG55" s="74"/>
      <c r="AH55" s="74"/>
      <c r="AI55" s="74"/>
      <c r="AJ55" s="74"/>
      <c r="AK55" s="74"/>
      <c r="AL55" s="74"/>
      <c r="AM55" s="74"/>
      <c r="AN55" s="74"/>
      <c r="AO55" s="74"/>
      <c r="AP55" s="74"/>
      <c r="AQ55" s="74"/>
      <c r="AR55" s="74"/>
      <c r="AS55" s="74"/>
      <c r="AT55" s="74"/>
      <c r="AU55" s="74"/>
      <c r="AV55" s="74"/>
      <c r="AW55" s="74"/>
      <c r="AX55" s="74"/>
      <c r="AY55" s="74"/>
      <c r="AZ55" s="74"/>
      <c r="BA55" s="74"/>
      <c r="BB55" s="74"/>
      <c r="BC55" s="74"/>
      <c r="BD55" s="74"/>
      <c r="BE55" s="74"/>
      <c r="BF55" s="74"/>
      <c r="BG55" s="74"/>
      <c r="BH55" s="74"/>
      <c r="BI55" s="75"/>
      <c r="BJ55" s="330"/>
      <c r="BK55" s="330"/>
      <c r="BL55" s="330"/>
      <c r="BM55" s="330"/>
      <c r="BN55" s="330"/>
      <c r="BO55" s="330"/>
    </row>
    <row r="56" spans="1:67" ht="15" customHeight="1">
      <c r="A56" s="358">
        <f>'KDKI-3'!A34</f>
        <v>0</v>
      </c>
      <c r="B56" s="358">
        <f>'KDKI-3'!B34</f>
        <v>0</v>
      </c>
    </row>
    <row r="57" spans="1:67" ht="15" customHeight="1">
      <c r="A57" s="358">
        <f>'KDKI-3'!A35</f>
        <v>0</v>
      </c>
      <c r="B57" s="358">
        <f>'KDKI-3'!B35</f>
        <v>0</v>
      </c>
    </row>
    <row r="58" spans="1:67" ht="15" customHeight="1">
      <c r="A58" s="358">
        <f>'KDKI-3'!A36</f>
        <v>0</v>
      </c>
      <c r="B58" s="358">
        <f>'KDKI-3'!B36</f>
        <v>0</v>
      </c>
    </row>
    <row r="59" spans="1:67"/>
    <row r="60" spans="1:67"/>
    <row r="61" spans="1:67"/>
    <row r="62" spans="1:67"/>
    <row r="63" spans="1:67"/>
  </sheetData>
  <sheetProtection password="CA9C" sheet="1" objects="1" scenarios="1" formatCells="0" formatRows="0"/>
  <mergeCells count="61">
    <mergeCell ref="IF6:IF7"/>
    <mergeCell ref="IA6:IA7"/>
    <mergeCell ref="IB6:IB7"/>
    <mergeCell ref="IC6:IC7"/>
    <mergeCell ref="EP5:FB5"/>
    <mergeCell ref="B1:AR1"/>
    <mergeCell ref="C2:P2"/>
    <mergeCell ref="AS3:BD3"/>
    <mergeCell ref="C5:AB5"/>
    <mergeCell ref="HN6:HN7"/>
    <mergeCell ref="C4:R4"/>
    <mergeCell ref="C6:O6"/>
    <mergeCell ref="P6:AB6"/>
    <mergeCell ref="GX3:GZ3"/>
    <mergeCell ref="C3:Q3"/>
    <mergeCell ref="A5:A7"/>
    <mergeCell ref="B5:B7"/>
    <mergeCell ref="GI5:GO5"/>
    <mergeCell ref="BC6:BM6"/>
    <mergeCell ref="BP6:BZ6"/>
    <mergeCell ref="CC6:CM6"/>
    <mergeCell ref="CP6:CZ6"/>
    <mergeCell ref="CC5:CZ5"/>
    <mergeCell ref="BC5:BZ5"/>
    <mergeCell ref="DC6:DM6"/>
    <mergeCell ref="DP6:DZ6"/>
    <mergeCell ref="DC5:DZ5"/>
    <mergeCell ref="FC5:FO5"/>
    <mergeCell ref="EC5:EO5"/>
    <mergeCell ref="B44:AR44"/>
    <mergeCell ref="HT6:HT7"/>
    <mergeCell ref="HU6:HU7"/>
    <mergeCell ref="HV6:HV7"/>
    <mergeCell ref="HW6:HW7"/>
    <mergeCell ref="HB6:HB7"/>
    <mergeCell ref="HC6:HC7"/>
    <mergeCell ref="HD6:HD7"/>
    <mergeCell ref="HE6:HE7"/>
    <mergeCell ref="HF6:HF7"/>
    <mergeCell ref="HG6:HG7"/>
    <mergeCell ref="FQ5:FQ7"/>
    <mergeCell ref="FR5:FR7"/>
    <mergeCell ref="FU5:GA5"/>
    <mergeCell ref="GH5:GH7"/>
    <mergeCell ref="AC5:AZ5"/>
    <mergeCell ref="II6:II7"/>
    <mergeCell ref="ID6:ID7"/>
    <mergeCell ref="AC6:AM6"/>
    <mergeCell ref="AP6:AZ6"/>
    <mergeCell ref="HZ6:HZ7"/>
    <mergeCell ref="HX6:HX7"/>
    <mergeCell ref="HY6:HY7"/>
    <mergeCell ref="HH6:HH7"/>
    <mergeCell ref="HI6:HI7"/>
    <mergeCell ref="HJ6:HJ7"/>
    <mergeCell ref="HK6:HK7"/>
    <mergeCell ref="HP6:HP7"/>
    <mergeCell ref="HR6:HR7"/>
    <mergeCell ref="HL6:HL7"/>
    <mergeCell ref="HM6:HM7"/>
    <mergeCell ref="IE6:IE7"/>
  </mergeCells>
  <pageMargins left="0.7" right="0.7" top="0.75" bottom="0.75" header="0.3" footer="0.3"/>
  <pageSetup paperSize="9" orientation="portrait" horizontalDpi="4294967294" verticalDpi="4294967294"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0000"/>
  </sheetPr>
  <dimension ref="A1:GN61"/>
  <sheetViews>
    <sheetView showRowColHeaders="0" showZeros="0" topLeftCell="A2" workbookViewId="0">
      <pane xSplit="2" ySplit="6" topLeftCell="CU13" activePane="bottomRight" state="frozen"/>
      <selection activeCell="A2" sqref="A2"/>
      <selection pane="topRight" activeCell="C2" sqref="C2"/>
      <selection pane="bottomLeft" activeCell="A8" sqref="A8"/>
      <selection pane="bottomRight" activeCell="DI21" sqref="DI21"/>
    </sheetView>
  </sheetViews>
  <sheetFormatPr defaultColWidth="0" defaultRowHeight="15" zeroHeight="1"/>
  <cols>
    <col min="1" max="1" width="4.7109375" customWidth="1"/>
    <col min="2" max="2" width="31" customWidth="1"/>
    <col min="3" max="101" width="3.7109375" customWidth="1"/>
    <col min="102" max="119" width="4.28515625" customWidth="1"/>
    <col min="120" max="121" width="6.7109375" customWidth="1"/>
    <col min="122" max="122" width="100.7109375" customWidth="1"/>
    <col min="123" max="123" width="3.7109375" customWidth="1"/>
    <col min="124" max="180" width="3.7109375" hidden="1" customWidth="1"/>
    <col min="181" max="190" width="5.7109375" hidden="1" customWidth="1"/>
    <col min="191" max="191" width="15.7109375" hidden="1" customWidth="1"/>
    <col min="192" max="194" width="5.7109375" hidden="1" customWidth="1"/>
    <col min="195" max="196" width="15.7109375" hidden="1" customWidth="1"/>
    <col min="197" max="16384" width="9.140625" hidden="1"/>
  </cols>
  <sheetData>
    <row r="1" spans="1:191">
      <c r="A1" s="22"/>
      <c r="B1" s="894" t="s">
        <v>0</v>
      </c>
      <c r="C1" s="894"/>
      <c r="D1" s="894"/>
      <c r="E1" s="894"/>
      <c r="F1" s="894"/>
      <c r="G1" s="894"/>
      <c r="H1" s="894"/>
      <c r="I1" s="894"/>
      <c r="J1" s="894"/>
      <c r="K1" s="894"/>
      <c r="L1" s="894"/>
      <c r="M1" s="894"/>
      <c r="N1" s="894"/>
      <c r="O1" s="894"/>
      <c r="P1" s="894"/>
      <c r="Q1" s="894"/>
      <c r="R1" s="894"/>
      <c r="S1" s="894"/>
      <c r="T1" s="894"/>
      <c r="U1" s="894"/>
      <c r="V1" s="894"/>
      <c r="W1" s="894"/>
      <c r="X1" s="894"/>
      <c r="Y1" s="894"/>
      <c r="Z1" s="894"/>
      <c r="AA1" s="894"/>
      <c r="AB1" s="894"/>
      <c r="AC1" s="894"/>
      <c r="AD1" s="894"/>
      <c r="AE1" s="894"/>
      <c r="AF1" s="894"/>
      <c r="DP1" t="s">
        <v>1</v>
      </c>
      <c r="DQ1">
        <f>KKM!D29</f>
        <v>92</v>
      </c>
      <c r="DT1">
        <v>100</v>
      </c>
      <c r="FF1" s="4"/>
      <c r="FG1" s="4"/>
      <c r="FH1" s="4"/>
      <c r="FI1" s="4"/>
      <c r="FJ1" s="4"/>
      <c r="FK1" s="4"/>
      <c r="FL1" s="4"/>
      <c r="FM1" s="4"/>
      <c r="FN1" s="4"/>
      <c r="FO1" s="4"/>
      <c r="FP1" s="4"/>
      <c r="FQ1" s="4"/>
      <c r="FR1" s="4"/>
      <c r="FS1" s="4"/>
      <c r="FT1" s="4"/>
      <c r="FU1" s="4"/>
      <c r="FV1" s="4"/>
      <c r="FW1" s="4"/>
      <c r="FX1" s="4"/>
      <c r="GC1" s="4"/>
      <c r="GD1" s="4"/>
      <c r="GE1" s="4"/>
      <c r="GF1" s="4"/>
      <c r="GG1" s="4"/>
      <c r="GH1" s="4"/>
      <c r="GI1" s="4"/>
    </row>
    <row r="2" spans="1:191">
      <c r="A2" s="22"/>
      <c r="B2" s="7" t="s">
        <v>3</v>
      </c>
      <c r="C2" s="1181" t="s">
        <v>122</v>
      </c>
      <c r="D2" s="996"/>
      <c r="E2" s="996"/>
      <c r="F2" s="996"/>
      <c r="G2" s="996"/>
      <c r="H2" s="996"/>
      <c r="I2" s="996"/>
      <c r="J2" s="996"/>
      <c r="K2" s="996"/>
      <c r="L2" s="996"/>
      <c r="M2" s="8"/>
      <c r="N2" s="9"/>
      <c r="O2" s="9"/>
      <c r="P2" s="9"/>
      <c r="Q2" s="9"/>
      <c r="R2" s="9"/>
      <c r="S2" s="9"/>
      <c r="T2" s="9"/>
      <c r="U2" s="9"/>
      <c r="V2" s="9"/>
      <c r="W2" s="10"/>
      <c r="X2" s="10"/>
      <c r="AD2" s="9"/>
      <c r="AE2" s="11"/>
      <c r="AF2" s="12"/>
      <c r="DP2" t="s">
        <v>2</v>
      </c>
      <c r="DQ2">
        <f>KKM!D30</f>
        <v>83</v>
      </c>
      <c r="DT2">
        <f>(DT1-DQ2)/2</f>
        <v>8.5</v>
      </c>
      <c r="FF2" s="4"/>
      <c r="FG2" s="4"/>
      <c r="FH2" s="4"/>
      <c r="FI2" s="4"/>
      <c r="FJ2" s="4"/>
      <c r="FK2" s="4"/>
      <c r="FL2" s="4"/>
      <c r="FM2" s="4"/>
      <c r="FN2" s="4"/>
      <c r="FO2" s="4"/>
      <c r="FP2" s="4"/>
      <c r="FQ2" s="4"/>
      <c r="FR2" s="4"/>
      <c r="FS2" s="4"/>
      <c r="FT2" s="4"/>
      <c r="FU2" s="4"/>
      <c r="FV2" s="4"/>
      <c r="FW2" s="4"/>
      <c r="FX2" s="4"/>
      <c r="GC2" s="4"/>
      <c r="GD2" s="4"/>
      <c r="GE2" s="4"/>
      <c r="GF2" s="4"/>
      <c r="GG2" s="4"/>
      <c r="GH2" s="4"/>
      <c r="GI2" s="4"/>
    </row>
    <row r="3" spans="1:191" ht="15.75">
      <c r="A3" s="22"/>
      <c r="B3" s="14" t="s">
        <v>7</v>
      </c>
      <c r="C3" s="992" t="str">
        <f>MENU!N20</f>
        <v>V ( Lima )</v>
      </c>
      <c r="D3" s="992"/>
      <c r="E3" s="992"/>
      <c r="F3" s="992"/>
      <c r="G3" s="992"/>
      <c r="H3" s="992"/>
      <c r="I3" s="992"/>
      <c r="J3" s="992"/>
      <c r="K3" s="992"/>
      <c r="L3" s="992"/>
      <c r="M3" s="992"/>
      <c r="N3" s="992"/>
      <c r="O3" s="992"/>
      <c r="P3" s="992"/>
      <c r="Q3" s="992"/>
      <c r="R3" s="992"/>
      <c r="S3" s="992"/>
      <c r="T3" s="992"/>
      <c r="U3" s="9"/>
      <c r="V3" s="9"/>
      <c r="W3" s="21"/>
      <c r="X3" s="8"/>
      <c r="Y3" s="8"/>
      <c r="Z3" s="8"/>
      <c r="AA3" s="8"/>
      <c r="AB3" s="8"/>
      <c r="AC3" s="8"/>
      <c r="AD3" s="8"/>
      <c r="AE3" s="8"/>
      <c r="AG3" s="997"/>
      <c r="AH3" s="997"/>
      <c r="AI3" s="997"/>
      <c r="AJ3" s="997"/>
      <c r="AK3" s="997"/>
      <c r="AL3" s="997"/>
      <c r="AM3" s="997"/>
      <c r="AN3" s="997"/>
      <c r="AW3" s="23"/>
      <c r="DP3" t="s">
        <v>64</v>
      </c>
      <c r="DQ3">
        <f>KKM!D31</f>
        <v>75</v>
      </c>
      <c r="FF3" s="555"/>
      <c r="FG3" s="555"/>
      <c r="FH3" s="555"/>
      <c r="FI3" s="555"/>
      <c r="FJ3" s="555"/>
      <c r="FK3" s="555"/>
      <c r="FL3" s="555"/>
      <c r="FM3" s="555"/>
      <c r="FN3" s="555"/>
      <c r="FO3" s="555"/>
      <c r="FP3" s="555"/>
      <c r="FQ3" s="555"/>
      <c r="FR3" s="555"/>
      <c r="FS3" s="555"/>
      <c r="FT3" s="555"/>
      <c r="FU3" s="555"/>
      <c r="FV3" s="555"/>
      <c r="FW3" s="555"/>
      <c r="FX3" s="555"/>
      <c r="GC3" s="26"/>
      <c r="GD3" s="26"/>
      <c r="GE3" s="26"/>
      <c r="GF3" s="26"/>
      <c r="GG3" s="26"/>
      <c r="GH3" s="26"/>
      <c r="GI3" s="2"/>
    </row>
    <row r="4" spans="1:191">
      <c r="B4" s="121" t="s">
        <v>383</v>
      </c>
      <c r="C4" s="993">
        <f>KKM!C23</f>
        <v>75</v>
      </c>
      <c r="D4" s="993"/>
      <c r="E4" s="993"/>
      <c r="F4" s="993"/>
      <c r="G4" s="993"/>
      <c r="H4" s="993"/>
      <c r="I4" s="993"/>
      <c r="J4" s="993"/>
      <c r="K4" s="993"/>
      <c r="L4" s="27"/>
      <c r="M4" s="27"/>
      <c r="N4" s="27"/>
      <c r="O4" s="27"/>
      <c r="P4" s="27"/>
      <c r="Q4" s="27"/>
      <c r="R4" s="27"/>
      <c r="S4" s="27"/>
      <c r="T4" s="27"/>
      <c r="U4" s="27"/>
      <c r="V4" s="27"/>
      <c r="W4" s="27"/>
      <c r="X4" s="27"/>
      <c r="Y4" s="27"/>
      <c r="Z4" s="27"/>
      <c r="AA4" s="27"/>
      <c r="AB4" s="27"/>
      <c r="AC4" s="27"/>
      <c r="AD4" s="27"/>
      <c r="AE4" s="27"/>
      <c r="AF4" s="27"/>
      <c r="AG4" s="27"/>
      <c r="DP4" t="s">
        <v>146</v>
      </c>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1007" t="s">
        <v>23</v>
      </c>
      <c r="GC4" s="4"/>
      <c r="GD4" s="4"/>
      <c r="GE4" s="4"/>
      <c r="GF4" s="4"/>
      <c r="GG4" s="4"/>
      <c r="GH4" s="4"/>
      <c r="GI4" s="4"/>
    </row>
    <row r="5" spans="1:191" ht="14.1" customHeight="1">
      <c r="A5" s="900" t="s">
        <v>9</v>
      </c>
      <c r="B5" s="900" t="s">
        <v>10</v>
      </c>
      <c r="C5" s="1201" t="s">
        <v>269</v>
      </c>
      <c r="D5" s="1201"/>
      <c r="E5" s="1201"/>
      <c r="F5" s="1201"/>
      <c r="G5" s="1201"/>
      <c r="H5" s="1201"/>
      <c r="I5" s="1201"/>
      <c r="J5" s="1201"/>
      <c r="K5" s="1201"/>
      <c r="L5" s="1201"/>
      <c r="M5" s="1201"/>
      <c r="N5" s="1201"/>
      <c r="O5" s="1201"/>
      <c r="P5" s="1201"/>
      <c r="Q5" s="1201"/>
      <c r="R5" s="1201"/>
      <c r="S5" s="1201"/>
      <c r="T5" s="1201"/>
      <c r="U5" s="1202" t="s">
        <v>270</v>
      </c>
      <c r="V5" s="1202"/>
      <c r="W5" s="1202"/>
      <c r="X5" s="1202"/>
      <c r="Y5" s="1202"/>
      <c r="Z5" s="1202"/>
      <c r="AA5" s="1202"/>
      <c r="AB5" s="1202"/>
      <c r="AC5" s="1202"/>
      <c r="AD5" s="1202"/>
      <c r="AE5" s="1202"/>
      <c r="AF5" s="1202"/>
      <c r="AG5" s="1202"/>
      <c r="AH5" s="1202"/>
      <c r="AI5" s="1202"/>
      <c r="AJ5" s="1202"/>
      <c r="AK5" s="1202"/>
      <c r="AL5" s="1202"/>
      <c r="AM5" s="1201" t="s">
        <v>271</v>
      </c>
      <c r="AN5" s="1201"/>
      <c r="AO5" s="1201"/>
      <c r="AP5" s="1201"/>
      <c r="AQ5" s="1201"/>
      <c r="AR5" s="1201"/>
      <c r="AS5" s="1201"/>
      <c r="AT5" s="1201"/>
      <c r="AU5" s="1201"/>
      <c r="AV5" s="1201"/>
      <c r="AW5" s="1201"/>
      <c r="AX5" s="1201"/>
      <c r="AY5" s="1201"/>
      <c r="AZ5" s="1201"/>
      <c r="BA5" s="1201"/>
      <c r="BB5" s="1201"/>
      <c r="BC5" s="1201"/>
      <c r="BD5" s="1201"/>
      <c r="BE5" s="1202" t="s">
        <v>272</v>
      </c>
      <c r="BF5" s="1202"/>
      <c r="BG5" s="1202"/>
      <c r="BH5" s="1202"/>
      <c r="BI5" s="1202"/>
      <c r="BJ5" s="1202"/>
      <c r="BK5" s="1202"/>
      <c r="BL5" s="1202"/>
      <c r="BM5" s="1202"/>
      <c r="BN5" s="1202"/>
      <c r="BO5" s="1202"/>
      <c r="BP5" s="1202"/>
      <c r="BQ5" s="1202"/>
      <c r="BR5" s="1202"/>
      <c r="BS5" s="1202"/>
      <c r="BT5" s="1202"/>
      <c r="BU5" s="1202"/>
      <c r="BV5" s="1202"/>
      <c r="BW5" s="1201" t="s">
        <v>273</v>
      </c>
      <c r="BX5" s="1201"/>
      <c r="BY5" s="1201"/>
      <c r="BZ5" s="1201"/>
      <c r="CA5" s="1201"/>
      <c r="CB5" s="1201"/>
      <c r="CC5" s="1201"/>
      <c r="CD5" s="1201"/>
      <c r="CE5" s="1201"/>
      <c r="CF5" s="1201"/>
      <c r="CG5" s="1201"/>
      <c r="CH5" s="1201"/>
      <c r="CI5" s="1201"/>
      <c r="CJ5" s="1201"/>
      <c r="CK5" s="456"/>
      <c r="CL5" s="456"/>
      <c r="CM5" s="456"/>
      <c r="CN5" s="456"/>
      <c r="CO5" s="956" t="s">
        <v>13</v>
      </c>
      <c r="CP5" s="957"/>
      <c r="CQ5" s="957"/>
      <c r="CR5" s="957"/>
      <c r="CS5" s="957"/>
      <c r="CT5" s="957"/>
      <c r="CU5" s="957"/>
      <c r="CV5" s="957"/>
      <c r="CW5" s="958"/>
      <c r="CX5" s="1178" t="s">
        <v>379</v>
      </c>
      <c r="CY5" s="1179"/>
      <c r="CZ5" s="1179"/>
      <c r="DA5" s="1179"/>
      <c r="DB5" s="1179"/>
      <c r="DC5" s="1179"/>
      <c r="DD5" s="1179"/>
      <c r="DE5" s="1179"/>
      <c r="DF5" s="1180"/>
      <c r="DG5" s="1203" t="s">
        <v>378</v>
      </c>
      <c r="DH5" s="1204"/>
      <c r="DI5" s="1204"/>
      <c r="DJ5" s="1204"/>
      <c r="DK5" s="1204"/>
      <c r="DL5" s="1204"/>
      <c r="DM5" s="1204"/>
      <c r="DN5" s="1204"/>
      <c r="DO5" s="1205"/>
      <c r="DP5" s="28" t="s">
        <v>14</v>
      </c>
      <c r="DQ5" s="1018" t="s">
        <v>15</v>
      </c>
      <c r="DR5" s="1021" t="s">
        <v>16</v>
      </c>
      <c r="DS5" s="281"/>
      <c r="DT5" s="556"/>
      <c r="DU5" s="1027" t="s">
        <v>380</v>
      </c>
      <c r="DV5" s="1028"/>
      <c r="DW5" s="1028"/>
      <c r="DX5" s="1028"/>
      <c r="DY5" s="1028"/>
      <c r="DZ5" s="1028"/>
      <c r="EA5" s="1028"/>
      <c r="EB5" s="1028"/>
      <c r="EC5" s="1028"/>
      <c r="ED5" s="1029"/>
      <c r="EE5" s="1024"/>
      <c r="EF5" s="4"/>
      <c r="EG5" s="990" t="s">
        <v>17</v>
      </c>
      <c r="EH5" s="991"/>
      <c r="EI5" s="991"/>
      <c r="EJ5" s="991"/>
      <c r="EK5" s="991"/>
      <c r="EL5" s="991"/>
      <c r="EM5" s="991"/>
      <c r="EN5" s="991"/>
      <c r="EO5" s="991"/>
      <c r="EP5" s="31"/>
      <c r="EQ5" s="31"/>
      <c r="ER5" s="31"/>
      <c r="ES5" s="31"/>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1008"/>
      <c r="GC5" s="4"/>
      <c r="GD5" s="4"/>
      <c r="GE5" s="4"/>
      <c r="GF5" s="4"/>
      <c r="GG5" s="4"/>
      <c r="GH5" s="4"/>
      <c r="GI5" s="4"/>
    </row>
    <row r="6" spans="1:191" ht="17.100000000000001" customHeight="1">
      <c r="A6" s="900"/>
      <c r="B6" s="900"/>
      <c r="C6" s="1003" t="s">
        <v>527</v>
      </c>
      <c r="D6" s="1004"/>
      <c r="E6" s="1004"/>
      <c r="F6" s="1004"/>
      <c r="G6" s="1004"/>
      <c r="H6" s="1004"/>
      <c r="I6" s="1004"/>
      <c r="J6" s="1004"/>
      <c r="K6" s="1172"/>
      <c r="L6" s="1005" t="s">
        <v>275</v>
      </c>
      <c r="M6" s="1006"/>
      <c r="N6" s="1006"/>
      <c r="O6" s="1006"/>
      <c r="P6" s="1006"/>
      <c r="Q6" s="1006"/>
      <c r="R6" s="1006"/>
      <c r="S6" s="1006"/>
      <c r="T6" s="1173"/>
      <c r="U6" s="1003" t="s">
        <v>527</v>
      </c>
      <c r="V6" s="1004"/>
      <c r="W6" s="1004"/>
      <c r="X6" s="1004"/>
      <c r="Y6" s="1004"/>
      <c r="Z6" s="1004"/>
      <c r="AA6" s="1004"/>
      <c r="AB6" s="1004"/>
      <c r="AC6" s="1172"/>
      <c r="AD6" s="1005" t="s">
        <v>275</v>
      </c>
      <c r="AE6" s="1006"/>
      <c r="AF6" s="1006"/>
      <c r="AG6" s="1006"/>
      <c r="AH6" s="1006"/>
      <c r="AI6" s="1006"/>
      <c r="AJ6" s="1006"/>
      <c r="AK6" s="1006"/>
      <c r="AL6" s="1173"/>
      <c r="AM6" s="1003" t="s">
        <v>527</v>
      </c>
      <c r="AN6" s="1004"/>
      <c r="AO6" s="1004"/>
      <c r="AP6" s="1004"/>
      <c r="AQ6" s="1004"/>
      <c r="AR6" s="1004"/>
      <c r="AS6" s="1004"/>
      <c r="AT6" s="1004"/>
      <c r="AU6" s="1172"/>
      <c r="AV6" s="1005" t="s">
        <v>276</v>
      </c>
      <c r="AW6" s="1006"/>
      <c r="AX6" s="1006"/>
      <c r="AY6" s="1006"/>
      <c r="AZ6" s="1006"/>
      <c r="BA6" s="1006"/>
      <c r="BB6" s="1006"/>
      <c r="BC6" s="1006"/>
      <c r="BD6" s="1173"/>
      <c r="BE6" s="1003" t="s">
        <v>527</v>
      </c>
      <c r="BF6" s="1004"/>
      <c r="BG6" s="1004"/>
      <c r="BH6" s="1004"/>
      <c r="BI6" s="1004"/>
      <c r="BJ6" s="1004"/>
      <c r="BK6" s="1004"/>
      <c r="BL6" s="1004"/>
      <c r="BM6" s="1172"/>
      <c r="BN6" s="1005" t="s">
        <v>277</v>
      </c>
      <c r="BO6" s="1006"/>
      <c r="BP6" s="1006"/>
      <c r="BQ6" s="1006"/>
      <c r="BR6" s="1006"/>
      <c r="BS6" s="1006"/>
      <c r="BT6" s="1006"/>
      <c r="BU6" s="1006"/>
      <c r="BV6" s="1173"/>
      <c r="BW6" s="1003" t="s">
        <v>527</v>
      </c>
      <c r="BX6" s="1004"/>
      <c r="BY6" s="1004"/>
      <c r="BZ6" s="1004"/>
      <c r="CA6" s="1004"/>
      <c r="CB6" s="1004"/>
      <c r="CC6" s="1004"/>
      <c r="CD6" s="1004"/>
      <c r="CE6" s="1172"/>
      <c r="CF6" s="1005" t="s">
        <v>18</v>
      </c>
      <c r="CG6" s="1006"/>
      <c r="CH6" s="1006"/>
      <c r="CI6" s="1006"/>
      <c r="CJ6" s="1006"/>
      <c r="CK6" s="1006"/>
      <c r="CL6" s="1006"/>
      <c r="CM6" s="1006"/>
      <c r="CN6" s="1173"/>
      <c r="CO6" s="32" t="s">
        <v>19</v>
      </c>
      <c r="CP6" s="32" t="s">
        <v>19</v>
      </c>
      <c r="CQ6" s="32" t="s">
        <v>19</v>
      </c>
      <c r="CR6" s="32" t="s">
        <v>19</v>
      </c>
      <c r="CS6" s="32" t="s">
        <v>19</v>
      </c>
      <c r="CT6" s="32" t="s">
        <v>19</v>
      </c>
      <c r="CU6" s="32" t="s">
        <v>19</v>
      </c>
      <c r="CV6" s="32" t="s">
        <v>19</v>
      </c>
      <c r="CW6" s="32" t="s">
        <v>19</v>
      </c>
      <c r="CX6" s="551" t="s">
        <v>19</v>
      </c>
      <c r="CY6" s="551" t="s">
        <v>19</v>
      </c>
      <c r="CZ6" s="551" t="s">
        <v>19</v>
      </c>
      <c r="DA6" s="551" t="s">
        <v>19</v>
      </c>
      <c r="DB6" s="551" t="s">
        <v>19</v>
      </c>
      <c r="DC6" s="551" t="s">
        <v>19</v>
      </c>
      <c r="DD6" s="551" t="s">
        <v>19</v>
      </c>
      <c r="DE6" s="551" t="s">
        <v>19</v>
      </c>
      <c r="DF6" s="551" t="s">
        <v>19</v>
      </c>
      <c r="DG6" s="566" t="s">
        <v>19</v>
      </c>
      <c r="DH6" s="566" t="s">
        <v>19</v>
      </c>
      <c r="DI6" s="566" t="s">
        <v>19</v>
      </c>
      <c r="DJ6" s="566" t="s">
        <v>19</v>
      </c>
      <c r="DK6" s="566" t="s">
        <v>19</v>
      </c>
      <c r="DL6" s="566" t="s">
        <v>19</v>
      </c>
      <c r="DM6" s="566" t="s">
        <v>19</v>
      </c>
      <c r="DN6" s="566" t="s">
        <v>19</v>
      </c>
      <c r="DO6" s="566" t="s">
        <v>19</v>
      </c>
      <c r="DP6" s="33"/>
      <c r="DQ6" s="1019"/>
      <c r="DR6" s="1022"/>
      <c r="DS6" s="281"/>
      <c r="DT6" s="556"/>
      <c r="DU6" s="32" t="s">
        <v>19</v>
      </c>
      <c r="DV6" s="32" t="s">
        <v>19</v>
      </c>
      <c r="DW6" s="32" t="s">
        <v>19</v>
      </c>
      <c r="DX6" s="32" t="s">
        <v>19</v>
      </c>
      <c r="DY6" s="32" t="s">
        <v>19</v>
      </c>
      <c r="DZ6" s="32" t="s">
        <v>19</v>
      </c>
      <c r="EA6" s="32" t="s">
        <v>19</v>
      </c>
      <c r="EB6" s="32"/>
      <c r="EC6" s="32"/>
      <c r="ED6" s="32"/>
      <c r="EE6" s="1025"/>
      <c r="EF6" s="4"/>
      <c r="EG6" s="36" t="str">
        <f>A45</f>
        <v>3.1</v>
      </c>
      <c r="EH6" s="36" t="str">
        <f>A46</f>
        <v>3.2</v>
      </c>
      <c r="EI6" s="36" t="str">
        <f>A47</f>
        <v>3.3</v>
      </c>
      <c r="EJ6" s="36" t="str">
        <f>A48</f>
        <v>3.4</v>
      </c>
      <c r="EK6" s="36">
        <f>A49</f>
        <v>0</v>
      </c>
      <c r="EL6" s="36">
        <f>A50</f>
        <v>0</v>
      </c>
      <c r="EM6" s="36">
        <f>A51</f>
        <v>0</v>
      </c>
      <c r="EN6" s="36">
        <f>A52</f>
        <v>0</v>
      </c>
      <c r="EO6" s="36">
        <f>A53</f>
        <v>0</v>
      </c>
      <c r="EP6" s="36"/>
      <c r="EQ6" s="37"/>
      <c r="ER6" s="37"/>
      <c r="ES6" s="37"/>
      <c r="ET6" s="4"/>
      <c r="EU6" s="4"/>
      <c r="EV6" s="987" t="str">
        <f>B45</f>
        <v>memahami gambar cerita</v>
      </c>
      <c r="EW6" s="987" t="str">
        <f>B46</f>
        <v>memahami tangga nada</v>
      </c>
      <c r="EX6" s="987" t="str">
        <f>B47</f>
        <v>memahami pola lantai dalam tari kreasi daerah</v>
      </c>
      <c r="EY6" s="987" t="str">
        <f>B48</f>
        <v>memahami karya seni rupa daerah</v>
      </c>
      <c r="EZ6" s="987">
        <f>B49</f>
        <v>0</v>
      </c>
      <c r="FA6" s="987">
        <f>IFERROR((B50)," ")</f>
        <v>0</v>
      </c>
      <c r="FB6" s="987">
        <f>B51</f>
        <v>0</v>
      </c>
      <c r="FC6" s="989">
        <f>B52</f>
        <v>0</v>
      </c>
      <c r="FD6" s="989">
        <f>B53</f>
        <v>0</v>
      </c>
      <c r="FE6" s="989">
        <f>B54</f>
        <v>0</v>
      </c>
      <c r="FF6" s="37"/>
      <c r="FG6" s="978" t="s">
        <v>24</v>
      </c>
      <c r="FH6" s="38"/>
      <c r="FI6" s="1016" t="s">
        <v>21</v>
      </c>
      <c r="FK6" s="981" t="str">
        <f>EV6</f>
        <v>memahami gambar cerita</v>
      </c>
      <c r="FL6" s="981" t="str">
        <f t="shared" ref="FL6:FT6" si="0">EW6</f>
        <v>memahami tangga nada</v>
      </c>
      <c r="FM6" s="981" t="str">
        <f t="shared" si="0"/>
        <v>memahami pola lantai dalam tari kreasi daerah</v>
      </c>
      <c r="FN6" s="981" t="str">
        <f t="shared" si="0"/>
        <v>memahami karya seni rupa daerah</v>
      </c>
      <c r="FO6" s="981">
        <f t="shared" si="0"/>
        <v>0</v>
      </c>
      <c r="FP6" s="981">
        <f t="shared" si="0"/>
        <v>0</v>
      </c>
      <c r="FQ6" s="981">
        <f t="shared" si="0"/>
        <v>0</v>
      </c>
      <c r="FR6" s="981">
        <f t="shared" si="0"/>
        <v>0</v>
      </c>
      <c r="FS6" s="981">
        <f t="shared" si="0"/>
        <v>0</v>
      </c>
      <c r="FT6" s="981">
        <f t="shared" si="0"/>
        <v>0</v>
      </c>
      <c r="FU6" s="1012" t="s">
        <v>25</v>
      </c>
      <c r="FV6" s="1013" t="s">
        <v>381</v>
      </c>
      <c r="FW6" s="39"/>
      <c r="FX6" s="1008"/>
      <c r="GC6" s="981" t="str">
        <f t="shared" ref="GC6" si="1">"perlu bimbingan dalam "&amp;FN6</f>
        <v>perlu bimbingan dalam memahami karya seni rupa daerah</v>
      </c>
      <c r="GD6" s="981" t="str">
        <f>"perlu bimbingan dalam "&amp;FO6</f>
        <v>perlu bimbingan dalam 0</v>
      </c>
      <c r="GE6" s="1012" t="s">
        <v>22</v>
      </c>
      <c r="GG6" s="39"/>
      <c r="GH6" s="40" t="s">
        <v>23</v>
      </c>
      <c r="GI6" s="4"/>
    </row>
    <row r="7" spans="1:191" ht="17.100000000000001" customHeight="1">
      <c r="A7" s="900"/>
      <c r="B7" s="900"/>
      <c r="C7" s="41" t="str">
        <f>A45</f>
        <v>3.1</v>
      </c>
      <c r="D7" s="41" t="str">
        <f>A46</f>
        <v>3.2</v>
      </c>
      <c r="E7" s="41" t="str">
        <f>A47</f>
        <v>3.3</v>
      </c>
      <c r="F7" s="41" t="str">
        <f>A48</f>
        <v>3.4</v>
      </c>
      <c r="G7" s="41">
        <f>A49</f>
        <v>0</v>
      </c>
      <c r="H7" s="41">
        <f>A50</f>
        <v>0</v>
      </c>
      <c r="I7" s="41">
        <f>A51</f>
        <v>0</v>
      </c>
      <c r="J7" s="41">
        <f>A52</f>
        <v>0</v>
      </c>
      <c r="K7" s="41">
        <f>A53</f>
        <v>0</v>
      </c>
      <c r="L7" s="42" t="str">
        <f t="shared" ref="L7:BV7" si="2">C7</f>
        <v>3.1</v>
      </c>
      <c r="M7" s="42" t="str">
        <f t="shared" si="2"/>
        <v>3.2</v>
      </c>
      <c r="N7" s="42" t="str">
        <f t="shared" si="2"/>
        <v>3.3</v>
      </c>
      <c r="O7" s="42" t="str">
        <f t="shared" si="2"/>
        <v>3.4</v>
      </c>
      <c r="P7" s="42">
        <f t="shared" si="2"/>
        <v>0</v>
      </c>
      <c r="Q7" s="42">
        <f t="shared" si="2"/>
        <v>0</v>
      </c>
      <c r="R7" s="42">
        <f t="shared" si="2"/>
        <v>0</v>
      </c>
      <c r="S7" s="42">
        <f t="shared" si="2"/>
        <v>0</v>
      </c>
      <c r="T7" s="42">
        <f t="shared" si="2"/>
        <v>0</v>
      </c>
      <c r="U7" s="42" t="str">
        <f t="shared" si="2"/>
        <v>3.1</v>
      </c>
      <c r="V7" s="42" t="str">
        <f t="shared" si="2"/>
        <v>3.2</v>
      </c>
      <c r="W7" s="42" t="str">
        <f t="shared" si="2"/>
        <v>3.3</v>
      </c>
      <c r="X7" s="42" t="str">
        <f t="shared" si="2"/>
        <v>3.4</v>
      </c>
      <c r="Y7" s="42">
        <f t="shared" si="2"/>
        <v>0</v>
      </c>
      <c r="Z7" s="42">
        <f t="shared" si="2"/>
        <v>0</v>
      </c>
      <c r="AA7" s="42">
        <f t="shared" si="2"/>
        <v>0</v>
      </c>
      <c r="AB7" s="42">
        <f t="shared" si="2"/>
        <v>0</v>
      </c>
      <c r="AC7" s="42">
        <f t="shared" si="2"/>
        <v>0</v>
      </c>
      <c r="AD7" s="42" t="str">
        <f t="shared" si="2"/>
        <v>3.1</v>
      </c>
      <c r="AE7" s="42" t="str">
        <f t="shared" si="2"/>
        <v>3.2</v>
      </c>
      <c r="AF7" s="42" t="str">
        <f t="shared" si="2"/>
        <v>3.3</v>
      </c>
      <c r="AG7" s="42" t="str">
        <f t="shared" si="2"/>
        <v>3.4</v>
      </c>
      <c r="AH7" s="42">
        <f t="shared" si="2"/>
        <v>0</v>
      </c>
      <c r="AI7" s="42">
        <f t="shared" si="2"/>
        <v>0</v>
      </c>
      <c r="AJ7" s="42">
        <f t="shared" si="2"/>
        <v>0</v>
      </c>
      <c r="AK7" s="42">
        <f t="shared" si="2"/>
        <v>0</v>
      </c>
      <c r="AL7" s="42">
        <f t="shared" si="2"/>
        <v>0</v>
      </c>
      <c r="AM7" s="42" t="str">
        <f t="shared" si="2"/>
        <v>3.1</v>
      </c>
      <c r="AN7" s="42" t="str">
        <f t="shared" si="2"/>
        <v>3.2</v>
      </c>
      <c r="AO7" s="42" t="str">
        <f t="shared" si="2"/>
        <v>3.3</v>
      </c>
      <c r="AP7" s="42" t="str">
        <f t="shared" si="2"/>
        <v>3.4</v>
      </c>
      <c r="AQ7" s="42">
        <f t="shared" si="2"/>
        <v>0</v>
      </c>
      <c r="AR7" s="42">
        <f t="shared" si="2"/>
        <v>0</v>
      </c>
      <c r="AS7" s="42">
        <f t="shared" si="2"/>
        <v>0</v>
      </c>
      <c r="AT7" s="42">
        <f t="shared" si="2"/>
        <v>0</v>
      </c>
      <c r="AU7" s="42">
        <f t="shared" si="2"/>
        <v>0</v>
      </c>
      <c r="AV7" s="42" t="str">
        <f t="shared" si="2"/>
        <v>3.1</v>
      </c>
      <c r="AW7" s="42" t="str">
        <f t="shared" si="2"/>
        <v>3.2</v>
      </c>
      <c r="AX7" s="42" t="str">
        <f t="shared" si="2"/>
        <v>3.3</v>
      </c>
      <c r="AY7" s="42" t="str">
        <f t="shared" si="2"/>
        <v>3.4</v>
      </c>
      <c r="AZ7" s="42">
        <f t="shared" si="2"/>
        <v>0</v>
      </c>
      <c r="BA7" s="42">
        <f t="shared" si="2"/>
        <v>0</v>
      </c>
      <c r="BB7" s="42">
        <f t="shared" si="2"/>
        <v>0</v>
      </c>
      <c r="BC7" s="42">
        <f t="shared" si="2"/>
        <v>0</v>
      </c>
      <c r="BD7" s="42">
        <f t="shared" si="2"/>
        <v>0</v>
      </c>
      <c r="BE7" s="42" t="str">
        <f t="shared" si="2"/>
        <v>3.1</v>
      </c>
      <c r="BF7" s="42" t="str">
        <f t="shared" si="2"/>
        <v>3.2</v>
      </c>
      <c r="BG7" s="42" t="str">
        <f t="shared" si="2"/>
        <v>3.3</v>
      </c>
      <c r="BH7" s="42" t="str">
        <f t="shared" si="2"/>
        <v>3.4</v>
      </c>
      <c r="BI7" s="42">
        <f t="shared" si="2"/>
        <v>0</v>
      </c>
      <c r="BJ7" s="42">
        <f t="shared" si="2"/>
        <v>0</v>
      </c>
      <c r="BK7" s="42">
        <f t="shared" si="2"/>
        <v>0</v>
      </c>
      <c r="BL7" s="42">
        <f t="shared" si="2"/>
        <v>0</v>
      </c>
      <c r="BM7" s="42">
        <f t="shared" si="2"/>
        <v>0</v>
      </c>
      <c r="BN7" s="42" t="str">
        <f t="shared" si="2"/>
        <v>3.1</v>
      </c>
      <c r="BO7" s="42" t="str">
        <f t="shared" si="2"/>
        <v>3.2</v>
      </c>
      <c r="BP7" s="42" t="str">
        <f t="shared" si="2"/>
        <v>3.3</v>
      </c>
      <c r="BQ7" s="42" t="str">
        <f t="shared" si="2"/>
        <v>3.4</v>
      </c>
      <c r="BR7" s="42">
        <f t="shared" si="2"/>
        <v>0</v>
      </c>
      <c r="BS7" s="42">
        <f t="shared" si="2"/>
        <v>0</v>
      </c>
      <c r="BT7" s="42">
        <f t="shared" si="2"/>
        <v>0</v>
      </c>
      <c r="BU7" s="42">
        <f t="shared" si="2"/>
        <v>0</v>
      </c>
      <c r="BV7" s="42">
        <f t="shared" si="2"/>
        <v>0</v>
      </c>
      <c r="BW7" s="42" t="str">
        <f t="shared" ref="BW7" si="3">BN7</f>
        <v>3.1</v>
      </c>
      <c r="BX7" s="42" t="str">
        <f t="shared" ref="BX7" si="4">BO7</f>
        <v>3.2</v>
      </c>
      <c r="BY7" s="42" t="str">
        <f t="shared" ref="BY7" si="5">BP7</f>
        <v>3.3</v>
      </c>
      <c r="BZ7" s="42" t="str">
        <f t="shared" ref="BZ7" si="6">BQ7</f>
        <v>3.4</v>
      </c>
      <c r="CA7" s="42">
        <f t="shared" ref="CA7" si="7">BR7</f>
        <v>0</v>
      </c>
      <c r="CB7" s="42">
        <f t="shared" ref="CB7" si="8">BS7</f>
        <v>0</v>
      </c>
      <c r="CC7" s="42">
        <f t="shared" ref="CC7" si="9">BT7</f>
        <v>0</v>
      </c>
      <c r="CD7" s="42">
        <f t="shared" ref="CD7" si="10">BU7</f>
        <v>0</v>
      </c>
      <c r="CE7" s="42">
        <f t="shared" ref="CE7" si="11">BV7</f>
        <v>0</v>
      </c>
      <c r="CF7" s="42" t="str">
        <f t="shared" ref="CF7" si="12">BW7</f>
        <v>3.1</v>
      </c>
      <c r="CG7" s="42" t="str">
        <f t="shared" ref="CG7" si="13">BX7</f>
        <v>3.2</v>
      </c>
      <c r="CH7" s="42" t="str">
        <f t="shared" ref="CH7" si="14">BY7</f>
        <v>3.3</v>
      </c>
      <c r="CI7" s="42" t="str">
        <f t="shared" ref="CI7" si="15">BZ7</f>
        <v>3.4</v>
      </c>
      <c r="CJ7" s="42">
        <f t="shared" ref="CJ7" si="16">CA7</f>
        <v>0</v>
      </c>
      <c r="CK7" s="42">
        <f t="shared" ref="CK7" si="17">CB7</f>
        <v>0</v>
      </c>
      <c r="CL7" s="42">
        <f t="shared" ref="CL7" si="18">CC7</f>
        <v>0</v>
      </c>
      <c r="CM7" s="42">
        <f t="shared" ref="CM7" si="19">CD7</f>
        <v>0</v>
      </c>
      <c r="CN7" s="42">
        <f t="shared" ref="CN7" si="20">CE7</f>
        <v>0</v>
      </c>
      <c r="CO7" s="43" t="str">
        <f>BN7</f>
        <v>3.1</v>
      </c>
      <c r="CP7" s="43" t="str">
        <f t="shared" ref="CP7:CW7" si="21">BO7</f>
        <v>3.2</v>
      </c>
      <c r="CQ7" s="43" t="str">
        <f t="shared" si="21"/>
        <v>3.3</v>
      </c>
      <c r="CR7" s="43" t="str">
        <f t="shared" si="21"/>
        <v>3.4</v>
      </c>
      <c r="CS7" s="43">
        <f t="shared" si="21"/>
        <v>0</v>
      </c>
      <c r="CT7" s="43">
        <f t="shared" si="21"/>
        <v>0</v>
      </c>
      <c r="CU7" s="43">
        <f t="shared" si="21"/>
        <v>0</v>
      </c>
      <c r="CV7" s="43">
        <f t="shared" si="21"/>
        <v>0</v>
      </c>
      <c r="CW7" s="43">
        <f t="shared" si="21"/>
        <v>0</v>
      </c>
      <c r="CX7" s="552" t="str">
        <f>BW7</f>
        <v>3.1</v>
      </c>
      <c r="CY7" s="552" t="str">
        <f t="shared" ref="CY7" si="22">BX7</f>
        <v>3.2</v>
      </c>
      <c r="CZ7" s="552" t="str">
        <f t="shared" ref="CZ7" si="23">BY7</f>
        <v>3.3</v>
      </c>
      <c r="DA7" s="552" t="str">
        <f t="shared" ref="DA7" si="24">BZ7</f>
        <v>3.4</v>
      </c>
      <c r="DB7" s="552">
        <f t="shared" ref="DB7" si="25">CA7</f>
        <v>0</v>
      </c>
      <c r="DC7" s="552">
        <f t="shared" ref="DC7" si="26">CB7</f>
        <v>0</v>
      </c>
      <c r="DD7" s="552">
        <f t="shared" ref="DD7" si="27">CC7</f>
        <v>0</v>
      </c>
      <c r="DE7" s="552">
        <f t="shared" ref="DE7" si="28">CD7</f>
        <v>0</v>
      </c>
      <c r="DF7" s="552">
        <f t="shared" ref="DF7" si="29">CE7</f>
        <v>0</v>
      </c>
      <c r="DG7" s="567" t="str">
        <f>BW7</f>
        <v>3.1</v>
      </c>
      <c r="DH7" s="567" t="str">
        <f t="shared" ref="DH7" si="30">BX7</f>
        <v>3.2</v>
      </c>
      <c r="DI7" s="567" t="str">
        <f t="shared" ref="DI7" si="31">BY7</f>
        <v>3.3</v>
      </c>
      <c r="DJ7" s="567" t="str">
        <f t="shared" ref="DJ7" si="32">BZ7</f>
        <v>3.4</v>
      </c>
      <c r="DK7" s="567">
        <f t="shared" ref="DK7" si="33">CA7</f>
        <v>0</v>
      </c>
      <c r="DL7" s="567">
        <f t="shared" ref="DL7" si="34">CB7</f>
        <v>0</v>
      </c>
      <c r="DM7" s="567">
        <f t="shared" ref="DM7" si="35">CC7</f>
        <v>0</v>
      </c>
      <c r="DN7" s="567">
        <f t="shared" ref="DN7" si="36">CD7</f>
        <v>0</v>
      </c>
      <c r="DO7" s="567">
        <f t="shared" ref="DO7" si="37">CE7</f>
        <v>0</v>
      </c>
      <c r="DP7" s="44"/>
      <c r="DQ7" s="1020"/>
      <c r="DR7" s="1023"/>
      <c r="DS7" s="281"/>
      <c r="DT7" s="556"/>
      <c r="DU7" s="43" t="str">
        <f>A45</f>
        <v>3.1</v>
      </c>
      <c r="DV7" s="43" t="str">
        <f>A46</f>
        <v>3.2</v>
      </c>
      <c r="DW7" s="43" t="str">
        <f>A47</f>
        <v>3.3</v>
      </c>
      <c r="DX7" s="43" t="str">
        <f>A48</f>
        <v>3.4</v>
      </c>
      <c r="DY7" s="43">
        <f>A49</f>
        <v>0</v>
      </c>
      <c r="DZ7" s="43">
        <f>A50</f>
        <v>0</v>
      </c>
      <c r="EA7" s="43"/>
      <c r="EB7" s="43"/>
      <c r="EC7" s="43"/>
      <c r="ED7" s="43"/>
      <c r="EE7" s="1026"/>
      <c r="EF7" s="4"/>
      <c r="EG7" s="46"/>
      <c r="EH7" s="46"/>
      <c r="EI7" s="46"/>
      <c r="EJ7" s="46"/>
      <c r="EK7" s="46"/>
      <c r="EL7" s="46"/>
      <c r="EM7" s="46"/>
      <c r="EN7" s="46"/>
      <c r="EO7" s="46"/>
      <c r="EP7" s="46"/>
      <c r="EQ7" s="47"/>
      <c r="ER7" s="48" t="s">
        <v>24</v>
      </c>
      <c r="ES7" s="48" t="s">
        <v>25</v>
      </c>
      <c r="EU7" s="49"/>
      <c r="EV7" s="988"/>
      <c r="EW7" s="988"/>
      <c r="EX7" s="988"/>
      <c r="EY7" s="988"/>
      <c r="EZ7" s="988"/>
      <c r="FA7" s="988"/>
      <c r="FB7" s="988"/>
      <c r="FC7" s="989"/>
      <c r="FD7" s="989"/>
      <c r="FE7" s="989"/>
      <c r="FF7" s="49"/>
      <c r="FG7" s="1015"/>
      <c r="FH7" s="38"/>
      <c r="FI7" s="1017"/>
      <c r="FK7" s="981"/>
      <c r="FL7" s="981"/>
      <c r="FM7" s="981"/>
      <c r="FN7" s="981"/>
      <c r="FO7" s="981"/>
      <c r="FP7" s="981"/>
      <c r="FQ7" s="981"/>
      <c r="FR7" s="981"/>
      <c r="FS7" s="981"/>
      <c r="FT7" s="981"/>
      <c r="FU7" s="1012"/>
      <c r="FV7" s="1014"/>
      <c r="FX7" s="1009"/>
      <c r="GC7" s="981"/>
      <c r="GD7" s="981"/>
      <c r="GE7" s="1012"/>
      <c r="GH7" s="49"/>
      <c r="GI7" s="4"/>
    </row>
    <row r="8" spans="1:191" s="63" customFormat="1" ht="48.75" customHeight="1">
      <c r="A8" s="359">
        <v>1</v>
      </c>
      <c r="B8" s="283" t="str">
        <f>SISWA!B6</f>
        <v>Afif Rafiudin</v>
      </c>
      <c r="C8" s="259">
        <v>75</v>
      </c>
      <c r="D8" s="259"/>
      <c r="E8" s="259"/>
      <c r="F8" s="259"/>
      <c r="G8" s="259"/>
      <c r="H8" s="259"/>
      <c r="I8" s="259"/>
      <c r="J8" s="259"/>
      <c r="K8" s="259"/>
      <c r="L8" s="256">
        <v>75</v>
      </c>
      <c r="M8" s="256"/>
      <c r="N8" s="256"/>
      <c r="O8" s="256"/>
      <c r="P8" s="256"/>
      <c r="Q8" s="256"/>
      <c r="R8" s="256"/>
      <c r="S8" s="256"/>
      <c r="T8" s="256"/>
      <c r="U8" s="259">
        <v>80</v>
      </c>
      <c r="V8" s="259">
        <v>80</v>
      </c>
      <c r="W8" s="259">
        <v>80</v>
      </c>
      <c r="X8" s="259"/>
      <c r="Y8" s="259"/>
      <c r="Z8" s="259"/>
      <c r="AA8" s="259"/>
      <c r="AB8" s="259"/>
      <c r="AC8" s="259"/>
      <c r="AD8" s="256">
        <v>80</v>
      </c>
      <c r="AE8" s="256">
        <v>80</v>
      </c>
      <c r="AF8" s="256">
        <v>80</v>
      </c>
      <c r="AG8" s="256"/>
      <c r="AH8" s="256"/>
      <c r="AI8" s="256"/>
      <c r="AJ8" s="256"/>
      <c r="AK8" s="256"/>
      <c r="AL8" s="256"/>
      <c r="AM8" s="259"/>
      <c r="AN8" s="259">
        <v>80</v>
      </c>
      <c r="AO8" s="259">
        <v>80</v>
      </c>
      <c r="AP8" s="259">
        <v>80</v>
      </c>
      <c r="AQ8" s="259"/>
      <c r="AR8" s="259"/>
      <c r="AS8" s="259"/>
      <c r="AT8" s="259"/>
      <c r="AU8" s="259"/>
      <c r="AV8" s="256"/>
      <c r="AW8" s="256">
        <v>75</v>
      </c>
      <c r="AX8" s="256">
        <v>75</v>
      </c>
      <c r="AY8" s="256">
        <v>75</v>
      </c>
      <c r="AZ8" s="256"/>
      <c r="BA8" s="256"/>
      <c r="BB8" s="256"/>
      <c r="BC8" s="256"/>
      <c r="BD8" s="256"/>
      <c r="BE8" s="259">
        <v>87</v>
      </c>
      <c r="BF8" s="259">
        <v>93</v>
      </c>
      <c r="BG8" s="259">
        <v>80</v>
      </c>
      <c r="BH8" s="259"/>
      <c r="BI8" s="259"/>
      <c r="BJ8" s="259"/>
      <c r="BK8" s="259"/>
      <c r="BL8" s="259"/>
      <c r="BM8" s="259"/>
      <c r="BN8" s="256">
        <v>87</v>
      </c>
      <c r="BO8" s="256">
        <v>100</v>
      </c>
      <c r="BP8" s="256">
        <v>93</v>
      </c>
      <c r="BQ8" s="256"/>
      <c r="BR8" s="256"/>
      <c r="BS8" s="256"/>
      <c r="BT8" s="256"/>
      <c r="BU8" s="256"/>
      <c r="BV8" s="256"/>
      <c r="BW8" s="460"/>
      <c r="BX8" s="460">
        <v>93</v>
      </c>
      <c r="BY8" s="460">
        <v>100</v>
      </c>
      <c r="BZ8" s="460"/>
      <c r="CA8" s="460"/>
      <c r="CB8" s="460"/>
      <c r="CC8" s="460"/>
      <c r="CD8" s="460"/>
      <c r="CE8" s="460"/>
      <c r="CF8" s="346"/>
      <c r="CG8" s="346">
        <v>75</v>
      </c>
      <c r="CH8" s="346">
        <v>75</v>
      </c>
      <c r="CI8" s="346"/>
      <c r="CJ8" s="346"/>
      <c r="CK8" s="346"/>
      <c r="CL8" s="346"/>
      <c r="CM8" s="346"/>
      <c r="CN8" s="346"/>
      <c r="CO8" s="260">
        <f>IFERROR(AVERAGE(C8,L8,U8,AD8,AM8,AV8,BE8,BN8,BW8,CF8)," ")</f>
        <v>80.666666666666671</v>
      </c>
      <c r="CP8" s="260">
        <f t="shared" ref="CP8:CW8" si="38">IFERROR(AVERAGE(D8,M8,V8,AE8,AN8,AW8,BF8,BO8,BX8,CG8)," ")</f>
        <v>84.5</v>
      </c>
      <c r="CQ8" s="260">
        <f t="shared" si="38"/>
        <v>82.875</v>
      </c>
      <c r="CR8" s="260">
        <f t="shared" si="38"/>
        <v>77.5</v>
      </c>
      <c r="CS8" s="260" t="str">
        <f t="shared" si="38"/>
        <v xml:space="preserve"> </v>
      </c>
      <c r="CT8" s="260" t="str">
        <f t="shared" si="38"/>
        <v xml:space="preserve"> </v>
      </c>
      <c r="CU8" s="260" t="str">
        <f t="shared" si="38"/>
        <v xml:space="preserve"> </v>
      </c>
      <c r="CV8" s="260" t="str">
        <f t="shared" si="38"/>
        <v xml:space="preserve"> </v>
      </c>
      <c r="CW8" s="260" t="str">
        <f t="shared" si="38"/>
        <v xml:space="preserve"> </v>
      </c>
      <c r="CX8" s="547">
        <v>75</v>
      </c>
      <c r="CY8" s="547">
        <v>83</v>
      </c>
      <c r="CZ8" s="547"/>
      <c r="DA8" s="547"/>
      <c r="DB8" s="547"/>
      <c r="DC8" s="547"/>
      <c r="DD8" s="547"/>
      <c r="DE8" s="547"/>
      <c r="DF8" s="547"/>
      <c r="DG8" s="565">
        <v>80</v>
      </c>
      <c r="DH8" s="565">
        <v>80</v>
      </c>
      <c r="DI8" s="565">
        <v>84</v>
      </c>
      <c r="DJ8" s="565"/>
      <c r="DK8" s="565"/>
      <c r="DL8" s="565"/>
      <c r="DM8" s="565"/>
      <c r="DN8" s="565"/>
      <c r="DO8" s="565"/>
      <c r="DP8" s="549">
        <f>IFERROR(EQ8," ")</f>
        <v>81</v>
      </c>
      <c r="DQ8" s="291" t="str">
        <f>IF(DP8&gt;100,"  ",IF(DP8&gt;=DQ$1,"A",IF(DP8&gt;=DQ$2,"B",IF(DP8&gt;=DQ$3,"C",IF(DP8&gt;=1,"D","")))))</f>
        <v>C</v>
      </c>
      <c r="DR8" s="50" t="str">
        <f>IFERROR(FX8," ")</f>
        <v>Ananda Afif baik dalam memahami pola lantai dalam tari kreasi daerah, cukup dalam memahami karya seni rupa daerah</v>
      </c>
      <c r="DS8" s="282"/>
      <c r="DT8" s="51"/>
      <c r="DU8" s="46">
        <f>CO8</f>
        <v>80.666666666666671</v>
      </c>
      <c r="DV8" s="46">
        <f t="shared" ref="DV8:EC8" si="39">CP8</f>
        <v>84.5</v>
      </c>
      <c r="DW8" s="46">
        <f t="shared" si="39"/>
        <v>82.875</v>
      </c>
      <c r="DX8" s="46">
        <f t="shared" si="39"/>
        <v>77.5</v>
      </c>
      <c r="DY8" s="46" t="str">
        <f t="shared" si="39"/>
        <v xml:space="preserve"> </v>
      </c>
      <c r="DZ8" s="46" t="str">
        <f t="shared" si="39"/>
        <v xml:space="preserve"> </v>
      </c>
      <c r="EA8" s="46" t="str">
        <f t="shared" si="39"/>
        <v xml:space="preserve"> </v>
      </c>
      <c r="EB8" s="46" t="str">
        <f t="shared" si="39"/>
        <v xml:space="preserve"> </v>
      </c>
      <c r="EC8" s="46" t="str">
        <f t="shared" si="39"/>
        <v xml:space="preserve"> </v>
      </c>
      <c r="ED8" s="46"/>
      <c r="EE8" s="52">
        <f>[2]uts!J7</f>
        <v>72</v>
      </c>
      <c r="EF8" s="51"/>
      <c r="EG8" s="53">
        <f>IFERROR(AVERAGE(CO8,CX8,DG8,DU8),"  ")</f>
        <v>79.083333333333343</v>
      </c>
      <c r="EH8" s="53">
        <f t="shared" ref="EH8:EO8" si="40">IFERROR(AVERAGE(CP8,CY8,DH8,DV8),"  ")</f>
        <v>83</v>
      </c>
      <c r="EI8" s="53">
        <f t="shared" si="40"/>
        <v>83.25</v>
      </c>
      <c r="EJ8" s="53">
        <f t="shared" si="40"/>
        <v>77.5</v>
      </c>
      <c r="EK8" s="53" t="str">
        <f t="shared" si="40"/>
        <v xml:space="preserve">  </v>
      </c>
      <c r="EL8" s="53" t="str">
        <f t="shared" si="40"/>
        <v xml:space="preserve">  </v>
      </c>
      <c r="EM8" s="53" t="str">
        <f t="shared" si="40"/>
        <v xml:space="preserve">  </v>
      </c>
      <c r="EN8" s="53" t="str">
        <f t="shared" si="40"/>
        <v xml:space="preserve">  </v>
      </c>
      <c r="EO8" s="53" t="str">
        <f t="shared" si="40"/>
        <v xml:space="preserve">  </v>
      </c>
      <c r="EP8" s="53"/>
      <c r="EQ8" s="54">
        <f>IFERROR(ROUND(AVERAGE(EG8:EP8),0)," ")</f>
        <v>81</v>
      </c>
      <c r="ER8" s="55">
        <f>MAX(EG8:EP8)</f>
        <v>83.25</v>
      </c>
      <c r="ES8" s="55">
        <f>MIN(EG8:EP8)</f>
        <v>77.5</v>
      </c>
      <c r="ET8" s="51" t="str">
        <f>SISWA!E6</f>
        <v>Afif</v>
      </c>
      <c r="EU8" s="51" t="str">
        <f>IF(FF8&gt;1,"Ananda "&amp;ET8&amp;" ","")</f>
        <v xml:space="preserve">Ananda Afif </v>
      </c>
      <c r="EV8" s="56" t="str">
        <f t="shared" ref="EV8:FB8" si="41">IF(EG8=$ER8,$ER8,"")</f>
        <v/>
      </c>
      <c r="EW8" s="57" t="str">
        <f t="shared" si="41"/>
        <v/>
      </c>
      <c r="EX8" s="57">
        <f t="shared" si="41"/>
        <v>83.25</v>
      </c>
      <c r="EY8" s="57" t="str">
        <f t="shared" si="41"/>
        <v/>
      </c>
      <c r="EZ8" s="57" t="str">
        <f t="shared" si="41"/>
        <v/>
      </c>
      <c r="FA8" s="57" t="str">
        <f t="shared" si="41"/>
        <v/>
      </c>
      <c r="FB8" s="57" t="str">
        <f t="shared" si="41"/>
        <v/>
      </c>
      <c r="FC8" s="57"/>
      <c r="FD8" s="57"/>
      <c r="FE8" s="57"/>
      <c r="FF8" s="58">
        <f>SUM(EV8:FE8)</f>
        <v>83.25</v>
      </c>
      <c r="FG8" s="55" t="str">
        <f t="shared" ref="FG8" si="42">LOOKUP(ER8,(EV8:FE8),($EV$6:$FE$6))</f>
        <v>memahami pola lantai dalam tari kreasi daerah</v>
      </c>
      <c r="FH8" s="58"/>
      <c r="FI8" s="59" t="str">
        <f>IF(ER8&gt;100,"",IF(ER8&gt;DQ$1,"sangat baik dalam "&amp;FG8,IF(ER8&gt;=DQ$2,"baik dalam "&amp;FG8,IF(ER8&gt;=DQ$3,"cukup dalam "&amp;FG8,IF(ER8&lt;DQ$3,"dengan bimbingan dapat ,meningkatkan dalam "&amp;FG8,IF(ER8&lt;1," ",””))))))</f>
        <v>baik dalam memahami pola lantai dalam tari kreasi daerah</v>
      </c>
      <c r="FJ8" s="58"/>
      <c r="FK8" s="57" t="str">
        <f t="shared" ref="FK8:FQ8" si="43">IF(EG8=$ES8,$ES8,"")</f>
        <v/>
      </c>
      <c r="FL8" s="57" t="str">
        <f t="shared" si="43"/>
        <v/>
      </c>
      <c r="FM8" s="57" t="str">
        <f t="shared" si="43"/>
        <v/>
      </c>
      <c r="FN8" s="57">
        <f t="shared" si="43"/>
        <v>77.5</v>
      </c>
      <c r="FO8" s="57" t="str">
        <f t="shared" si="43"/>
        <v/>
      </c>
      <c r="FP8" s="57" t="str">
        <f t="shared" si="43"/>
        <v/>
      </c>
      <c r="FQ8" s="57" t="str">
        <f t="shared" si="43"/>
        <v/>
      </c>
      <c r="FR8" s="57"/>
      <c r="FS8" s="57"/>
      <c r="FT8" s="57"/>
      <c r="FU8" s="59" t="str">
        <f>LOOKUP(ES8,(FK8:FT8),($FK$6:$FT$6))</f>
        <v>memahami karya seni rupa daerah</v>
      </c>
      <c r="FV8" s="59" t="str">
        <f>IF(ES8&gt;100,"",IF(ES8&gt;DQ$1,"sangat baik dalam "&amp;FU8,IF(ES8&gt;=DQ$2,"baik dalam "&amp;FU8,IF(ES8&gt;=DQ$3,"cukup dalam "&amp;FU8,IF(ES8&lt;DQ$3,"dengan bimbingan dapat meningkatkan dalam "&amp;FU8,IF(ES8&lt;1," ",””))))))</f>
        <v>cukup dalam memahami karya seni rupa daerah</v>
      </c>
      <c r="FW8" s="61"/>
      <c r="FX8" s="62" t="str">
        <f>CONCATENATE(EU8&amp;FI8&amp;", "&amp;FV8)</f>
        <v>Ananda Afif baik dalam memahami pola lantai dalam tari kreasi daerah, cukup dalam memahami karya seni rupa daerah</v>
      </c>
      <c r="FY8"/>
      <c r="FZ8"/>
      <c r="GA8"/>
      <c r="GB8"/>
      <c r="GC8" s="57"/>
      <c r="GD8" s="57"/>
      <c r="GE8" s="59" t="e">
        <f t="shared" ref="GE8:GE42" si="44">LOOKUP(FC8,(FU8:GD8),($FU$6:$GD$6))</f>
        <v>#N/A</v>
      </c>
      <c r="GF8" s="60"/>
      <c r="GG8" s="61"/>
      <c r="GH8" s="62" t="e">
        <f>CONCATENATE(FS8&amp;", "&amp;GE8)</f>
        <v>#N/A</v>
      </c>
      <c r="GI8" s="51"/>
    </row>
    <row r="9" spans="1:191">
      <c r="A9" s="39">
        <v>2</v>
      </c>
      <c r="B9" s="283" t="str">
        <f>SISWA!B7</f>
        <v>Ahmad Faiq Athaya</v>
      </c>
      <c r="C9" s="123">
        <v>100</v>
      </c>
      <c r="D9" s="123"/>
      <c r="E9" s="123"/>
      <c r="F9" s="123"/>
      <c r="G9" s="123"/>
      <c r="H9" s="123"/>
      <c r="I9" s="123"/>
      <c r="J9" s="123"/>
      <c r="K9" s="123"/>
      <c r="L9" s="256">
        <v>80</v>
      </c>
      <c r="M9" s="256"/>
      <c r="N9" s="256"/>
      <c r="O9" s="256"/>
      <c r="P9" s="256"/>
      <c r="Q9" s="256"/>
      <c r="R9" s="256"/>
      <c r="S9" s="256"/>
      <c r="T9" s="256"/>
      <c r="U9" s="123">
        <v>87</v>
      </c>
      <c r="V9" s="123">
        <v>80</v>
      </c>
      <c r="W9" s="123">
        <v>87</v>
      </c>
      <c r="X9" s="123"/>
      <c r="Y9" s="123"/>
      <c r="Z9" s="123"/>
      <c r="AA9" s="123"/>
      <c r="AB9" s="123"/>
      <c r="AC9" s="123"/>
      <c r="AD9" s="256">
        <v>100</v>
      </c>
      <c r="AE9" s="256">
        <v>87</v>
      </c>
      <c r="AF9" s="256">
        <v>93</v>
      </c>
      <c r="AG9" s="256"/>
      <c r="AH9" s="256"/>
      <c r="AI9" s="256"/>
      <c r="AJ9" s="256"/>
      <c r="AK9" s="256"/>
      <c r="AL9" s="256"/>
      <c r="AM9" s="123"/>
      <c r="AN9" s="123">
        <v>100</v>
      </c>
      <c r="AO9" s="123"/>
      <c r="AP9" s="123"/>
      <c r="AQ9" s="123"/>
      <c r="AR9" s="123"/>
      <c r="AS9" s="123"/>
      <c r="AT9" s="123"/>
      <c r="AU9" s="123"/>
      <c r="AV9" s="256"/>
      <c r="AW9" s="256">
        <v>93</v>
      </c>
      <c r="AX9" s="256">
        <v>87</v>
      </c>
      <c r="AY9" s="256">
        <v>93</v>
      </c>
      <c r="AZ9" s="256"/>
      <c r="BA9" s="256"/>
      <c r="BB9" s="256"/>
      <c r="BC9" s="256"/>
      <c r="BD9" s="256"/>
      <c r="BE9" s="123">
        <v>87</v>
      </c>
      <c r="BF9" s="123">
        <v>93</v>
      </c>
      <c r="BG9" s="123">
        <v>80</v>
      </c>
      <c r="BH9" s="123"/>
      <c r="BI9" s="123"/>
      <c r="BJ9" s="123"/>
      <c r="BK9" s="123"/>
      <c r="BL9" s="123"/>
      <c r="BM9" s="123"/>
      <c r="BN9" s="256">
        <v>80</v>
      </c>
      <c r="BO9" s="256">
        <v>93</v>
      </c>
      <c r="BP9" s="256">
        <v>87</v>
      </c>
      <c r="BQ9" s="256"/>
      <c r="BR9" s="256"/>
      <c r="BS9" s="256"/>
      <c r="BT9" s="256"/>
      <c r="BU9" s="256"/>
      <c r="BV9" s="256"/>
      <c r="BW9" s="460"/>
      <c r="BX9" s="460">
        <v>93</v>
      </c>
      <c r="BY9" s="460">
        <v>100</v>
      </c>
      <c r="BZ9" s="460"/>
      <c r="CA9" s="460"/>
      <c r="CB9" s="460"/>
      <c r="CC9" s="460"/>
      <c r="CD9" s="460"/>
      <c r="CE9" s="460"/>
      <c r="CF9" s="346"/>
      <c r="CG9" s="346">
        <v>87</v>
      </c>
      <c r="CH9" s="346">
        <v>93</v>
      </c>
      <c r="CI9" s="346"/>
      <c r="CJ9" s="346"/>
      <c r="CK9" s="346"/>
      <c r="CL9" s="346"/>
      <c r="CM9" s="346"/>
      <c r="CN9" s="346"/>
      <c r="CO9" s="260">
        <f t="shared" ref="CO9:CO42" si="45">IFERROR(AVERAGE(C9,L9,U9,AD9,AM9,AV9,BE9,BN9,BW9,CF9)," ")</f>
        <v>89</v>
      </c>
      <c r="CP9" s="260">
        <f t="shared" ref="CP9:CP42" si="46">IFERROR(AVERAGE(D9,M9,V9,AE9,AN9,AW9,BF9,BO9,BX9,CG9)," ")</f>
        <v>90.75</v>
      </c>
      <c r="CQ9" s="260">
        <f t="shared" ref="CQ9:CQ42" si="47">IFERROR(AVERAGE(E9,N9,W9,AF9,AO9,AX9,BG9,BP9,BY9,CH9)," ")</f>
        <v>89.571428571428569</v>
      </c>
      <c r="CR9" s="260">
        <f t="shared" ref="CR9:CR42" si="48">IFERROR(AVERAGE(F9,O9,X9,AG9,AP9,AY9,BH9,BQ9,BZ9,CI9)," ")</f>
        <v>93</v>
      </c>
      <c r="CS9" s="260" t="str">
        <f t="shared" ref="CS9:CS42" si="49">IFERROR(AVERAGE(G9,P9,Y9,AH9,AQ9,AZ9,BI9,BR9,CA9,CJ9)," ")</f>
        <v xml:space="preserve"> </v>
      </c>
      <c r="CT9" s="260" t="str">
        <f t="shared" ref="CT9:CT42" si="50">IFERROR(AVERAGE(H9,Q9,Z9,AI9,AR9,BA9,BJ9,BS9,CB9,CK9)," ")</f>
        <v xml:space="preserve"> </v>
      </c>
      <c r="CU9" s="260" t="str">
        <f t="shared" ref="CU9:CU42" si="51">IFERROR(AVERAGE(I9,R9,AA9,AJ9,AS9,BB9,BK9,BT9,CC9,CL9)," ")</f>
        <v xml:space="preserve"> </v>
      </c>
      <c r="CV9" s="260" t="str">
        <f t="shared" ref="CV9:CV42" si="52">IFERROR(AVERAGE(J9,S9,AB9,AK9,AT9,BC9,BL9,BU9,CD9,CM9)," ")</f>
        <v xml:space="preserve"> </v>
      </c>
      <c r="CW9" s="260" t="str">
        <f t="shared" ref="CW9:CW42" si="53">IFERROR(AVERAGE(K9,T9,AC9,AL9,AU9,BD9,BM9,BV9,CE9,CN9)," ")</f>
        <v xml:space="preserve"> </v>
      </c>
      <c r="CX9" s="547">
        <v>93</v>
      </c>
      <c r="CY9" s="547">
        <v>97</v>
      </c>
      <c r="CZ9" s="547"/>
      <c r="DA9" s="547"/>
      <c r="DB9" s="547"/>
      <c r="DC9" s="547"/>
      <c r="DD9" s="547"/>
      <c r="DE9" s="547"/>
      <c r="DF9" s="547"/>
      <c r="DG9" s="565">
        <v>80</v>
      </c>
      <c r="DH9" s="565">
        <v>80</v>
      </c>
      <c r="DI9" s="565">
        <v>92</v>
      </c>
      <c r="DJ9" s="565"/>
      <c r="DK9" s="565"/>
      <c r="DL9" s="565"/>
      <c r="DM9" s="565"/>
      <c r="DN9" s="565"/>
      <c r="DO9" s="565"/>
      <c r="DP9" s="549">
        <f t="shared" ref="DP9:DP42" si="54">IFERROR(EQ9," ")</f>
        <v>90</v>
      </c>
      <c r="DQ9" s="291" t="str">
        <f t="shared" ref="DQ9:DQ42" si="55">IF(DP9&gt;100,"  ",IF(DP9&gt;=DQ$1,"A",IF(DP9&gt;=DQ$2,"B",IF(DP9&gt;=DQ$3,"C",IF(DP9&gt;=1,"D","")))))</f>
        <v>B</v>
      </c>
      <c r="DR9" s="50" t="str">
        <f t="shared" ref="DR9:DR42" si="56">IFERROR(FX9," ")</f>
        <v>Ananda Athaya sangat baik dalam memahami karya seni rupa daerah, baik dalam memahami gambar cerita</v>
      </c>
      <c r="DS9" s="282"/>
      <c r="DT9" s="51"/>
      <c r="DU9" s="46">
        <f t="shared" ref="DU9:DU42" si="57">CO9</f>
        <v>89</v>
      </c>
      <c r="DV9" s="46">
        <f t="shared" ref="DV9:DV42" si="58">CP9</f>
        <v>90.75</v>
      </c>
      <c r="DW9" s="46">
        <f t="shared" ref="DW9:DW42" si="59">CQ9</f>
        <v>89.571428571428569</v>
      </c>
      <c r="DX9" s="46">
        <f t="shared" ref="DX9:DX42" si="60">CR9</f>
        <v>93</v>
      </c>
      <c r="DY9" s="46" t="str">
        <f t="shared" ref="DY9:DY42" si="61">CS9</f>
        <v xml:space="preserve"> </v>
      </c>
      <c r="DZ9" s="46" t="str">
        <f t="shared" ref="DZ9:DZ42" si="62">CT9</f>
        <v xml:space="preserve"> </v>
      </c>
      <c r="EA9" s="46" t="str">
        <f t="shared" ref="EA9:EA42" si="63">CU9</f>
        <v xml:space="preserve"> </v>
      </c>
      <c r="EB9" s="46" t="str">
        <f t="shared" ref="EB9:EB42" si="64">CV9</f>
        <v xml:space="preserve"> </v>
      </c>
      <c r="EC9" s="46" t="str">
        <f t="shared" ref="EC9:EC42" si="65">CW9</f>
        <v xml:space="preserve"> </v>
      </c>
      <c r="ED9" s="46"/>
      <c r="EE9" s="52">
        <f>[2]uts!J8</f>
        <v>73.666666666666671</v>
      </c>
      <c r="EF9" s="51"/>
      <c r="EG9" s="53">
        <f t="shared" ref="EG9:EG42" si="66">IFERROR(AVERAGE(CO9,CX9,DG9,DU9),"  ")</f>
        <v>87.75</v>
      </c>
      <c r="EH9" s="53">
        <f t="shared" ref="EH9:EH42" si="67">IFERROR(AVERAGE(CP9,CY9,DH9,DV9),"  ")</f>
        <v>89.625</v>
      </c>
      <c r="EI9" s="53">
        <f t="shared" ref="EI9:EI42" si="68">IFERROR(AVERAGE(CQ9,CZ9,DI9,DW9),"  ")</f>
        <v>90.380952380952365</v>
      </c>
      <c r="EJ9" s="53">
        <f t="shared" ref="EJ9:EJ42" si="69">IFERROR(AVERAGE(CR9,DA9,DJ9,DX9),"  ")</f>
        <v>93</v>
      </c>
      <c r="EK9" s="53" t="str">
        <f t="shared" ref="EK9:EK42" si="70">IFERROR(AVERAGE(CS9,DB9,DK9,DY9),"  ")</f>
        <v xml:space="preserve">  </v>
      </c>
      <c r="EL9" s="53" t="str">
        <f t="shared" ref="EL9:EL42" si="71">IFERROR(AVERAGE(CT9,DC9,DL9,DZ9),"  ")</f>
        <v xml:space="preserve">  </v>
      </c>
      <c r="EM9" s="53" t="str">
        <f t="shared" ref="EM9:EM42" si="72">IFERROR(AVERAGE(CU9,DD9,DM9,EA9),"  ")</f>
        <v xml:space="preserve">  </v>
      </c>
      <c r="EN9" s="53" t="str">
        <f t="shared" ref="EN9:EN42" si="73">IFERROR(AVERAGE(CV9,DE9,DN9,EB9),"  ")</f>
        <v xml:space="preserve">  </v>
      </c>
      <c r="EO9" s="53" t="str">
        <f t="shared" ref="EO9:EO42" si="74">IFERROR(AVERAGE(CW9,DF9,DO9,EC9),"  ")</f>
        <v xml:space="preserve">  </v>
      </c>
      <c r="EP9" s="53"/>
      <c r="EQ9" s="54">
        <f t="shared" ref="EQ9:EQ42" si="75">IFERROR(ROUND(AVERAGE(EG9:EP9),0)," ")</f>
        <v>90</v>
      </c>
      <c r="ER9" s="55">
        <f t="shared" ref="ER9:ER42" si="76">MAX(EG9:EP9)</f>
        <v>93</v>
      </c>
      <c r="ES9" s="55">
        <f t="shared" ref="ES9:ES42" si="77">MIN(EG9:EP9)</f>
        <v>87.75</v>
      </c>
      <c r="ET9" s="51" t="str">
        <f>SISWA!E7</f>
        <v>Athaya</v>
      </c>
      <c r="EU9" s="51" t="str">
        <f t="shared" ref="EU9:EU42" si="78">IF(FF9&gt;1,"Ananda "&amp;ET9&amp;" ","")</f>
        <v xml:space="preserve">Ananda Athaya </v>
      </c>
      <c r="EV9" s="56" t="str">
        <f t="shared" ref="EV9:EV42" si="79">IF(EG9=$ER9,$ER9,"")</f>
        <v/>
      </c>
      <c r="EW9" s="57" t="str">
        <f t="shared" ref="EW9:EW42" si="80">IF(EH9=$ER9,$ER9,"")</f>
        <v/>
      </c>
      <c r="EX9" s="57" t="str">
        <f t="shared" ref="EX9:EX42" si="81">IF(EI9=$ER9,$ER9,"")</f>
        <v/>
      </c>
      <c r="EY9" s="57">
        <f t="shared" ref="EY9:EY42" si="82">IF(EJ9=$ER9,$ER9,"")</f>
        <v>93</v>
      </c>
      <c r="EZ9" s="57" t="str">
        <f t="shared" ref="EZ9:EZ42" si="83">IF(EK9=$ER9,$ER9,"")</f>
        <v/>
      </c>
      <c r="FA9" s="57" t="str">
        <f t="shared" ref="FA9:FA42" si="84">IF(EL9=$ER9,$ER9,"")</f>
        <v/>
      </c>
      <c r="FB9" s="57" t="str">
        <f t="shared" ref="FB9:FB42" si="85">IF(EM9=$ER9,$ER9,"")</f>
        <v/>
      </c>
      <c r="FC9" s="57"/>
      <c r="FD9" s="57"/>
      <c r="FE9" s="57"/>
      <c r="FF9" s="58">
        <f t="shared" ref="FF9:FF42" si="86">SUM(EV9:FE9)</f>
        <v>93</v>
      </c>
      <c r="FG9" s="55" t="str">
        <f t="shared" ref="FG9:FG42" si="87">LOOKUP(ER9,(EV9:FE9),($EV$6:$FE$6))</f>
        <v>memahami karya seni rupa daerah</v>
      </c>
      <c r="FH9" s="58"/>
      <c r="FI9" s="59" t="str">
        <f>IF(ER9&gt;100,"",IF(ER9&gt;DQ$1,"sangat baik dalam "&amp;FG9,IF(ER9&gt;=DQ$2,"baik dalam "&amp;FG9,IF(ER9&gt;=DQ$3,"cukup dalam "&amp;FG9,IF(ER9&lt;DQ$3,"dengan bimbingan dapat ,meningkatkan dalam "&amp;FG9,IF(ER9&lt;1," ",””))))))</f>
        <v>sangat baik dalam memahami karya seni rupa daerah</v>
      </c>
      <c r="FJ9" s="58"/>
      <c r="FK9" s="57">
        <f t="shared" ref="FK9:FK42" si="88">IF(EG9=$ES9,$ES9,"")</f>
        <v>87.75</v>
      </c>
      <c r="FL9" s="57" t="str">
        <f t="shared" ref="FL9:FL42" si="89">IF(EH9=$ES9,$ES9,"")</f>
        <v/>
      </c>
      <c r="FM9" s="57" t="str">
        <f t="shared" ref="FM9:FM42" si="90">IF(EI9=$ES9,$ES9,"")</f>
        <v/>
      </c>
      <c r="FN9" s="57" t="str">
        <f t="shared" ref="FN9:FN42" si="91">IF(EJ9=$ES9,$ES9,"")</f>
        <v/>
      </c>
      <c r="FO9" s="57" t="str">
        <f t="shared" ref="FO9:FO42" si="92">IF(EK9=$ES9,$ES9,"")</f>
        <v/>
      </c>
      <c r="FP9" s="57" t="str">
        <f t="shared" ref="FP9:FP42" si="93">IF(EL9=$ES9,$ES9,"")</f>
        <v/>
      </c>
      <c r="FQ9" s="57" t="str">
        <f t="shared" ref="FQ9:FQ42" si="94">IF(EM9=$ES9,$ES9,"")</f>
        <v/>
      </c>
      <c r="FR9" s="57"/>
      <c r="FS9" s="57"/>
      <c r="FT9" s="57"/>
      <c r="FU9" s="59" t="str">
        <f t="shared" ref="FU9:FU42" si="95">LOOKUP(ES9,(FK9:FT9),($FK$6:$FT$6))</f>
        <v>memahami gambar cerita</v>
      </c>
      <c r="FV9" s="59" t="str">
        <f>IF(ES9&gt;100,"",IF(ES9&gt;DQ$1,"sangat baik dalam "&amp;FU9,IF(ES9&gt;=DQ$2,"baik dalam "&amp;FU9,IF(ES9&gt;=DQ$3,"cukup dalam "&amp;FU9,IF(ES9&lt;DQ$3,"dengan bimbingan dapat meningkatkan dalam "&amp;FU9,IF(ES9&lt;1," ",””))))))</f>
        <v>baik dalam memahami gambar cerita</v>
      </c>
      <c r="FW9" s="61"/>
      <c r="FX9" s="62" t="str">
        <f t="shared" ref="FX9:FX42" si="96">CONCATENATE(EU9&amp;FI9&amp;", "&amp;FV9)</f>
        <v>Ananda Athaya sangat baik dalam memahami karya seni rupa daerah, baik dalam memahami gambar cerita</v>
      </c>
      <c r="FY9" s="57" t="str">
        <f t="shared" ref="FY9:FY42" si="97">IF(EU9=$FC9,$FC9,"")</f>
        <v/>
      </c>
      <c r="FZ9" s="57">
        <f t="shared" ref="FZ9:FZ42" si="98">IF(EV9=$FC9,$FC9,"")</f>
        <v>0</v>
      </c>
      <c r="GA9" s="57">
        <f t="shared" ref="GA9:GA42" si="99">IF(EW9=$FC9,$FC9,"")</f>
        <v>0</v>
      </c>
      <c r="GB9" s="57"/>
      <c r="GC9" s="57"/>
      <c r="GD9" s="57"/>
      <c r="GE9" s="59">
        <f t="shared" si="44"/>
        <v>0</v>
      </c>
      <c r="GF9" s="60"/>
      <c r="GG9" s="61"/>
      <c r="GH9" s="62" t="str">
        <f t="shared" ref="GH9:GH42" si="100">CONCATENATE(FS9&amp;", "&amp;GE9)</f>
        <v>, 0</v>
      </c>
      <c r="GI9" s="4"/>
    </row>
    <row r="10" spans="1:191">
      <c r="A10" s="39">
        <v>3</v>
      </c>
      <c r="B10" s="283" t="str">
        <f>SISWA!B8</f>
        <v>Amira Zerlinda</v>
      </c>
      <c r="C10" s="123">
        <v>100</v>
      </c>
      <c r="D10" s="123"/>
      <c r="E10" s="123"/>
      <c r="F10" s="123"/>
      <c r="G10" s="123"/>
      <c r="H10" s="123"/>
      <c r="I10" s="123"/>
      <c r="J10" s="123"/>
      <c r="K10" s="123"/>
      <c r="L10" s="256">
        <v>75</v>
      </c>
      <c r="M10" s="256"/>
      <c r="N10" s="256"/>
      <c r="O10" s="256"/>
      <c r="P10" s="256"/>
      <c r="Q10" s="256"/>
      <c r="R10" s="256"/>
      <c r="S10" s="256"/>
      <c r="T10" s="256"/>
      <c r="U10" s="123">
        <v>80</v>
      </c>
      <c r="V10" s="123">
        <v>75</v>
      </c>
      <c r="W10" s="123">
        <v>80</v>
      </c>
      <c r="X10" s="123"/>
      <c r="Y10" s="123"/>
      <c r="Z10" s="123"/>
      <c r="AA10" s="123"/>
      <c r="AB10" s="123"/>
      <c r="AC10" s="123"/>
      <c r="AD10" s="256">
        <v>87</v>
      </c>
      <c r="AE10" s="256">
        <v>80</v>
      </c>
      <c r="AF10" s="256">
        <v>87</v>
      </c>
      <c r="AG10" s="256"/>
      <c r="AH10" s="256"/>
      <c r="AI10" s="256"/>
      <c r="AJ10" s="256"/>
      <c r="AK10" s="256"/>
      <c r="AL10" s="256"/>
      <c r="AM10" s="123"/>
      <c r="AN10" s="123">
        <v>100</v>
      </c>
      <c r="AO10" s="123"/>
      <c r="AP10" s="123"/>
      <c r="AQ10" s="123"/>
      <c r="AR10" s="123"/>
      <c r="AS10" s="123"/>
      <c r="AT10" s="123"/>
      <c r="AU10" s="123"/>
      <c r="AV10" s="256"/>
      <c r="AW10" s="256">
        <v>75</v>
      </c>
      <c r="AX10" s="256">
        <v>75</v>
      </c>
      <c r="AY10" s="256">
        <v>75</v>
      </c>
      <c r="AZ10" s="256"/>
      <c r="BA10" s="256"/>
      <c r="BB10" s="256"/>
      <c r="BC10" s="256"/>
      <c r="BD10" s="256"/>
      <c r="BE10" s="123">
        <v>93</v>
      </c>
      <c r="BF10" s="123">
        <v>100</v>
      </c>
      <c r="BG10" s="123">
        <v>87</v>
      </c>
      <c r="BH10" s="123"/>
      <c r="BI10" s="123"/>
      <c r="BJ10" s="123"/>
      <c r="BK10" s="123"/>
      <c r="BL10" s="123"/>
      <c r="BM10" s="123"/>
      <c r="BN10" s="256">
        <v>75</v>
      </c>
      <c r="BO10" s="256">
        <v>87</v>
      </c>
      <c r="BP10" s="256">
        <v>80</v>
      </c>
      <c r="BQ10" s="256"/>
      <c r="BR10" s="256"/>
      <c r="BS10" s="256"/>
      <c r="BT10" s="256"/>
      <c r="BU10" s="256"/>
      <c r="BV10" s="256"/>
      <c r="BW10" s="460"/>
      <c r="BX10" s="460">
        <v>75</v>
      </c>
      <c r="BY10" s="460">
        <v>75</v>
      </c>
      <c r="BZ10" s="460"/>
      <c r="CA10" s="460"/>
      <c r="CB10" s="460"/>
      <c r="CC10" s="460"/>
      <c r="CD10" s="460"/>
      <c r="CE10" s="460"/>
      <c r="CF10" s="346"/>
      <c r="CG10" s="346">
        <v>87</v>
      </c>
      <c r="CH10" s="346">
        <v>93</v>
      </c>
      <c r="CI10" s="346"/>
      <c r="CJ10" s="346"/>
      <c r="CK10" s="346"/>
      <c r="CL10" s="346"/>
      <c r="CM10" s="346"/>
      <c r="CN10" s="346"/>
      <c r="CO10" s="260">
        <f t="shared" si="45"/>
        <v>85</v>
      </c>
      <c r="CP10" s="260">
        <f t="shared" si="46"/>
        <v>84.875</v>
      </c>
      <c r="CQ10" s="260">
        <f t="shared" si="47"/>
        <v>82.428571428571431</v>
      </c>
      <c r="CR10" s="260">
        <f t="shared" si="48"/>
        <v>75</v>
      </c>
      <c r="CS10" s="260" t="str">
        <f t="shared" si="49"/>
        <v xml:space="preserve"> </v>
      </c>
      <c r="CT10" s="260" t="str">
        <f t="shared" si="50"/>
        <v xml:space="preserve"> </v>
      </c>
      <c r="CU10" s="260" t="str">
        <f t="shared" si="51"/>
        <v xml:space="preserve"> </v>
      </c>
      <c r="CV10" s="260" t="str">
        <f t="shared" si="52"/>
        <v xml:space="preserve"> </v>
      </c>
      <c r="CW10" s="260" t="str">
        <f t="shared" si="53"/>
        <v xml:space="preserve"> </v>
      </c>
      <c r="CX10" s="547">
        <v>75</v>
      </c>
      <c r="CY10" s="547">
        <v>75</v>
      </c>
      <c r="CZ10" s="547"/>
      <c r="DA10" s="547"/>
      <c r="DB10" s="547"/>
      <c r="DC10" s="547"/>
      <c r="DD10" s="547"/>
      <c r="DE10" s="547"/>
      <c r="DF10" s="547"/>
      <c r="DG10" s="565">
        <v>80</v>
      </c>
      <c r="DH10" s="565">
        <v>75</v>
      </c>
      <c r="DI10" s="565">
        <v>75</v>
      </c>
      <c r="DJ10" s="565"/>
      <c r="DK10" s="565"/>
      <c r="DL10" s="565"/>
      <c r="DM10" s="565"/>
      <c r="DN10" s="565"/>
      <c r="DO10" s="565"/>
      <c r="DP10" s="549">
        <f t="shared" si="54"/>
        <v>79</v>
      </c>
      <c r="DQ10" s="291" t="str">
        <f t="shared" si="55"/>
        <v>C</v>
      </c>
      <c r="DR10" s="50" t="str">
        <f t="shared" si="56"/>
        <v>Ananda Amira cukup dalam memahami gambar cerita, cukup dalam memahami karya seni rupa daerah</v>
      </c>
      <c r="DS10" s="282"/>
      <c r="DT10" s="51"/>
      <c r="DU10" s="46">
        <f t="shared" si="57"/>
        <v>85</v>
      </c>
      <c r="DV10" s="46">
        <f t="shared" si="58"/>
        <v>84.875</v>
      </c>
      <c r="DW10" s="46">
        <f t="shared" si="59"/>
        <v>82.428571428571431</v>
      </c>
      <c r="DX10" s="46">
        <f t="shared" si="60"/>
        <v>75</v>
      </c>
      <c r="DY10" s="46" t="str">
        <f t="shared" si="61"/>
        <v xml:space="preserve"> </v>
      </c>
      <c r="DZ10" s="46" t="str">
        <f t="shared" si="62"/>
        <v xml:space="preserve"> </v>
      </c>
      <c r="EA10" s="46" t="str">
        <f t="shared" si="63"/>
        <v xml:space="preserve"> </v>
      </c>
      <c r="EB10" s="46" t="str">
        <f t="shared" si="64"/>
        <v xml:space="preserve"> </v>
      </c>
      <c r="EC10" s="46" t="str">
        <f t="shared" si="65"/>
        <v xml:space="preserve"> </v>
      </c>
      <c r="ED10" s="46"/>
      <c r="EE10" s="52">
        <f>[2]uts!J9</f>
        <v>71.333333333333329</v>
      </c>
      <c r="EF10" s="51"/>
      <c r="EG10" s="53">
        <f t="shared" si="66"/>
        <v>81.25</v>
      </c>
      <c r="EH10" s="53">
        <f t="shared" si="67"/>
        <v>79.9375</v>
      </c>
      <c r="EI10" s="53">
        <f t="shared" si="68"/>
        <v>79.952380952380963</v>
      </c>
      <c r="EJ10" s="53">
        <f t="shared" si="69"/>
        <v>75</v>
      </c>
      <c r="EK10" s="53" t="str">
        <f t="shared" si="70"/>
        <v xml:space="preserve">  </v>
      </c>
      <c r="EL10" s="53" t="str">
        <f t="shared" si="71"/>
        <v xml:space="preserve">  </v>
      </c>
      <c r="EM10" s="53" t="str">
        <f t="shared" si="72"/>
        <v xml:space="preserve">  </v>
      </c>
      <c r="EN10" s="53" t="str">
        <f t="shared" si="73"/>
        <v xml:space="preserve">  </v>
      </c>
      <c r="EO10" s="53" t="str">
        <f t="shared" si="74"/>
        <v xml:space="preserve">  </v>
      </c>
      <c r="EP10" s="53"/>
      <c r="EQ10" s="54">
        <f t="shared" si="75"/>
        <v>79</v>
      </c>
      <c r="ER10" s="55">
        <f t="shared" si="76"/>
        <v>81.25</v>
      </c>
      <c r="ES10" s="55">
        <f t="shared" si="77"/>
        <v>75</v>
      </c>
      <c r="ET10" s="51" t="str">
        <f>SISWA!E8</f>
        <v>Amira</v>
      </c>
      <c r="EU10" s="51" t="str">
        <f t="shared" si="78"/>
        <v xml:space="preserve">Ananda Amira </v>
      </c>
      <c r="EV10" s="56">
        <f t="shared" si="79"/>
        <v>81.25</v>
      </c>
      <c r="EW10" s="57" t="str">
        <f t="shared" si="80"/>
        <v/>
      </c>
      <c r="EX10" s="57" t="str">
        <f t="shared" si="81"/>
        <v/>
      </c>
      <c r="EY10" s="57" t="str">
        <f t="shared" si="82"/>
        <v/>
      </c>
      <c r="EZ10" s="57" t="str">
        <f t="shared" si="83"/>
        <v/>
      </c>
      <c r="FA10" s="57" t="str">
        <f t="shared" si="84"/>
        <v/>
      </c>
      <c r="FB10" s="57" t="str">
        <f t="shared" si="85"/>
        <v/>
      </c>
      <c r="FC10" s="57"/>
      <c r="FD10" s="57"/>
      <c r="FE10" s="57"/>
      <c r="FF10" s="58">
        <f t="shared" si="86"/>
        <v>81.25</v>
      </c>
      <c r="FG10" s="55" t="str">
        <f t="shared" si="87"/>
        <v>memahami gambar cerita</v>
      </c>
      <c r="FH10" s="58"/>
      <c r="FI10" s="59" t="str">
        <f>IF(ER10&gt;100,"",IF(ER10&gt;DQ$1,"sangat baik dalam "&amp;FG10,IF(ER10&gt;=DQ$2,"baik dalam "&amp;FG10,IF(ER10&gt;=DQ$3,"cukup dalam "&amp;FG10,IF(ER10&lt;DQ$3,"dengan bimbingan dapat ,meningkatkan dalam "&amp;FG10,IF(ER10&lt;1," ",””))))))</f>
        <v>cukup dalam memahami gambar cerita</v>
      </c>
      <c r="FJ10" s="58"/>
      <c r="FK10" s="57" t="str">
        <f t="shared" si="88"/>
        <v/>
      </c>
      <c r="FL10" s="57" t="str">
        <f t="shared" si="89"/>
        <v/>
      </c>
      <c r="FM10" s="57" t="str">
        <f t="shared" si="90"/>
        <v/>
      </c>
      <c r="FN10" s="57">
        <f t="shared" si="91"/>
        <v>75</v>
      </c>
      <c r="FO10" s="57" t="str">
        <f t="shared" si="92"/>
        <v/>
      </c>
      <c r="FP10" s="57" t="str">
        <f t="shared" si="93"/>
        <v/>
      </c>
      <c r="FQ10" s="57" t="str">
        <f t="shared" si="94"/>
        <v/>
      </c>
      <c r="FR10" s="57"/>
      <c r="FS10" s="57"/>
      <c r="FT10" s="57"/>
      <c r="FU10" s="59" t="str">
        <f t="shared" si="95"/>
        <v>memahami karya seni rupa daerah</v>
      </c>
      <c r="FV10" s="59" t="str">
        <f>IF(ES10&gt;100,"",IF(ES10&gt;DQ$1,"sangat baik dalam "&amp;FU10,IF(ES10&gt;=DQ$2,"baik dalam "&amp;FU10,IF(ES10&gt;=DQ$3,"cukup dalam "&amp;FU10,IF(ES10&lt;DQ$3,"dengan bimbingan dapat meningkatkan dalam "&amp;FU10,IF(ES10&lt;1," ",””))))))</f>
        <v>cukup dalam memahami karya seni rupa daerah</v>
      </c>
      <c r="FW10" s="61"/>
      <c r="FX10" s="62" t="str">
        <f t="shared" si="96"/>
        <v>Ananda Amira cukup dalam memahami gambar cerita, cukup dalam memahami karya seni rupa daerah</v>
      </c>
      <c r="FY10" s="57" t="str">
        <f t="shared" si="97"/>
        <v/>
      </c>
      <c r="FZ10" s="57" t="str">
        <f t="shared" si="98"/>
        <v/>
      </c>
      <c r="GA10" s="57">
        <f t="shared" si="99"/>
        <v>0</v>
      </c>
      <c r="GB10" s="57"/>
      <c r="GC10" s="57"/>
      <c r="GD10" s="57"/>
      <c r="GE10" s="59">
        <f t="shared" si="44"/>
        <v>0</v>
      </c>
      <c r="GF10" s="60"/>
      <c r="GG10" s="61"/>
      <c r="GH10" s="62" t="str">
        <f t="shared" si="100"/>
        <v>, 0</v>
      </c>
      <c r="GI10" s="4"/>
    </row>
    <row r="11" spans="1:191">
      <c r="A11" s="39">
        <v>4</v>
      </c>
      <c r="B11" s="283" t="str">
        <f>SISWA!B9</f>
        <v>Andrian Putra Pangestu</v>
      </c>
      <c r="C11" s="123">
        <v>75</v>
      </c>
      <c r="D11" s="123"/>
      <c r="E11" s="123"/>
      <c r="F11" s="123"/>
      <c r="G11" s="123"/>
      <c r="H11" s="123"/>
      <c r="I11" s="123"/>
      <c r="J11" s="123"/>
      <c r="K11" s="123"/>
      <c r="L11" s="256">
        <v>75</v>
      </c>
      <c r="M11" s="256"/>
      <c r="N11" s="256"/>
      <c r="O11" s="256"/>
      <c r="P11" s="256"/>
      <c r="Q11" s="256"/>
      <c r="R11" s="256"/>
      <c r="S11" s="256"/>
      <c r="T11" s="256"/>
      <c r="U11" s="123">
        <v>75</v>
      </c>
      <c r="V11" s="123">
        <v>75</v>
      </c>
      <c r="W11" s="123">
        <v>75</v>
      </c>
      <c r="X11" s="123"/>
      <c r="Y11" s="123"/>
      <c r="Z11" s="123"/>
      <c r="AA11" s="123"/>
      <c r="AB11" s="123"/>
      <c r="AC11" s="123"/>
      <c r="AD11" s="256">
        <v>75</v>
      </c>
      <c r="AE11" s="256">
        <v>75</v>
      </c>
      <c r="AF11" s="256">
        <v>75</v>
      </c>
      <c r="AG11" s="256"/>
      <c r="AH11" s="256"/>
      <c r="AI11" s="256"/>
      <c r="AJ11" s="256"/>
      <c r="AK11" s="256"/>
      <c r="AL11" s="256"/>
      <c r="AM11" s="123"/>
      <c r="AN11" s="123">
        <v>80</v>
      </c>
      <c r="AO11" s="123"/>
      <c r="AP11" s="123"/>
      <c r="AQ11" s="123"/>
      <c r="AR11" s="123"/>
      <c r="AS11" s="123"/>
      <c r="AT11" s="123"/>
      <c r="AU11" s="123"/>
      <c r="AV11" s="256"/>
      <c r="AW11" s="256">
        <v>75</v>
      </c>
      <c r="AX11" s="256">
        <v>75</v>
      </c>
      <c r="AY11" s="256">
        <v>75</v>
      </c>
      <c r="AZ11" s="256"/>
      <c r="BA11" s="256"/>
      <c r="BB11" s="256"/>
      <c r="BC11" s="256"/>
      <c r="BD11" s="256"/>
      <c r="BE11" s="123">
        <v>75</v>
      </c>
      <c r="BF11" s="123">
        <v>75</v>
      </c>
      <c r="BG11" s="123">
        <v>75</v>
      </c>
      <c r="BH11" s="123"/>
      <c r="BI11" s="123"/>
      <c r="BJ11" s="123"/>
      <c r="BK11" s="123"/>
      <c r="BL11" s="123"/>
      <c r="BM11" s="123"/>
      <c r="BN11" s="256">
        <v>75</v>
      </c>
      <c r="BO11" s="256">
        <v>80</v>
      </c>
      <c r="BP11" s="256">
        <v>75</v>
      </c>
      <c r="BQ11" s="256"/>
      <c r="BR11" s="256"/>
      <c r="BS11" s="256"/>
      <c r="BT11" s="256"/>
      <c r="BU11" s="256"/>
      <c r="BV11" s="256"/>
      <c r="BW11" s="460"/>
      <c r="BX11" s="460">
        <v>75</v>
      </c>
      <c r="BY11" s="460">
        <v>75</v>
      </c>
      <c r="BZ11" s="460"/>
      <c r="CA11" s="460"/>
      <c r="CB11" s="460"/>
      <c r="CC11" s="460"/>
      <c r="CD11" s="460"/>
      <c r="CE11" s="460"/>
      <c r="CF11" s="346"/>
      <c r="CG11" s="346">
        <v>75</v>
      </c>
      <c r="CH11" s="346">
        <v>75</v>
      </c>
      <c r="CI11" s="346"/>
      <c r="CJ11" s="346"/>
      <c r="CK11" s="346"/>
      <c r="CL11" s="346"/>
      <c r="CM11" s="346"/>
      <c r="CN11" s="346"/>
      <c r="CO11" s="260">
        <f t="shared" si="45"/>
        <v>75</v>
      </c>
      <c r="CP11" s="260">
        <f t="shared" si="46"/>
        <v>76.25</v>
      </c>
      <c r="CQ11" s="260">
        <f t="shared" si="47"/>
        <v>75</v>
      </c>
      <c r="CR11" s="260">
        <f t="shared" si="48"/>
        <v>75</v>
      </c>
      <c r="CS11" s="260" t="str">
        <f t="shared" si="49"/>
        <v xml:space="preserve"> </v>
      </c>
      <c r="CT11" s="260" t="str">
        <f t="shared" si="50"/>
        <v xml:space="preserve"> </v>
      </c>
      <c r="CU11" s="260" t="str">
        <f t="shared" si="51"/>
        <v xml:space="preserve"> </v>
      </c>
      <c r="CV11" s="260" t="str">
        <f t="shared" si="52"/>
        <v xml:space="preserve"> </v>
      </c>
      <c r="CW11" s="260" t="str">
        <f t="shared" si="53"/>
        <v xml:space="preserve"> </v>
      </c>
      <c r="CX11" s="547">
        <v>75</v>
      </c>
      <c r="CY11" s="547">
        <v>75</v>
      </c>
      <c r="CZ11" s="547"/>
      <c r="DA11" s="547"/>
      <c r="DB11" s="547"/>
      <c r="DC11" s="547"/>
      <c r="DD11" s="547"/>
      <c r="DE11" s="547"/>
      <c r="DF11" s="547"/>
      <c r="DG11" s="565">
        <v>80</v>
      </c>
      <c r="DH11" s="565">
        <v>75</v>
      </c>
      <c r="DI11" s="565">
        <v>75</v>
      </c>
      <c r="DJ11" s="565"/>
      <c r="DK11" s="565"/>
      <c r="DL11" s="565"/>
      <c r="DM11" s="565"/>
      <c r="DN11" s="565"/>
      <c r="DO11" s="565"/>
      <c r="DP11" s="549">
        <f t="shared" si="54"/>
        <v>75</v>
      </c>
      <c r="DQ11" s="291" t="str">
        <f t="shared" si="55"/>
        <v>C</v>
      </c>
      <c r="DR11" s="50" t="str">
        <f t="shared" si="56"/>
        <v>Ananda Andri cukup dalam memahami gambar cerita, cukup dalam memahami karya seni rupa daerah</v>
      </c>
      <c r="DS11" s="282"/>
      <c r="DT11" s="51"/>
      <c r="DU11" s="46">
        <f t="shared" si="57"/>
        <v>75</v>
      </c>
      <c r="DV11" s="46">
        <f t="shared" si="58"/>
        <v>76.25</v>
      </c>
      <c r="DW11" s="46">
        <f t="shared" si="59"/>
        <v>75</v>
      </c>
      <c r="DX11" s="46">
        <f t="shared" si="60"/>
        <v>75</v>
      </c>
      <c r="DY11" s="46" t="str">
        <f t="shared" si="61"/>
        <v xml:space="preserve"> </v>
      </c>
      <c r="DZ11" s="46" t="str">
        <f t="shared" si="62"/>
        <v xml:space="preserve"> </v>
      </c>
      <c r="EA11" s="46" t="str">
        <f t="shared" si="63"/>
        <v xml:space="preserve"> </v>
      </c>
      <c r="EB11" s="46" t="str">
        <f t="shared" si="64"/>
        <v xml:space="preserve"> </v>
      </c>
      <c r="EC11" s="46" t="str">
        <f t="shared" si="65"/>
        <v xml:space="preserve"> </v>
      </c>
      <c r="ED11" s="46"/>
      <c r="EE11" s="52">
        <f>[2]uts!J10</f>
        <v>76.666666666666671</v>
      </c>
      <c r="EF11" s="51"/>
      <c r="EG11" s="53">
        <f t="shared" si="66"/>
        <v>76.25</v>
      </c>
      <c r="EH11" s="53">
        <f t="shared" si="67"/>
        <v>75.625</v>
      </c>
      <c r="EI11" s="53">
        <f t="shared" si="68"/>
        <v>75</v>
      </c>
      <c r="EJ11" s="53">
        <f t="shared" si="69"/>
        <v>75</v>
      </c>
      <c r="EK11" s="53" t="str">
        <f t="shared" si="70"/>
        <v xml:space="preserve">  </v>
      </c>
      <c r="EL11" s="53" t="str">
        <f t="shared" si="71"/>
        <v xml:space="preserve">  </v>
      </c>
      <c r="EM11" s="53" t="str">
        <f t="shared" si="72"/>
        <v xml:space="preserve">  </v>
      </c>
      <c r="EN11" s="53" t="str">
        <f t="shared" si="73"/>
        <v xml:space="preserve">  </v>
      </c>
      <c r="EO11" s="53" t="str">
        <f t="shared" si="74"/>
        <v xml:space="preserve">  </v>
      </c>
      <c r="EP11" s="53"/>
      <c r="EQ11" s="54">
        <f t="shared" si="75"/>
        <v>75</v>
      </c>
      <c r="ER11" s="55">
        <f t="shared" si="76"/>
        <v>76.25</v>
      </c>
      <c r="ES11" s="55">
        <f t="shared" si="77"/>
        <v>75</v>
      </c>
      <c r="ET11" s="51" t="str">
        <f>SISWA!E9</f>
        <v>Andri</v>
      </c>
      <c r="EU11" s="51" t="str">
        <f t="shared" si="78"/>
        <v xml:space="preserve">Ananda Andri </v>
      </c>
      <c r="EV11" s="56">
        <f t="shared" si="79"/>
        <v>76.25</v>
      </c>
      <c r="EW11" s="57" t="str">
        <f t="shared" si="80"/>
        <v/>
      </c>
      <c r="EX11" s="57" t="str">
        <f t="shared" si="81"/>
        <v/>
      </c>
      <c r="EY11" s="57" t="str">
        <f t="shared" si="82"/>
        <v/>
      </c>
      <c r="EZ11" s="57" t="str">
        <f t="shared" si="83"/>
        <v/>
      </c>
      <c r="FA11" s="57" t="str">
        <f t="shared" si="84"/>
        <v/>
      </c>
      <c r="FB11" s="57" t="str">
        <f t="shared" si="85"/>
        <v/>
      </c>
      <c r="FC11" s="57"/>
      <c r="FD11" s="57"/>
      <c r="FE11" s="57"/>
      <c r="FF11" s="58">
        <f t="shared" si="86"/>
        <v>76.25</v>
      </c>
      <c r="FG11" s="55" t="str">
        <f t="shared" si="87"/>
        <v>memahami gambar cerita</v>
      </c>
      <c r="FH11" s="58"/>
      <c r="FI11" s="59" t="str">
        <f>IF(ER11&gt;100,"",IF(ER11&gt;DQ$1,"sangat baik dalam "&amp;FG11,IF(ER11&gt;=DQ$2,"baik dalam "&amp;FG11,IF(ER11&gt;=DQ$3,"cukup dalam "&amp;FG11,IF(ER11&lt;DQ$3,"dengan bimbingan dapat ,meningkatkan dalam "&amp;FG11,IF(ER11&lt;1," ",””))))))</f>
        <v>cukup dalam memahami gambar cerita</v>
      </c>
      <c r="FJ11" s="58"/>
      <c r="FK11" s="57" t="str">
        <f t="shared" si="88"/>
        <v/>
      </c>
      <c r="FL11" s="57" t="str">
        <f t="shared" si="89"/>
        <v/>
      </c>
      <c r="FM11" s="57">
        <f t="shared" si="90"/>
        <v>75</v>
      </c>
      <c r="FN11" s="57">
        <f t="shared" si="91"/>
        <v>75</v>
      </c>
      <c r="FO11" s="57" t="str">
        <f t="shared" si="92"/>
        <v/>
      </c>
      <c r="FP11" s="57" t="str">
        <f t="shared" si="93"/>
        <v/>
      </c>
      <c r="FQ11" s="57" t="str">
        <f t="shared" si="94"/>
        <v/>
      </c>
      <c r="FR11" s="57"/>
      <c r="FS11" s="57"/>
      <c r="FT11" s="57"/>
      <c r="FU11" s="59" t="str">
        <f t="shared" si="95"/>
        <v>memahami karya seni rupa daerah</v>
      </c>
      <c r="FV11" s="59" t="str">
        <f>IF(ES11&gt;100,"",IF(ES11&gt;DQ$1,"sangat baik dalam "&amp;FU11,IF(ES11&gt;=DQ$2,"baik dalam "&amp;FU11,IF(ES11&gt;=DQ$3,"cukup dalam "&amp;FU11,IF(ES11&lt;DQ$3,"dengan bimbingan dapat meningkatkan dalam "&amp;FU11,IF(ES11&lt;1," ",””))))))</f>
        <v>cukup dalam memahami karya seni rupa daerah</v>
      </c>
      <c r="FW11" s="61"/>
      <c r="FX11" s="62" t="str">
        <f t="shared" si="96"/>
        <v>Ananda Andri cukup dalam memahami gambar cerita, cukup dalam memahami karya seni rupa daerah</v>
      </c>
      <c r="FY11" s="57" t="str">
        <f t="shared" si="97"/>
        <v/>
      </c>
      <c r="FZ11" s="57" t="str">
        <f t="shared" si="98"/>
        <v/>
      </c>
      <c r="GA11" s="57">
        <f t="shared" si="99"/>
        <v>0</v>
      </c>
      <c r="GB11" s="57"/>
      <c r="GC11" s="57"/>
      <c r="GD11" s="57"/>
      <c r="GE11" s="59">
        <f t="shared" si="44"/>
        <v>0</v>
      </c>
      <c r="GF11" s="60"/>
      <c r="GG11" s="61"/>
      <c r="GH11" s="62" t="str">
        <f t="shared" si="100"/>
        <v>, 0</v>
      </c>
      <c r="GI11" s="4"/>
    </row>
    <row r="12" spans="1:191">
      <c r="A12" s="39">
        <v>5</v>
      </c>
      <c r="B12" s="283" t="str">
        <f>SISWA!B10</f>
        <v>Gresiya Suma Safitri</v>
      </c>
      <c r="C12" s="123">
        <v>75</v>
      </c>
      <c r="D12" s="123"/>
      <c r="E12" s="123"/>
      <c r="F12" s="123"/>
      <c r="G12" s="123"/>
      <c r="H12" s="123"/>
      <c r="I12" s="123"/>
      <c r="J12" s="123"/>
      <c r="K12" s="123"/>
      <c r="L12" s="256">
        <v>93</v>
      </c>
      <c r="M12" s="256"/>
      <c r="N12" s="256"/>
      <c r="O12" s="256"/>
      <c r="P12" s="256"/>
      <c r="Q12" s="256"/>
      <c r="R12" s="256"/>
      <c r="S12" s="256"/>
      <c r="T12" s="256"/>
      <c r="U12" s="123">
        <v>87</v>
      </c>
      <c r="V12" s="123">
        <v>80</v>
      </c>
      <c r="W12" s="123">
        <v>87</v>
      </c>
      <c r="X12" s="123"/>
      <c r="Y12" s="123"/>
      <c r="Z12" s="123"/>
      <c r="AA12" s="123"/>
      <c r="AB12" s="123"/>
      <c r="AC12" s="123"/>
      <c r="AD12" s="256">
        <v>75</v>
      </c>
      <c r="AE12" s="256">
        <v>75</v>
      </c>
      <c r="AF12" s="256">
        <v>75</v>
      </c>
      <c r="AG12" s="256"/>
      <c r="AH12" s="256"/>
      <c r="AI12" s="256"/>
      <c r="AJ12" s="256"/>
      <c r="AK12" s="256"/>
      <c r="AL12" s="256"/>
      <c r="AM12" s="123"/>
      <c r="AN12" s="123">
        <v>80</v>
      </c>
      <c r="AO12" s="123"/>
      <c r="AP12" s="123"/>
      <c r="AQ12" s="123"/>
      <c r="AR12" s="123"/>
      <c r="AS12" s="123"/>
      <c r="AT12" s="123"/>
      <c r="AU12" s="123"/>
      <c r="AV12" s="256"/>
      <c r="AW12" s="256">
        <v>93</v>
      </c>
      <c r="AX12" s="256">
        <v>87</v>
      </c>
      <c r="AY12" s="256">
        <v>93</v>
      </c>
      <c r="AZ12" s="256"/>
      <c r="BA12" s="256"/>
      <c r="BB12" s="256"/>
      <c r="BC12" s="256"/>
      <c r="BD12" s="256"/>
      <c r="BE12" s="123">
        <v>93</v>
      </c>
      <c r="BF12" s="123">
        <v>100</v>
      </c>
      <c r="BG12" s="123">
        <v>87</v>
      </c>
      <c r="BH12" s="123"/>
      <c r="BI12" s="123"/>
      <c r="BJ12" s="123"/>
      <c r="BK12" s="123"/>
      <c r="BL12" s="123"/>
      <c r="BM12" s="123"/>
      <c r="BN12" s="256">
        <v>87</v>
      </c>
      <c r="BO12" s="256">
        <v>100</v>
      </c>
      <c r="BP12" s="256">
        <v>93</v>
      </c>
      <c r="BQ12" s="256"/>
      <c r="BR12" s="256"/>
      <c r="BS12" s="256"/>
      <c r="BT12" s="256"/>
      <c r="BU12" s="256"/>
      <c r="BV12" s="256"/>
      <c r="BW12" s="460"/>
      <c r="BX12" s="460">
        <v>93</v>
      </c>
      <c r="BY12" s="460">
        <v>100</v>
      </c>
      <c r="BZ12" s="460"/>
      <c r="CA12" s="460"/>
      <c r="CB12" s="460"/>
      <c r="CC12" s="460"/>
      <c r="CD12" s="460"/>
      <c r="CE12" s="460"/>
      <c r="CF12" s="346"/>
      <c r="CG12" s="346">
        <v>75</v>
      </c>
      <c r="CH12" s="346">
        <v>75</v>
      </c>
      <c r="CI12" s="346"/>
      <c r="CJ12" s="346"/>
      <c r="CK12" s="346"/>
      <c r="CL12" s="346"/>
      <c r="CM12" s="346"/>
      <c r="CN12" s="346"/>
      <c r="CO12" s="260">
        <f t="shared" si="45"/>
        <v>85</v>
      </c>
      <c r="CP12" s="260">
        <f t="shared" si="46"/>
        <v>87</v>
      </c>
      <c r="CQ12" s="260">
        <f t="shared" si="47"/>
        <v>86.285714285714292</v>
      </c>
      <c r="CR12" s="260">
        <f t="shared" si="48"/>
        <v>93</v>
      </c>
      <c r="CS12" s="260" t="str">
        <f t="shared" si="49"/>
        <v xml:space="preserve"> </v>
      </c>
      <c r="CT12" s="260" t="str">
        <f t="shared" si="50"/>
        <v xml:space="preserve"> </v>
      </c>
      <c r="CU12" s="260" t="str">
        <f t="shared" si="51"/>
        <v xml:space="preserve"> </v>
      </c>
      <c r="CV12" s="260" t="str">
        <f t="shared" si="52"/>
        <v xml:space="preserve"> </v>
      </c>
      <c r="CW12" s="260" t="str">
        <f t="shared" si="53"/>
        <v xml:space="preserve"> </v>
      </c>
      <c r="CX12" s="547">
        <v>75</v>
      </c>
      <c r="CY12" s="547">
        <v>75</v>
      </c>
      <c r="CZ12" s="547"/>
      <c r="DA12" s="547"/>
      <c r="DB12" s="547"/>
      <c r="DC12" s="547"/>
      <c r="DD12" s="547"/>
      <c r="DE12" s="547"/>
      <c r="DF12" s="547"/>
      <c r="DG12" s="565">
        <v>80</v>
      </c>
      <c r="DH12" s="565">
        <v>75</v>
      </c>
      <c r="DI12" s="565">
        <v>75</v>
      </c>
      <c r="DJ12" s="565"/>
      <c r="DK12" s="565"/>
      <c r="DL12" s="565"/>
      <c r="DM12" s="565"/>
      <c r="DN12" s="565"/>
      <c r="DO12" s="565"/>
      <c r="DP12" s="549">
        <f t="shared" si="54"/>
        <v>84</v>
      </c>
      <c r="DQ12" s="291" t="str">
        <f t="shared" si="55"/>
        <v>B</v>
      </c>
      <c r="DR12" s="50" t="str">
        <f t="shared" si="56"/>
        <v>Ananda Gresia sangat baik dalam memahami karya seni rupa daerah, cukup dalam memahami tangga nada</v>
      </c>
      <c r="DS12" s="282"/>
      <c r="DT12" s="51"/>
      <c r="DU12" s="46">
        <f t="shared" si="57"/>
        <v>85</v>
      </c>
      <c r="DV12" s="46">
        <f t="shared" si="58"/>
        <v>87</v>
      </c>
      <c r="DW12" s="46">
        <f t="shared" si="59"/>
        <v>86.285714285714292</v>
      </c>
      <c r="DX12" s="46">
        <f t="shared" si="60"/>
        <v>93</v>
      </c>
      <c r="DY12" s="46" t="str">
        <f t="shared" si="61"/>
        <v xml:space="preserve"> </v>
      </c>
      <c r="DZ12" s="46" t="str">
        <f t="shared" si="62"/>
        <v xml:space="preserve"> </v>
      </c>
      <c r="EA12" s="46" t="str">
        <f t="shared" si="63"/>
        <v xml:space="preserve"> </v>
      </c>
      <c r="EB12" s="46" t="str">
        <f t="shared" si="64"/>
        <v xml:space="preserve"> </v>
      </c>
      <c r="EC12" s="46" t="str">
        <f t="shared" si="65"/>
        <v xml:space="preserve"> </v>
      </c>
      <c r="ED12" s="46"/>
      <c r="EE12" s="52">
        <f>[2]uts!J11</f>
        <v>80.666666666666671</v>
      </c>
      <c r="EF12" s="51"/>
      <c r="EG12" s="53">
        <f t="shared" si="66"/>
        <v>81.25</v>
      </c>
      <c r="EH12" s="53">
        <f t="shared" si="67"/>
        <v>81</v>
      </c>
      <c r="EI12" s="53">
        <f t="shared" si="68"/>
        <v>82.523809523809518</v>
      </c>
      <c r="EJ12" s="53">
        <f t="shared" si="69"/>
        <v>93</v>
      </c>
      <c r="EK12" s="53" t="str">
        <f t="shared" si="70"/>
        <v xml:space="preserve">  </v>
      </c>
      <c r="EL12" s="53" t="str">
        <f t="shared" si="71"/>
        <v xml:space="preserve">  </v>
      </c>
      <c r="EM12" s="53" t="str">
        <f t="shared" si="72"/>
        <v xml:space="preserve">  </v>
      </c>
      <c r="EN12" s="53" t="str">
        <f t="shared" si="73"/>
        <v xml:space="preserve">  </v>
      </c>
      <c r="EO12" s="53" t="str">
        <f t="shared" si="74"/>
        <v xml:space="preserve">  </v>
      </c>
      <c r="EP12" s="53"/>
      <c r="EQ12" s="54">
        <f t="shared" si="75"/>
        <v>84</v>
      </c>
      <c r="ER12" s="55">
        <f t="shared" si="76"/>
        <v>93</v>
      </c>
      <c r="ES12" s="55">
        <f t="shared" si="77"/>
        <v>81</v>
      </c>
      <c r="ET12" s="51" t="str">
        <f>SISWA!E10</f>
        <v>Gresia</v>
      </c>
      <c r="EU12" s="51" t="str">
        <f t="shared" si="78"/>
        <v xml:space="preserve">Ananda Gresia </v>
      </c>
      <c r="EV12" s="56" t="str">
        <f t="shared" si="79"/>
        <v/>
      </c>
      <c r="EW12" s="57" t="str">
        <f t="shared" si="80"/>
        <v/>
      </c>
      <c r="EX12" s="57" t="str">
        <f t="shared" si="81"/>
        <v/>
      </c>
      <c r="EY12" s="57">
        <f t="shared" si="82"/>
        <v>93</v>
      </c>
      <c r="EZ12" s="57" t="str">
        <f t="shared" si="83"/>
        <v/>
      </c>
      <c r="FA12" s="57" t="str">
        <f t="shared" si="84"/>
        <v/>
      </c>
      <c r="FB12" s="57" t="str">
        <f t="shared" si="85"/>
        <v/>
      </c>
      <c r="FC12" s="57"/>
      <c r="FD12" s="57"/>
      <c r="FE12" s="57"/>
      <c r="FF12" s="58">
        <f t="shared" si="86"/>
        <v>93</v>
      </c>
      <c r="FG12" s="55" t="str">
        <f t="shared" si="87"/>
        <v>memahami karya seni rupa daerah</v>
      </c>
      <c r="FH12" s="58"/>
      <c r="FI12" s="59" t="str">
        <f>IF(ER12&gt;100,"",IF(ER12&gt;DQ$1,"sangat baik dalam "&amp;FG12,IF(ER12&gt;=DQ$2,"baik dalam "&amp;FG12,IF(ER12&gt;=DQ$3,"cukup dalam "&amp;FG12,IF(ER12&lt;DQ$3,"dengan bimbingan dapat ,meningkatkan dalam "&amp;FG12,IF(ER12&lt;1," ",””))))))</f>
        <v>sangat baik dalam memahami karya seni rupa daerah</v>
      </c>
      <c r="FJ12" s="58"/>
      <c r="FK12" s="57" t="str">
        <f t="shared" si="88"/>
        <v/>
      </c>
      <c r="FL12" s="57">
        <f t="shared" si="89"/>
        <v>81</v>
      </c>
      <c r="FM12" s="57" t="str">
        <f t="shared" si="90"/>
        <v/>
      </c>
      <c r="FN12" s="57" t="str">
        <f t="shared" si="91"/>
        <v/>
      </c>
      <c r="FO12" s="57" t="str">
        <f t="shared" si="92"/>
        <v/>
      </c>
      <c r="FP12" s="57" t="str">
        <f t="shared" si="93"/>
        <v/>
      </c>
      <c r="FQ12" s="57" t="str">
        <f t="shared" si="94"/>
        <v/>
      </c>
      <c r="FR12" s="57"/>
      <c r="FS12" s="57"/>
      <c r="FT12" s="57"/>
      <c r="FU12" s="59" t="str">
        <f t="shared" si="95"/>
        <v>memahami tangga nada</v>
      </c>
      <c r="FV12" s="59" t="str">
        <f>IF(ES12&gt;100,"",IF(ES12&gt;DQ$1,"sangat baik dalam "&amp;FU12,IF(ES12&gt;=DQ$2,"baik dalam "&amp;FU12,IF(ES12&gt;=DQ$3,"cukup dalam "&amp;FU12,IF(ES12&lt;DQ$3,"dengan bimbingan dapat meningkatkan dalam "&amp;FU12,IF(ES12&lt;1," ",””))))))</f>
        <v>cukup dalam memahami tangga nada</v>
      </c>
      <c r="FW12" s="61"/>
      <c r="FX12" s="62" t="str">
        <f t="shared" si="96"/>
        <v>Ananda Gresia sangat baik dalam memahami karya seni rupa daerah, cukup dalam memahami tangga nada</v>
      </c>
      <c r="FY12" s="57" t="str">
        <f t="shared" si="97"/>
        <v/>
      </c>
      <c r="FZ12" s="57">
        <f t="shared" si="98"/>
        <v>0</v>
      </c>
      <c r="GA12" s="57">
        <f t="shared" si="99"/>
        <v>0</v>
      </c>
      <c r="GB12" s="57"/>
      <c r="GC12" s="57"/>
      <c r="GD12" s="57"/>
      <c r="GE12" s="59">
        <f t="shared" si="44"/>
        <v>0</v>
      </c>
      <c r="GF12" s="60"/>
      <c r="GG12" s="61"/>
      <c r="GH12" s="62" t="str">
        <f t="shared" si="100"/>
        <v>, 0</v>
      </c>
      <c r="GI12" s="4" t="str">
        <f t="shared" ref="GI12:GI27" si="101">CONCATENATE(IF(EQ12&gt;100,"  ",IF(EQ12&gt;95,"Sangat pandai "&amp;$B$45,IF(EQ12&gt;87,"Pandai "&amp;$B$45,IF(EQ12&gt;79,"Cukup pandai "&amp;$B$45,IF(EQ12&gt;71,"Menguasai dengan baik "&amp;$B$45,IF(EQ12&gt;62,"Perlu banyak latihan "&amp;$B$45,IF(EQ12&gt;0,"Perlu bimbingan "&amp;$B$45,IF(EQ12="","")))))))),IF(ER12&gt;100,"  ",IF(ER12&gt;95," Sangat pandai "&amp;$B$46,IF(ER12&gt;87," Pandai "&amp;$B$46,IF(ER12&gt;79," Cukup pandai "&amp;$B$46,IF(ER12&gt;71," Menguasai dengan baik "&amp;$B$46,IF(ER12&gt;62," Perlu banyak latihan "&amp;$B$46,IF(ER12&gt;0," Perlu bimbingan "&amp;$B$46,IF(ER12="","")))))))),IF(ES12&gt;100,"  ",IF(ES12&gt;95," Sangat pandai "&amp;$B$47,IF(ES12&gt;87," Pandai "&amp;$B$47,IF(ES12&gt;79," cukup pandai "&amp;$B$47,IF(ES12&gt;71," Menguasai dengan baik "&amp;$B$47,IF(ES12&gt;62," Perlu banyak latihan "&amp;$B$47,IF(ES12&gt;0," Perlu bimbingan "&amp;$B$47,IF(ES12="","")))))))),IF(ET12&gt;100,"  ",IF(ET12&gt;95," Sangat pandai "&amp;$B$48,IF(ET12&gt;87," Pandai "&amp;$B$48,IF(ET12&gt;79," Cukup pandai "&amp;$B$48,IF(ET12&gt;71," Menguasai dengan baik "&amp;$B$48,IF(ET12&gt;62," Perlu banyak latihan "&amp;$B$48,IF(ET12&gt;0," Perlu bimbingan "&amp;$B$48,IF(ET12="","")))))))),IF(EU12&gt;100,"  ",IF(EU12&gt;95," Sangat pandai "&amp;$B$49,IF(EU12&gt;87," Pandai "&amp;$B$49,IF(EU12&gt;79," Cukup pandai "&amp;$B$49,IF(EU12&gt;71," Menguasai dengan baik "&amp;$B$49,IF(EU12&gt;62," Perlu banyak latihan "&amp;$B$49,IF(EU12&gt;0," Perlu bimbingan "&amp;$B$49,IF(EU12="","")))))))),IF(EV12&gt;100,"  ",IF(EV12&gt;95," Sangat pandai "&amp;$B$50,IF(EV12&gt;87," Pandai "&amp;$B$50,IF(EV12&gt;79," Cukup pandai "&amp;$B$50,IF(EV12&gt;71," Menguasai dengan baik "&amp;$B$50,IF(EV12&gt;62," Perlu banyak latihan "&amp;$B$50,IF(EV12&gt;0," Perlu bimbingan "&amp;$B$50,IF(EV12="","")))))))),IF(EW12&gt;100,"  ",IF(EW12&gt;95," Sangat pandai "&amp;$B$51,IF(EW12&gt;87," Pandai "&amp;$B$51,IF(EW12&gt;79," Cukup pandai "&amp;$B$51,IF(EW12&gt;71," Menguasai dengan baik "&amp;$B$51,IF(EW12&gt;62," Perlu banyak latihan "&amp;$B$51,IF(EW12&gt;0," Perlu bimbingan "&amp;$B$51,IF(EW12="","")))))))))</f>
        <v xml:space="preserve">Cukup pandai memahami gambar cerita Pandai memahami tangga nada cukup pandai memahami pola lantai dalam tari kreasi daerah        </v>
      </c>
    </row>
    <row r="13" spans="1:191">
      <c r="A13" s="39">
        <v>6</v>
      </c>
      <c r="B13" s="283" t="str">
        <f>SISWA!B11</f>
        <v>Hasna Fathitya Sabrina</v>
      </c>
      <c r="C13" s="123">
        <v>100</v>
      </c>
      <c r="D13" s="123"/>
      <c r="E13" s="123"/>
      <c r="F13" s="123"/>
      <c r="G13" s="123"/>
      <c r="H13" s="123"/>
      <c r="I13" s="123"/>
      <c r="J13" s="123"/>
      <c r="K13" s="123"/>
      <c r="L13" s="256">
        <v>93</v>
      </c>
      <c r="M13" s="256"/>
      <c r="N13" s="256"/>
      <c r="O13" s="256"/>
      <c r="P13" s="256"/>
      <c r="Q13" s="256"/>
      <c r="R13" s="256"/>
      <c r="S13" s="256"/>
      <c r="T13" s="256"/>
      <c r="U13" s="123">
        <v>87</v>
      </c>
      <c r="V13" s="123">
        <v>80</v>
      </c>
      <c r="W13" s="123">
        <v>87</v>
      </c>
      <c r="X13" s="123"/>
      <c r="Y13" s="123"/>
      <c r="Z13" s="123"/>
      <c r="AA13" s="123"/>
      <c r="AB13" s="123"/>
      <c r="AC13" s="123"/>
      <c r="AD13" s="256">
        <v>93</v>
      </c>
      <c r="AE13" s="256">
        <v>87</v>
      </c>
      <c r="AF13" s="256">
        <v>93</v>
      </c>
      <c r="AG13" s="256"/>
      <c r="AH13" s="256"/>
      <c r="AI13" s="256"/>
      <c r="AJ13" s="256"/>
      <c r="AK13" s="256"/>
      <c r="AL13" s="256"/>
      <c r="AM13" s="123"/>
      <c r="AN13" s="123">
        <v>93</v>
      </c>
      <c r="AO13" s="123"/>
      <c r="AP13" s="123"/>
      <c r="AQ13" s="123"/>
      <c r="AR13" s="123"/>
      <c r="AS13" s="123"/>
      <c r="AT13" s="123"/>
      <c r="AU13" s="123"/>
      <c r="AV13" s="256"/>
      <c r="AW13" s="256">
        <v>80</v>
      </c>
      <c r="AX13" s="256">
        <v>75</v>
      </c>
      <c r="AY13" s="256">
        <v>80</v>
      </c>
      <c r="AZ13" s="256"/>
      <c r="BA13" s="256"/>
      <c r="BB13" s="256"/>
      <c r="BC13" s="256"/>
      <c r="BD13" s="256"/>
      <c r="BE13" s="123">
        <v>93</v>
      </c>
      <c r="BF13" s="123">
        <v>100</v>
      </c>
      <c r="BG13" s="123">
        <v>87</v>
      </c>
      <c r="BH13" s="123"/>
      <c r="BI13" s="123"/>
      <c r="BJ13" s="123"/>
      <c r="BK13" s="123"/>
      <c r="BL13" s="123"/>
      <c r="BM13" s="123"/>
      <c r="BN13" s="256">
        <v>80</v>
      </c>
      <c r="BO13" s="256">
        <v>93</v>
      </c>
      <c r="BP13" s="256">
        <v>87</v>
      </c>
      <c r="BQ13" s="256"/>
      <c r="BR13" s="256"/>
      <c r="BS13" s="256"/>
      <c r="BT13" s="256"/>
      <c r="BU13" s="256"/>
      <c r="BV13" s="256"/>
      <c r="BW13" s="460"/>
      <c r="BX13" s="460">
        <v>75</v>
      </c>
      <c r="BY13" s="460">
        <v>75</v>
      </c>
      <c r="BZ13" s="460"/>
      <c r="CA13" s="460"/>
      <c r="CB13" s="460"/>
      <c r="CC13" s="460"/>
      <c r="CD13" s="460"/>
      <c r="CE13" s="460"/>
      <c r="CF13" s="346"/>
      <c r="CG13" s="346">
        <v>87</v>
      </c>
      <c r="CH13" s="346">
        <v>93</v>
      </c>
      <c r="CI13" s="346"/>
      <c r="CJ13" s="346"/>
      <c r="CK13" s="346"/>
      <c r="CL13" s="346"/>
      <c r="CM13" s="346"/>
      <c r="CN13" s="346"/>
      <c r="CO13" s="260">
        <f t="shared" si="45"/>
        <v>91</v>
      </c>
      <c r="CP13" s="260">
        <f t="shared" si="46"/>
        <v>86.875</v>
      </c>
      <c r="CQ13" s="260">
        <f t="shared" si="47"/>
        <v>85.285714285714292</v>
      </c>
      <c r="CR13" s="260">
        <f t="shared" si="48"/>
        <v>80</v>
      </c>
      <c r="CS13" s="260" t="str">
        <f t="shared" si="49"/>
        <v xml:space="preserve"> </v>
      </c>
      <c r="CT13" s="260" t="str">
        <f t="shared" si="50"/>
        <v xml:space="preserve"> </v>
      </c>
      <c r="CU13" s="260" t="str">
        <f t="shared" si="51"/>
        <v xml:space="preserve"> </v>
      </c>
      <c r="CV13" s="260" t="str">
        <f t="shared" si="52"/>
        <v xml:space="preserve"> </v>
      </c>
      <c r="CW13" s="260" t="str">
        <f t="shared" si="53"/>
        <v xml:space="preserve"> </v>
      </c>
      <c r="CX13" s="547">
        <v>83</v>
      </c>
      <c r="CY13" s="547">
        <v>83</v>
      </c>
      <c r="CZ13" s="547"/>
      <c r="DA13" s="547"/>
      <c r="DB13" s="547"/>
      <c r="DC13" s="547"/>
      <c r="DD13" s="547"/>
      <c r="DE13" s="547"/>
      <c r="DF13" s="547"/>
      <c r="DG13" s="565">
        <v>100</v>
      </c>
      <c r="DH13" s="565">
        <v>80</v>
      </c>
      <c r="DI13" s="565">
        <v>75</v>
      </c>
      <c r="DJ13" s="565"/>
      <c r="DK13" s="565"/>
      <c r="DL13" s="565"/>
      <c r="DM13" s="565"/>
      <c r="DN13" s="565"/>
      <c r="DO13" s="565"/>
      <c r="DP13" s="549">
        <f t="shared" si="54"/>
        <v>84</v>
      </c>
      <c r="DQ13" s="291" t="str">
        <f t="shared" si="55"/>
        <v>B</v>
      </c>
      <c r="DR13" s="50" t="str">
        <f t="shared" si="56"/>
        <v>Ananda Hasna baik dalam memahami gambar cerita, cukup dalam memahami karya seni rupa daerah</v>
      </c>
      <c r="DS13" s="282"/>
      <c r="DT13" s="51"/>
      <c r="DU13" s="46">
        <f t="shared" si="57"/>
        <v>91</v>
      </c>
      <c r="DV13" s="46">
        <f t="shared" si="58"/>
        <v>86.875</v>
      </c>
      <c r="DW13" s="46">
        <f t="shared" si="59"/>
        <v>85.285714285714292</v>
      </c>
      <c r="DX13" s="46">
        <f t="shared" si="60"/>
        <v>80</v>
      </c>
      <c r="DY13" s="46" t="str">
        <f t="shared" si="61"/>
        <v xml:space="preserve"> </v>
      </c>
      <c r="DZ13" s="46" t="str">
        <f t="shared" si="62"/>
        <v xml:space="preserve"> </v>
      </c>
      <c r="EA13" s="46" t="str">
        <f t="shared" si="63"/>
        <v xml:space="preserve"> </v>
      </c>
      <c r="EB13" s="46" t="str">
        <f t="shared" si="64"/>
        <v xml:space="preserve"> </v>
      </c>
      <c r="EC13" s="46" t="str">
        <f t="shared" si="65"/>
        <v xml:space="preserve"> </v>
      </c>
      <c r="ED13" s="46"/>
      <c r="EE13" s="52">
        <f>[2]uts!J12</f>
        <v>72</v>
      </c>
      <c r="EF13" s="51"/>
      <c r="EG13" s="53">
        <f t="shared" si="66"/>
        <v>91.25</v>
      </c>
      <c r="EH13" s="53">
        <f t="shared" si="67"/>
        <v>84.1875</v>
      </c>
      <c r="EI13" s="53">
        <f t="shared" si="68"/>
        <v>81.857142857142847</v>
      </c>
      <c r="EJ13" s="53">
        <f t="shared" si="69"/>
        <v>80</v>
      </c>
      <c r="EK13" s="53" t="str">
        <f t="shared" si="70"/>
        <v xml:space="preserve">  </v>
      </c>
      <c r="EL13" s="53" t="str">
        <f t="shared" si="71"/>
        <v xml:space="preserve">  </v>
      </c>
      <c r="EM13" s="53" t="str">
        <f t="shared" si="72"/>
        <v xml:space="preserve">  </v>
      </c>
      <c r="EN13" s="53" t="str">
        <f t="shared" si="73"/>
        <v xml:space="preserve">  </v>
      </c>
      <c r="EO13" s="53" t="str">
        <f t="shared" si="74"/>
        <v xml:space="preserve">  </v>
      </c>
      <c r="EP13" s="53"/>
      <c r="EQ13" s="54">
        <f t="shared" si="75"/>
        <v>84</v>
      </c>
      <c r="ER13" s="55">
        <f t="shared" si="76"/>
        <v>91.25</v>
      </c>
      <c r="ES13" s="55">
        <f t="shared" si="77"/>
        <v>80</v>
      </c>
      <c r="ET13" s="51" t="str">
        <f>SISWA!E11</f>
        <v>Hasna</v>
      </c>
      <c r="EU13" s="51" t="str">
        <f t="shared" si="78"/>
        <v xml:space="preserve">Ananda Hasna </v>
      </c>
      <c r="EV13" s="56">
        <f t="shared" si="79"/>
        <v>91.25</v>
      </c>
      <c r="EW13" s="57" t="str">
        <f t="shared" si="80"/>
        <v/>
      </c>
      <c r="EX13" s="57" t="str">
        <f t="shared" si="81"/>
        <v/>
      </c>
      <c r="EY13" s="57" t="str">
        <f t="shared" si="82"/>
        <v/>
      </c>
      <c r="EZ13" s="57" t="str">
        <f t="shared" si="83"/>
        <v/>
      </c>
      <c r="FA13" s="57" t="str">
        <f t="shared" si="84"/>
        <v/>
      </c>
      <c r="FB13" s="57" t="str">
        <f t="shared" si="85"/>
        <v/>
      </c>
      <c r="FC13" s="57"/>
      <c r="FD13" s="57"/>
      <c r="FE13" s="57"/>
      <c r="FF13" s="58">
        <f t="shared" si="86"/>
        <v>91.25</v>
      </c>
      <c r="FG13" s="55" t="str">
        <f t="shared" si="87"/>
        <v>memahami gambar cerita</v>
      </c>
      <c r="FH13" s="58"/>
      <c r="FI13" s="59" t="str">
        <f>IF(ER13&gt;100,"",IF(ER13&gt;DQ$1,"sangat baik dalam "&amp;FG13,IF(ER13&gt;=DQ$2,"baik dalam "&amp;FG13,IF(ER13&gt;=DQ$3,"cukup dalam "&amp;FG13,IF(ER13&lt;DQ$3,"dengan bimbingan dapat ,meningkatkan dalam "&amp;FG13,IF(ER13&lt;1," ",””))))))</f>
        <v>baik dalam memahami gambar cerita</v>
      </c>
      <c r="FJ13" s="58"/>
      <c r="FK13" s="57" t="str">
        <f t="shared" si="88"/>
        <v/>
      </c>
      <c r="FL13" s="57" t="str">
        <f t="shared" si="89"/>
        <v/>
      </c>
      <c r="FM13" s="57" t="str">
        <f t="shared" si="90"/>
        <v/>
      </c>
      <c r="FN13" s="57">
        <f t="shared" si="91"/>
        <v>80</v>
      </c>
      <c r="FO13" s="57" t="str">
        <f t="shared" si="92"/>
        <v/>
      </c>
      <c r="FP13" s="57" t="str">
        <f t="shared" si="93"/>
        <v/>
      </c>
      <c r="FQ13" s="57" t="str">
        <f t="shared" si="94"/>
        <v/>
      </c>
      <c r="FR13" s="57"/>
      <c r="FS13" s="57"/>
      <c r="FT13" s="57"/>
      <c r="FU13" s="59" t="str">
        <f t="shared" si="95"/>
        <v>memahami karya seni rupa daerah</v>
      </c>
      <c r="FV13" s="59" t="str">
        <f>IF(ES13&gt;100,"",IF(ES13&gt;DQ$1,"sangat baik dalam "&amp;FU13,IF(ES13&gt;=DQ$2,"baik dalam "&amp;FU13,IF(ES13&gt;=DQ$3,"cukup dalam "&amp;FU13,IF(ES13&lt;DQ$3,"dengan bimbingan dapat meningkatkan dalam "&amp;FU13,IF(ES13&lt;1," ",””))))))</f>
        <v>cukup dalam memahami karya seni rupa daerah</v>
      </c>
      <c r="FW13" s="61"/>
      <c r="FX13" s="62" t="str">
        <f t="shared" si="96"/>
        <v>Ananda Hasna baik dalam memahami gambar cerita, cukup dalam memahami karya seni rupa daerah</v>
      </c>
      <c r="FY13" s="57" t="str">
        <f t="shared" si="97"/>
        <v/>
      </c>
      <c r="FZ13" s="57" t="str">
        <f t="shared" si="98"/>
        <v/>
      </c>
      <c r="GA13" s="57">
        <f t="shared" si="99"/>
        <v>0</v>
      </c>
      <c r="GB13" s="57"/>
      <c r="GC13" s="57"/>
      <c r="GD13" s="57"/>
      <c r="GE13" s="59">
        <f t="shared" si="44"/>
        <v>0</v>
      </c>
      <c r="GF13" s="60"/>
      <c r="GG13" s="61"/>
      <c r="GH13" s="62" t="str">
        <f t="shared" si="100"/>
        <v>, 0</v>
      </c>
      <c r="GI13" s="4" t="str">
        <f t="shared" si="101"/>
        <v xml:space="preserve">Cukup pandai memahami gambar cerita Pandai memahami tangga nada cukup pandai memahami pola lantai dalam tari kreasi daerah     Pandai 0  </v>
      </c>
    </row>
    <row r="14" spans="1:191" ht="30">
      <c r="A14" s="39">
        <v>7</v>
      </c>
      <c r="B14" s="283" t="str">
        <f>SISWA!B12</f>
        <v>Indah Fitria Ningrum</v>
      </c>
      <c r="C14" s="123">
        <v>87</v>
      </c>
      <c r="D14" s="123"/>
      <c r="E14" s="123"/>
      <c r="F14" s="123"/>
      <c r="G14" s="123"/>
      <c r="H14" s="123"/>
      <c r="I14" s="123"/>
      <c r="J14" s="123"/>
      <c r="K14" s="123"/>
      <c r="L14" s="256">
        <v>93</v>
      </c>
      <c r="M14" s="256"/>
      <c r="N14" s="256"/>
      <c r="O14" s="256"/>
      <c r="P14" s="256"/>
      <c r="Q14" s="256"/>
      <c r="R14" s="256"/>
      <c r="S14" s="256"/>
      <c r="T14" s="256"/>
      <c r="U14" s="123">
        <v>87</v>
      </c>
      <c r="V14" s="123">
        <v>80</v>
      </c>
      <c r="W14" s="123">
        <v>87</v>
      </c>
      <c r="X14" s="123"/>
      <c r="Y14" s="123"/>
      <c r="Z14" s="123"/>
      <c r="AA14" s="123"/>
      <c r="AB14" s="123"/>
      <c r="AC14" s="123"/>
      <c r="AD14" s="256">
        <v>80</v>
      </c>
      <c r="AE14" s="256">
        <v>75</v>
      </c>
      <c r="AF14" s="256">
        <v>80</v>
      </c>
      <c r="AG14" s="256"/>
      <c r="AH14" s="256"/>
      <c r="AI14" s="256"/>
      <c r="AJ14" s="256"/>
      <c r="AK14" s="256"/>
      <c r="AL14" s="256"/>
      <c r="AM14" s="123"/>
      <c r="AN14" s="123">
        <v>100</v>
      </c>
      <c r="AO14" s="123"/>
      <c r="AP14" s="123"/>
      <c r="AQ14" s="123"/>
      <c r="AR14" s="123"/>
      <c r="AS14" s="123"/>
      <c r="AT14" s="123"/>
      <c r="AU14" s="123"/>
      <c r="AV14" s="256"/>
      <c r="AW14" s="256">
        <v>100</v>
      </c>
      <c r="AX14" s="256">
        <v>93</v>
      </c>
      <c r="AY14" s="256">
        <v>93</v>
      </c>
      <c r="AZ14" s="256"/>
      <c r="BA14" s="256"/>
      <c r="BB14" s="256"/>
      <c r="BC14" s="256"/>
      <c r="BD14" s="256"/>
      <c r="BE14" s="123">
        <v>93</v>
      </c>
      <c r="BF14" s="123">
        <v>100</v>
      </c>
      <c r="BG14" s="123">
        <v>87</v>
      </c>
      <c r="BH14" s="123"/>
      <c r="BI14" s="123"/>
      <c r="BJ14" s="123"/>
      <c r="BK14" s="123"/>
      <c r="BL14" s="123"/>
      <c r="BM14" s="123"/>
      <c r="BN14" s="256">
        <v>87</v>
      </c>
      <c r="BO14" s="256">
        <v>100</v>
      </c>
      <c r="BP14" s="256">
        <v>93</v>
      </c>
      <c r="BQ14" s="256"/>
      <c r="BR14" s="256"/>
      <c r="BS14" s="256"/>
      <c r="BT14" s="256"/>
      <c r="BU14" s="256"/>
      <c r="BV14" s="256"/>
      <c r="BW14" s="460"/>
      <c r="BX14" s="460">
        <v>93</v>
      </c>
      <c r="BY14" s="460">
        <v>100</v>
      </c>
      <c r="BZ14" s="460"/>
      <c r="CA14" s="460"/>
      <c r="CB14" s="460"/>
      <c r="CC14" s="460"/>
      <c r="CD14" s="460"/>
      <c r="CE14" s="460"/>
      <c r="CF14" s="346"/>
      <c r="CG14" s="346">
        <v>80</v>
      </c>
      <c r="CH14" s="346">
        <v>87</v>
      </c>
      <c r="CI14" s="346"/>
      <c r="CJ14" s="346"/>
      <c r="CK14" s="346"/>
      <c r="CL14" s="346"/>
      <c r="CM14" s="346"/>
      <c r="CN14" s="346"/>
      <c r="CO14" s="260">
        <f t="shared" si="45"/>
        <v>87.833333333333329</v>
      </c>
      <c r="CP14" s="260">
        <f t="shared" si="46"/>
        <v>91</v>
      </c>
      <c r="CQ14" s="260">
        <f t="shared" si="47"/>
        <v>89.571428571428569</v>
      </c>
      <c r="CR14" s="260">
        <f t="shared" si="48"/>
        <v>93</v>
      </c>
      <c r="CS14" s="260" t="str">
        <f t="shared" si="49"/>
        <v xml:space="preserve"> </v>
      </c>
      <c r="CT14" s="260" t="str">
        <f t="shared" si="50"/>
        <v xml:space="preserve"> </v>
      </c>
      <c r="CU14" s="260" t="str">
        <f t="shared" si="51"/>
        <v xml:space="preserve"> </v>
      </c>
      <c r="CV14" s="260" t="str">
        <f t="shared" si="52"/>
        <v xml:space="preserve"> </v>
      </c>
      <c r="CW14" s="260" t="str">
        <f t="shared" si="53"/>
        <v xml:space="preserve"> </v>
      </c>
      <c r="CX14" s="547">
        <v>93</v>
      </c>
      <c r="CY14" s="547">
        <v>100</v>
      </c>
      <c r="CZ14" s="547"/>
      <c r="DA14" s="547"/>
      <c r="DB14" s="547"/>
      <c r="DC14" s="547"/>
      <c r="DD14" s="547"/>
      <c r="DE14" s="547"/>
      <c r="DF14" s="547"/>
      <c r="DG14" s="565">
        <v>100</v>
      </c>
      <c r="DH14" s="565">
        <v>100</v>
      </c>
      <c r="DI14" s="565">
        <v>76</v>
      </c>
      <c r="DJ14" s="565"/>
      <c r="DK14" s="565"/>
      <c r="DL14" s="565"/>
      <c r="DM14" s="565"/>
      <c r="DN14" s="565"/>
      <c r="DO14" s="565"/>
      <c r="DP14" s="549">
        <f t="shared" si="54"/>
        <v>91</v>
      </c>
      <c r="DQ14" s="291" t="str">
        <f t="shared" si="55"/>
        <v>B</v>
      </c>
      <c r="DR14" s="50" t="str">
        <f t="shared" si="56"/>
        <v>Ananda Indah sangat baik dalam memahami tangga nada, baik dalam memahami pola lantai dalam tari kreasi daerah</v>
      </c>
      <c r="DS14" s="282"/>
      <c r="DT14" s="51"/>
      <c r="DU14" s="46">
        <f t="shared" si="57"/>
        <v>87.833333333333329</v>
      </c>
      <c r="DV14" s="46">
        <f t="shared" si="58"/>
        <v>91</v>
      </c>
      <c r="DW14" s="46">
        <f t="shared" si="59"/>
        <v>89.571428571428569</v>
      </c>
      <c r="DX14" s="46">
        <f t="shared" si="60"/>
        <v>93</v>
      </c>
      <c r="DY14" s="46" t="str">
        <f t="shared" si="61"/>
        <v xml:space="preserve"> </v>
      </c>
      <c r="DZ14" s="46" t="str">
        <f t="shared" si="62"/>
        <v xml:space="preserve"> </v>
      </c>
      <c r="EA14" s="46" t="str">
        <f t="shared" si="63"/>
        <v xml:space="preserve"> </v>
      </c>
      <c r="EB14" s="46" t="str">
        <f t="shared" si="64"/>
        <v xml:space="preserve"> </v>
      </c>
      <c r="EC14" s="46" t="str">
        <f t="shared" si="65"/>
        <v xml:space="preserve"> </v>
      </c>
      <c r="ED14" s="46"/>
      <c r="EE14" s="52">
        <f>[2]uts!J13</f>
        <v>72.333333333333329</v>
      </c>
      <c r="EF14" s="51"/>
      <c r="EG14" s="53">
        <f t="shared" si="66"/>
        <v>92.166666666666657</v>
      </c>
      <c r="EH14" s="53">
        <f t="shared" si="67"/>
        <v>95.5</v>
      </c>
      <c r="EI14" s="53">
        <f t="shared" si="68"/>
        <v>85.047619047619037</v>
      </c>
      <c r="EJ14" s="53">
        <f t="shared" si="69"/>
        <v>93</v>
      </c>
      <c r="EK14" s="53" t="str">
        <f t="shared" si="70"/>
        <v xml:space="preserve">  </v>
      </c>
      <c r="EL14" s="53" t="str">
        <f t="shared" si="71"/>
        <v xml:space="preserve">  </v>
      </c>
      <c r="EM14" s="53" t="str">
        <f t="shared" si="72"/>
        <v xml:space="preserve">  </v>
      </c>
      <c r="EN14" s="53" t="str">
        <f t="shared" si="73"/>
        <v xml:space="preserve">  </v>
      </c>
      <c r="EO14" s="53" t="str">
        <f t="shared" si="74"/>
        <v xml:space="preserve">  </v>
      </c>
      <c r="EP14" s="53"/>
      <c r="EQ14" s="54">
        <f t="shared" si="75"/>
        <v>91</v>
      </c>
      <c r="ER14" s="55">
        <f t="shared" si="76"/>
        <v>95.5</v>
      </c>
      <c r="ES14" s="55">
        <f t="shared" si="77"/>
        <v>85.047619047619037</v>
      </c>
      <c r="ET14" s="51" t="str">
        <f>SISWA!E12</f>
        <v>Indah</v>
      </c>
      <c r="EU14" s="51" t="str">
        <f t="shared" si="78"/>
        <v xml:space="preserve">Ananda Indah </v>
      </c>
      <c r="EV14" s="56" t="str">
        <f t="shared" si="79"/>
        <v/>
      </c>
      <c r="EW14" s="57">
        <f t="shared" si="80"/>
        <v>95.5</v>
      </c>
      <c r="EX14" s="57" t="str">
        <f t="shared" si="81"/>
        <v/>
      </c>
      <c r="EY14" s="57" t="str">
        <f t="shared" si="82"/>
        <v/>
      </c>
      <c r="EZ14" s="57" t="str">
        <f t="shared" si="83"/>
        <v/>
      </c>
      <c r="FA14" s="57" t="str">
        <f t="shared" si="84"/>
        <v/>
      </c>
      <c r="FB14" s="57" t="str">
        <f t="shared" si="85"/>
        <v/>
      </c>
      <c r="FC14" s="57"/>
      <c r="FD14" s="57"/>
      <c r="FE14" s="57"/>
      <c r="FF14" s="58">
        <f t="shared" si="86"/>
        <v>95.5</v>
      </c>
      <c r="FG14" s="55" t="str">
        <f t="shared" si="87"/>
        <v>memahami tangga nada</v>
      </c>
      <c r="FH14" s="58"/>
      <c r="FI14" s="59" t="str">
        <f>IF(ER14&gt;100,"",IF(ER14&gt;DQ$1,"sangat baik dalam "&amp;FG14,IF(ER14&gt;=DQ$2,"baik dalam "&amp;FG14,IF(ER14&gt;=DQ$3,"cukup dalam "&amp;FG14,IF(ER14&lt;DQ$3,"dengan bimbingan dapat ,meningkatkan dalam "&amp;FG14,IF(ER14&lt;1," ",””))))))</f>
        <v>sangat baik dalam memahami tangga nada</v>
      </c>
      <c r="FJ14" s="58"/>
      <c r="FK14" s="57" t="str">
        <f t="shared" si="88"/>
        <v/>
      </c>
      <c r="FL14" s="57" t="str">
        <f t="shared" si="89"/>
        <v/>
      </c>
      <c r="FM14" s="57">
        <f t="shared" si="90"/>
        <v>85.047619047619037</v>
      </c>
      <c r="FN14" s="57" t="str">
        <f t="shared" si="91"/>
        <v/>
      </c>
      <c r="FO14" s="57" t="str">
        <f t="shared" si="92"/>
        <v/>
      </c>
      <c r="FP14" s="57" t="str">
        <f t="shared" si="93"/>
        <v/>
      </c>
      <c r="FQ14" s="57" t="str">
        <f t="shared" si="94"/>
        <v/>
      </c>
      <c r="FR14" s="57"/>
      <c r="FS14" s="57"/>
      <c r="FT14" s="57"/>
      <c r="FU14" s="59" t="str">
        <f t="shared" si="95"/>
        <v>memahami pola lantai dalam tari kreasi daerah</v>
      </c>
      <c r="FV14" s="59" t="str">
        <f>IF(ES14&gt;100,"",IF(ES14&gt;DQ$1,"sangat baik dalam "&amp;FU14,IF(ES14&gt;=DQ$2,"baik dalam "&amp;FU14,IF(ES14&gt;=DQ$3,"cukup dalam "&amp;FU14,IF(ES14&lt;DQ$3,"dengan bimbingan dapat meningkatkan dalam "&amp;FU14,IF(ES14&lt;1," ",””))))))</f>
        <v>baik dalam memahami pola lantai dalam tari kreasi daerah</v>
      </c>
      <c r="FW14" s="61"/>
      <c r="FX14" s="62" t="str">
        <f t="shared" si="96"/>
        <v>Ananda Indah sangat baik dalam memahami tangga nada, baik dalam memahami pola lantai dalam tari kreasi daerah</v>
      </c>
      <c r="FY14" s="57" t="str">
        <f t="shared" si="97"/>
        <v/>
      </c>
      <c r="FZ14" s="57">
        <f t="shared" si="98"/>
        <v>0</v>
      </c>
      <c r="GA14" s="57" t="str">
        <f t="shared" si="99"/>
        <v/>
      </c>
      <c r="GB14" s="57"/>
      <c r="GC14" s="57"/>
      <c r="GD14" s="57"/>
      <c r="GE14" s="59">
        <f t="shared" si="44"/>
        <v>0</v>
      </c>
      <c r="GF14" s="60"/>
      <c r="GG14" s="61"/>
      <c r="GH14" s="62" t="str">
        <f t="shared" si="100"/>
        <v>, 0</v>
      </c>
      <c r="GI14" s="4" t="str">
        <f t="shared" si="101"/>
        <v xml:space="preserve">Pandai memahami gambar cerita Sangat pandai memahami tangga nada cukup pandai memahami pola lantai dalam tari kreasi daerah       Sangat pandai </v>
      </c>
    </row>
    <row r="15" spans="1:191">
      <c r="A15" s="39">
        <v>8</v>
      </c>
      <c r="B15" s="283" t="str">
        <f>SISWA!B13</f>
        <v>Muhammad Ilham Sarifuddin</v>
      </c>
      <c r="C15" s="123">
        <v>75</v>
      </c>
      <c r="D15" s="123"/>
      <c r="E15" s="123"/>
      <c r="F15" s="123"/>
      <c r="G15" s="123"/>
      <c r="H15" s="123"/>
      <c r="I15" s="123"/>
      <c r="J15" s="123"/>
      <c r="K15" s="123"/>
      <c r="L15" s="256">
        <v>75</v>
      </c>
      <c r="M15" s="256"/>
      <c r="N15" s="256"/>
      <c r="O15" s="256"/>
      <c r="P15" s="256"/>
      <c r="Q15" s="256"/>
      <c r="R15" s="256"/>
      <c r="S15" s="256"/>
      <c r="T15" s="256"/>
      <c r="U15" s="123">
        <v>75</v>
      </c>
      <c r="V15" s="123">
        <v>75</v>
      </c>
      <c r="W15" s="123">
        <v>75</v>
      </c>
      <c r="X15" s="123"/>
      <c r="Y15" s="123"/>
      <c r="Z15" s="123"/>
      <c r="AA15" s="123"/>
      <c r="AB15" s="123"/>
      <c r="AC15" s="123"/>
      <c r="AD15" s="256">
        <v>93</v>
      </c>
      <c r="AE15" s="256">
        <v>87</v>
      </c>
      <c r="AF15" s="256">
        <v>93</v>
      </c>
      <c r="AG15" s="256"/>
      <c r="AH15" s="256"/>
      <c r="AI15" s="256"/>
      <c r="AJ15" s="256"/>
      <c r="AK15" s="256"/>
      <c r="AL15" s="256"/>
      <c r="AM15" s="123"/>
      <c r="AN15" s="123">
        <v>93</v>
      </c>
      <c r="AO15" s="123"/>
      <c r="AP15" s="123"/>
      <c r="AQ15" s="123"/>
      <c r="AR15" s="123"/>
      <c r="AS15" s="123"/>
      <c r="AT15" s="123"/>
      <c r="AU15" s="123"/>
      <c r="AV15" s="256"/>
      <c r="AW15" s="256">
        <v>80</v>
      </c>
      <c r="AX15" s="256">
        <v>75</v>
      </c>
      <c r="AY15" s="256">
        <v>80</v>
      </c>
      <c r="AZ15" s="256"/>
      <c r="BA15" s="256"/>
      <c r="BB15" s="256"/>
      <c r="BC15" s="256"/>
      <c r="BD15" s="256"/>
      <c r="BE15" s="123">
        <v>87</v>
      </c>
      <c r="BF15" s="123">
        <v>93</v>
      </c>
      <c r="BG15" s="123">
        <v>80</v>
      </c>
      <c r="BH15" s="123"/>
      <c r="BI15" s="123"/>
      <c r="BJ15" s="123"/>
      <c r="BK15" s="123"/>
      <c r="BL15" s="123"/>
      <c r="BM15" s="123"/>
      <c r="BN15" s="256">
        <v>75</v>
      </c>
      <c r="BO15" s="256">
        <v>75</v>
      </c>
      <c r="BP15" s="256">
        <v>75</v>
      </c>
      <c r="BQ15" s="256"/>
      <c r="BR15" s="256"/>
      <c r="BS15" s="256"/>
      <c r="BT15" s="256"/>
      <c r="BU15" s="256"/>
      <c r="BV15" s="256"/>
      <c r="BW15" s="460"/>
      <c r="BX15" s="460">
        <v>75</v>
      </c>
      <c r="BY15" s="460">
        <v>80</v>
      </c>
      <c r="BZ15" s="460"/>
      <c r="CA15" s="460"/>
      <c r="CB15" s="460"/>
      <c r="CC15" s="460"/>
      <c r="CD15" s="460"/>
      <c r="CE15" s="460"/>
      <c r="CF15" s="346"/>
      <c r="CG15" s="346">
        <v>87</v>
      </c>
      <c r="CH15" s="346">
        <v>93</v>
      </c>
      <c r="CI15" s="346"/>
      <c r="CJ15" s="346"/>
      <c r="CK15" s="346"/>
      <c r="CL15" s="346"/>
      <c r="CM15" s="346"/>
      <c r="CN15" s="346"/>
      <c r="CO15" s="260">
        <f t="shared" si="45"/>
        <v>80</v>
      </c>
      <c r="CP15" s="260">
        <f t="shared" si="46"/>
        <v>83.125</v>
      </c>
      <c r="CQ15" s="260">
        <f t="shared" si="47"/>
        <v>81.571428571428569</v>
      </c>
      <c r="CR15" s="260">
        <f t="shared" si="48"/>
        <v>80</v>
      </c>
      <c r="CS15" s="260" t="str">
        <f t="shared" si="49"/>
        <v xml:space="preserve"> </v>
      </c>
      <c r="CT15" s="260" t="str">
        <f t="shared" si="50"/>
        <v xml:space="preserve"> </v>
      </c>
      <c r="CU15" s="260" t="str">
        <f t="shared" si="51"/>
        <v xml:space="preserve"> </v>
      </c>
      <c r="CV15" s="260" t="str">
        <f t="shared" si="52"/>
        <v xml:space="preserve"> </v>
      </c>
      <c r="CW15" s="260" t="str">
        <f t="shared" si="53"/>
        <v xml:space="preserve"> </v>
      </c>
      <c r="CX15" s="547">
        <v>75</v>
      </c>
      <c r="CY15" s="547">
        <v>75</v>
      </c>
      <c r="CZ15" s="547"/>
      <c r="DA15" s="547"/>
      <c r="DB15" s="547"/>
      <c r="DC15" s="547"/>
      <c r="DD15" s="547"/>
      <c r="DE15" s="547"/>
      <c r="DF15" s="547"/>
      <c r="DG15" s="565">
        <v>100</v>
      </c>
      <c r="DH15" s="565">
        <v>75</v>
      </c>
      <c r="DI15" s="565">
        <v>80</v>
      </c>
      <c r="DJ15" s="565"/>
      <c r="DK15" s="565"/>
      <c r="DL15" s="565"/>
      <c r="DM15" s="565"/>
      <c r="DN15" s="565"/>
      <c r="DO15" s="565"/>
      <c r="DP15" s="549">
        <f t="shared" si="54"/>
        <v>81</v>
      </c>
      <c r="DQ15" s="291" t="str">
        <f t="shared" si="55"/>
        <v>C</v>
      </c>
      <c r="DR15" s="50" t="str">
        <f t="shared" si="56"/>
        <v>Ananda Ilham baik dalam memahami gambar cerita, cukup dalam memahami tangga nada</v>
      </c>
      <c r="DS15" s="282"/>
      <c r="DT15" s="51"/>
      <c r="DU15" s="46">
        <f t="shared" si="57"/>
        <v>80</v>
      </c>
      <c r="DV15" s="46">
        <f t="shared" si="58"/>
        <v>83.125</v>
      </c>
      <c r="DW15" s="46">
        <f t="shared" si="59"/>
        <v>81.571428571428569</v>
      </c>
      <c r="DX15" s="46">
        <f t="shared" si="60"/>
        <v>80</v>
      </c>
      <c r="DY15" s="46" t="str">
        <f t="shared" si="61"/>
        <v xml:space="preserve"> </v>
      </c>
      <c r="DZ15" s="46" t="str">
        <f t="shared" si="62"/>
        <v xml:space="preserve"> </v>
      </c>
      <c r="EA15" s="46" t="str">
        <f t="shared" si="63"/>
        <v xml:space="preserve"> </v>
      </c>
      <c r="EB15" s="46" t="str">
        <f t="shared" si="64"/>
        <v xml:space="preserve"> </v>
      </c>
      <c r="EC15" s="46" t="str">
        <f t="shared" si="65"/>
        <v xml:space="preserve"> </v>
      </c>
      <c r="ED15" s="46"/>
      <c r="EE15" s="52">
        <f>[2]uts!J14</f>
        <v>80</v>
      </c>
      <c r="EF15" s="51"/>
      <c r="EG15" s="53">
        <f t="shared" si="66"/>
        <v>83.75</v>
      </c>
      <c r="EH15" s="53">
        <f t="shared" si="67"/>
        <v>79.0625</v>
      </c>
      <c r="EI15" s="53">
        <f t="shared" si="68"/>
        <v>81.047619047619037</v>
      </c>
      <c r="EJ15" s="53">
        <f t="shared" si="69"/>
        <v>80</v>
      </c>
      <c r="EK15" s="53" t="str">
        <f t="shared" si="70"/>
        <v xml:space="preserve">  </v>
      </c>
      <c r="EL15" s="53" t="str">
        <f t="shared" si="71"/>
        <v xml:space="preserve">  </v>
      </c>
      <c r="EM15" s="53" t="str">
        <f t="shared" si="72"/>
        <v xml:space="preserve">  </v>
      </c>
      <c r="EN15" s="53" t="str">
        <f t="shared" si="73"/>
        <v xml:space="preserve">  </v>
      </c>
      <c r="EO15" s="53" t="str">
        <f t="shared" si="74"/>
        <v xml:space="preserve">  </v>
      </c>
      <c r="EP15" s="53"/>
      <c r="EQ15" s="54">
        <f t="shared" si="75"/>
        <v>81</v>
      </c>
      <c r="ER15" s="55">
        <f t="shared" si="76"/>
        <v>83.75</v>
      </c>
      <c r="ES15" s="55">
        <f t="shared" si="77"/>
        <v>79.0625</v>
      </c>
      <c r="ET15" s="51" t="str">
        <f>SISWA!E13</f>
        <v>Ilham</v>
      </c>
      <c r="EU15" s="51" t="str">
        <f t="shared" si="78"/>
        <v xml:space="preserve">Ananda Ilham </v>
      </c>
      <c r="EV15" s="56">
        <f t="shared" si="79"/>
        <v>83.75</v>
      </c>
      <c r="EW15" s="57" t="str">
        <f t="shared" si="80"/>
        <v/>
      </c>
      <c r="EX15" s="57" t="str">
        <f t="shared" si="81"/>
        <v/>
      </c>
      <c r="EY15" s="57" t="str">
        <f t="shared" si="82"/>
        <v/>
      </c>
      <c r="EZ15" s="57" t="str">
        <f t="shared" si="83"/>
        <v/>
      </c>
      <c r="FA15" s="57" t="str">
        <f t="shared" si="84"/>
        <v/>
      </c>
      <c r="FB15" s="57" t="str">
        <f t="shared" si="85"/>
        <v/>
      </c>
      <c r="FC15" s="57"/>
      <c r="FD15" s="57"/>
      <c r="FE15" s="57"/>
      <c r="FF15" s="58">
        <f t="shared" si="86"/>
        <v>83.75</v>
      </c>
      <c r="FG15" s="55" t="str">
        <f t="shared" si="87"/>
        <v>memahami gambar cerita</v>
      </c>
      <c r="FH15" s="58"/>
      <c r="FI15" s="59" t="str">
        <f>IF(ER15&gt;100,"",IF(ER15&gt;DQ$1,"sangat baik dalam "&amp;FG15,IF(ER15&gt;=DQ$2,"baik dalam "&amp;FG15,IF(ER15&gt;=DQ$3,"cukup dalam "&amp;FG15,IF(ER15&lt;DQ$3,"dengan bimbingan dapat ,meningkatkan dalam "&amp;FG15,IF(ER15&lt;1," ",””))))))</f>
        <v>baik dalam memahami gambar cerita</v>
      </c>
      <c r="FJ15" s="58"/>
      <c r="FK15" s="57" t="str">
        <f t="shared" si="88"/>
        <v/>
      </c>
      <c r="FL15" s="57">
        <f t="shared" si="89"/>
        <v>79.0625</v>
      </c>
      <c r="FM15" s="57" t="str">
        <f t="shared" si="90"/>
        <v/>
      </c>
      <c r="FN15" s="57" t="str">
        <f t="shared" si="91"/>
        <v/>
      </c>
      <c r="FO15" s="57" t="str">
        <f t="shared" si="92"/>
        <v/>
      </c>
      <c r="FP15" s="57" t="str">
        <f t="shared" si="93"/>
        <v/>
      </c>
      <c r="FQ15" s="57" t="str">
        <f t="shared" si="94"/>
        <v/>
      </c>
      <c r="FR15" s="57"/>
      <c r="FS15" s="57"/>
      <c r="FT15" s="57"/>
      <c r="FU15" s="59" t="str">
        <f t="shared" si="95"/>
        <v>memahami tangga nada</v>
      </c>
      <c r="FV15" s="59" t="str">
        <f>IF(ES15&gt;100,"",IF(ES15&gt;DQ$1,"sangat baik dalam "&amp;FU15,IF(ES15&gt;=DQ$2,"baik dalam "&amp;FU15,IF(ES15&gt;=DQ$3,"cukup dalam "&amp;FU15,IF(ES15&lt;DQ$3,"dengan bimbingan dapat meningkatkan dalam "&amp;FU15,IF(ES15&lt;1," ",””))))))</f>
        <v>cukup dalam memahami tangga nada</v>
      </c>
      <c r="FW15" s="61"/>
      <c r="FX15" s="62" t="str">
        <f t="shared" si="96"/>
        <v>Ananda Ilham baik dalam memahami gambar cerita, cukup dalam memahami tangga nada</v>
      </c>
      <c r="FY15" s="57" t="str">
        <f t="shared" si="97"/>
        <v/>
      </c>
      <c r="FZ15" s="57" t="str">
        <f t="shared" si="98"/>
        <v/>
      </c>
      <c r="GA15" s="57">
        <f t="shared" si="99"/>
        <v>0</v>
      </c>
      <c r="GB15" s="57"/>
      <c r="GC15" s="57"/>
      <c r="GD15" s="57"/>
      <c r="GE15" s="59">
        <f t="shared" si="44"/>
        <v>0</v>
      </c>
      <c r="GF15" s="60"/>
      <c r="GG15" s="61"/>
      <c r="GH15" s="62" t="str">
        <f t="shared" si="100"/>
        <v>, 0</v>
      </c>
      <c r="GI15" s="4" t="str">
        <f t="shared" si="101"/>
        <v xml:space="preserve">Cukup pandai memahami gambar cerita Cukup pandai memahami tangga nada cukup pandai memahami pola lantai dalam tari kreasi daerah     Cukup pandai 0  </v>
      </c>
    </row>
    <row r="16" spans="1:191">
      <c r="A16" s="39">
        <v>9</v>
      </c>
      <c r="B16" s="283" t="str">
        <f>SISWA!B14</f>
        <v>Muhammad Raditya Ainul Yaqin</v>
      </c>
      <c r="C16" s="123">
        <v>75</v>
      </c>
      <c r="D16" s="123"/>
      <c r="E16" s="123"/>
      <c r="F16" s="123"/>
      <c r="G16" s="123"/>
      <c r="H16" s="123"/>
      <c r="I16" s="123"/>
      <c r="J16" s="123"/>
      <c r="K16" s="123"/>
      <c r="L16" s="256">
        <v>75</v>
      </c>
      <c r="M16" s="256"/>
      <c r="N16" s="256"/>
      <c r="O16" s="256"/>
      <c r="P16" s="256"/>
      <c r="Q16" s="256"/>
      <c r="R16" s="256"/>
      <c r="S16" s="256"/>
      <c r="T16" s="256"/>
      <c r="U16" s="123">
        <v>75</v>
      </c>
      <c r="V16" s="123">
        <v>75</v>
      </c>
      <c r="W16" s="123">
        <v>75</v>
      </c>
      <c r="X16" s="123"/>
      <c r="Y16" s="123"/>
      <c r="Z16" s="123"/>
      <c r="AA16" s="123"/>
      <c r="AB16" s="123"/>
      <c r="AC16" s="123"/>
      <c r="AD16" s="256">
        <v>80</v>
      </c>
      <c r="AE16" s="256">
        <v>75</v>
      </c>
      <c r="AF16" s="256">
        <v>80</v>
      </c>
      <c r="AG16" s="256"/>
      <c r="AH16" s="256"/>
      <c r="AI16" s="256"/>
      <c r="AJ16" s="256"/>
      <c r="AK16" s="256"/>
      <c r="AL16" s="256"/>
      <c r="AM16" s="123"/>
      <c r="AN16" s="123">
        <v>100</v>
      </c>
      <c r="AO16" s="123"/>
      <c r="AP16" s="123"/>
      <c r="AQ16" s="123"/>
      <c r="AR16" s="123"/>
      <c r="AS16" s="123"/>
      <c r="AT16" s="123"/>
      <c r="AU16" s="123"/>
      <c r="AV16" s="256"/>
      <c r="AW16" s="256">
        <v>75</v>
      </c>
      <c r="AX16" s="256">
        <v>75</v>
      </c>
      <c r="AY16" s="256">
        <v>75</v>
      </c>
      <c r="AZ16" s="256"/>
      <c r="BA16" s="256"/>
      <c r="BB16" s="256"/>
      <c r="BC16" s="256"/>
      <c r="BD16" s="256"/>
      <c r="BE16" s="123">
        <v>87</v>
      </c>
      <c r="BF16" s="123">
        <v>93</v>
      </c>
      <c r="BG16" s="123">
        <v>80</v>
      </c>
      <c r="BH16" s="123"/>
      <c r="BI16" s="123"/>
      <c r="BJ16" s="123"/>
      <c r="BK16" s="123"/>
      <c r="BL16" s="123"/>
      <c r="BM16" s="123"/>
      <c r="BN16" s="256">
        <v>75</v>
      </c>
      <c r="BO16" s="256">
        <v>75</v>
      </c>
      <c r="BP16" s="256">
        <v>75</v>
      </c>
      <c r="BQ16" s="256"/>
      <c r="BR16" s="256"/>
      <c r="BS16" s="256"/>
      <c r="BT16" s="256"/>
      <c r="BU16" s="256"/>
      <c r="BV16" s="256"/>
      <c r="BW16" s="460"/>
      <c r="BX16" s="460">
        <v>87</v>
      </c>
      <c r="BY16" s="460">
        <v>93</v>
      </c>
      <c r="BZ16" s="460"/>
      <c r="CA16" s="460"/>
      <c r="CB16" s="460"/>
      <c r="CC16" s="460"/>
      <c r="CD16" s="460"/>
      <c r="CE16" s="460"/>
      <c r="CF16" s="346"/>
      <c r="CG16" s="346">
        <v>87</v>
      </c>
      <c r="CH16" s="346">
        <v>93</v>
      </c>
      <c r="CI16" s="346"/>
      <c r="CJ16" s="346"/>
      <c r="CK16" s="346"/>
      <c r="CL16" s="346"/>
      <c r="CM16" s="346"/>
      <c r="CN16" s="346"/>
      <c r="CO16" s="260">
        <f t="shared" si="45"/>
        <v>77.833333333333329</v>
      </c>
      <c r="CP16" s="260">
        <f t="shared" si="46"/>
        <v>83.375</v>
      </c>
      <c r="CQ16" s="260">
        <f t="shared" si="47"/>
        <v>81.571428571428569</v>
      </c>
      <c r="CR16" s="260">
        <f t="shared" si="48"/>
        <v>75</v>
      </c>
      <c r="CS16" s="260" t="str">
        <f t="shared" si="49"/>
        <v xml:space="preserve"> </v>
      </c>
      <c r="CT16" s="260" t="str">
        <f t="shared" si="50"/>
        <v xml:space="preserve"> </v>
      </c>
      <c r="CU16" s="260" t="str">
        <f t="shared" si="51"/>
        <v xml:space="preserve"> </v>
      </c>
      <c r="CV16" s="260" t="str">
        <f t="shared" si="52"/>
        <v xml:space="preserve"> </v>
      </c>
      <c r="CW16" s="260" t="str">
        <f t="shared" si="53"/>
        <v xml:space="preserve"> </v>
      </c>
      <c r="CX16" s="547">
        <v>75</v>
      </c>
      <c r="CY16" s="547">
        <v>75</v>
      </c>
      <c r="CZ16" s="547"/>
      <c r="DA16" s="547"/>
      <c r="DB16" s="547"/>
      <c r="DC16" s="547"/>
      <c r="DD16" s="547"/>
      <c r="DE16" s="547"/>
      <c r="DF16" s="547"/>
      <c r="DG16" s="565">
        <v>80</v>
      </c>
      <c r="DH16" s="565">
        <v>85</v>
      </c>
      <c r="DI16" s="565">
        <v>75</v>
      </c>
      <c r="DJ16" s="565"/>
      <c r="DK16" s="565"/>
      <c r="DL16" s="565"/>
      <c r="DM16" s="565"/>
      <c r="DN16" s="565"/>
      <c r="DO16" s="565"/>
      <c r="DP16" s="549">
        <f t="shared" si="54"/>
        <v>78</v>
      </c>
      <c r="DQ16" s="291" t="str">
        <f t="shared" si="55"/>
        <v>C</v>
      </c>
      <c r="DR16" s="50" t="str">
        <f t="shared" si="56"/>
        <v>Ananda Radit cukup dalam memahami tangga nada, cukup dalam memahami karya seni rupa daerah</v>
      </c>
      <c r="DS16" s="282"/>
      <c r="DT16" s="51"/>
      <c r="DU16" s="46">
        <f t="shared" si="57"/>
        <v>77.833333333333329</v>
      </c>
      <c r="DV16" s="46">
        <f t="shared" si="58"/>
        <v>83.375</v>
      </c>
      <c r="DW16" s="46">
        <f t="shared" si="59"/>
        <v>81.571428571428569</v>
      </c>
      <c r="DX16" s="46">
        <f t="shared" si="60"/>
        <v>75</v>
      </c>
      <c r="DY16" s="46" t="str">
        <f t="shared" si="61"/>
        <v xml:space="preserve"> </v>
      </c>
      <c r="DZ16" s="46" t="str">
        <f t="shared" si="62"/>
        <v xml:space="preserve"> </v>
      </c>
      <c r="EA16" s="46" t="str">
        <f t="shared" si="63"/>
        <v xml:space="preserve"> </v>
      </c>
      <c r="EB16" s="46" t="str">
        <f t="shared" si="64"/>
        <v xml:space="preserve"> </v>
      </c>
      <c r="EC16" s="46" t="str">
        <f t="shared" si="65"/>
        <v xml:space="preserve"> </v>
      </c>
      <c r="ED16" s="46"/>
      <c r="EE16" s="52">
        <f>[2]uts!J15</f>
        <v>78</v>
      </c>
      <c r="EF16" s="51"/>
      <c r="EG16" s="53">
        <f t="shared" si="66"/>
        <v>77.666666666666657</v>
      </c>
      <c r="EH16" s="53">
        <f t="shared" si="67"/>
        <v>81.6875</v>
      </c>
      <c r="EI16" s="53">
        <f t="shared" si="68"/>
        <v>79.380952380952365</v>
      </c>
      <c r="EJ16" s="53">
        <f t="shared" si="69"/>
        <v>75</v>
      </c>
      <c r="EK16" s="53" t="str">
        <f t="shared" si="70"/>
        <v xml:space="preserve">  </v>
      </c>
      <c r="EL16" s="53" t="str">
        <f t="shared" si="71"/>
        <v xml:space="preserve">  </v>
      </c>
      <c r="EM16" s="53" t="str">
        <f t="shared" si="72"/>
        <v xml:space="preserve">  </v>
      </c>
      <c r="EN16" s="53" t="str">
        <f t="shared" si="73"/>
        <v xml:space="preserve">  </v>
      </c>
      <c r="EO16" s="53" t="str">
        <f t="shared" si="74"/>
        <v xml:space="preserve">  </v>
      </c>
      <c r="EP16" s="53"/>
      <c r="EQ16" s="54">
        <f t="shared" si="75"/>
        <v>78</v>
      </c>
      <c r="ER16" s="55">
        <f t="shared" si="76"/>
        <v>81.6875</v>
      </c>
      <c r="ES16" s="55">
        <f t="shared" si="77"/>
        <v>75</v>
      </c>
      <c r="ET16" s="51" t="str">
        <f>SISWA!E14</f>
        <v>Radit</v>
      </c>
      <c r="EU16" s="51" t="str">
        <f t="shared" si="78"/>
        <v xml:space="preserve">Ananda Radit </v>
      </c>
      <c r="EV16" s="56" t="str">
        <f t="shared" si="79"/>
        <v/>
      </c>
      <c r="EW16" s="57">
        <f t="shared" si="80"/>
        <v>81.6875</v>
      </c>
      <c r="EX16" s="57" t="str">
        <f t="shared" si="81"/>
        <v/>
      </c>
      <c r="EY16" s="57" t="str">
        <f t="shared" si="82"/>
        <v/>
      </c>
      <c r="EZ16" s="57" t="str">
        <f t="shared" si="83"/>
        <v/>
      </c>
      <c r="FA16" s="57" t="str">
        <f t="shared" si="84"/>
        <v/>
      </c>
      <c r="FB16" s="57" t="str">
        <f t="shared" si="85"/>
        <v/>
      </c>
      <c r="FC16" s="57"/>
      <c r="FD16" s="57"/>
      <c r="FE16" s="57"/>
      <c r="FF16" s="58">
        <f t="shared" si="86"/>
        <v>81.6875</v>
      </c>
      <c r="FG16" s="55" t="str">
        <f t="shared" si="87"/>
        <v>memahami tangga nada</v>
      </c>
      <c r="FH16" s="58"/>
      <c r="FI16" s="59" t="str">
        <f>IF(ER16&gt;100,"",IF(ER16&gt;DQ$1,"sangat baik dalam "&amp;FG16,IF(ER16&gt;=DQ$2,"baik dalam "&amp;FG16,IF(ER16&gt;=DQ$3,"cukup dalam "&amp;FG16,IF(ER16&lt;DQ$3,"dengan bimbingan dapat ,meningkatkan dalam "&amp;FG16,IF(ER16&lt;1," ",””))))))</f>
        <v>cukup dalam memahami tangga nada</v>
      </c>
      <c r="FJ16" s="58"/>
      <c r="FK16" s="57" t="str">
        <f t="shared" si="88"/>
        <v/>
      </c>
      <c r="FL16" s="57" t="str">
        <f t="shared" si="89"/>
        <v/>
      </c>
      <c r="FM16" s="57" t="str">
        <f t="shared" si="90"/>
        <v/>
      </c>
      <c r="FN16" s="57">
        <f t="shared" si="91"/>
        <v>75</v>
      </c>
      <c r="FO16" s="57" t="str">
        <f t="shared" si="92"/>
        <v/>
      </c>
      <c r="FP16" s="57" t="str">
        <f t="shared" si="93"/>
        <v/>
      </c>
      <c r="FQ16" s="57" t="str">
        <f t="shared" si="94"/>
        <v/>
      </c>
      <c r="FR16" s="57"/>
      <c r="FS16" s="57"/>
      <c r="FT16" s="57"/>
      <c r="FU16" s="59" t="str">
        <f t="shared" si="95"/>
        <v>memahami karya seni rupa daerah</v>
      </c>
      <c r="FV16" s="59" t="str">
        <f>IF(ES16&gt;100,"",IF(ES16&gt;DQ$1,"sangat baik dalam "&amp;FU16,IF(ES16&gt;=DQ$2,"baik dalam "&amp;FU16,IF(ES16&gt;=DQ$3,"cukup dalam "&amp;FU16,IF(ES16&lt;DQ$3,"dengan bimbingan dapat meningkatkan dalam "&amp;FU16,IF(ES16&lt;1," ",””))))))</f>
        <v>cukup dalam memahami karya seni rupa daerah</v>
      </c>
      <c r="FW16" s="61"/>
      <c r="FX16" s="62" t="str">
        <f t="shared" si="96"/>
        <v>Ananda Radit cukup dalam memahami tangga nada, cukup dalam memahami karya seni rupa daerah</v>
      </c>
      <c r="FY16" s="57" t="str">
        <f t="shared" si="97"/>
        <v/>
      </c>
      <c r="FZ16" s="57">
        <f t="shared" si="98"/>
        <v>0</v>
      </c>
      <c r="GA16" s="57" t="str">
        <f t="shared" si="99"/>
        <v/>
      </c>
      <c r="GB16" s="57"/>
      <c r="GC16" s="57"/>
      <c r="GD16" s="57"/>
      <c r="GE16" s="59">
        <f t="shared" si="44"/>
        <v>0</v>
      </c>
      <c r="GF16" s="60"/>
      <c r="GG16" s="61"/>
      <c r="GH16" s="62" t="str">
        <f t="shared" si="100"/>
        <v>, 0</v>
      </c>
      <c r="GI16" s="4" t="str">
        <f t="shared" si="101"/>
        <v xml:space="preserve">Menguasai dengan baik memahami gambar cerita Cukup pandai memahami tangga nada Menguasai dengan baik memahami pola lantai dalam tari kreasi daerah       Cukup pandai </v>
      </c>
    </row>
    <row r="17" spans="1:191">
      <c r="A17" s="39">
        <v>10</v>
      </c>
      <c r="B17" s="283" t="str">
        <f>SISWA!B15</f>
        <v>Muhammad Shulhan Al-farisi</v>
      </c>
      <c r="C17" s="123">
        <v>75</v>
      </c>
      <c r="D17" s="123"/>
      <c r="E17" s="123"/>
      <c r="F17" s="123"/>
      <c r="G17" s="123"/>
      <c r="H17" s="123"/>
      <c r="I17" s="123"/>
      <c r="J17" s="123"/>
      <c r="K17" s="123"/>
      <c r="L17" s="256">
        <v>75</v>
      </c>
      <c r="M17" s="256"/>
      <c r="N17" s="256"/>
      <c r="O17" s="256"/>
      <c r="P17" s="256"/>
      <c r="Q17" s="256"/>
      <c r="R17" s="256"/>
      <c r="S17" s="256"/>
      <c r="T17" s="256"/>
      <c r="U17" s="123">
        <v>75</v>
      </c>
      <c r="V17" s="123">
        <v>75</v>
      </c>
      <c r="W17" s="123">
        <v>75</v>
      </c>
      <c r="X17" s="123"/>
      <c r="Y17" s="123"/>
      <c r="Z17" s="123"/>
      <c r="AA17" s="123"/>
      <c r="AB17" s="123"/>
      <c r="AC17" s="123"/>
      <c r="AD17" s="256">
        <v>80</v>
      </c>
      <c r="AE17" s="256">
        <v>75</v>
      </c>
      <c r="AF17" s="256">
        <v>80</v>
      </c>
      <c r="AG17" s="256"/>
      <c r="AH17" s="256"/>
      <c r="AI17" s="256"/>
      <c r="AJ17" s="256"/>
      <c r="AK17" s="256"/>
      <c r="AL17" s="256"/>
      <c r="AM17" s="123"/>
      <c r="AN17" s="123">
        <v>93</v>
      </c>
      <c r="AO17" s="123"/>
      <c r="AP17" s="123"/>
      <c r="AQ17" s="123"/>
      <c r="AR17" s="123"/>
      <c r="AS17" s="123"/>
      <c r="AT17" s="123"/>
      <c r="AU17" s="123"/>
      <c r="AV17" s="256"/>
      <c r="AW17" s="256">
        <v>80</v>
      </c>
      <c r="AX17" s="256">
        <v>75</v>
      </c>
      <c r="AY17" s="256">
        <v>80</v>
      </c>
      <c r="AZ17" s="256"/>
      <c r="BA17" s="256"/>
      <c r="BB17" s="256"/>
      <c r="BC17" s="256"/>
      <c r="BD17" s="256"/>
      <c r="BE17" s="123">
        <v>93</v>
      </c>
      <c r="BF17" s="123">
        <v>100</v>
      </c>
      <c r="BG17" s="123">
        <v>87</v>
      </c>
      <c r="BH17" s="123"/>
      <c r="BI17" s="123"/>
      <c r="BJ17" s="123"/>
      <c r="BK17" s="123"/>
      <c r="BL17" s="123"/>
      <c r="BM17" s="123"/>
      <c r="BN17" s="256">
        <v>80</v>
      </c>
      <c r="BO17" s="256">
        <v>87</v>
      </c>
      <c r="BP17" s="256">
        <v>75</v>
      </c>
      <c r="BQ17" s="256"/>
      <c r="BR17" s="256"/>
      <c r="BS17" s="256"/>
      <c r="BT17" s="256"/>
      <c r="BU17" s="256"/>
      <c r="BV17" s="256"/>
      <c r="BW17" s="460"/>
      <c r="BX17" s="460">
        <v>75</v>
      </c>
      <c r="BY17" s="460">
        <v>80</v>
      </c>
      <c r="BZ17" s="460"/>
      <c r="CA17" s="460"/>
      <c r="CB17" s="460"/>
      <c r="CC17" s="460"/>
      <c r="CD17" s="460"/>
      <c r="CE17" s="460"/>
      <c r="CF17" s="346"/>
      <c r="CG17" s="346">
        <v>87</v>
      </c>
      <c r="CH17" s="346">
        <v>93</v>
      </c>
      <c r="CI17" s="346"/>
      <c r="CJ17" s="346"/>
      <c r="CK17" s="346"/>
      <c r="CL17" s="346"/>
      <c r="CM17" s="346"/>
      <c r="CN17" s="346"/>
      <c r="CO17" s="260">
        <f t="shared" si="45"/>
        <v>79.666666666666671</v>
      </c>
      <c r="CP17" s="260">
        <f t="shared" si="46"/>
        <v>84</v>
      </c>
      <c r="CQ17" s="260">
        <f t="shared" si="47"/>
        <v>80.714285714285708</v>
      </c>
      <c r="CR17" s="260">
        <f t="shared" si="48"/>
        <v>80</v>
      </c>
      <c r="CS17" s="260" t="str">
        <f t="shared" si="49"/>
        <v xml:space="preserve"> </v>
      </c>
      <c r="CT17" s="260" t="str">
        <f t="shared" si="50"/>
        <v xml:space="preserve"> </v>
      </c>
      <c r="CU17" s="260" t="str">
        <f t="shared" si="51"/>
        <v xml:space="preserve"> </v>
      </c>
      <c r="CV17" s="260" t="str">
        <f t="shared" si="52"/>
        <v xml:space="preserve"> </v>
      </c>
      <c r="CW17" s="260" t="str">
        <f t="shared" si="53"/>
        <v xml:space="preserve"> </v>
      </c>
      <c r="CX17" s="547">
        <v>80</v>
      </c>
      <c r="CY17" s="547">
        <v>75</v>
      </c>
      <c r="CZ17" s="547"/>
      <c r="DA17" s="547"/>
      <c r="DB17" s="547"/>
      <c r="DC17" s="547"/>
      <c r="DD17" s="547"/>
      <c r="DE17" s="547"/>
      <c r="DF17" s="547"/>
      <c r="DG17" s="565">
        <v>90</v>
      </c>
      <c r="DH17" s="565">
        <v>100</v>
      </c>
      <c r="DI17" s="565">
        <v>80</v>
      </c>
      <c r="DJ17" s="565"/>
      <c r="DK17" s="565"/>
      <c r="DL17" s="565"/>
      <c r="DM17" s="565"/>
      <c r="DN17" s="565"/>
      <c r="DO17" s="565"/>
      <c r="DP17" s="549">
        <f t="shared" si="54"/>
        <v>82</v>
      </c>
      <c r="DQ17" s="291" t="str">
        <f t="shared" si="55"/>
        <v>C</v>
      </c>
      <c r="DR17" s="50" t="str">
        <f t="shared" si="56"/>
        <v>Ananda Shulhan baik dalam memahami tangga nada, cukup dalam memahami karya seni rupa daerah</v>
      </c>
      <c r="DS17" s="282"/>
      <c r="DT17" s="51"/>
      <c r="DU17" s="46">
        <f t="shared" si="57"/>
        <v>79.666666666666671</v>
      </c>
      <c r="DV17" s="46">
        <f t="shared" si="58"/>
        <v>84</v>
      </c>
      <c r="DW17" s="46">
        <f t="shared" si="59"/>
        <v>80.714285714285708</v>
      </c>
      <c r="DX17" s="46">
        <f t="shared" si="60"/>
        <v>80</v>
      </c>
      <c r="DY17" s="46" t="str">
        <f t="shared" si="61"/>
        <v xml:space="preserve"> </v>
      </c>
      <c r="DZ17" s="46" t="str">
        <f t="shared" si="62"/>
        <v xml:space="preserve"> </v>
      </c>
      <c r="EA17" s="46" t="str">
        <f t="shared" si="63"/>
        <v xml:space="preserve"> </v>
      </c>
      <c r="EB17" s="46" t="str">
        <f t="shared" si="64"/>
        <v xml:space="preserve"> </v>
      </c>
      <c r="EC17" s="46" t="str">
        <f t="shared" si="65"/>
        <v xml:space="preserve"> </v>
      </c>
      <c r="ED17" s="46"/>
      <c r="EE17" s="52">
        <f>[2]uts!J16</f>
        <v>70.666666666666671</v>
      </c>
      <c r="EF17" s="51"/>
      <c r="EG17" s="53">
        <f t="shared" si="66"/>
        <v>82.333333333333343</v>
      </c>
      <c r="EH17" s="53">
        <f t="shared" si="67"/>
        <v>85.75</v>
      </c>
      <c r="EI17" s="53">
        <f t="shared" si="68"/>
        <v>80.476190476190482</v>
      </c>
      <c r="EJ17" s="53">
        <f t="shared" si="69"/>
        <v>80</v>
      </c>
      <c r="EK17" s="53" t="str">
        <f t="shared" si="70"/>
        <v xml:space="preserve">  </v>
      </c>
      <c r="EL17" s="53" t="str">
        <f t="shared" si="71"/>
        <v xml:space="preserve">  </v>
      </c>
      <c r="EM17" s="53" t="str">
        <f t="shared" si="72"/>
        <v xml:space="preserve">  </v>
      </c>
      <c r="EN17" s="53" t="str">
        <f t="shared" si="73"/>
        <v xml:space="preserve">  </v>
      </c>
      <c r="EO17" s="53" t="str">
        <f t="shared" si="74"/>
        <v xml:space="preserve">  </v>
      </c>
      <c r="EP17" s="53"/>
      <c r="EQ17" s="54">
        <f t="shared" si="75"/>
        <v>82</v>
      </c>
      <c r="ER17" s="55">
        <f t="shared" si="76"/>
        <v>85.75</v>
      </c>
      <c r="ES17" s="55">
        <f t="shared" si="77"/>
        <v>80</v>
      </c>
      <c r="ET17" s="51" t="str">
        <f>SISWA!E15</f>
        <v>Shulhan</v>
      </c>
      <c r="EU17" s="51" t="str">
        <f t="shared" si="78"/>
        <v xml:space="preserve">Ananda Shulhan </v>
      </c>
      <c r="EV17" s="56" t="str">
        <f t="shared" si="79"/>
        <v/>
      </c>
      <c r="EW17" s="57">
        <f t="shared" si="80"/>
        <v>85.75</v>
      </c>
      <c r="EX17" s="57" t="str">
        <f t="shared" si="81"/>
        <v/>
      </c>
      <c r="EY17" s="57" t="str">
        <f t="shared" si="82"/>
        <v/>
      </c>
      <c r="EZ17" s="57" t="str">
        <f t="shared" si="83"/>
        <v/>
      </c>
      <c r="FA17" s="57" t="str">
        <f t="shared" si="84"/>
        <v/>
      </c>
      <c r="FB17" s="57" t="str">
        <f t="shared" si="85"/>
        <v/>
      </c>
      <c r="FC17" s="57"/>
      <c r="FD17" s="57"/>
      <c r="FE17" s="57"/>
      <c r="FF17" s="58">
        <f t="shared" si="86"/>
        <v>85.75</v>
      </c>
      <c r="FG17" s="55" t="str">
        <f t="shared" si="87"/>
        <v>memahami tangga nada</v>
      </c>
      <c r="FH17" s="58"/>
      <c r="FI17" s="59" t="str">
        <f>IF(ER17&gt;100,"",IF(ER17&gt;DQ$1,"sangat baik dalam "&amp;FG17,IF(ER17&gt;=DQ$2,"baik dalam "&amp;FG17,IF(ER17&gt;=DQ$3,"cukup dalam "&amp;FG17,IF(ER17&lt;DQ$3,"dengan bimbingan dapat ,meningkatkan dalam "&amp;FG17,IF(ER17&lt;1," ",””))))))</f>
        <v>baik dalam memahami tangga nada</v>
      </c>
      <c r="FJ17" s="58"/>
      <c r="FK17" s="57" t="str">
        <f t="shared" si="88"/>
        <v/>
      </c>
      <c r="FL17" s="57" t="str">
        <f t="shared" si="89"/>
        <v/>
      </c>
      <c r="FM17" s="57" t="str">
        <f t="shared" si="90"/>
        <v/>
      </c>
      <c r="FN17" s="57">
        <f t="shared" si="91"/>
        <v>80</v>
      </c>
      <c r="FO17" s="57" t="str">
        <f t="shared" si="92"/>
        <v/>
      </c>
      <c r="FP17" s="57" t="str">
        <f t="shared" si="93"/>
        <v/>
      </c>
      <c r="FQ17" s="57" t="str">
        <f t="shared" si="94"/>
        <v/>
      </c>
      <c r="FR17" s="57"/>
      <c r="FS17" s="57"/>
      <c r="FT17" s="57"/>
      <c r="FU17" s="59" t="str">
        <f t="shared" si="95"/>
        <v>memahami karya seni rupa daerah</v>
      </c>
      <c r="FV17" s="59" t="str">
        <f>IF(ES17&gt;100,"",IF(ES17&gt;DQ$1,"sangat baik dalam "&amp;FU17,IF(ES17&gt;=DQ$2,"baik dalam "&amp;FU17,IF(ES17&gt;=DQ$3,"cukup dalam "&amp;FU17,IF(ES17&lt;DQ$3,"dengan bimbingan dapat meningkatkan dalam "&amp;FU17,IF(ES17&lt;1," ",””))))))</f>
        <v>cukup dalam memahami karya seni rupa daerah</v>
      </c>
      <c r="FW17" s="61"/>
      <c r="FX17" s="62" t="str">
        <f t="shared" si="96"/>
        <v>Ananda Shulhan baik dalam memahami tangga nada, cukup dalam memahami karya seni rupa daerah</v>
      </c>
      <c r="FY17" s="57" t="str">
        <f t="shared" si="97"/>
        <v/>
      </c>
      <c r="FZ17" s="57">
        <f t="shared" si="98"/>
        <v>0</v>
      </c>
      <c r="GA17" s="57" t="str">
        <f t="shared" si="99"/>
        <v/>
      </c>
      <c r="GB17" s="57"/>
      <c r="GC17" s="57"/>
      <c r="GD17" s="57"/>
      <c r="GE17" s="59">
        <f t="shared" si="44"/>
        <v>0</v>
      </c>
      <c r="GF17" s="60"/>
      <c r="GG17" s="61"/>
      <c r="GH17" s="62" t="str">
        <f t="shared" si="100"/>
        <v>, 0</v>
      </c>
      <c r="GI17" s="4" t="str">
        <f t="shared" si="101"/>
        <v xml:space="preserve">Cukup pandai memahami gambar cerita Cukup pandai memahami tangga nada cukup pandai memahami pola lantai dalam tari kreasi daerah       Cukup pandai </v>
      </c>
    </row>
    <row r="18" spans="1:191" ht="30">
      <c r="A18" s="39">
        <v>11</v>
      </c>
      <c r="B18" s="283" t="str">
        <f>SISWA!B16</f>
        <v>Novaris Dwi Firmansyah</v>
      </c>
      <c r="C18" s="123">
        <v>75</v>
      </c>
      <c r="D18" s="123"/>
      <c r="E18" s="123"/>
      <c r="F18" s="123"/>
      <c r="G18" s="123"/>
      <c r="H18" s="123"/>
      <c r="I18" s="123"/>
      <c r="J18" s="123"/>
      <c r="K18" s="123"/>
      <c r="L18" s="256">
        <v>80</v>
      </c>
      <c r="M18" s="256"/>
      <c r="N18" s="256"/>
      <c r="O18" s="256"/>
      <c r="P18" s="256"/>
      <c r="Q18" s="256"/>
      <c r="R18" s="256"/>
      <c r="S18" s="256"/>
      <c r="T18" s="256"/>
      <c r="U18" s="123">
        <v>75</v>
      </c>
      <c r="V18" s="123">
        <v>75</v>
      </c>
      <c r="W18" s="123">
        <v>75</v>
      </c>
      <c r="X18" s="123"/>
      <c r="Y18" s="123"/>
      <c r="Z18" s="123"/>
      <c r="AA18" s="123"/>
      <c r="AB18" s="123"/>
      <c r="AC18" s="123"/>
      <c r="AD18" s="256">
        <v>80</v>
      </c>
      <c r="AE18" s="256">
        <v>75</v>
      </c>
      <c r="AF18" s="256">
        <v>80</v>
      </c>
      <c r="AG18" s="256"/>
      <c r="AH18" s="256"/>
      <c r="AI18" s="256"/>
      <c r="AJ18" s="256"/>
      <c r="AK18" s="256"/>
      <c r="AL18" s="256"/>
      <c r="AM18" s="123"/>
      <c r="AN18" s="123">
        <v>100</v>
      </c>
      <c r="AO18" s="123"/>
      <c r="AP18" s="123"/>
      <c r="AQ18" s="123"/>
      <c r="AR18" s="123"/>
      <c r="AS18" s="123"/>
      <c r="AT18" s="123"/>
      <c r="AU18" s="123"/>
      <c r="AV18" s="256"/>
      <c r="AW18" s="256">
        <v>80</v>
      </c>
      <c r="AX18" s="256">
        <v>75</v>
      </c>
      <c r="AY18" s="256">
        <v>80</v>
      </c>
      <c r="AZ18" s="256"/>
      <c r="BA18" s="256"/>
      <c r="BB18" s="256"/>
      <c r="BC18" s="256"/>
      <c r="BD18" s="256"/>
      <c r="BE18" s="123">
        <v>93</v>
      </c>
      <c r="BF18" s="123">
        <v>100</v>
      </c>
      <c r="BG18" s="123">
        <v>87</v>
      </c>
      <c r="BH18" s="123"/>
      <c r="BI18" s="123"/>
      <c r="BJ18" s="123"/>
      <c r="BK18" s="123"/>
      <c r="BL18" s="123"/>
      <c r="BM18" s="123"/>
      <c r="BN18" s="256">
        <v>75</v>
      </c>
      <c r="BO18" s="256">
        <v>75</v>
      </c>
      <c r="BP18" s="256">
        <v>75</v>
      </c>
      <c r="BQ18" s="256"/>
      <c r="BR18" s="256"/>
      <c r="BS18" s="256"/>
      <c r="BT18" s="256"/>
      <c r="BU18" s="256"/>
      <c r="BV18" s="256"/>
      <c r="BW18" s="460"/>
      <c r="BX18" s="460">
        <v>75</v>
      </c>
      <c r="BY18" s="460">
        <v>80</v>
      </c>
      <c r="BZ18" s="460"/>
      <c r="CA18" s="460"/>
      <c r="CB18" s="460"/>
      <c r="CC18" s="460"/>
      <c r="CD18" s="460"/>
      <c r="CE18" s="460"/>
      <c r="CF18" s="346"/>
      <c r="CG18" s="346">
        <v>80</v>
      </c>
      <c r="CH18" s="346">
        <v>87</v>
      </c>
      <c r="CI18" s="346"/>
      <c r="CJ18" s="346"/>
      <c r="CK18" s="346"/>
      <c r="CL18" s="346"/>
      <c r="CM18" s="346"/>
      <c r="CN18" s="346"/>
      <c r="CO18" s="260">
        <f t="shared" si="45"/>
        <v>79.666666666666671</v>
      </c>
      <c r="CP18" s="260">
        <f t="shared" si="46"/>
        <v>82.5</v>
      </c>
      <c r="CQ18" s="260">
        <f t="shared" si="47"/>
        <v>79.857142857142861</v>
      </c>
      <c r="CR18" s="260">
        <f t="shared" si="48"/>
        <v>80</v>
      </c>
      <c r="CS18" s="260" t="str">
        <f t="shared" si="49"/>
        <v xml:space="preserve"> </v>
      </c>
      <c r="CT18" s="260" t="str">
        <f t="shared" si="50"/>
        <v xml:space="preserve"> </v>
      </c>
      <c r="CU18" s="260" t="str">
        <f t="shared" si="51"/>
        <v xml:space="preserve"> </v>
      </c>
      <c r="CV18" s="260" t="str">
        <f t="shared" si="52"/>
        <v xml:space="preserve"> </v>
      </c>
      <c r="CW18" s="260" t="str">
        <f t="shared" si="53"/>
        <v xml:space="preserve"> </v>
      </c>
      <c r="CX18" s="547">
        <v>75</v>
      </c>
      <c r="CY18" s="547">
        <v>83</v>
      </c>
      <c r="CZ18" s="547"/>
      <c r="DA18" s="547"/>
      <c r="DB18" s="547"/>
      <c r="DC18" s="547"/>
      <c r="DD18" s="547"/>
      <c r="DE18" s="547"/>
      <c r="DF18" s="547"/>
      <c r="DG18" s="565">
        <v>80</v>
      </c>
      <c r="DH18" s="565">
        <v>80</v>
      </c>
      <c r="DI18" s="565">
        <v>75</v>
      </c>
      <c r="DJ18" s="565"/>
      <c r="DK18" s="565"/>
      <c r="DL18" s="565"/>
      <c r="DM18" s="565"/>
      <c r="DN18" s="565"/>
      <c r="DO18" s="565"/>
      <c r="DP18" s="549">
        <f t="shared" si="54"/>
        <v>80</v>
      </c>
      <c r="DQ18" s="291" t="str">
        <f t="shared" si="55"/>
        <v>C</v>
      </c>
      <c r="DR18" s="50" t="str">
        <f t="shared" si="56"/>
        <v>Ananda Varis cukup dalam memahami tangga nada, cukup dalam memahami pola lantai dalam tari kreasi daerah</v>
      </c>
      <c r="DS18" s="282"/>
      <c r="DT18" s="51"/>
      <c r="DU18" s="46">
        <f t="shared" si="57"/>
        <v>79.666666666666671</v>
      </c>
      <c r="DV18" s="46">
        <f t="shared" si="58"/>
        <v>82.5</v>
      </c>
      <c r="DW18" s="46">
        <f t="shared" si="59"/>
        <v>79.857142857142861</v>
      </c>
      <c r="DX18" s="46">
        <f t="shared" si="60"/>
        <v>80</v>
      </c>
      <c r="DY18" s="46" t="str">
        <f t="shared" si="61"/>
        <v xml:space="preserve"> </v>
      </c>
      <c r="DZ18" s="46" t="str">
        <f t="shared" si="62"/>
        <v xml:space="preserve"> </v>
      </c>
      <c r="EA18" s="46" t="str">
        <f t="shared" si="63"/>
        <v xml:space="preserve"> </v>
      </c>
      <c r="EB18" s="46" t="str">
        <f t="shared" si="64"/>
        <v xml:space="preserve"> </v>
      </c>
      <c r="EC18" s="46" t="str">
        <f t="shared" si="65"/>
        <v xml:space="preserve"> </v>
      </c>
      <c r="ED18" s="46"/>
      <c r="EE18" s="52">
        <f>[2]uts!J17</f>
        <v>80.666666666666671</v>
      </c>
      <c r="EF18" s="51"/>
      <c r="EG18" s="53">
        <f t="shared" si="66"/>
        <v>78.583333333333343</v>
      </c>
      <c r="EH18" s="53">
        <f t="shared" si="67"/>
        <v>82</v>
      </c>
      <c r="EI18" s="53">
        <f t="shared" si="68"/>
        <v>78.238095238095241</v>
      </c>
      <c r="EJ18" s="53">
        <f t="shared" si="69"/>
        <v>80</v>
      </c>
      <c r="EK18" s="53" t="str">
        <f t="shared" si="70"/>
        <v xml:space="preserve">  </v>
      </c>
      <c r="EL18" s="53" t="str">
        <f t="shared" si="71"/>
        <v xml:space="preserve">  </v>
      </c>
      <c r="EM18" s="53" t="str">
        <f t="shared" si="72"/>
        <v xml:space="preserve">  </v>
      </c>
      <c r="EN18" s="53" t="str">
        <f t="shared" si="73"/>
        <v xml:space="preserve">  </v>
      </c>
      <c r="EO18" s="53" t="str">
        <f t="shared" si="74"/>
        <v xml:space="preserve">  </v>
      </c>
      <c r="EP18" s="53"/>
      <c r="EQ18" s="54">
        <f t="shared" si="75"/>
        <v>80</v>
      </c>
      <c r="ER18" s="55">
        <f t="shared" si="76"/>
        <v>82</v>
      </c>
      <c r="ES18" s="55">
        <f t="shared" si="77"/>
        <v>78.238095238095241</v>
      </c>
      <c r="ET18" s="51" t="str">
        <f>SISWA!E16</f>
        <v>Varis</v>
      </c>
      <c r="EU18" s="51" t="str">
        <f t="shared" si="78"/>
        <v xml:space="preserve">Ananda Varis </v>
      </c>
      <c r="EV18" s="56" t="str">
        <f t="shared" si="79"/>
        <v/>
      </c>
      <c r="EW18" s="57">
        <f t="shared" si="80"/>
        <v>82</v>
      </c>
      <c r="EX18" s="57" t="str">
        <f t="shared" si="81"/>
        <v/>
      </c>
      <c r="EY18" s="57" t="str">
        <f t="shared" si="82"/>
        <v/>
      </c>
      <c r="EZ18" s="57" t="str">
        <f t="shared" si="83"/>
        <v/>
      </c>
      <c r="FA18" s="57" t="str">
        <f t="shared" si="84"/>
        <v/>
      </c>
      <c r="FB18" s="57" t="str">
        <f t="shared" si="85"/>
        <v/>
      </c>
      <c r="FC18" s="57"/>
      <c r="FD18" s="57"/>
      <c r="FE18" s="57"/>
      <c r="FF18" s="58">
        <f t="shared" si="86"/>
        <v>82</v>
      </c>
      <c r="FG18" s="55" t="str">
        <f t="shared" si="87"/>
        <v>memahami tangga nada</v>
      </c>
      <c r="FH18" s="58"/>
      <c r="FI18" s="59" t="str">
        <f>IF(ER18&gt;100,"",IF(ER18&gt;DQ$1,"sangat baik dalam "&amp;FG18,IF(ER18&gt;=DQ$2,"baik dalam "&amp;FG18,IF(ER18&gt;=DQ$3,"cukup dalam "&amp;FG18,IF(ER18&lt;DQ$3,"dengan bimbingan dapat ,meningkatkan dalam "&amp;FG18,IF(ER18&lt;1," ",””))))))</f>
        <v>cukup dalam memahami tangga nada</v>
      </c>
      <c r="FJ18" s="58"/>
      <c r="FK18" s="57" t="str">
        <f t="shared" si="88"/>
        <v/>
      </c>
      <c r="FL18" s="57" t="str">
        <f t="shared" si="89"/>
        <v/>
      </c>
      <c r="FM18" s="57">
        <f t="shared" si="90"/>
        <v>78.238095238095241</v>
      </c>
      <c r="FN18" s="57" t="str">
        <f t="shared" si="91"/>
        <v/>
      </c>
      <c r="FO18" s="57" t="str">
        <f t="shared" si="92"/>
        <v/>
      </c>
      <c r="FP18" s="57" t="str">
        <f t="shared" si="93"/>
        <v/>
      </c>
      <c r="FQ18" s="57" t="str">
        <f t="shared" si="94"/>
        <v/>
      </c>
      <c r="FR18" s="57"/>
      <c r="FS18" s="57"/>
      <c r="FT18" s="57"/>
      <c r="FU18" s="59" t="str">
        <f t="shared" si="95"/>
        <v>memahami pola lantai dalam tari kreasi daerah</v>
      </c>
      <c r="FV18" s="59" t="str">
        <f>IF(ES18&gt;100,"",IF(ES18&gt;DQ$1,"sangat baik dalam "&amp;FU18,IF(ES18&gt;=DQ$2,"baik dalam "&amp;FU18,IF(ES18&gt;=DQ$3,"cukup dalam "&amp;FU18,IF(ES18&lt;DQ$3,"dengan bimbingan dapat meningkatkan dalam "&amp;FU18,IF(ES18&lt;1," ",””))))))</f>
        <v>cukup dalam memahami pola lantai dalam tari kreasi daerah</v>
      </c>
      <c r="FW18" s="61"/>
      <c r="FX18" s="62" t="str">
        <f t="shared" si="96"/>
        <v>Ananda Varis cukup dalam memahami tangga nada, cukup dalam memahami pola lantai dalam tari kreasi daerah</v>
      </c>
      <c r="FY18" s="57" t="str">
        <f t="shared" si="97"/>
        <v/>
      </c>
      <c r="FZ18" s="57">
        <f t="shared" si="98"/>
        <v>0</v>
      </c>
      <c r="GA18" s="57" t="str">
        <f t="shared" si="99"/>
        <v/>
      </c>
      <c r="GB18" s="57"/>
      <c r="GC18" s="57"/>
      <c r="GD18" s="57"/>
      <c r="GE18" s="59">
        <f t="shared" si="44"/>
        <v>0</v>
      </c>
      <c r="GF18" s="60"/>
      <c r="GG18" s="61"/>
      <c r="GH18" s="62" t="str">
        <f t="shared" si="100"/>
        <v>, 0</v>
      </c>
      <c r="GI18" s="4" t="str">
        <f t="shared" si="101"/>
        <v xml:space="preserve">Cukup pandai memahami gambar cerita Cukup pandai memahami tangga nada Menguasai dengan baik memahami pola lantai dalam tari kreasi daerah       Cukup pandai </v>
      </c>
    </row>
    <row r="19" spans="1:191">
      <c r="A19" s="39">
        <v>12</v>
      </c>
      <c r="B19" s="283" t="str">
        <f>SISWA!B17</f>
        <v>Oktafiya Duwi Safitri</v>
      </c>
      <c r="C19" s="123">
        <v>75</v>
      </c>
      <c r="D19" s="123"/>
      <c r="E19" s="123"/>
      <c r="F19" s="123"/>
      <c r="G19" s="123"/>
      <c r="H19" s="123"/>
      <c r="I19" s="123"/>
      <c r="J19" s="123"/>
      <c r="K19" s="123"/>
      <c r="L19" s="256">
        <v>75</v>
      </c>
      <c r="M19" s="256"/>
      <c r="N19" s="256"/>
      <c r="O19" s="256"/>
      <c r="P19" s="256"/>
      <c r="Q19" s="256"/>
      <c r="R19" s="256"/>
      <c r="S19" s="256"/>
      <c r="T19" s="256"/>
      <c r="U19" s="123">
        <v>80</v>
      </c>
      <c r="V19" s="123">
        <v>87</v>
      </c>
      <c r="W19" s="123">
        <v>80</v>
      </c>
      <c r="X19" s="123"/>
      <c r="Y19" s="123"/>
      <c r="Z19" s="123"/>
      <c r="AA19" s="123"/>
      <c r="AB19" s="123"/>
      <c r="AC19" s="123"/>
      <c r="AD19" s="256">
        <v>75</v>
      </c>
      <c r="AE19" s="256">
        <v>75</v>
      </c>
      <c r="AF19" s="256">
        <v>75</v>
      </c>
      <c r="AG19" s="256"/>
      <c r="AH19" s="256"/>
      <c r="AI19" s="256"/>
      <c r="AJ19" s="256"/>
      <c r="AK19" s="256"/>
      <c r="AL19" s="256"/>
      <c r="AM19" s="123"/>
      <c r="AN19" s="123">
        <v>80</v>
      </c>
      <c r="AO19" s="123"/>
      <c r="AP19" s="123"/>
      <c r="AQ19" s="123"/>
      <c r="AR19" s="123"/>
      <c r="AS19" s="123"/>
      <c r="AT19" s="123"/>
      <c r="AU19" s="123"/>
      <c r="AV19" s="256"/>
      <c r="AW19" s="256">
        <v>75</v>
      </c>
      <c r="AX19" s="256">
        <v>75</v>
      </c>
      <c r="AY19" s="256">
        <v>75</v>
      </c>
      <c r="AZ19" s="256"/>
      <c r="BA19" s="256"/>
      <c r="BB19" s="256"/>
      <c r="BC19" s="256"/>
      <c r="BD19" s="256"/>
      <c r="BE19" s="123">
        <v>75</v>
      </c>
      <c r="BF19" s="123">
        <v>75</v>
      </c>
      <c r="BG19" s="123">
        <v>75</v>
      </c>
      <c r="BH19" s="123"/>
      <c r="BI19" s="123"/>
      <c r="BJ19" s="123"/>
      <c r="BK19" s="123"/>
      <c r="BL19" s="123"/>
      <c r="BM19" s="123"/>
      <c r="BN19" s="256">
        <v>75</v>
      </c>
      <c r="BO19" s="256">
        <v>75</v>
      </c>
      <c r="BP19" s="256">
        <v>75</v>
      </c>
      <c r="BQ19" s="256"/>
      <c r="BR19" s="256"/>
      <c r="BS19" s="256"/>
      <c r="BT19" s="256"/>
      <c r="BU19" s="256"/>
      <c r="BV19" s="256"/>
      <c r="BW19" s="460"/>
      <c r="BX19" s="460">
        <v>75</v>
      </c>
      <c r="BY19" s="460">
        <v>75</v>
      </c>
      <c r="BZ19" s="460"/>
      <c r="CA19" s="460"/>
      <c r="CB19" s="460"/>
      <c r="CC19" s="460"/>
      <c r="CD19" s="460"/>
      <c r="CE19" s="460"/>
      <c r="CF19" s="346"/>
      <c r="CG19" s="346">
        <v>75</v>
      </c>
      <c r="CH19" s="346">
        <v>75</v>
      </c>
      <c r="CI19" s="346"/>
      <c r="CJ19" s="346"/>
      <c r="CK19" s="346"/>
      <c r="CL19" s="346"/>
      <c r="CM19" s="346"/>
      <c r="CN19" s="346"/>
      <c r="CO19" s="260">
        <f t="shared" si="45"/>
        <v>75.833333333333329</v>
      </c>
      <c r="CP19" s="260">
        <f t="shared" si="46"/>
        <v>77.125</v>
      </c>
      <c r="CQ19" s="260">
        <f t="shared" si="47"/>
        <v>75.714285714285708</v>
      </c>
      <c r="CR19" s="260">
        <f t="shared" si="48"/>
        <v>75</v>
      </c>
      <c r="CS19" s="260" t="str">
        <f t="shared" si="49"/>
        <v xml:space="preserve"> </v>
      </c>
      <c r="CT19" s="260" t="str">
        <f t="shared" si="50"/>
        <v xml:space="preserve"> </v>
      </c>
      <c r="CU19" s="260" t="str">
        <f t="shared" si="51"/>
        <v xml:space="preserve"> </v>
      </c>
      <c r="CV19" s="260" t="str">
        <f t="shared" si="52"/>
        <v xml:space="preserve"> </v>
      </c>
      <c r="CW19" s="260" t="str">
        <f t="shared" si="53"/>
        <v xml:space="preserve"> </v>
      </c>
      <c r="CX19" s="547">
        <v>75</v>
      </c>
      <c r="CY19" s="547">
        <v>75</v>
      </c>
      <c r="CZ19" s="547"/>
      <c r="DA19" s="547"/>
      <c r="DB19" s="547"/>
      <c r="DC19" s="547"/>
      <c r="DD19" s="547"/>
      <c r="DE19" s="547"/>
      <c r="DF19" s="547"/>
      <c r="DG19" s="565">
        <v>80</v>
      </c>
      <c r="DH19" s="565">
        <v>75</v>
      </c>
      <c r="DI19" s="565">
        <v>75</v>
      </c>
      <c r="DJ19" s="565"/>
      <c r="DK19" s="565"/>
      <c r="DL19" s="565"/>
      <c r="DM19" s="565"/>
      <c r="DN19" s="565"/>
      <c r="DO19" s="565"/>
      <c r="DP19" s="549">
        <f t="shared" si="54"/>
        <v>76</v>
      </c>
      <c r="DQ19" s="291" t="str">
        <f t="shared" si="55"/>
        <v>C</v>
      </c>
      <c r="DR19" s="50" t="str">
        <f t="shared" si="56"/>
        <v>Ananda Fitri cukup dalam memahami gambar cerita, cukup dalam memahami karya seni rupa daerah</v>
      </c>
      <c r="DS19" s="282"/>
      <c r="DT19" s="51"/>
      <c r="DU19" s="46">
        <f t="shared" si="57"/>
        <v>75.833333333333329</v>
      </c>
      <c r="DV19" s="46">
        <f t="shared" si="58"/>
        <v>77.125</v>
      </c>
      <c r="DW19" s="46">
        <f t="shared" si="59"/>
        <v>75.714285714285708</v>
      </c>
      <c r="DX19" s="46">
        <f t="shared" si="60"/>
        <v>75</v>
      </c>
      <c r="DY19" s="46" t="str">
        <f t="shared" si="61"/>
        <v xml:space="preserve"> </v>
      </c>
      <c r="DZ19" s="46" t="str">
        <f t="shared" si="62"/>
        <v xml:space="preserve"> </v>
      </c>
      <c r="EA19" s="46" t="str">
        <f t="shared" si="63"/>
        <v xml:space="preserve"> </v>
      </c>
      <c r="EB19" s="46" t="str">
        <f t="shared" si="64"/>
        <v xml:space="preserve"> </v>
      </c>
      <c r="EC19" s="46" t="str">
        <f t="shared" si="65"/>
        <v xml:space="preserve"> </v>
      </c>
      <c r="ED19" s="46"/>
      <c r="EE19" s="52">
        <f>[2]uts!J18</f>
        <v>78.666666666666671</v>
      </c>
      <c r="EF19" s="51"/>
      <c r="EG19" s="53">
        <f t="shared" si="66"/>
        <v>76.666666666666657</v>
      </c>
      <c r="EH19" s="53">
        <f t="shared" si="67"/>
        <v>76.0625</v>
      </c>
      <c r="EI19" s="53">
        <f t="shared" si="68"/>
        <v>75.476190476190482</v>
      </c>
      <c r="EJ19" s="53">
        <f t="shared" si="69"/>
        <v>75</v>
      </c>
      <c r="EK19" s="53" t="str">
        <f t="shared" si="70"/>
        <v xml:space="preserve">  </v>
      </c>
      <c r="EL19" s="53" t="str">
        <f t="shared" si="71"/>
        <v xml:space="preserve">  </v>
      </c>
      <c r="EM19" s="53" t="str">
        <f t="shared" si="72"/>
        <v xml:space="preserve">  </v>
      </c>
      <c r="EN19" s="53" t="str">
        <f t="shared" si="73"/>
        <v xml:space="preserve">  </v>
      </c>
      <c r="EO19" s="53" t="str">
        <f t="shared" si="74"/>
        <v xml:space="preserve">  </v>
      </c>
      <c r="EP19" s="53"/>
      <c r="EQ19" s="54">
        <f t="shared" si="75"/>
        <v>76</v>
      </c>
      <c r="ER19" s="55">
        <f t="shared" si="76"/>
        <v>76.666666666666657</v>
      </c>
      <c r="ES19" s="55">
        <f t="shared" si="77"/>
        <v>75</v>
      </c>
      <c r="ET19" s="51" t="str">
        <f>SISWA!E17</f>
        <v>Fitri</v>
      </c>
      <c r="EU19" s="51" t="str">
        <f t="shared" si="78"/>
        <v xml:space="preserve">Ananda Fitri </v>
      </c>
      <c r="EV19" s="56">
        <f t="shared" si="79"/>
        <v>76.666666666666657</v>
      </c>
      <c r="EW19" s="57" t="str">
        <f t="shared" si="80"/>
        <v/>
      </c>
      <c r="EX19" s="57" t="str">
        <f t="shared" si="81"/>
        <v/>
      </c>
      <c r="EY19" s="57" t="str">
        <f t="shared" si="82"/>
        <v/>
      </c>
      <c r="EZ19" s="57" t="str">
        <f t="shared" si="83"/>
        <v/>
      </c>
      <c r="FA19" s="57" t="str">
        <f t="shared" si="84"/>
        <v/>
      </c>
      <c r="FB19" s="57" t="str">
        <f t="shared" si="85"/>
        <v/>
      </c>
      <c r="FC19" s="57"/>
      <c r="FD19" s="57"/>
      <c r="FE19" s="57"/>
      <c r="FF19" s="58">
        <f t="shared" si="86"/>
        <v>76.666666666666657</v>
      </c>
      <c r="FG19" s="55" t="str">
        <f t="shared" si="87"/>
        <v>memahami gambar cerita</v>
      </c>
      <c r="FH19" s="58"/>
      <c r="FI19" s="59" t="str">
        <f>IF(ER19&gt;100,"",IF(ER19&gt;DQ$1,"sangat baik dalam "&amp;FG19,IF(ER19&gt;=DQ$2,"baik dalam "&amp;FG19,IF(ER19&gt;=DQ$3,"cukup dalam "&amp;FG19,IF(ER19&lt;DQ$3,"dengan bimbingan dapat ,meningkatkan dalam "&amp;FG19,IF(ER19&lt;1," ",””))))))</f>
        <v>cukup dalam memahami gambar cerita</v>
      </c>
      <c r="FJ19" s="58"/>
      <c r="FK19" s="57" t="str">
        <f t="shared" si="88"/>
        <v/>
      </c>
      <c r="FL19" s="57" t="str">
        <f t="shared" si="89"/>
        <v/>
      </c>
      <c r="FM19" s="57" t="str">
        <f t="shared" si="90"/>
        <v/>
      </c>
      <c r="FN19" s="57">
        <f t="shared" si="91"/>
        <v>75</v>
      </c>
      <c r="FO19" s="57" t="str">
        <f t="shared" si="92"/>
        <v/>
      </c>
      <c r="FP19" s="57" t="str">
        <f t="shared" si="93"/>
        <v/>
      </c>
      <c r="FQ19" s="57" t="str">
        <f t="shared" si="94"/>
        <v/>
      </c>
      <c r="FR19" s="57"/>
      <c r="FS19" s="57"/>
      <c r="FT19" s="57"/>
      <c r="FU19" s="59" t="str">
        <f t="shared" si="95"/>
        <v>memahami karya seni rupa daerah</v>
      </c>
      <c r="FV19" s="59" t="str">
        <f>IF(ES19&gt;100,"",IF(ES19&gt;DQ$1,"sangat baik dalam "&amp;FU19,IF(ES19&gt;=DQ$2,"baik dalam "&amp;FU19,IF(ES19&gt;=DQ$3,"cukup dalam "&amp;FU19,IF(ES19&lt;DQ$3,"dengan bimbingan dapat meningkatkan dalam "&amp;FU19,IF(ES19&lt;1," ",””))))))</f>
        <v>cukup dalam memahami karya seni rupa daerah</v>
      </c>
      <c r="FW19" s="61"/>
      <c r="FX19" s="62" t="str">
        <f t="shared" si="96"/>
        <v>Ananda Fitri cukup dalam memahami gambar cerita, cukup dalam memahami karya seni rupa daerah</v>
      </c>
      <c r="FY19" s="57" t="str">
        <f t="shared" si="97"/>
        <v/>
      </c>
      <c r="FZ19" s="57" t="str">
        <f t="shared" si="98"/>
        <v/>
      </c>
      <c r="GA19" s="57">
        <f t="shared" si="99"/>
        <v>0</v>
      </c>
      <c r="GB19" s="57"/>
      <c r="GC19" s="57"/>
      <c r="GD19" s="57"/>
      <c r="GE19" s="59">
        <f t="shared" si="44"/>
        <v>0</v>
      </c>
      <c r="GF19" s="60"/>
      <c r="GG19" s="61"/>
      <c r="GH19" s="62" t="str">
        <f t="shared" si="100"/>
        <v>, 0</v>
      </c>
      <c r="GI19" s="4" t="str">
        <f t="shared" si="101"/>
        <v xml:space="preserve">Menguasai dengan baik memahami gambar cerita Menguasai dengan baik memahami tangga nada Menguasai dengan baik memahami pola lantai dalam tari kreasi daerah     Menguasai dengan baik 0  </v>
      </c>
    </row>
    <row r="20" spans="1:191">
      <c r="A20" s="39">
        <v>13</v>
      </c>
      <c r="B20" s="283" t="str">
        <f>SISWA!B18</f>
        <v>Prastika Guntur Firmansyah</v>
      </c>
      <c r="C20" s="123">
        <v>75</v>
      </c>
      <c r="D20" s="123"/>
      <c r="E20" s="123"/>
      <c r="F20" s="123"/>
      <c r="G20" s="123"/>
      <c r="H20" s="123"/>
      <c r="I20" s="123"/>
      <c r="J20" s="123"/>
      <c r="K20" s="123"/>
      <c r="L20" s="256">
        <v>93</v>
      </c>
      <c r="M20" s="256"/>
      <c r="N20" s="256"/>
      <c r="O20" s="256"/>
      <c r="P20" s="256"/>
      <c r="Q20" s="256"/>
      <c r="R20" s="256"/>
      <c r="S20" s="256"/>
      <c r="T20" s="256"/>
      <c r="U20" s="123">
        <v>75</v>
      </c>
      <c r="V20" s="123">
        <v>75</v>
      </c>
      <c r="W20" s="123">
        <v>75</v>
      </c>
      <c r="X20" s="123"/>
      <c r="Y20" s="123"/>
      <c r="Z20" s="123"/>
      <c r="AA20" s="123"/>
      <c r="AB20" s="123"/>
      <c r="AC20" s="123"/>
      <c r="AD20" s="256">
        <v>75</v>
      </c>
      <c r="AE20" s="256">
        <v>75</v>
      </c>
      <c r="AF20" s="256">
        <v>75</v>
      </c>
      <c r="AG20" s="256"/>
      <c r="AH20" s="256"/>
      <c r="AI20" s="256"/>
      <c r="AJ20" s="256"/>
      <c r="AK20" s="256"/>
      <c r="AL20" s="256"/>
      <c r="AM20" s="123"/>
      <c r="AN20" s="123">
        <v>100</v>
      </c>
      <c r="AO20" s="123"/>
      <c r="AP20" s="123"/>
      <c r="AQ20" s="123"/>
      <c r="AR20" s="123"/>
      <c r="AS20" s="123"/>
      <c r="AT20" s="123"/>
      <c r="AU20" s="123"/>
      <c r="AV20" s="256"/>
      <c r="AW20" s="256">
        <v>87</v>
      </c>
      <c r="AX20" s="256">
        <v>80</v>
      </c>
      <c r="AY20" s="256">
        <v>87</v>
      </c>
      <c r="AZ20" s="256"/>
      <c r="BA20" s="256"/>
      <c r="BB20" s="256"/>
      <c r="BC20" s="256"/>
      <c r="BD20" s="256"/>
      <c r="BE20" s="123">
        <v>87</v>
      </c>
      <c r="BF20" s="123">
        <v>93</v>
      </c>
      <c r="BG20" s="123">
        <v>80</v>
      </c>
      <c r="BH20" s="123"/>
      <c r="BI20" s="123"/>
      <c r="BJ20" s="123"/>
      <c r="BK20" s="123"/>
      <c r="BL20" s="123"/>
      <c r="BM20" s="123"/>
      <c r="BN20" s="256">
        <v>87</v>
      </c>
      <c r="BO20" s="256">
        <v>100</v>
      </c>
      <c r="BP20" s="256">
        <v>93</v>
      </c>
      <c r="BQ20" s="256"/>
      <c r="BR20" s="256"/>
      <c r="BS20" s="256"/>
      <c r="BT20" s="256"/>
      <c r="BU20" s="256"/>
      <c r="BV20" s="256"/>
      <c r="BW20" s="460"/>
      <c r="BX20" s="460">
        <v>93</v>
      </c>
      <c r="BY20" s="460">
        <v>100</v>
      </c>
      <c r="BZ20" s="460"/>
      <c r="CA20" s="460"/>
      <c r="CB20" s="460"/>
      <c r="CC20" s="460"/>
      <c r="CD20" s="460"/>
      <c r="CE20" s="460"/>
      <c r="CF20" s="346"/>
      <c r="CG20" s="346">
        <v>87</v>
      </c>
      <c r="CH20" s="346">
        <v>87</v>
      </c>
      <c r="CI20" s="346"/>
      <c r="CJ20" s="346"/>
      <c r="CK20" s="346"/>
      <c r="CL20" s="346"/>
      <c r="CM20" s="346"/>
      <c r="CN20" s="346"/>
      <c r="CO20" s="260">
        <f t="shared" si="45"/>
        <v>82</v>
      </c>
      <c r="CP20" s="260">
        <f t="shared" si="46"/>
        <v>88.75</v>
      </c>
      <c r="CQ20" s="260">
        <f t="shared" si="47"/>
        <v>84.285714285714292</v>
      </c>
      <c r="CR20" s="260">
        <f t="shared" si="48"/>
        <v>87</v>
      </c>
      <c r="CS20" s="260" t="str">
        <f t="shared" si="49"/>
        <v xml:space="preserve"> </v>
      </c>
      <c r="CT20" s="260" t="str">
        <f t="shared" si="50"/>
        <v xml:space="preserve"> </v>
      </c>
      <c r="CU20" s="260" t="str">
        <f t="shared" si="51"/>
        <v xml:space="preserve"> </v>
      </c>
      <c r="CV20" s="260" t="str">
        <f t="shared" si="52"/>
        <v xml:space="preserve"> </v>
      </c>
      <c r="CW20" s="260" t="str">
        <f t="shared" si="53"/>
        <v xml:space="preserve"> </v>
      </c>
      <c r="CX20" s="547">
        <v>75</v>
      </c>
      <c r="CY20" s="547">
        <v>83</v>
      </c>
      <c r="CZ20" s="547"/>
      <c r="DA20" s="547"/>
      <c r="DB20" s="547"/>
      <c r="DC20" s="547"/>
      <c r="DD20" s="547"/>
      <c r="DE20" s="547"/>
      <c r="DF20" s="547"/>
      <c r="DG20" s="565">
        <v>90</v>
      </c>
      <c r="DH20" s="565">
        <v>80</v>
      </c>
      <c r="DI20" s="565">
        <v>84</v>
      </c>
      <c r="DJ20" s="565"/>
      <c r="DK20" s="565"/>
      <c r="DL20" s="565"/>
      <c r="DM20" s="565"/>
      <c r="DN20" s="565"/>
      <c r="DO20" s="565"/>
      <c r="DP20" s="549">
        <f t="shared" si="54"/>
        <v>85</v>
      </c>
      <c r="DQ20" s="291" t="str">
        <f t="shared" si="55"/>
        <v>B</v>
      </c>
      <c r="DR20" s="50" t="str">
        <f t="shared" si="56"/>
        <v>Ananda Pras baik dalam memahami karya seni rupa daerah, cukup dalam memahami gambar cerita</v>
      </c>
      <c r="DS20" s="282"/>
      <c r="DT20" s="51"/>
      <c r="DU20" s="46">
        <f t="shared" si="57"/>
        <v>82</v>
      </c>
      <c r="DV20" s="46">
        <f t="shared" si="58"/>
        <v>88.75</v>
      </c>
      <c r="DW20" s="46">
        <f t="shared" si="59"/>
        <v>84.285714285714292</v>
      </c>
      <c r="DX20" s="46">
        <f t="shared" si="60"/>
        <v>87</v>
      </c>
      <c r="DY20" s="46" t="str">
        <f t="shared" si="61"/>
        <v xml:space="preserve"> </v>
      </c>
      <c r="DZ20" s="46" t="str">
        <f t="shared" si="62"/>
        <v xml:space="preserve"> </v>
      </c>
      <c r="EA20" s="46" t="str">
        <f t="shared" si="63"/>
        <v xml:space="preserve"> </v>
      </c>
      <c r="EB20" s="46" t="str">
        <f t="shared" si="64"/>
        <v xml:space="preserve"> </v>
      </c>
      <c r="EC20" s="46" t="str">
        <f t="shared" si="65"/>
        <v xml:space="preserve"> </v>
      </c>
      <c r="ED20" s="46"/>
      <c r="EE20" s="52">
        <f>[2]uts!J19</f>
        <v>72.333333333333329</v>
      </c>
      <c r="EF20" s="51"/>
      <c r="EG20" s="53">
        <f t="shared" si="66"/>
        <v>82.25</v>
      </c>
      <c r="EH20" s="53">
        <f t="shared" si="67"/>
        <v>85.125</v>
      </c>
      <c r="EI20" s="53">
        <f t="shared" si="68"/>
        <v>84.19047619047619</v>
      </c>
      <c r="EJ20" s="53">
        <f t="shared" si="69"/>
        <v>87</v>
      </c>
      <c r="EK20" s="53" t="str">
        <f t="shared" si="70"/>
        <v xml:space="preserve">  </v>
      </c>
      <c r="EL20" s="53" t="str">
        <f t="shared" si="71"/>
        <v xml:space="preserve">  </v>
      </c>
      <c r="EM20" s="53" t="str">
        <f t="shared" si="72"/>
        <v xml:space="preserve">  </v>
      </c>
      <c r="EN20" s="53" t="str">
        <f t="shared" si="73"/>
        <v xml:space="preserve">  </v>
      </c>
      <c r="EO20" s="53" t="str">
        <f t="shared" si="74"/>
        <v xml:space="preserve">  </v>
      </c>
      <c r="EP20" s="53"/>
      <c r="EQ20" s="54">
        <f t="shared" si="75"/>
        <v>85</v>
      </c>
      <c r="ER20" s="55">
        <f t="shared" si="76"/>
        <v>87</v>
      </c>
      <c r="ES20" s="55">
        <f t="shared" si="77"/>
        <v>82.25</v>
      </c>
      <c r="ET20" s="51" t="str">
        <f>SISWA!E18</f>
        <v>Pras</v>
      </c>
      <c r="EU20" s="51" t="str">
        <f t="shared" si="78"/>
        <v xml:space="preserve">Ananda Pras </v>
      </c>
      <c r="EV20" s="56" t="str">
        <f t="shared" si="79"/>
        <v/>
      </c>
      <c r="EW20" s="57" t="str">
        <f t="shared" si="80"/>
        <v/>
      </c>
      <c r="EX20" s="57" t="str">
        <f t="shared" si="81"/>
        <v/>
      </c>
      <c r="EY20" s="57">
        <f t="shared" si="82"/>
        <v>87</v>
      </c>
      <c r="EZ20" s="57" t="str">
        <f t="shared" si="83"/>
        <v/>
      </c>
      <c r="FA20" s="57" t="str">
        <f t="shared" si="84"/>
        <v/>
      </c>
      <c r="FB20" s="57" t="str">
        <f t="shared" si="85"/>
        <v/>
      </c>
      <c r="FC20" s="57"/>
      <c r="FD20" s="57"/>
      <c r="FE20" s="57"/>
      <c r="FF20" s="58">
        <f t="shared" si="86"/>
        <v>87</v>
      </c>
      <c r="FG20" s="55" t="str">
        <f t="shared" si="87"/>
        <v>memahami karya seni rupa daerah</v>
      </c>
      <c r="FH20" s="58"/>
      <c r="FI20" s="59" t="str">
        <f>IF(ER20&gt;100,"",IF(ER20&gt;DQ$1,"sangat baik dalam "&amp;FG20,IF(ER20&gt;=DQ$2,"baik dalam "&amp;FG20,IF(ER20&gt;=DQ$3,"cukup dalam "&amp;FG20,IF(ER20&lt;DQ$3,"dengan bimbingan dapat ,meningkatkan dalam "&amp;FG20,IF(ER20&lt;1," ",””))))))</f>
        <v>baik dalam memahami karya seni rupa daerah</v>
      </c>
      <c r="FJ20" s="58"/>
      <c r="FK20" s="57">
        <f t="shared" si="88"/>
        <v>82.25</v>
      </c>
      <c r="FL20" s="57" t="str">
        <f t="shared" si="89"/>
        <v/>
      </c>
      <c r="FM20" s="57" t="str">
        <f t="shared" si="90"/>
        <v/>
      </c>
      <c r="FN20" s="57" t="str">
        <f t="shared" si="91"/>
        <v/>
      </c>
      <c r="FO20" s="57" t="str">
        <f t="shared" si="92"/>
        <v/>
      </c>
      <c r="FP20" s="57" t="str">
        <f t="shared" si="93"/>
        <v/>
      </c>
      <c r="FQ20" s="57" t="str">
        <f t="shared" si="94"/>
        <v/>
      </c>
      <c r="FR20" s="57"/>
      <c r="FS20" s="57"/>
      <c r="FT20" s="57"/>
      <c r="FU20" s="59" t="str">
        <f t="shared" si="95"/>
        <v>memahami gambar cerita</v>
      </c>
      <c r="FV20" s="59" t="str">
        <f>IF(ES20&gt;100,"",IF(ES20&gt;DQ$1,"sangat baik dalam "&amp;FU20,IF(ES20&gt;=DQ$2,"baik dalam "&amp;FU20,IF(ES20&gt;=DQ$3,"cukup dalam "&amp;FU20,IF(ES20&lt;DQ$3,"dengan bimbingan dapat meningkatkan dalam "&amp;FU20,IF(ES20&lt;1," ",””))))))</f>
        <v>cukup dalam memahami gambar cerita</v>
      </c>
      <c r="FW20" s="61"/>
      <c r="FX20" s="62" t="str">
        <f t="shared" si="96"/>
        <v>Ananda Pras baik dalam memahami karya seni rupa daerah, cukup dalam memahami gambar cerita</v>
      </c>
      <c r="FY20" s="57" t="str">
        <f t="shared" si="97"/>
        <v/>
      </c>
      <c r="FZ20" s="57">
        <f t="shared" si="98"/>
        <v>0</v>
      </c>
      <c r="GA20" s="57">
        <f t="shared" si="99"/>
        <v>0</v>
      </c>
      <c r="GB20" s="57"/>
      <c r="GC20" s="57"/>
      <c r="GD20" s="57"/>
      <c r="GE20" s="59">
        <f t="shared" si="44"/>
        <v>0</v>
      </c>
      <c r="GF20" s="60"/>
      <c r="GG20" s="61"/>
      <c r="GH20" s="62" t="str">
        <f t="shared" si="100"/>
        <v>, 0</v>
      </c>
      <c r="GI20" s="4" t="str">
        <f t="shared" si="101"/>
        <v xml:space="preserve">Cukup pandai memahami gambar cerita Cukup pandai memahami tangga nada cukup pandai memahami pola lantai dalam tari kreasi daerah        </v>
      </c>
    </row>
    <row r="21" spans="1:191" ht="30">
      <c r="A21" s="39">
        <v>14</v>
      </c>
      <c r="B21" s="283" t="str">
        <f>SISWA!B19</f>
        <v>Siti Musyafiani</v>
      </c>
      <c r="C21" s="123">
        <v>87</v>
      </c>
      <c r="D21" s="123"/>
      <c r="E21" s="123"/>
      <c r="F21" s="123"/>
      <c r="G21" s="123"/>
      <c r="H21" s="123"/>
      <c r="I21" s="123"/>
      <c r="J21" s="123"/>
      <c r="K21" s="123"/>
      <c r="L21" s="256">
        <v>87</v>
      </c>
      <c r="M21" s="256"/>
      <c r="N21" s="256"/>
      <c r="O21" s="256"/>
      <c r="P21" s="256"/>
      <c r="Q21" s="256"/>
      <c r="R21" s="256"/>
      <c r="S21" s="256"/>
      <c r="T21" s="256"/>
      <c r="U21" s="123">
        <v>80</v>
      </c>
      <c r="V21" s="123">
        <v>87</v>
      </c>
      <c r="W21" s="123">
        <v>80</v>
      </c>
      <c r="X21" s="123"/>
      <c r="Y21" s="123"/>
      <c r="Z21" s="123"/>
      <c r="AA21" s="123"/>
      <c r="AB21" s="123"/>
      <c r="AC21" s="123"/>
      <c r="AD21" s="256">
        <v>87</v>
      </c>
      <c r="AE21" s="256">
        <v>80</v>
      </c>
      <c r="AF21" s="256">
        <v>87</v>
      </c>
      <c r="AG21" s="256"/>
      <c r="AH21" s="256"/>
      <c r="AI21" s="256"/>
      <c r="AJ21" s="256"/>
      <c r="AK21" s="256"/>
      <c r="AL21" s="256"/>
      <c r="AM21" s="123"/>
      <c r="AN21" s="123">
        <v>100</v>
      </c>
      <c r="AO21" s="123"/>
      <c r="AP21" s="123"/>
      <c r="AQ21" s="123"/>
      <c r="AR21" s="123"/>
      <c r="AS21" s="123"/>
      <c r="AT21" s="123"/>
      <c r="AU21" s="123"/>
      <c r="AV21" s="256"/>
      <c r="AW21" s="256">
        <v>87</v>
      </c>
      <c r="AX21" s="256">
        <v>80</v>
      </c>
      <c r="AY21" s="256">
        <v>87</v>
      </c>
      <c r="AZ21" s="256"/>
      <c r="BA21" s="256"/>
      <c r="BB21" s="256"/>
      <c r="BC21" s="256"/>
      <c r="BD21" s="256"/>
      <c r="BE21" s="123">
        <v>80</v>
      </c>
      <c r="BF21" s="123">
        <v>87</v>
      </c>
      <c r="BG21" s="123">
        <v>75</v>
      </c>
      <c r="BH21" s="123"/>
      <c r="BI21" s="123"/>
      <c r="BJ21" s="123"/>
      <c r="BK21" s="123"/>
      <c r="BL21" s="123"/>
      <c r="BM21" s="123"/>
      <c r="BN21" s="256">
        <v>93</v>
      </c>
      <c r="BO21" s="256">
        <v>100</v>
      </c>
      <c r="BP21" s="256">
        <v>87</v>
      </c>
      <c r="BQ21" s="256"/>
      <c r="BR21" s="256"/>
      <c r="BS21" s="256"/>
      <c r="BT21" s="256"/>
      <c r="BU21" s="256"/>
      <c r="BV21" s="256"/>
      <c r="BW21" s="460"/>
      <c r="BX21" s="460">
        <v>75</v>
      </c>
      <c r="BY21" s="460">
        <v>75</v>
      </c>
      <c r="BZ21" s="460"/>
      <c r="CA21" s="460"/>
      <c r="CB21" s="460"/>
      <c r="CC21" s="460"/>
      <c r="CD21" s="460"/>
      <c r="CE21" s="460"/>
      <c r="CF21" s="346"/>
      <c r="CG21" s="346">
        <v>75</v>
      </c>
      <c r="CH21" s="346">
        <v>75</v>
      </c>
      <c r="CI21" s="346"/>
      <c r="CJ21" s="346"/>
      <c r="CK21" s="346"/>
      <c r="CL21" s="346"/>
      <c r="CM21" s="346"/>
      <c r="CN21" s="346"/>
      <c r="CO21" s="260">
        <f t="shared" si="45"/>
        <v>85.666666666666671</v>
      </c>
      <c r="CP21" s="260">
        <f t="shared" si="46"/>
        <v>86.375</v>
      </c>
      <c r="CQ21" s="260">
        <f t="shared" si="47"/>
        <v>79.857142857142861</v>
      </c>
      <c r="CR21" s="260">
        <f t="shared" si="48"/>
        <v>87</v>
      </c>
      <c r="CS21" s="260" t="str">
        <f t="shared" si="49"/>
        <v xml:space="preserve"> </v>
      </c>
      <c r="CT21" s="260" t="str">
        <f t="shared" si="50"/>
        <v xml:space="preserve"> </v>
      </c>
      <c r="CU21" s="260" t="str">
        <f t="shared" si="51"/>
        <v xml:space="preserve"> </v>
      </c>
      <c r="CV21" s="260" t="str">
        <f t="shared" si="52"/>
        <v xml:space="preserve"> </v>
      </c>
      <c r="CW21" s="260" t="str">
        <f t="shared" si="53"/>
        <v xml:space="preserve"> </v>
      </c>
      <c r="CX21" s="547">
        <v>77</v>
      </c>
      <c r="CY21" s="547">
        <v>75</v>
      </c>
      <c r="CZ21" s="547"/>
      <c r="DA21" s="547"/>
      <c r="DB21" s="547"/>
      <c r="DC21" s="547"/>
      <c r="DD21" s="547"/>
      <c r="DE21" s="547"/>
      <c r="DF21" s="547"/>
      <c r="DG21" s="565">
        <v>80</v>
      </c>
      <c r="DH21" s="565">
        <v>100</v>
      </c>
      <c r="DI21" s="565">
        <v>75</v>
      </c>
      <c r="DJ21" s="565"/>
      <c r="DK21" s="565"/>
      <c r="DL21" s="565"/>
      <c r="DM21" s="565"/>
      <c r="DN21" s="565"/>
      <c r="DO21" s="565"/>
      <c r="DP21" s="549">
        <f t="shared" si="54"/>
        <v>84</v>
      </c>
      <c r="DQ21" s="291" t="str">
        <f t="shared" si="55"/>
        <v>B</v>
      </c>
      <c r="DR21" s="50" t="str">
        <f t="shared" si="56"/>
        <v>Ananda Fifi baik dalam memahami karya seni rupa daerah, cukup dalam memahami pola lantai dalam tari kreasi daerah</v>
      </c>
      <c r="DS21" s="282"/>
      <c r="DT21" s="51"/>
      <c r="DU21" s="46">
        <f t="shared" si="57"/>
        <v>85.666666666666671</v>
      </c>
      <c r="DV21" s="46">
        <f t="shared" si="58"/>
        <v>86.375</v>
      </c>
      <c r="DW21" s="46">
        <f t="shared" si="59"/>
        <v>79.857142857142861</v>
      </c>
      <c r="DX21" s="46">
        <f t="shared" si="60"/>
        <v>87</v>
      </c>
      <c r="DY21" s="46" t="str">
        <f t="shared" si="61"/>
        <v xml:space="preserve"> </v>
      </c>
      <c r="DZ21" s="46" t="str">
        <f t="shared" si="62"/>
        <v xml:space="preserve"> </v>
      </c>
      <c r="EA21" s="46" t="str">
        <f t="shared" si="63"/>
        <v xml:space="preserve"> </v>
      </c>
      <c r="EB21" s="46" t="str">
        <f t="shared" si="64"/>
        <v xml:space="preserve"> </v>
      </c>
      <c r="EC21" s="46" t="str">
        <f t="shared" si="65"/>
        <v xml:space="preserve"> </v>
      </c>
      <c r="ED21" s="46"/>
      <c r="EE21" s="52">
        <f>[2]uts!J20</f>
        <v>75.333333333333329</v>
      </c>
      <c r="EF21" s="51"/>
      <c r="EG21" s="53">
        <f t="shared" si="66"/>
        <v>82.083333333333343</v>
      </c>
      <c r="EH21" s="53">
        <f t="shared" si="67"/>
        <v>86.9375</v>
      </c>
      <c r="EI21" s="53">
        <f t="shared" si="68"/>
        <v>78.238095238095241</v>
      </c>
      <c r="EJ21" s="53">
        <f t="shared" si="69"/>
        <v>87</v>
      </c>
      <c r="EK21" s="53" t="str">
        <f t="shared" si="70"/>
        <v xml:space="preserve">  </v>
      </c>
      <c r="EL21" s="53" t="str">
        <f t="shared" si="71"/>
        <v xml:space="preserve">  </v>
      </c>
      <c r="EM21" s="53" t="str">
        <f t="shared" si="72"/>
        <v xml:space="preserve">  </v>
      </c>
      <c r="EN21" s="53" t="str">
        <f t="shared" si="73"/>
        <v xml:space="preserve">  </v>
      </c>
      <c r="EO21" s="53" t="str">
        <f t="shared" si="74"/>
        <v xml:space="preserve">  </v>
      </c>
      <c r="EP21" s="53"/>
      <c r="EQ21" s="54">
        <f t="shared" si="75"/>
        <v>84</v>
      </c>
      <c r="ER21" s="55">
        <f t="shared" si="76"/>
        <v>87</v>
      </c>
      <c r="ES21" s="55">
        <f t="shared" si="77"/>
        <v>78.238095238095241</v>
      </c>
      <c r="ET21" s="51" t="str">
        <f>SISWA!E19</f>
        <v>Fifi</v>
      </c>
      <c r="EU21" s="51" t="str">
        <f t="shared" si="78"/>
        <v xml:space="preserve">Ananda Fifi </v>
      </c>
      <c r="EV21" s="56" t="str">
        <f t="shared" si="79"/>
        <v/>
      </c>
      <c r="EW21" s="57" t="str">
        <f t="shared" si="80"/>
        <v/>
      </c>
      <c r="EX21" s="57" t="str">
        <f t="shared" si="81"/>
        <v/>
      </c>
      <c r="EY21" s="57">
        <f t="shared" si="82"/>
        <v>87</v>
      </c>
      <c r="EZ21" s="57" t="str">
        <f t="shared" si="83"/>
        <v/>
      </c>
      <c r="FA21" s="57" t="str">
        <f t="shared" si="84"/>
        <v/>
      </c>
      <c r="FB21" s="57" t="str">
        <f t="shared" si="85"/>
        <v/>
      </c>
      <c r="FC21" s="57"/>
      <c r="FD21" s="57"/>
      <c r="FE21" s="57"/>
      <c r="FF21" s="58">
        <f t="shared" si="86"/>
        <v>87</v>
      </c>
      <c r="FG21" s="55" t="str">
        <f t="shared" si="87"/>
        <v>memahami karya seni rupa daerah</v>
      </c>
      <c r="FH21" s="58"/>
      <c r="FI21" s="59" t="str">
        <f>IF(ER21&gt;100,"",IF(ER21&gt;DQ$1,"sangat baik dalam "&amp;FG21,IF(ER21&gt;=DQ$2,"baik dalam "&amp;FG21,IF(ER21&gt;=DQ$3,"cukup dalam "&amp;FG21,IF(ER21&lt;DQ$3,"dengan bimbingan dapat ,meningkatkan dalam "&amp;FG21,IF(ER21&lt;1," ",””))))))</f>
        <v>baik dalam memahami karya seni rupa daerah</v>
      </c>
      <c r="FJ21" s="58"/>
      <c r="FK21" s="57" t="str">
        <f t="shared" si="88"/>
        <v/>
      </c>
      <c r="FL21" s="57" t="str">
        <f t="shared" si="89"/>
        <v/>
      </c>
      <c r="FM21" s="57">
        <f t="shared" si="90"/>
        <v>78.238095238095241</v>
      </c>
      <c r="FN21" s="57" t="str">
        <f t="shared" si="91"/>
        <v/>
      </c>
      <c r="FO21" s="57" t="str">
        <f t="shared" si="92"/>
        <v/>
      </c>
      <c r="FP21" s="57" t="str">
        <f t="shared" si="93"/>
        <v/>
      </c>
      <c r="FQ21" s="57" t="str">
        <f t="shared" si="94"/>
        <v/>
      </c>
      <c r="FR21" s="57"/>
      <c r="FS21" s="57"/>
      <c r="FT21" s="57"/>
      <c r="FU21" s="59" t="str">
        <f t="shared" si="95"/>
        <v>memahami pola lantai dalam tari kreasi daerah</v>
      </c>
      <c r="FV21" s="59" t="str">
        <f>IF(ES21&gt;100,"",IF(ES21&gt;DQ$1,"sangat baik dalam "&amp;FU21,IF(ES21&gt;=DQ$2,"baik dalam "&amp;FU21,IF(ES21&gt;=DQ$3,"cukup dalam "&amp;FU21,IF(ES21&lt;DQ$3,"dengan bimbingan dapat meningkatkan dalam "&amp;FU21,IF(ES21&lt;1," ",””))))))</f>
        <v>cukup dalam memahami pola lantai dalam tari kreasi daerah</v>
      </c>
      <c r="FW21" s="61"/>
      <c r="FX21" s="62" t="str">
        <f t="shared" si="96"/>
        <v>Ananda Fifi baik dalam memahami karya seni rupa daerah, cukup dalam memahami pola lantai dalam tari kreasi daerah</v>
      </c>
      <c r="FY21" s="57" t="str">
        <f t="shared" si="97"/>
        <v/>
      </c>
      <c r="FZ21" s="57">
        <f t="shared" si="98"/>
        <v>0</v>
      </c>
      <c r="GA21" s="57">
        <f t="shared" si="99"/>
        <v>0</v>
      </c>
      <c r="GB21" s="57"/>
      <c r="GC21" s="57"/>
      <c r="GD21" s="57"/>
      <c r="GE21" s="59">
        <f t="shared" si="44"/>
        <v>0</v>
      </c>
      <c r="GF21" s="60"/>
      <c r="GG21" s="61"/>
      <c r="GH21" s="62" t="str">
        <f t="shared" si="100"/>
        <v>, 0</v>
      </c>
      <c r="GI21" s="4" t="str">
        <f t="shared" si="101"/>
        <v xml:space="preserve">Cukup pandai memahami gambar cerita Cukup pandai memahami tangga nada Menguasai dengan baik memahami pola lantai dalam tari kreasi daerah        </v>
      </c>
    </row>
    <row r="22" spans="1:191">
      <c r="A22" s="39">
        <v>15</v>
      </c>
      <c r="B22" s="283" t="str">
        <f>SISWA!B20</f>
        <v>Tegar Arya Pangestu</v>
      </c>
      <c r="C22" s="123">
        <v>93</v>
      </c>
      <c r="D22" s="123"/>
      <c r="E22" s="123"/>
      <c r="F22" s="123"/>
      <c r="G22" s="123"/>
      <c r="H22" s="123"/>
      <c r="I22" s="123"/>
      <c r="J22" s="123"/>
      <c r="K22" s="123"/>
      <c r="L22" s="256">
        <v>75</v>
      </c>
      <c r="M22" s="256"/>
      <c r="N22" s="256"/>
      <c r="O22" s="256"/>
      <c r="P22" s="256"/>
      <c r="Q22" s="256"/>
      <c r="R22" s="256"/>
      <c r="S22" s="256"/>
      <c r="T22" s="256"/>
      <c r="U22" s="123">
        <v>87</v>
      </c>
      <c r="V22" s="123">
        <v>80</v>
      </c>
      <c r="W22" s="123">
        <v>87</v>
      </c>
      <c r="X22" s="123"/>
      <c r="Y22" s="123"/>
      <c r="Z22" s="123"/>
      <c r="AA22" s="123"/>
      <c r="AB22" s="123"/>
      <c r="AC22" s="123"/>
      <c r="AD22" s="256">
        <v>80</v>
      </c>
      <c r="AE22" s="256">
        <v>75</v>
      </c>
      <c r="AF22" s="256">
        <v>80</v>
      </c>
      <c r="AG22" s="256"/>
      <c r="AH22" s="256"/>
      <c r="AI22" s="256"/>
      <c r="AJ22" s="256"/>
      <c r="AK22" s="256"/>
      <c r="AL22" s="256"/>
      <c r="AM22" s="123"/>
      <c r="AN22" s="123">
        <v>100</v>
      </c>
      <c r="AO22" s="123"/>
      <c r="AP22" s="123"/>
      <c r="AQ22" s="123"/>
      <c r="AR22" s="123"/>
      <c r="AS22" s="123"/>
      <c r="AT22" s="123"/>
      <c r="AU22" s="123"/>
      <c r="AV22" s="256"/>
      <c r="AW22" s="256">
        <v>87</v>
      </c>
      <c r="AX22" s="256">
        <v>80</v>
      </c>
      <c r="AY22" s="256">
        <v>87</v>
      </c>
      <c r="AZ22" s="256"/>
      <c r="BA22" s="256"/>
      <c r="BB22" s="256"/>
      <c r="BC22" s="256"/>
      <c r="BD22" s="256"/>
      <c r="BE22" s="123">
        <v>87</v>
      </c>
      <c r="BF22" s="123">
        <v>93</v>
      </c>
      <c r="BG22" s="123">
        <v>80</v>
      </c>
      <c r="BH22" s="123"/>
      <c r="BI22" s="123"/>
      <c r="BJ22" s="123"/>
      <c r="BK22" s="123"/>
      <c r="BL22" s="123"/>
      <c r="BM22" s="123"/>
      <c r="BN22" s="256">
        <v>75</v>
      </c>
      <c r="BO22" s="256">
        <v>75</v>
      </c>
      <c r="BP22" s="256">
        <v>75</v>
      </c>
      <c r="BQ22" s="256"/>
      <c r="BR22" s="256"/>
      <c r="BS22" s="256"/>
      <c r="BT22" s="256"/>
      <c r="BU22" s="256"/>
      <c r="BV22" s="256"/>
      <c r="BW22" s="460"/>
      <c r="BX22" s="460">
        <v>93</v>
      </c>
      <c r="BY22" s="460">
        <v>100</v>
      </c>
      <c r="BZ22" s="460"/>
      <c r="CA22" s="460"/>
      <c r="CB22" s="460"/>
      <c r="CC22" s="460"/>
      <c r="CD22" s="460"/>
      <c r="CE22" s="460"/>
      <c r="CF22" s="346"/>
      <c r="CG22" s="346">
        <v>87</v>
      </c>
      <c r="CH22" s="346">
        <v>93</v>
      </c>
      <c r="CI22" s="346"/>
      <c r="CJ22" s="346"/>
      <c r="CK22" s="346"/>
      <c r="CL22" s="346"/>
      <c r="CM22" s="346"/>
      <c r="CN22" s="346"/>
      <c r="CO22" s="260">
        <f t="shared" si="45"/>
        <v>82.833333333333329</v>
      </c>
      <c r="CP22" s="260">
        <f t="shared" si="46"/>
        <v>86.25</v>
      </c>
      <c r="CQ22" s="260">
        <f t="shared" si="47"/>
        <v>85</v>
      </c>
      <c r="CR22" s="260">
        <f t="shared" si="48"/>
        <v>87</v>
      </c>
      <c r="CS22" s="260" t="str">
        <f t="shared" si="49"/>
        <v xml:space="preserve"> </v>
      </c>
      <c r="CT22" s="260" t="str">
        <f t="shared" si="50"/>
        <v xml:space="preserve"> </v>
      </c>
      <c r="CU22" s="260" t="str">
        <f t="shared" si="51"/>
        <v xml:space="preserve"> </v>
      </c>
      <c r="CV22" s="260" t="str">
        <f t="shared" si="52"/>
        <v xml:space="preserve"> </v>
      </c>
      <c r="CW22" s="260" t="str">
        <f t="shared" si="53"/>
        <v xml:space="preserve"> </v>
      </c>
      <c r="CX22" s="547">
        <v>75</v>
      </c>
      <c r="CY22" s="547">
        <v>75</v>
      </c>
      <c r="CZ22" s="547"/>
      <c r="DA22" s="547"/>
      <c r="DB22" s="547"/>
      <c r="DC22" s="547"/>
      <c r="DD22" s="547"/>
      <c r="DE22" s="547"/>
      <c r="DF22" s="547"/>
      <c r="DG22" s="565">
        <v>90</v>
      </c>
      <c r="DH22" s="565">
        <v>85</v>
      </c>
      <c r="DI22" s="565">
        <v>80</v>
      </c>
      <c r="DJ22" s="565"/>
      <c r="DK22" s="565"/>
      <c r="DL22" s="565"/>
      <c r="DM22" s="565"/>
      <c r="DN22" s="565"/>
      <c r="DO22" s="565"/>
      <c r="DP22" s="549">
        <f t="shared" si="54"/>
        <v>84</v>
      </c>
      <c r="DQ22" s="291" t="str">
        <f t="shared" si="55"/>
        <v>B</v>
      </c>
      <c r="DR22" s="50" t="str">
        <f t="shared" si="56"/>
        <v>Ananda Tegar baik dalam memahami karya seni rupa daerah, cukup dalam memahami gambar cerita</v>
      </c>
      <c r="DS22" s="282"/>
      <c r="DT22" s="51"/>
      <c r="DU22" s="46">
        <f t="shared" si="57"/>
        <v>82.833333333333329</v>
      </c>
      <c r="DV22" s="46">
        <f t="shared" si="58"/>
        <v>86.25</v>
      </c>
      <c r="DW22" s="46">
        <f t="shared" si="59"/>
        <v>85</v>
      </c>
      <c r="DX22" s="46">
        <f t="shared" si="60"/>
        <v>87</v>
      </c>
      <c r="DY22" s="46" t="str">
        <f t="shared" si="61"/>
        <v xml:space="preserve"> </v>
      </c>
      <c r="DZ22" s="46" t="str">
        <f t="shared" si="62"/>
        <v xml:space="preserve"> </v>
      </c>
      <c r="EA22" s="46" t="str">
        <f t="shared" si="63"/>
        <v xml:space="preserve"> </v>
      </c>
      <c r="EB22" s="46" t="str">
        <f t="shared" si="64"/>
        <v xml:space="preserve"> </v>
      </c>
      <c r="EC22" s="46" t="str">
        <f t="shared" si="65"/>
        <v xml:space="preserve"> </v>
      </c>
      <c r="ED22" s="46"/>
      <c r="EE22" s="52">
        <f>[2]uts!J21</f>
        <v>73</v>
      </c>
      <c r="EF22" s="51"/>
      <c r="EG22" s="53">
        <f t="shared" si="66"/>
        <v>82.666666666666657</v>
      </c>
      <c r="EH22" s="53">
        <f t="shared" si="67"/>
        <v>83.125</v>
      </c>
      <c r="EI22" s="53">
        <f t="shared" si="68"/>
        <v>83.333333333333329</v>
      </c>
      <c r="EJ22" s="53">
        <f t="shared" si="69"/>
        <v>87</v>
      </c>
      <c r="EK22" s="53" t="str">
        <f t="shared" si="70"/>
        <v xml:space="preserve">  </v>
      </c>
      <c r="EL22" s="53" t="str">
        <f t="shared" si="71"/>
        <v xml:space="preserve">  </v>
      </c>
      <c r="EM22" s="53" t="str">
        <f t="shared" si="72"/>
        <v xml:space="preserve">  </v>
      </c>
      <c r="EN22" s="53" t="str">
        <f t="shared" si="73"/>
        <v xml:space="preserve">  </v>
      </c>
      <c r="EO22" s="53" t="str">
        <f t="shared" si="74"/>
        <v xml:space="preserve">  </v>
      </c>
      <c r="EP22" s="53"/>
      <c r="EQ22" s="54">
        <f t="shared" si="75"/>
        <v>84</v>
      </c>
      <c r="ER22" s="55">
        <f t="shared" si="76"/>
        <v>87</v>
      </c>
      <c r="ES22" s="55">
        <f t="shared" si="77"/>
        <v>82.666666666666657</v>
      </c>
      <c r="ET22" s="51" t="str">
        <f>SISWA!E20</f>
        <v>Tegar</v>
      </c>
      <c r="EU22" s="51" t="str">
        <f t="shared" si="78"/>
        <v xml:space="preserve">Ananda Tegar </v>
      </c>
      <c r="EV22" s="56" t="str">
        <f t="shared" si="79"/>
        <v/>
      </c>
      <c r="EW22" s="57" t="str">
        <f t="shared" si="80"/>
        <v/>
      </c>
      <c r="EX22" s="57" t="str">
        <f t="shared" si="81"/>
        <v/>
      </c>
      <c r="EY22" s="57">
        <f t="shared" si="82"/>
        <v>87</v>
      </c>
      <c r="EZ22" s="57" t="str">
        <f t="shared" si="83"/>
        <v/>
      </c>
      <c r="FA22" s="57" t="str">
        <f t="shared" si="84"/>
        <v/>
      </c>
      <c r="FB22" s="57" t="str">
        <f t="shared" si="85"/>
        <v/>
      </c>
      <c r="FC22" s="57"/>
      <c r="FD22" s="57"/>
      <c r="FE22" s="57"/>
      <c r="FF22" s="58">
        <f t="shared" si="86"/>
        <v>87</v>
      </c>
      <c r="FG22" s="55" t="str">
        <f t="shared" si="87"/>
        <v>memahami karya seni rupa daerah</v>
      </c>
      <c r="FH22" s="58"/>
      <c r="FI22" s="59" t="str">
        <f>IF(ER22&gt;100,"",IF(ER22&gt;DQ$1,"sangat baik dalam "&amp;FG22,IF(ER22&gt;=DQ$2,"baik dalam "&amp;FG22,IF(ER22&gt;=DQ$3,"cukup dalam "&amp;FG22,IF(ER22&lt;DQ$3,"dengan bimbingan dapat ,meningkatkan dalam "&amp;FG22,IF(ER22&lt;1," ",””))))))</f>
        <v>baik dalam memahami karya seni rupa daerah</v>
      </c>
      <c r="FJ22" s="58"/>
      <c r="FK22" s="57">
        <f t="shared" si="88"/>
        <v>82.666666666666657</v>
      </c>
      <c r="FL22" s="57" t="str">
        <f t="shared" si="89"/>
        <v/>
      </c>
      <c r="FM22" s="57" t="str">
        <f t="shared" si="90"/>
        <v/>
      </c>
      <c r="FN22" s="57" t="str">
        <f t="shared" si="91"/>
        <v/>
      </c>
      <c r="FO22" s="57" t="str">
        <f t="shared" si="92"/>
        <v/>
      </c>
      <c r="FP22" s="57" t="str">
        <f t="shared" si="93"/>
        <v/>
      </c>
      <c r="FQ22" s="57" t="str">
        <f t="shared" si="94"/>
        <v/>
      </c>
      <c r="FR22" s="57"/>
      <c r="FS22" s="57"/>
      <c r="FT22" s="57"/>
      <c r="FU22" s="59" t="str">
        <f t="shared" si="95"/>
        <v>memahami gambar cerita</v>
      </c>
      <c r="FV22" s="59" t="str">
        <f>IF(ES22&gt;100,"",IF(ES22&gt;DQ$1,"sangat baik dalam "&amp;FU22,IF(ES22&gt;=DQ$2,"baik dalam "&amp;FU22,IF(ES22&gt;=DQ$3,"cukup dalam "&amp;FU22,IF(ES22&lt;DQ$3,"dengan bimbingan dapat meningkatkan dalam "&amp;FU22,IF(ES22&lt;1," ",””))))))</f>
        <v>cukup dalam memahami gambar cerita</v>
      </c>
      <c r="FW22" s="61"/>
      <c r="FX22" s="62" t="str">
        <f t="shared" si="96"/>
        <v>Ananda Tegar baik dalam memahami karya seni rupa daerah, cukup dalam memahami gambar cerita</v>
      </c>
      <c r="FY22" s="57" t="str">
        <f t="shared" si="97"/>
        <v/>
      </c>
      <c r="FZ22" s="57">
        <f t="shared" si="98"/>
        <v>0</v>
      </c>
      <c r="GA22" s="57">
        <f t="shared" si="99"/>
        <v>0</v>
      </c>
      <c r="GB22" s="57"/>
      <c r="GC22" s="57"/>
      <c r="GD22" s="57"/>
      <c r="GE22" s="59">
        <f t="shared" si="44"/>
        <v>0</v>
      </c>
      <c r="GF22" s="60"/>
      <c r="GG22" s="61"/>
      <c r="GH22" s="62" t="str">
        <f t="shared" si="100"/>
        <v>, 0</v>
      </c>
      <c r="GI22" s="4" t="str">
        <f t="shared" si="101"/>
        <v xml:space="preserve">Cukup pandai memahami gambar cerita Cukup pandai memahami tangga nada cukup pandai memahami pola lantai dalam tari kreasi daerah        </v>
      </c>
    </row>
    <row r="23" spans="1:191">
      <c r="A23" s="39">
        <v>16</v>
      </c>
      <c r="B23" s="283">
        <f>SISWA!B21</f>
        <v>0</v>
      </c>
      <c r="C23" s="123"/>
      <c r="D23" s="123"/>
      <c r="E23" s="123"/>
      <c r="F23" s="123"/>
      <c r="G23" s="123"/>
      <c r="H23" s="123"/>
      <c r="I23" s="123"/>
      <c r="J23" s="123"/>
      <c r="K23" s="123"/>
      <c r="L23" s="256"/>
      <c r="M23" s="256"/>
      <c r="N23" s="256"/>
      <c r="O23" s="256"/>
      <c r="P23" s="256"/>
      <c r="Q23" s="256"/>
      <c r="R23" s="256"/>
      <c r="S23" s="256"/>
      <c r="T23" s="256"/>
      <c r="U23" s="123"/>
      <c r="V23" s="123"/>
      <c r="W23" s="123"/>
      <c r="X23" s="123"/>
      <c r="Y23" s="123"/>
      <c r="Z23" s="123"/>
      <c r="AA23" s="123"/>
      <c r="AB23" s="123"/>
      <c r="AC23" s="123"/>
      <c r="AD23" s="256"/>
      <c r="AE23" s="256"/>
      <c r="AF23" s="256"/>
      <c r="AG23" s="256"/>
      <c r="AH23" s="256"/>
      <c r="AI23" s="256"/>
      <c r="AJ23" s="256"/>
      <c r="AK23" s="256"/>
      <c r="AL23" s="256"/>
      <c r="AM23" s="123"/>
      <c r="AN23" s="123"/>
      <c r="AO23" s="123"/>
      <c r="AP23" s="123"/>
      <c r="AQ23" s="123"/>
      <c r="AR23" s="123"/>
      <c r="AS23" s="123"/>
      <c r="AT23" s="123"/>
      <c r="AU23" s="123"/>
      <c r="AV23" s="256"/>
      <c r="AW23" s="256"/>
      <c r="AX23" s="256"/>
      <c r="AY23" s="256"/>
      <c r="AZ23" s="256"/>
      <c r="BA23" s="256"/>
      <c r="BB23" s="256"/>
      <c r="BC23" s="256"/>
      <c r="BD23" s="256"/>
      <c r="BE23" s="123"/>
      <c r="BF23" s="123"/>
      <c r="BG23" s="123"/>
      <c r="BH23" s="123"/>
      <c r="BI23" s="123"/>
      <c r="BJ23" s="123"/>
      <c r="BK23" s="123"/>
      <c r="BL23" s="123"/>
      <c r="BM23" s="123"/>
      <c r="BN23" s="256"/>
      <c r="BO23" s="256"/>
      <c r="BP23" s="256"/>
      <c r="BQ23" s="256"/>
      <c r="BR23" s="256"/>
      <c r="BS23" s="256"/>
      <c r="BT23" s="256"/>
      <c r="BU23" s="256"/>
      <c r="BV23" s="256"/>
      <c r="BW23" s="460"/>
      <c r="BX23" s="460"/>
      <c r="BY23" s="460"/>
      <c r="BZ23" s="460"/>
      <c r="CA23" s="460"/>
      <c r="CB23" s="460"/>
      <c r="CC23" s="460"/>
      <c r="CD23" s="460"/>
      <c r="CE23" s="460"/>
      <c r="CF23" s="346"/>
      <c r="CG23" s="346"/>
      <c r="CH23" s="346"/>
      <c r="CI23" s="346"/>
      <c r="CJ23" s="346"/>
      <c r="CK23" s="346"/>
      <c r="CL23" s="346"/>
      <c r="CM23" s="346"/>
      <c r="CN23" s="346"/>
      <c r="CO23" s="260" t="str">
        <f t="shared" si="45"/>
        <v xml:space="preserve"> </v>
      </c>
      <c r="CP23" s="260" t="str">
        <f t="shared" si="46"/>
        <v xml:space="preserve"> </v>
      </c>
      <c r="CQ23" s="260" t="str">
        <f t="shared" si="47"/>
        <v xml:space="preserve"> </v>
      </c>
      <c r="CR23" s="260" t="str">
        <f t="shared" si="48"/>
        <v xml:space="preserve"> </v>
      </c>
      <c r="CS23" s="260" t="str">
        <f t="shared" si="49"/>
        <v xml:space="preserve"> </v>
      </c>
      <c r="CT23" s="260" t="str">
        <f t="shared" si="50"/>
        <v xml:space="preserve"> </v>
      </c>
      <c r="CU23" s="260" t="str">
        <f t="shared" si="51"/>
        <v xml:space="preserve"> </v>
      </c>
      <c r="CV23" s="260" t="str">
        <f t="shared" si="52"/>
        <v xml:space="preserve"> </v>
      </c>
      <c r="CW23" s="260" t="str">
        <f t="shared" si="53"/>
        <v xml:space="preserve"> </v>
      </c>
      <c r="CX23" s="547"/>
      <c r="CY23" s="547"/>
      <c r="CZ23" s="547"/>
      <c r="DA23" s="547"/>
      <c r="DB23" s="547"/>
      <c r="DC23" s="547"/>
      <c r="DD23" s="547"/>
      <c r="DE23" s="547"/>
      <c r="DF23" s="547"/>
      <c r="DG23" s="565"/>
      <c r="DH23" s="565"/>
      <c r="DI23" s="565"/>
      <c r="DJ23" s="565"/>
      <c r="DK23" s="565"/>
      <c r="DL23" s="565"/>
      <c r="DM23" s="565"/>
      <c r="DN23" s="565"/>
      <c r="DO23" s="565"/>
      <c r="DP23" s="549" t="str">
        <f t="shared" si="54"/>
        <v xml:space="preserve"> </v>
      </c>
      <c r="DQ23" s="291" t="str">
        <f t="shared" si="55"/>
        <v xml:space="preserve">  </v>
      </c>
      <c r="DR23" s="50" t="str">
        <f t="shared" si="56"/>
        <v xml:space="preserve"> </v>
      </c>
      <c r="DS23" s="282"/>
      <c r="DT23" s="51"/>
      <c r="DU23" s="46" t="str">
        <f t="shared" si="57"/>
        <v xml:space="preserve"> </v>
      </c>
      <c r="DV23" s="46" t="str">
        <f t="shared" si="58"/>
        <v xml:space="preserve"> </v>
      </c>
      <c r="DW23" s="46" t="str">
        <f t="shared" si="59"/>
        <v xml:space="preserve"> </v>
      </c>
      <c r="DX23" s="46" t="str">
        <f t="shared" si="60"/>
        <v xml:space="preserve"> </v>
      </c>
      <c r="DY23" s="46" t="str">
        <f t="shared" si="61"/>
        <v xml:space="preserve"> </v>
      </c>
      <c r="DZ23" s="46" t="str">
        <f t="shared" si="62"/>
        <v xml:space="preserve"> </v>
      </c>
      <c r="EA23" s="46" t="str">
        <f t="shared" si="63"/>
        <v xml:space="preserve"> </v>
      </c>
      <c r="EB23" s="46" t="str">
        <f t="shared" si="64"/>
        <v xml:space="preserve"> </v>
      </c>
      <c r="EC23" s="46" t="str">
        <f t="shared" si="65"/>
        <v xml:space="preserve"> </v>
      </c>
      <c r="ED23" s="46"/>
      <c r="EE23" s="52">
        <f>[2]uts!J22</f>
        <v>72.333333333333329</v>
      </c>
      <c r="EF23" s="51"/>
      <c r="EG23" s="53" t="str">
        <f t="shared" si="66"/>
        <v xml:space="preserve">  </v>
      </c>
      <c r="EH23" s="53" t="str">
        <f t="shared" si="67"/>
        <v xml:space="preserve">  </v>
      </c>
      <c r="EI23" s="53" t="str">
        <f t="shared" si="68"/>
        <v xml:space="preserve">  </v>
      </c>
      <c r="EJ23" s="53" t="str">
        <f t="shared" si="69"/>
        <v xml:space="preserve">  </v>
      </c>
      <c r="EK23" s="53" t="str">
        <f t="shared" si="70"/>
        <v xml:space="preserve">  </v>
      </c>
      <c r="EL23" s="53" t="str">
        <f t="shared" si="71"/>
        <v xml:space="preserve">  </v>
      </c>
      <c r="EM23" s="53" t="str">
        <f t="shared" si="72"/>
        <v xml:space="preserve">  </v>
      </c>
      <c r="EN23" s="53" t="str">
        <f t="shared" si="73"/>
        <v xml:space="preserve">  </v>
      </c>
      <c r="EO23" s="53" t="str">
        <f t="shared" si="74"/>
        <v xml:space="preserve">  </v>
      </c>
      <c r="EP23" s="53"/>
      <c r="EQ23" s="54" t="str">
        <f t="shared" si="75"/>
        <v xml:space="preserve"> </v>
      </c>
      <c r="ER23" s="55">
        <f t="shared" si="76"/>
        <v>0</v>
      </c>
      <c r="ES23" s="55">
        <f t="shared" si="77"/>
        <v>0</v>
      </c>
      <c r="ET23" s="51">
        <f>SISWA!E21</f>
        <v>0</v>
      </c>
      <c r="EU23" s="51" t="str">
        <f t="shared" si="78"/>
        <v/>
      </c>
      <c r="EV23" s="56" t="str">
        <f t="shared" si="79"/>
        <v/>
      </c>
      <c r="EW23" s="57" t="str">
        <f t="shared" si="80"/>
        <v/>
      </c>
      <c r="EX23" s="57" t="str">
        <f t="shared" si="81"/>
        <v/>
      </c>
      <c r="EY23" s="57" t="str">
        <f t="shared" si="82"/>
        <v/>
      </c>
      <c r="EZ23" s="57" t="str">
        <f t="shared" si="83"/>
        <v/>
      </c>
      <c r="FA23" s="57" t="str">
        <f t="shared" si="84"/>
        <v/>
      </c>
      <c r="FB23" s="57" t="str">
        <f t="shared" si="85"/>
        <v/>
      </c>
      <c r="FC23" s="57"/>
      <c r="FD23" s="57"/>
      <c r="FE23" s="57"/>
      <c r="FF23" s="58">
        <f t="shared" si="86"/>
        <v>0</v>
      </c>
      <c r="FG23" s="55" t="e">
        <f t="shared" si="87"/>
        <v>#N/A</v>
      </c>
      <c r="FH23" s="58"/>
      <c r="FI23" s="59" t="e">
        <f>IF(ER23&gt;100,"",IF(ER23&gt;DQ$1,"sangat baik dalam "&amp;FG23,IF(ER23&gt;=DQ$2,"baik dalam "&amp;FG23,IF(ER23&gt;=DQ$3,"cukup dalam "&amp;FG23,IF(ER23&lt;DQ$3,"dengan bimbingan dapat ,meningkatkan dalam "&amp;FG23,IF(ER23&lt;1," ",””))))))</f>
        <v>#N/A</v>
      </c>
      <c r="FJ23" s="58"/>
      <c r="FK23" s="57" t="str">
        <f t="shared" si="88"/>
        <v/>
      </c>
      <c r="FL23" s="57" t="str">
        <f t="shared" si="89"/>
        <v/>
      </c>
      <c r="FM23" s="57" t="str">
        <f t="shared" si="90"/>
        <v/>
      </c>
      <c r="FN23" s="57" t="str">
        <f t="shared" si="91"/>
        <v/>
      </c>
      <c r="FO23" s="57" t="str">
        <f t="shared" si="92"/>
        <v/>
      </c>
      <c r="FP23" s="57" t="str">
        <f t="shared" si="93"/>
        <v/>
      </c>
      <c r="FQ23" s="57" t="str">
        <f t="shared" si="94"/>
        <v/>
      </c>
      <c r="FR23" s="57"/>
      <c r="FS23" s="57"/>
      <c r="FT23" s="57"/>
      <c r="FU23" s="59" t="e">
        <f t="shared" si="95"/>
        <v>#N/A</v>
      </c>
      <c r="FV23" s="59" t="e">
        <f>IF(ES23&gt;100,"",IF(ES23&gt;DQ$1,"sangat baik dalam "&amp;FU23,IF(ES23&gt;=DQ$2,"baik dalam "&amp;FU23,IF(ES23&gt;=DQ$3,"cukup dalam "&amp;FU23,IF(ES23&lt;DQ$3,"dengan bimbingan dapat meningkatkan dalam "&amp;FU23,IF(ES23&lt;1," ",””))))))</f>
        <v>#N/A</v>
      </c>
      <c r="FW23" s="61"/>
      <c r="FX23" s="62" t="e">
        <f t="shared" si="96"/>
        <v>#N/A</v>
      </c>
      <c r="FY23" s="57">
        <f t="shared" si="97"/>
        <v>0</v>
      </c>
      <c r="FZ23" s="57">
        <f t="shared" si="98"/>
        <v>0</v>
      </c>
      <c r="GA23" s="57">
        <f t="shared" si="99"/>
        <v>0</v>
      </c>
      <c r="GB23" s="57"/>
      <c r="GC23" s="57"/>
      <c r="GD23" s="57"/>
      <c r="GE23" s="59">
        <f t="shared" si="44"/>
        <v>0</v>
      </c>
      <c r="GF23" s="60"/>
      <c r="GG23" s="61"/>
      <c r="GH23" s="62" t="str">
        <f t="shared" si="100"/>
        <v>, 0</v>
      </c>
      <c r="GI23" s="4" t="str">
        <f t="shared" si="101"/>
        <v xml:space="preserve">  FALSEFALSEFALSE      </v>
      </c>
    </row>
    <row r="24" spans="1:191">
      <c r="A24" s="39">
        <v>17</v>
      </c>
      <c r="B24" s="283">
        <f>SISWA!B22</f>
        <v>0</v>
      </c>
      <c r="C24" s="123"/>
      <c r="D24" s="123"/>
      <c r="E24" s="123"/>
      <c r="F24" s="123"/>
      <c r="G24" s="123"/>
      <c r="H24" s="123"/>
      <c r="I24" s="123"/>
      <c r="J24" s="123"/>
      <c r="K24" s="123"/>
      <c r="L24" s="256"/>
      <c r="M24" s="256"/>
      <c r="N24" s="256"/>
      <c r="O24" s="256"/>
      <c r="P24" s="256"/>
      <c r="Q24" s="256"/>
      <c r="R24" s="256"/>
      <c r="S24" s="256"/>
      <c r="T24" s="256"/>
      <c r="U24" s="123"/>
      <c r="V24" s="123"/>
      <c r="W24" s="123"/>
      <c r="X24" s="123"/>
      <c r="Y24" s="123"/>
      <c r="Z24" s="123"/>
      <c r="AA24" s="123"/>
      <c r="AB24" s="123"/>
      <c r="AC24" s="123"/>
      <c r="AD24" s="256"/>
      <c r="AE24" s="256"/>
      <c r="AF24" s="256"/>
      <c r="AG24" s="256"/>
      <c r="AH24" s="256"/>
      <c r="AI24" s="256"/>
      <c r="AJ24" s="256"/>
      <c r="AK24" s="256"/>
      <c r="AL24" s="256"/>
      <c r="AM24" s="123"/>
      <c r="AN24" s="123"/>
      <c r="AO24" s="123"/>
      <c r="AP24" s="123"/>
      <c r="AQ24" s="123"/>
      <c r="AR24" s="123"/>
      <c r="AS24" s="123"/>
      <c r="AT24" s="123"/>
      <c r="AU24" s="123"/>
      <c r="AV24" s="256"/>
      <c r="AW24" s="256"/>
      <c r="AX24" s="256"/>
      <c r="AY24" s="256"/>
      <c r="AZ24" s="256"/>
      <c r="BA24" s="256"/>
      <c r="BB24" s="256"/>
      <c r="BC24" s="256"/>
      <c r="BD24" s="256"/>
      <c r="BE24" s="123"/>
      <c r="BF24" s="123"/>
      <c r="BG24" s="123"/>
      <c r="BH24" s="123"/>
      <c r="BI24" s="123"/>
      <c r="BJ24" s="123"/>
      <c r="BK24" s="123"/>
      <c r="BL24" s="123"/>
      <c r="BM24" s="123"/>
      <c r="BN24" s="256"/>
      <c r="BO24" s="256"/>
      <c r="BP24" s="256"/>
      <c r="BQ24" s="256"/>
      <c r="BR24" s="256"/>
      <c r="BS24" s="256"/>
      <c r="BT24" s="256"/>
      <c r="BU24" s="256"/>
      <c r="BV24" s="256"/>
      <c r="BW24" s="460"/>
      <c r="BX24" s="460"/>
      <c r="BY24" s="460"/>
      <c r="BZ24" s="460"/>
      <c r="CA24" s="460"/>
      <c r="CB24" s="460"/>
      <c r="CC24" s="460"/>
      <c r="CD24" s="460"/>
      <c r="CE24" s="460"/>
      <c r="CF24" s="346"/>
      <c r="CG24" s="346"/>
      <c r="CH24" s="346"/>
      <c r="CI24" s="346"/>
      <c r="CJ24" s="346"/>
      <c r="CK24" s="346"/>
      <c r="CL24" s="346"/>
      <c r="CM24" s="346"/>
      <c r="CN24" s="346"/>
      <c r="CO24" s="260" t="str">
        <f t="shared" si="45"/>
        <v xml:space="preserve"> </v>
      </c>
      <c r="CP24" s="260" t="str">
        <f t="shared" si="46"/>
        <v xml:space="preserve"> </v>
      </c>
      <c r="CQ24" s="260" t="str">
        <f t="shared" si="47"/>
        <v xml:space="preserve"> </v>
      </c>
      <c r="CR24" s="260" t="str">
        <f t="shared" si="48"/>
        <v xml:space="preserve"> </v>
      </c>
      <c r="CS24" s="260" t="str">
        <f t="shared" si="49"/>
        <v xml:space="preserve"> </v>
      </c>
      <c r="CT24" s="260" t="str">
        <f t="shared" si="50"/>
        <v xml:space="preserve"> </v>
      </c>
      <c r="CU24" s="260" t="str">
        <f t="shared" si="51"/>
        <v xml:space="preserve"> </v>
      </c>
      <c r="CV24" s="260" t="str">
        <f t="shared" si="52"/>
        <v xml:space="preserve"> </v>
      </c>
      <c r="CW24" s="260" t="str">
        <f t="shared" si="53"/>
        <v xml:space="preserve"> </v>
      </c>
      <c r="CX24" s="547"/>
      <c r="CY24" s="547"/>
      <c r="CZ24" s="547"/>
      <c r="DA24" s="547"/>
      <c r="DB24" s="547"/>
      <c r="DC24" s="547"/>
      <c r="DD24" s="547"/>
      <c r="DE24" s="547"/>
      <c r="DF24" s="547"/>
      <c r="DG24" s="565"/>
      <c r="DH24" s="565"/>
      <c r="DI24" s="565"/>
      <c r="DJ24" s="565"/>
      <c r="DK24" s="565"/>
      <c r="DL24" s="565"/>
      <c r="DM24" s="565"/>
      <c r="DN24" s="565"/>
      <c r="DO24" s="565"/>
      <c r="DP24" s="549" t="str">
        <f t="shared" si="54"/>
        <v xml:space="preserve"> </v>
      </c>
      <c r="DQ24" s="291" t="str">
        <f t="shared" si="55"/>
        <v xml:space="preserve">  </v>
      </c>
      <c r="DR24" s="50" t="str">
        <f t="shared" si="56"/>
        <v xml:space="preserve"> </v>
      </c>
      <c r="DS24" s="282"/>
      <c r="DT24" s="51"/>
      <c r="DU24" s="46" t="str">
        <f t="shared" si="57"/>
        <v xml:space="preserve"> </v>
      </c>
      <c r="DV24" s="46" t="str">
        <f t="shared" si="58"/>
        <v xml:space="preserve"> </v>
      </c>
      <c r="DW24" s="46" t="str">
        <f t="shared" si="59"/>
        <v xml:space="preserve"> </v>
      </c>
      <c r="DX24" s="46" t="str">
        <f t="shared" si="60"/>
        <v xml:space="preserve"> </v>
      </c>
      <c r="DY24" s="46" t="str">
        <f t="shared" si="61"/>
        <v xml:space="preserve"> </v>
      </c>
      <c r="DZ24" s="46" t="str">
        <f t="shared" si="62"/>
        <v xml:space="preserve"> </v>
      </c>
      <c r="EA24" s="46" t="str">
        <f t="shared" si="63"/>
        <v xml:space="preserve"> </v>
      </c>
      <c r="EB24" s="46" t="str">
        <f t="shared" si="64"/>
        <v xml:space="preserve"> </v>
      </c>
      <c r="EC24" s="46" t="str">
        <f t="shared" si="65"/>
        <v xml:space="preserve"> </v>
      </c>
      <c r="ED24" s="46"/>
      <c r="EE24" s="52">
        <f>[2]uts!J23</f>
        <v>71</v>
      </c>
      <c r="EF24" s="51"/>
      <c r="EG24" s="53" t="str">
        <f t="shared" si="66"/>
        <v xml:space="preserve">  </v>
      </c>
      <c r="EH24" s="53" t="str">
        <f t="shared" si="67"/>
        <v xml:space="preserve">  </v>
      </c>
      <c r="EI24" s="53" t="str">
        <f t="shared" si="68"/>
        <v xml:space="preserve">  </v>
      </c>
      <c r="EJ24" s="53" t="str">
        <f t="shared" si="69"/>
        <v xml:space="preserve">  </v>
      </c>
      <c r="EK24" s="53" t="str">
        <f t="shared" si="70"/>
        <v xml:space="preserve">  </v>
      </c>
      <c r="EL24" s="53" t="str">
        <f t="shared" si="71"/>
        <v xml:space="preserve">  </v>
      </c>
      <c r="EM24" s="53" t="str">
        <f t="shared" si="72"/>
        <v xml:space="preserve">  </v>
      </c>
      <c r="EN24" s="53" t="str">
        <f t="shared" si="73"/>
        <v xml:space="preserve">  </v>
      </c>
      <c r="EO24" s="53" t="str">
        <f t="shared" si="74"/>
        <v xml:space="preserve">  </v>
      </c>
      <c r="EP24" s="53"/>
      <c r="EQ24" s="54" t="str">
        <f t="shared" si="75"/>
        <v xml:space="preserve"> </v>
      </c>
      <c r="ER24" s="55">
        <f t="shared" si="76"/>
        <v>0</v>
      </c>
      <c r="ES24" s="55">
        <f t="shared" si="77"/>
        <v>0</v>
      </c>
      <c r="ET24" s="51">
        <f>SISWA!E22</f>
        <v>0</v>
      </c>
      <c r="EU24" s="51" t="str">
        <f t="shared" si="78"/>
        <v/>
      </c>
      <c r="EV24" s="56" t="str">
        <f t="shared" si="79"/>
        <v/>
      </c>
      <c r="EW24" s="57" t="str">
        <f t="shared" si="80"/>
        <v/>
      </c>
      <c r="EX24" s="57" t="str">
        <f t="shared" si="81"/>
        <v/>
      </c>
      <c r="EY24" s="57" t="str">
        <f t="shared" si="82"/>
        <v/>
      </c>
      <c r="EZ24" s="57" t="str">
        <f t="shared" si="83"/>
        <v/>
      </c>
      <c r="FA24" s="57" t="str">
        <f t="shared" si="84"/>
        <v/>
      </c>
      <c r="FB24" s="57" t="str">
        <f t="shared" si="85"/>
        <v/>
      </c>
      <c r="FC24" s="57"/>
      <c r="FD24" s="57"/>
      <c r="FE24" s="57"/>
      <c r="FF24" s="58">
        <f t="shared" si="86"/>
        <v>0</v>
      </c>
      <c r="FG24" s="55" t="e">
        <f t="shared" si="87"/>
        <v>#N/A</v>
      </c>
      <c r="FH24" s="58"/>
      <c r="FI24" s="59" t="e">
        <f>IF(ER24&gt;100,"",IF(ER24&gt;DQ$1,"sangat baik dalam "&amp;FG24,IF(ER24&gt;=DQ$2,"baik dalam "&amp;FG24,IF(ER24&gt;=DQ$3,"cukup dalam "&amp;FG24,IF(ER24&lt;DQ$3,"dengan bimbingan dapat ,meningkatkan dalam "&amp;FG24,IF(ER24&lt;1," ",””))))))</f>
        <v>#N/A</v>
      </c>
      <c r="FJ24" s="58"/>
      <c r="FK24" s="57" t="str">
        <f t="shared" si="88"/>
        <v/>
      </c>
      <c r="FL24" s="57" t="str">
        <f t="shared" si="89"/>
        <v/>
      </c>
      <c r="FM24" s="57" t="str">
        <f t="shared" si="90"/>
        <v/>
      </c>
      <c r="FN24" s="57" t="str">
        <f t="shared" si="91"/>
        <v/>
      </c>
      <c r="FO24" s="57" t="str">
        <f t="shared" si="92"/>
        <v/>
      </c>
      <c r="FP24" s="57" t="str">
        <f t="shared" si="93"/>
        <v/>
      </c>
      <c r="FQ24" s="57" t="str">
        <f t="shared" si="94"/>
        <v/>
      </c>
      <c r="FR24" s="57"/>
      <c r="FS24" s="57"/>
      <c r="FT24" s="57"/>
      <c r="FU24" s="59" t="e">
        <f t="shared" si="95"/>
        <v>#N/A</v>
      </c>
      <c r="FV24" s="59" t="e">
        <f>IF(ES24&gt;100,"",IF(ES24&gt;DQ$1,"sangat baik dalam "&amp;FU24,IF(ES24&gt;=DQ$2,"baik dalam "&amp;FU24,IF(ES24&gt;=DQ$3,"cukup dalam "&amp;FU24,IF(ES24&lt;DQ$3,"dengan bimbingan dapat meningkatkan dalam "&amp;FU24,IF(ES24&lt;1," ",””))))))</f>
        <v>#N/A</v>
      </c>
      <c r="FW24" s="61"/>
      <c r="FX24" s="62" t="e">
        <f t="shared" si="96"/>
        <v>#N/A</v>
      </c>
      <c r="FY24" s="57">
        <f t="shared" si="97"/>
        <v>0</v>
      </c>
      <c r="FZ24" s="57">
        <f t="shared" si="98"/>
        <v>0</v>
      </c>
      <c r="GA24" s="57">
        <f t="shared" si="99"/>
        <v>0</v>
      </c>
      <c r="GB24" s="57"/>
      <c r="GC24" s="57"/>
      <c r="GD24" s="57"/>
      <c r="GE24" s="59">
        <f t="shared" si="44"/>
        <v>0</v>
      </c>
      <c r="GF24" s="60"/>
      <c r="GG24" s="61"/>
      <c r="GH24" s="62" t="str">
        <f t="shared" si="100"/>
        <v>, 0</v>
      </c>
      <c r="GI24" s="4" t="str">
        <f t="shared" si="101"/>
        <v xml:space="preserve">  FALSEFALSEFALSE      </v>
      </c>
    </row>
    <row r="25" spans="1:191">
      <c r="A25" s="39">
        <v>18</v>
      </c>
      <c r="B25" s="283">
        <f>SISWA!B23</f>
        <v>0</v>
      </c>
      <c r="C25" s="123"/>
      <c r="D25" s="123"/>
      <c r="E25" s="123"/>
      <c r="F25" s="123"/>
      <c r="G25" s="123"/>
      <c r="H25" s="123"/>
      <c r="I25" s="123"/>
      <c r="J25" s="123"/>
      <c r="K25" s="123"/>
      <c r="L25" s="256"/>
      <c r="M25" s="256"/>
      <c r="N25" s="256"/>
      <c r="O25" s="256"/>
      <c r="P25" s="256"/>
      <c r="Q25" s="256"/>
      <c r="R25" s="256"/>
      <c r="S25" s="256"/>
      <c r="T25" s="256"/>
      <c r="U25" s="123"/>
      <c r="V25" s="123"/>
      <c r="W25" s="123"/>
      <c r="X25" s="123"/>
      <c r="Y25" s="123"/>
      <c r="Z25" s="123"/>
      <c r="AA25" s="123"/>
      <c r="AB25" s="123"/>
      <c r="AC25" s="123"/>
      <c r="AD25" s="256"/>
      <c r="AE25" s="256"/>
      <c r="AF25" s="256"/>
      <c r="AG25" s="256"/>
      <c r="AH25" s="256"/>
      <c r="AI25" s="256"/>
      <c r="AJ25" s="256"/>
      <c r="AK25" s="256"/>
      <c r="AL25" s="256"/>
      <c r="AM25" s="123"/>
      <c r="AN25" s="123"/>
      <c r="AO25" s="123"/>
      <c r="AP25" s="123"/>
      <c r="AQ25" s="123"/>
      <c r="AR25" s="123"/>
      <c r="AS25" s="123"/>
      <c r="AT25" s="123"/>
      <c r="AU25" s="123"/>
      <c r="AV25" s="256"/>
      <c r="AW25" s="256"/>
      <c r="AX25" s="256"/>
      <c r="AY25" s="256"/>
      <c r="AZ25" s="256"/>
      <c r="BA25" s="256"/>
      <c r="BB25" s="256"/>
      <c r="BC25" s="256"/>
      <c r="BD25" s="256"/>
      <c r="BE25" s="123"/>
      <c r="BF25" s="123"/>
      <c r="BG25" s="123"/>
      <c r="BH25" s="123"/>
      <c r="BI25" s="123"/>
      <c r="BJ25" s="123"/>
      <c r="BK25" s="123"/>
      <c r="BL25" s="123"/>
      <c r="BM25" s="123"/>
      <c r="BN25" s="256"/>
      <c r="BO25" s="256"/>
      <c r="BP25" s="256"/>
      <c r="BQ25" s="256"/>
      <c r="BR25" s="256"/>
      <c r="BS25" s="256"/>
      <c r="BT25" s="256"/>
      <c r="BU25" s="256"/>
      <c r="BV25" s="256"/>
      <c r="BW25" s="460"/>
      <c r="BX25" s="460"/>
      <c r="BY25" s="460"/>
      <c r="BZ25" s="460"/>
      <c r="CA25" s="460"/>
      <c r="CB25" s="460"/>
      <c r="CC25" s="460"/>
      <c r="CD25" s="460"/>
      <c r="CE25" s="460"/>
      <c r="CF25" s="346"/>
      <c r="CG25" s="346"/>
      <c r="CH25" s="346"/>
      <c r="CI25" s="346"/>
      <c r="CJ25" s="346"/>
      <c r="CK25" s="346"/>
      <c r="CL25" s="346"/>
      <c r="CM25" s="346"/>
      <c r="CN25" s="346"/>
      <c r="CO25" s="260" t="str">
        <f t="shared" si="45"/>
        <v xml:space="preserve"> </v>
      </c>
      <c r="CP25" s="260" t="str">
        <f t="shared" si="46"/>
        <v xml:space="preserve"> </v>
      </c>
      <c r="CQ25" s="260" t="str">
        <f t="shared" si="47"/>
        <v xml:space="preserve"> </v>
      </c>
      <c r="CR25" s="260" t="str">
        <f t="shared" si="48"/>
        <v xml:space="preserve"> </v>
      </c>
      <c r="CS25" s="260" t="str">
        <f t="shared" si="49"/>
        <v xml:space="preserve"> </v>
      </c>
      <c r="CT25" s="260" t="str">
        <f t="shared" si="50"/>
        <v xml:space="preserve"> </v>
      </c>
      <c r="CU25" s="260" t="str">
        <f t="shared" si="51"/>
        <v xml:space="preserve"> </v>
      </c>
      <c r="CV25" s="260" t="str">
        <f t="shared" si="52"/>
        <v xml:space="preserve"> </v>
      </c>
      <c r="CW25" s="260" t="str">
        <f t="shared" si="53"/>
        <v xml:space="preserve"> </v>
      </c>
      <c r="CX25" s="547"/>
      <c r="CY25" s="547"/>
      <c r="CZ25" s="547"/>
      <c r="DA25" s="547"/>
      <c r="DB25" s="547"/>
      <c r="DC25" s="547"/>
      <c r="DD25" s="547"/>
      <c r="DE25" s="547"/>
      <c r="DF25" s="547"/>
      <c r="DG25" s="565"/>
      <c r="DH25" s="565"/>
      <c r="DI25" s="565"/>
      <c r="DJ25" s="565"/>
      <c r="DK25" s="565"/>
      <c r="DL25" s="565"/>
      <c r="DM25" s="565"/>
      <c r="DN25" s="565"/>
      <c r="DO25" s="565"/>
      <c r="DP25" s="549" t="str">
        <f t="shared" si="54"/>
        <v xml:space="preserve"> </v>
      </c>
      <c r="DQ25" s="291" t="str">
        <f t="shared" si="55"/>
        <v xml:space="preserve">  </v>
      </c>
      <c r="DR25" s="50" t="str">
        <f t="shared" si="56"/>
        <v xml:space="preserve"> </v>
      </c>
      <c r="DS25" s="282"/>
      <c r="DT25" s="51"/>
      <c r="DU25" s="46" t="str">
        <f t="shared" si="57"/>
        <v xml:space="preserve"> </v>
      </c>
      <c r="DV25" s="46" t="str">
        <f t="shared" si="58"/>
        <v xml:space="preserve"> </v>
      </c>
      <c r="DW25" s="46" t="str">
        <f t="shared" si="59"/>
        <v xml:space="preserve"> </v>
      </c>
      <c r="DX25" s="46" t="str">
        <f t="shared" si="60"/>
        <v xml:space="preserve"> </v>
      </c>
      <c r="DY25" s="46" t="str">
        <f t="shared" si="61"/>
        <v xml:space="preserve"> </v>
      </c>
      <c r="DZ25" s="46" t="str">
        <f t="shared" si="62"/>
        <v xml:space="preserve"> </v>
      </c>
      <c r="EA25" s="46" t="str">
        <f t="shared" si="63"/>
        <v xml:space="preserve"> </v>
      </c>
      <c r="EB25" s="46" t="str">
        <f t="shared" si="64"/>
        <v xml:space="preserve"> </v>
      </c>
      <c r="EC25" s="46" t="str">
        <f t="shared" si="65"/>
        <v xml:space="preserve"> </v>
      </c>
      <c r="ED25" s="46"/>
      <c r="EE25" s="52">
        <f>[2]uts!J24</f>
        <v>74.333333333333329</v>
      </c>
      <c r="EF25" s="51"/>
      <c r="EG25" s="53" t="str">
        <f t="shared" si="66"/>
        <v xml:space="preserve">  </v>
      </c>
      <c r="EH25" s="53" t="str">
        <f t="shared" si="67"/>
        <v xml:space="preserve">  </v>
      </c>
      <c r="EI25" s="53" t="str">
        <f t="shared" si="68"/>
        <v xml:space="preserve">  </v>
      </c>
      <c r="EJ25" s="53" t="str">
        <f t="shared" si="69"/>
        <v xml:space="preserve">  </v>
      </c>
      <c r="EK25" s="53" t="str">
        <f t="shared" si="70"/>
        <v xml:space="preserve">  </v>
      </c>
      <c r="EL25" s="53" t="str">
        <f t="shared" si="71"/>
        <v xml:space="preserve">  </v>
      </c>
      <c r="EM25" s="53" t="str">
        <f t="shared" si="72"/>
        <v xml:space="preserve">  </v>
      </c>
      <c r="EN25" s="53" t="str">
        <f t="shared" si="73"/>
        <v xml:space="preserve">  </v>
      </c>
      <c r="EO25" s="53" t="str">
        <f t="shared" si="74"/>
        <v xml:space="preserve">  </v>
      </c>
      <c r="EP25" s="53"/>
      <c r="EQ25" s="54" t="str">
        <f t="shared" si="75"/>
        <v xml:space="preserve"> </v>
      </c>
      <c r="ER25" s="55">
        <f t="shared" si="76"/>
        <v>0</v>
      </c>
      <c r="ES25" s="55">
        <f t="shared" si="77"/>
        <v>0</v>
      </c>
      <c r="ET25" s="51">
        <f>SISWA!E23</f>
        <v>0</v>
      </c>
      <c r="EU25" s="51" t="str">
        <f t="shared" si="78"/>
        <v/>
      </c>
      <c r="EV25" s="56" t="str">
        <f t="shared" si="79"/>
        <v/>
      </c>
      <c r="EW25" s="57" t="str">
        <f t="shared" si="80"/>
        <v/>
      </c>
      <c r="EX25" s="57" t="str">
        <f t="shared" si="81"/>
        <v/>
      </c>
      <c r="EY25" s="57" t="str">
        <f t="shared" si="82"/>
        <v/>
      </c>
      <c r="EZ25" s="57" t="str">
        <f t="shared" si="83"/>
        <v/>
      </c>
      <c r="FA25" s="57" t="str">
        <f t="shared" si="84"/>
        <v/>
      </c>
      <c r="FB25" s="57" t="str">
        <f t="shared" si="85"/>
        <v/>
      </c>
      <c r="FC25" s="57"/>
      <c r="FD25" s="57"/>
      <c r="FE25" s="57"/>
      <c r="FF25" s="58">
        <f t="shared" si="86"/>
        <v>0</v>
      </c>
      <c r="FG25" s="55" t="e">
        <f t="shared" si="87"/>
        <v>#N/A</v>
      </c>
      <c r="FH25" s="58"/>
      <c r="FI25" s="59" t="e">
        <f>IF(ER25&gt;100,"",IF(ER25&gt;DQ$1,"sangat baik dalam "&amp;FG25,IF(ER25&gt;=DQ$2,"baik dalam "&amp;FG25,IF(ER25&gt;=DQ$3,"cukup dalam "&amp;FG25,IF(ER25&lt;DQ$3,"dengan bimbingan dapat ,meningkatkan dalam "&amp;FG25,IF(ER25&lt;1," ",””))))))</f>
        <v>#N/A</v>
      </c>
      <c r="FJ25" s="58"/>
      <c r="FK25" s="57" t="str">
        <f t="shared" si="88"/>
        <v/>
      </c>
      <c r="FL25" s="57" t="str">
        <f t="shared" si="89"/>
        <v/>
      </c>
      <c r="FM25" s="57" t="str">
        <f t="shared" si="90"/>
        <v/>
      </c>
      <c r="FN25" s="57" t="str">
        <f t="shared" si="91"/>
        <v/>
      </c>
      <c r="FO25" s="57" t="str">
        <f t="shared" si="92"/>
        <v/>
      </c>
      <c r="FP25" s="57" t="str">
        <f t="shared" si="93"/>
        <v/>
      </c>
      <c r="FQ25" s="57" t="str">
        <f t="shared" si="94"/>
        <v/>
      </c>
      <c r="FR25" s="57"/>
      <c r="FS25" s="57"/>
      <c r="FT25" s="57"/>
      <c r="FU25" s="59" t="e">
        <f t="shared" si="95"/>
        <v>#N/A</v>
      </c>
      <c r="FV25" s="59" t="e">
        <f>IF(ES25&gt;100,"",IF(ES25&gt;DQ$1,"sangat baik dalam "&amp;FU25,IF(ES25&gt;=DQ$2,"baik dalam "&amp;FU25,IF(ES25&gt;=DQ$3,"cukup dalam "&amp;FU25,IF(ES25&lt;DQ$3,"dengan bimbingan dapat meningkatkan dalam "&amp;FU25,IF(ES25&lt;1," ",””))))))</f>
        <v>#N/A</v>
      </c>
      <c r="FW25" s="61"/>
      <c r="FX25" s="62" t="e">
        <f t="shared" si="96"/>
        <v>#N/A</v>
      </c>
      <c r="FY25" s="57">
        <f t="shared" si="97"/>
        <v>0</v>
      </c>
      <c r="FZ25" s="57">
        <f t="shared" si="98"/>
        <v>0</v>
      </c>
      <c r="GA25" s="57">
        <f t="shared" si="99"/>
        <v>0</v>
      </c>
      <c r="GB25" s="57"/>
      <c r="GC25" s="57"/>
      <c r="GD25" s="57"/>
      <c r="GE25" s="59">
        <f t="shared" si="44"/>
        <v>0</v>
      </c>
      <c r="GF25" s="60"/>
      <c r="GG25" s="61"/>
      <c r="GH25" s="62" t="str">
        <f t="shared" si="100"/>
        <v>, 0</v>
      </c>
      <c r="GI25" s="4" t="str">
        <f t="shared" si="101"/>
        <v xml:space="preserve">  FALSEFALSEFALSE      </v>
      </c>
    </row>
    <row r="26" spans="1:191">
      <c r="A26" s="39">
        <v>19</v>
      </c>
      <c r="B26" s="283">
        <f>SISWA!B24</f>
        <v>0</v>
      </c>
      <c r="C26" s="123"/>
      <c r="D26" s="123"/>
      <c r="E26" s="123"/>
      <c r="F26" s="123"/>
      <c r="G26" s="123"/>
      <c r="H26" s="123"/>
      <c r="I26" s="123"/>
      <c r="J26" s="123"/>
      <c r="K26" s="123"/>
      <c r="L26" s="256"/>
      <c r="M26" s="256"/>
      <c r="N26" s="256"/>
      <c r="O26" s="256"/>
      <c r="P26" s="256"/>
      <c r="Q26" s="256"/>
      <c r="R26" s="256"/>
      <c r="S26" s="256"/>
      <c r="T26" s="256"/>
      <c r="U26" s="123"/>
      <c r="V26" s="123"/>
      <c r="W26" s="123"/>
      <c r="X26" s="123"/>
      <c r="Y26" s="123"/>
      <c r="Z26" s="123"/>
      <c r="AA26" s="123"/>
      <c r="AB26" s="123"/>
      <c r="AC26" s="123"/>
      <c r="AD26" s="256"/>
      <c r="AE26" s="256"/>
      <c r="AF26" s="256"/>
      <c r="AG26" s="256"/>
      <c r="AH26" s="256"/>
      <c r="AI26" s="256"/>
      <c r="AJ26" s="256"/>
      <c r="AK26" s="256"/>
      <c r="AL26" s="256"/>
      <c r="AM26" s="123"/>
      <c r="AN26" s="123"/>
      <c r="AO26" s="123"/>
      <c r="AP26" s="123"/>
      <c r="AQ26" s="123"/>
      <c r="AR26" s="123"/>
      <c r="AS26" s="123"/>
      <c r="AT26" s="123"/>
      <c r="AU26" s="123"/>
      <c r="AV26" s="256"/>
      <c r="AW26" s="256"/>
      <c r="AX26" s="256"/>
      <c r="AY26" s="256"/>
      <c r="AZ26" s="256"/>
      <c r="BA26" s="256"/>
      <c r="BB26" s="256"/>
      <c r="BC26" s="256"/>
      <c r="BD26" s="256"/>
      <c r="BE26" s="123"/>
      <c r="BF26" s="123"/>
      <c r="BG26" s="123"/>
      <c r="BH26" s="123"/>
      <c r="BI26" s="123"/>
      <c r="BJ26" s="123"/>
      <c r="BK26" s="123"/>
      <c r="BL26" s="123"/>
      <c r="BM26" s="123"/>
      <c r="BN26" s="256"/>
      <c r="BO26" s="256"/>
      <c r="BP26" s="256"/>
      <c r="BQ26" s="256"/>
      <c r="BR26" s="256"/>
      <c r="BS26" s="256"/>
      <c r="BT26" s="256"/>
      <c r="BU26" s="256"/>
      <c r="BV26" s="256"/>
      <c r="BW26" s="460"/>
      <c r="BX26" s="460"/>
      <c r="BY26" s="460"/>
      <c r="BZ26" s="460"/>
      <c r="CA26" s="460"/>
      <c r="CB26" s="460"/>
      <c r="CC26" s="460"/>
      <c r="CD26" s="460"/>
      <c r="CE26" s="460"/>
      <c r="CF26" s="346"/>
      <c r="CG26" s="346"/>
      <c r="CH26" s="346"/>
      <c r="CI26" s="346"/>
      <c r="CJ26" s="346"/>
      <c r="CK26" s="346"/>
      <c r="CL26" s="346"/>
      <c r="CM26" s="346"/>
      <c r="CN26" s="346"/>
      <c r="CO26" s="260" t="str">
        <f t="shared" si="45"/>
        <v xml:space="preserve"> </v>
      </c>
      <c r="CP26" s="260" t="str">
        <f t="shared" si="46"/>
        <v xml:space="preserve"> </v>
      </c>
      <c r="CQ26" s="260" t="str">
        <f t="shared" si="47"/>
        <v xml:space="preserve"> </v>
      </c>
      <c r="CR26" s="260" t="str">
        <f t="shared" si="48"/>
        <v xml:space="preserve"> </v>
      </c>
      <c r="CS26" s="260" t="str">
        <f t="shared" si="49"/>
        <v xml:space="preserve"> </v>
      </c>
      <c r="CT26" s="260" t="str">
        <f t="shared" si="50"/>
        <v xml:space="preserve"> </v>
      </c>
      <c r="CU26" s="260" t="str">
        <f t="shared" si="51"/>
        <v xml:space="preserve"> </v>
      </c>
      <c r="CV26" s="260" t="str">
        <f t="shared" si="52"/>
        <v xml:space="preserve"> </v>
      </c>
      <c r="CW26" s="260" t="str">
        <f t="shared" si="53"/>
        <v xml:space="preserve"> </v>
      </c>
      <c r="CX26" s="547"/>
      <c r="CY26" s="547"/>
      <c r="CZ26" s="547"/>
      <c r="DA26" s="547"/>
      <c r="DB26" s="547"/>
      <c r="DC26" s="547"/>
      <c r="DD26" s="547"/>
      <c r="DE26" s="547"/>
      <c r="DF26" s="547"/>
      <c r="DG26" s="565"/>
      <c r="DH26" s="565"/>
      <c r="DI26" s="565"/>
      <c r="DJ26" s="565"/>
      <c r="DK26" s="565"/>
      <c r="DL26" s="565"/>
      <c r="DM26" s="565"/>
      <c r="DN26" s="565"/>
      <c r="DO26" s="565"/>
      <c r="DP26" s="549" t="str">
        <f t="shared" si="54"/>
        <v xml:space="preserve"> </v>
      </c>
      <c r="DQ26" s="291" t="str">
        <f t="shared" si="55"/>
        <v xml:space="preserve">  </v>
      </c>
      <c r="DR26" s="50" t="str">
        <f t="shared" si="56"/>
        <v xml:space="preserve"> </v>
      </c>
      <c r="DS26" s="282"/>
      <c r="DT26" s="51"/>
      <c r="DU26" s="46" t="str">
        <f t="shared" si="57"/>
        <v xml:space="preserve"> </v>
      </c>
      <c r="DV26" s="46" t="str">
        <f t="shared" si="58"/>
        <v xml:space="preserve"> </v>
      </c>
      <c r="DW26" s="46" t="str">
        <f t="shared" si="59"/>
        <v xml:space="preserve"> </v>
      </c>
      <c r="DX26" s="46" t="str">
        <f t="shared" si="60"/>
        <v xml:space="preserve"> </v>
      </c>
      <c r="DY26" s="46" t="str">
        <f t="shared" si="61"/>
        <v xml:space="preserve"> </v>
      </c>
      <c r="DZ26" s="46" t="str">
        <f t="shared" si="62"/>
        <v xml:space="preserve"> </v>
      </c>
      <c r="EA26" s="46" t="str">
        <f t="shared" si="63"/>
        <v xml:space="preserve"> </v>
      </c>
      <c r="EB26" s="46" t="str">
        <f t="shared" si="64"/>
        <v xml:space="preserve"> </v>
      </c>
      <c r="EC26" s="46" t="str">
        <f t="shared" si="65"/>
        <v xml:space="preserve"> </v>
      </c>
      <c r="ED26" s="46"/>
      <c r="EE26" s="52">
        <f>[2]uts!J25</f>
        <v>77.666666666666671</v>
      </c>
      <c r="EF26" s="51"/>
      <c r="EG26" s="53" t="str">
        <f t="shared" si="66"/>
        <v xml:space="preserve">  </v>
      </c>
      <c r="EH26" s="53" t="str">
        <f t="shared" si="67"/>
        <v xml:space="preserve">  </v>
      </c>
      <c r="EI26" s="53" t="str">
        <f t="shared" si="68"/>
        <v xml:space="preserve">  </v>
      </c>
      <c r="EJ26" s="53" t="str">
        <f t="shared" si="69"/>
        <v xml:space="preserve">  </v>
      </c>
      <c r="EK26" s="53" t="str">
        <f t="shared" si="70"/>
        <v xml:space="preserve">  </v>
      </c>
      <c r="EL26" s="53" t="str">
        <f t="shared" si="71"/>
        <v xml:space="preserve">  </v>
      </c>
      <c r="EM26" s="53" t="str">
        <f t="shared" si="72"/>
        <v xml:space="preserve">  </v>
      </c>
      <c r="EN26" s="53" t="str">
        <f t="shared" si="73"/>
        <v xml:space="preserve">  </v>
      </c>
      <c r="EO26" s="53" t="str">
        <f t="shared" si="74"/>
        <v xml:space="preserve">  </v>
      </c>
      <c r="EP26" s="53"/>
      <c r="EQ26" s="54" t="str">
        <f t="shared" si="75"/>
        <v xml:space="preserve"> </v>
      </c>
      <c r="ER26" s="55">
        <f t="shared" si="76"/>
        <v>0</v>
      </c>
      <c r="ES26" s="55">
        <f t="shared" si="77"/>
        <v>0</v>
      </c>
      <c r="ET26" s="51">
        <f>SISWA!E24</f>
        <v>0</v>
      </c>
      <c r="EU26" s="51" t="str">
        <f t="shared" si="78"/>
        <v/>
      </c>
      <c r="EV26" s="56" t="str">
        <f t="shared" si="79"/>
        <v/>
      </c>
      <c r="EW26" s="57" t="str">
        <f t="shared" si="80"/>
        <v/>
      </c>
      <c r="EX26" s="57" t="str">
        <f t="shared" si="81"/>
        <v/>
      </c>
      <c r="EY26" s="57" t="str">
        <f t="shared" si="82"/>
        <v/>
      </c>
      <c r="EZ26" s="57" t="str">
        <f t="shared" si="83"/>
        <v/>
      </c>
      <c r="FA26" s="57" t="str">
        <f t="shared" si="84"/>
        <v/>
      </c>
      <c r="FB26" s="57" t="str">
        <f t="shared" si="85"/>
        <v/>
      </c>
      <c r="FC26" s="57"/>
      <c r="FD26" s="57"/>
      <c r="FE26" s="57"/>
      <c r="FF26" s="58">
        <f t="shared" si="86"/>
        <v>0</v>
      </c>
      <c r="FG26" s="55" t="e">
        <f t="shared" si="87"/>
        <v>#N/A</v>
      </c>
      <c r="FH26" s="58"/>
      <c r="FI26" s="59" t="e">
        <f>IF(ER26&gt;100,"",IF(ER26&gt;DQ$1,"sangat baik dalam "&amp;FG26,IF(ER26&gt;=DQ$2,"baik dalam "&amp;FG26,IF(ER26&gt;=DQ$3,"cukup dalam "&amp;FG26,IF(ER26&lt;DQ$3,"dengan bimbingan dapat ,meningkatkan dalam "&amp;FG26,IF(ER26&lt;1," ",””))))))</f>
        <v>#N/A</v>
      </c>
      <c r="FJ26" s="58"/>
      <c r="FK26" s="57" t="str">
        <f t="shared" si="88"/>
        <v/>
      </c>
      <c r="FL26" s="57" t="str">
        <f t="shared" si="89"/>
        <v/>
      </c>
      <c r="FM26" s="57" t="str">
        <f t="shared" si="90"/>
        <v/>
      </c>
      <c r="FN26" s="57" t="str">
        <f t="shared" si="91"/>
        <v/>
      </c>
      <c r="FO26" s="57" t="str">
        <f t="shared" si="92"/>
        <v/>
      </c>
      <c r="FP26" s="57" t="str">
        <f t="shared" si="93"/>
        <v/>
      </c>
      <c r="FQ26" s="57" t="str">
        <f t="shared" si="94"/>
        <v/>
      </c>
      <c r="FR26" s="57"/>
      <c r="FS26" s="57"/>
      <c r="FT26" s="57"/>
      <c r="FU26" s="59" t="e">
        <f t="shared" si="95"/>
        <v>#N/A</v>
      </c>
      <c r="FV26" s="59" t="e">
        <f>IF(ES26&gt;100,"",IF(ES26&gt;DQ$1,"sangat baik dalam "&amp;FU26,IF(ES26&gt;=DQ$2,"baik dalam "&amp;FU26,IF(ES26&gt;=DQ$3,"cukup dalam "&amp;FU26,IF(ES26&lt;DQ$3,"dengan bimbingan dapat meningkatkan dalam "&amp;FU26,IF(ES26&lt;1," ",””))))))</f>
        <v>#N/A</v>
      </c>
      <c r="FW26" s="61"/>
      <c r="FX26" s="62" t="e">
        <f t="shared" si="96"/>
        <v>#N/A</v>
      </c>
      <c r="FY26" s="57">
        <f t="shared" si="97"/>
        <v>0</v>
      </c>
      <c r="FZ26" s="57">
        <f t="shared" si="98"/>
        <v>0</v>
      </c>
      <c r="GA26" s="57">
        <f t="shared" si="99"/>
        <v>0</v>
      </c>
      <c r="GB26" s="57"/>
      <c r="GC26" s="57"/>
      <c r="GD26" s="57"/>
      <c r="GE26" s="59">
        <f t="shared" si="44"/>
        <v>0</v>
      </c>
      <c r="GF26" s="60"/>
      <c r="GG26" s="61"/>
      <c r="GH26" s="62" t="str">
        <f t="shared" si="100"/>
        <v>, 0</v>
      </c>
      <c r="GI26" s="4" t="str">
        <f t="shared" si="101"/>
        <v xml:space="preserve">  FALSEFALSEFALSE      </v>
      </c>
    </row>
    <row r="27" spans="1:191">
      <c r="A27" s="39">
        <v>20</v>
      </c>
      <c r="B27" s="283">
        <f>SISWA!B25</f>
        <v>0</v>
      </c>
      <c r="C27" s="123"/>
      <c r="D27" s="123"/>
      <c r="E27" s="123"/>
      <c r="F27" s="123"/>
      <c r="G27" s="123"/>
      <c r="H27" s="123"/>
      <c r="I27" s="123"/>
      <c r="J27" s="123"/>
      <c r="K27" s="123"/>
      <c r="L27" s="256"/>
      <c r="M27" s="256"/>
      <c r="N27" s="256"/>
      <c r="O27" s="256"/>
      <c r="P27" s="256"/>
      <c r="Q27" s="256"/>
      <c r="R27" s="256"/>
      <c r="S27" s="256"/>
      <c r="T27" s="256"/>
      <c r="U27" s="123"/>
      <c r="V27" s="123"/>
      <c r="W27" s="123"/>
      <c r="X27" s="123"/>
      <c r="Y27" s="123"/>
      <c r="Z27" s="123"/>
      <c r="AA27" s="123"/>
      <c r="AB27" s="123"/>
      <c r="AC27" s="123"/>
      <c r="AD27" s="256"/>
      <c r="AE27" s="256"/>
      <c r="AF27" s="256"/>
      <c r="AG27" s="256"/>
      <c r="AH27" s="256"/>
      <c r="AI27" s="256"/>
      <c r="AJ27" s="256"/>
      <c r="AK27" s="256"/>
      <c r="AL27" s="256"/>
      <c r="AM27" s="123"/>
      <c r="AN27" s="123"/>
      <c r="AO27" s="123"/>
      <c r="AP27" s="123"/>
      <c r="AQ27" s="123"/>
      <c r="AR27" s="123"/>
      <c r="AS27" s="123"/>
      <c r="AT27" s="123"/>
      <c r="AU27" s="123"/>
      <c r="AV27" s="256"/>
      <c r="AW27" s="256"/>
      <c r="AX27" s="256"/>
      <c r="AY27" s="256"/>
      <c r="AZ27" s="256"/>
      <c r="BA27" s="256"/>
      <c r="BB27" s="256"/>
      <c r="BC27" s="256"/>
      <c r="BD27" s="256"/>
      <c r="BE27" s="123"/>
      <c r="BF27" s="123"/>
      <c r="BG27" s="123"/>
      <c r="BH27" s="123"/>
      <c r="BI27" s="123"/>
      <c r="BJ27" s="123"/>
      <c r="BK27" s="123"/>
      <c r="BL27" s="123"/>
      <c r="BM27" s="123"/>
      <c r="BN27" s="256"/>
      <c r="BO27" s="256"/>
      <c r="BP27" s="256"/>
      <c r="BQ27" s="256"/>
      <c r="BR27" s="256"/>
      <c r="BS27" s="256"/>
      <c r="BT27" s="256"/>
      <c r="BU27" s="256"/>
      <c r="BV27" s="256"/>
      <c r="BW27" s="460"/>
      <c r="BX27" s="460"/>
      <c r="BY27" s="460"/>
      <c r="BZ27" s="460"/>
      <c r="CA27" s="460"/>
      <c r="CB27" s="460"/>
      <c r="CC27" s="460"/>
      <c r="CD27" s="460"/>
      <c r="CE27" s="460"/>
      <c r="CF27" s="346"/>
      <c r="CG27" s="346"/>
      <c r="CH27" s="346"/>
      <c r="CI27" s="346"/>
      <c r="CJ27" s="346"/>
      <c r="CK27" s="346"/>
      <c r="CL27" s="346"/>
      <c r="CM27" s="346"/>
      <c r="CN27" s="346"/>
      <c r="CO27" s="260" t="str">
        <f t="shared" si="45"/>
        <v xml:space="preserve"> </v>
      </c>
      <c r="CP27" s="260" t="str">
        <f t="shared" si="46"/>
        <v xml:space="preserve"> </v>
      </c>
      <c r="CQ27" s="260" t="str">
        <f t="shared" si="47"/>
        <v xml:space="preserve"> </v>
      </c>
      <c r="CR27" s="260" t="str">
        <f t="shared" si="48"/>
        <v xml:space="preserve"> </v>
      </c>
      <c r="CS27" s="260" t="str">
        <f t="shared" si="49"/>
        <v xml:space="preserve"> </v>
      </c>
      <c r="CT27" s="260" t="str">
        <f t="shared" si="50"/>
        <v xml:space="preserve"> </v>
      </c>
      <c r="CU27" s="260" t="str">
        <f t="shared" si="51"/>
        <v xml:space="preserve"> </v>
      </c>
      <c r="CV27" s="260" t="str">
        <f t="shared" si="52"/>
        <v xml:space="preserve"> </v>
      </c>
      <c r="CW27" s="260" t="str">
        <f t="shared" si="53"/>
        <v xml:space="preserve"> </v>
      </c>
      <c r="CX27" s="547"/>
      <c r="CY27" s="547"/>
      <c r="CZ27" s="547"/>
      <c r="DA27" s="547"/>
      <c r="DB27" s="547"/>
      <c r="DC27" s="547"/>
      <c r="DD27" s="547"/>
      <c r="DE27" s="547"/>
      <c r="DF27" s="547"/>
      <c r="DG27" s="565"/>
      <c r="DH27" s="565"/>
      <c r="DI27" s="565"/>
      <c r="DJ27" s="565"/>
      <c r="DK27" s="565"/>
      <c r="DL27" s="565"/>
      <c r="DM27" s="565"/>
      <c r="DN27" s="565"/>
      <c r="DO27" s="565"/>
      <c r="DP27" s="549" t="str">
        <f t="shared" si="54"/>
        <v xml:space="preserve"> </v>
      </c>
      <c r="DQ27" s="291" t="str">
        <f t="shared" si="55"/>
        <v xml:space="preserve">  </v>
      </c>
      <c r="DR27" s="50" t="str">
        <f t="shared" si="56"/>
        <v xml:space="preserve"> </v>
      </c>
      <c r="DS27" s="282"/>
      <c r="DT27" s="51"/>
      <c r="DU27" s="46" t="str">
        <f t="shared" si="57"/>
        <v xml:space="preserve"> </v>
      </c>
      <c r="DV27" s="46" t="str">
        <f t="shared" si="58"/>
        <v xml:space="preserve"> </v>
      </c>
      <c r="DW27" s="46" t="str">
        <f t="shared" si="59"/>
        <v xml:space="preserve"> </v>
      </c>
      <c r="DX27" s="46" t="str">
        <f t="shared" si="60"/>
        <v xml:space="preserve"> </v>
      </c>
      <c r="DY27" s="46" t="str">
        <f t="shared" si="61"/>
        <v xml:space="preserve"> </v>
      </c>
      <c r="DZ27" s="46" t="str">
        <f t="shared" si="62"/>
        <v xml:space="preserve"> </v>
      </c>
      <c r="EA27" s="46" t="str">
        <f t="shared" si="63"/>
        <v xml:space="preserve"> </v>
      </c>
      <c r="EB27" s="46" t="str">
        <f t="shared" si="64"/>
        <v xml:space="preserve"> </v>
      </c>
      <c r="EC27" s="46" t="str">
        <f t="shared" si="65"/>
        <v xml:space="preserve"> </v>
      </c>
      <c r="ED27" s="46"/>
      <c r="EE27" s="52">
        <f>[2]uts!J26</f>
        <v>72</v>
      </c>
      <c r="EF27" s="51"/>
      <c r="EG27" s="53" t="str">
        <f t="shared" si="66"/>
        <v xml:space="preserve">  </v>
      </c>
      <c r="EH27" s="53" t="str">
        <f t="shared" si="67"/>
        <v xml:space="preserve">  </v>
      </c>
      <c r="EI27" s="53" t="str">
        <f t="shared" si="68"/>
        <v xml:space="preserve">  </v>
      </c>
      <c r="EJ27" s="53" t="str">
        <f t="shared" si="69"/>
        <v xml:space="preserve">  </v>
      </c>
      <c r="EK27" s="53" t="str">
        <f t="shared" si="70"/>
        <v xml:space="preserve">  </v>
      </c>
      <c r="EL27" s="53" t="str">
        <f t="shared" si="71"/>
        <v xml:space="preserve">  </v>
      </c>
      <c r="EM27" s="53" t="str">
        <f t="shared" si="72"/>
        <v xml:space="preserve">  </v>
      </c>
      <c r="EN27" s="53" t="str">
        <f t="shared" si="73"/>
        <v xml:space="preserve">  </v>
      </c>
      <c r="EO27" s="53" t="str">
        <f t="shared" si="74"/>
        <v xml:space="preserve">  </v>
      </c>
      <c r="EP27" s="53"/>
      <c r="EQ27" s="54" t="str">
        <f t="shared" si="75"/>
        <v xml:space="preserve"> </v>
      </c>
      <c r="ER27" s="55">
        <f t="shared" si="76"/>
        <v>0</v>
      </c>
      <c r="ES27" s="55">
        <f t="shared" si="77"/>
        <v>0</v>
      </c>
      <c r="ET27" s="51">
        <f>SISWA!E25</f>
        <v>0</v>
      </c>
      <c r="EU27" s="51" t="str">
        <f t="shared" si="78"/>
        <v/>
      </c>
      <c r="EV27" s="56" t="str">
        <f t="shared" si="79"/>
        <v/>
      </c>
      <c r="EW27" s="57" t="str">
        <f t="shared" si="80"/>
        <v/>
      </c>
      <c r="EX27" s="57" t="str">
        <f t="shared" si="81"/>
        <v/>
      </c>
      <c r="EY27" s="57" t="str">
        <f t="shared" si="82"/>
        <v/>
      </c>
      <c r="EZ27" s="57" t="str">
        <f t="shared" si="83"/>
        <v/>
      </c>
      <c r="FA27" s="57" t="str">
        <f t="shared" si="84"/>
        <v/>
      </c>
      <c r="FB27" s="57" t="str">
        <f t="shared" si="85"/>
        <v/>
      </c>
      <c r="FC27" s="57"/>
      <c r="FD27" s="57"/>
      <c r="FE27" s="57"/>
      <c r="FF27" s="58">
        <f t="shared" si="86"/>
        <v>0</v>
      </c>
      <c r="FG27" s="55" t="e">
        <f t="shared" si="87"/>
        <v>#N/A</v>
      </c>
      <c r="FH27" s="58"/>
      <c r="FI27" s="59" t="e">
        <f>IF(ER27&gt;100,"",IF(ER27&gt;DQ$1,"sangat baik dalam "&amp;FG27,IF(ER27&gt;=DQ$2,"baik dalam "&amp;FG27,IF(ER27&gt;=DQ$3,"cukup dalam "&amp;FG27,IF(ER27&lt;DQ$3,"dengan bimbingan dapat ,meningkatkan dalam "&amp;FG27,IF(ER27&lt;1," ",””))))))</f>
        <v>#N/A</v>
      </c>
      <c r="FJ27" s="58"/>
      <c r="FK27" s="57" t="str">
        <f t="shared" si="88"/>
        <v/>
      </c>
      <c r="FL27" s="57" t="str">
        <f t="shared" si="89"/>
        <v/>
      </c>
      <c r="FM27" s="57" t="str">
        <f t="shared" si="90"/>
        <v/>
      </c>
      <c r="FN27" s="57" t="str">
        <f t="shared" si="91"/>
        <v/>
      </c>
      <c r="FO27" s="57" t="str">
        <f t="shared" si="92"/>
        <v/>
      </c>
      <c r="FP27" s="57" t="str">
        <f t="shared" si="93"/>
        <v/>
      </c>
      <c r="FQ27" s="57" t="str">
        <f t="shared" si="94"/>
        <v/>
      </c>
      <c r="FR27" s="57"/>
      <c r="FS27" s="57"/>
      <c r="FT27" s="57"/>
      <c r="FU27" s="59" t="e">
        <f t="shared" si="95"/>
        <v>#N/A</v>
      </c>
      <c r="FV27" s="59" t="e">
        <f>IF(ES27&gt;100,"",IF(ES27&gt;DQ$1,"sangat baik dalam "&amp;FU27,IF(ES27&gt;=DQ$2,"baik dalam "&amp;FU27,IF(ES27&gt;=DQ$3,"cukup dalam "&amp;FU27,IF(ES27&lt;DQ$3,"dengan bimbingan dapat meningkatkan dalam "&amp;FU27,IF(ES27&lt;1," ",””))))))</f>
        <v>#N/A</v>
      </c>
      <c r="FW27" s="61"/>
      <c r="FX27" s="62" t="e">
        <f t="shared" si="96"/>
        <v>#N/A</v>
      </c>
      <c r="FY27" s="57">
        <f t="shared" si="97"/>
        <v>0</v>
      </c>
      <c r="FZ27" s="57">
        <f t="shared" si="98"/>
        <v>0</v>
      </c>
      <c r="GA27" s="57">
        <f t="shared" si="99"/>
        <v>0</v>
      </c>
      <c r="GB27" s="57"/>
      <c r="GC27" s="57"/>
      <c r="GD27" s="57"/>
      <c r="GE27" s="59">
        <f t="shared" si="44"/>
        <v>0</v>
      </c>
      <c r="GF27" s="60"/>
      <c r="GG27" s="61"/>
      <c r="GH27" s="62" t="str">
        <f t="shared" si="100"/>
        <v>, 0</v>
      </c>
      <c r="GI27" s="4" t="str">
        <f t="shared" si="101"/>
        <v xml:space="preserve">  FALSEFALSEFALSE      </v>
      </c>
    </row>
    <row r="28" spans="1:191">
      <c r="A28" s="39">
        <v>21</v>
      </c>
      <c r="B28" s="283">
        <f>SISWA!B26</f>
        <v>0</v>
      </c>
      <c r="C28" s="123"/>
      <c r="D28" s="123"/>
      <c r="E28" s="123"/>
      <c r="F28" s="123"/>
      <c r="G28" s="123"/>
      <c r="H28" s="123"/>
      <c r="I28" s="123"/>
      <c r="J28" s="123"/>
      <c r="K28" s="123"/>
      <c r="L28" s="256"/>
      <c r="M28" s="256"/>
      <c r="N28" s="256"/>
      <c r="O28" s="256"/>
      <c r="P28" s="256"/>
      <c r="Q28" s="256"/>
      <c r="R28" s="256"/>
      <c r="S28" s="256"/>
      <c r="T28" s="256"/>
      <c r="U28" s="123"/>
      <c r="V28" s="123"/>
      <c r="W28" s="123"/>
      <c r="X28" s="123"/>
      <c r="Y28" s="123"/>
      <c r="Z28" s="123"/>
      <c r="AA28" s="123"/>
      <c r="AB28" s="123"/>
      <c r="AC28" s="123"/>
      <c r="AD28" s="256"/>
      <c r="AE28" s="256"/>
      <c r="AF28" s="256"/>
      <c r="AG28" s="256"/>
      <c r="AH28" s="256"/>
      <c r="AI28" s="256"/>
      <c r="AJ28" s="256"/>
      <c r="AK28" s="256"/>
      <c r="AL28" s="256"/>
      <c r="AM28" s="123"/>
      <c r="AN28" s="123"/>
      <c r="AO28" s="123"/>
      <c r="AP28" s="123"/>
      <c r="AQ28" s="123"/>
      <c r="AR28" s="123"/>
      <c r="AS28" s="123"/>
      <c r="AT28" s="123"/>
      <c r="AU28" s="123"/>
      <c r="AV28" s="256"/>
      <c r="AW28" s="256"/>
      <c r="AX28" s="256"/>
      <c r="AY28" s="256"/>
      <c r="AZ28" s="256"/>
      <c r="BA28" s="256"/>
      <c r="BB28" s="256"/>
      <c r="BC28" s="256"/>
      <c r="BD28" s="256"/>
      <c r="BE28" s="123"/>
      <c r="BF28" s="123"/>
      <c r="BG28" s="123"/>
      <c r="BH28" s="123"/>
      <c r="BI28" s="123"/>
      <c r="BJ28" s="123"/>
      <c r="BK28" s="123"/>
      <c r="BL28" s="123"/>
      <c r="BM28" s="123"/>
      <c r="BN28" s="256"/>
      <c r="BO28" s="256"/>
      <c r="BP28" s="256"/>
      <c r="BQ28" s="256"/>
      <c r="BR28" s="256"/>
      <c r="BS28" s="256"/>
      <c r="BT28" s="256"/>
      <c r="BU28" s="256"/>
      <c r="BV28" s="256"/>
      <c r="BW28" s="460"/>
      <c r="BX28" s="460"/>
      <c r="BY28" s="460"/>
      <c r="BZ28" s="460"/>
      <c r="CA28" s="460"/>
      <c r="CB28" s="460"/>
      <c r="CC28" s="460"/>
      <c r="CD28" s="460"/>
      <c r="CE28" s="460"/>
      <c r="CF28" s="346"/>
      <c r="CG28" s="346"/>
      <c r="CH28" s="346"/>
      <c r="CI28" s="346"/>
      <c r="CJ28" s="346"/>
      <c r="CK28" s="346"/>
      <c r="CL28" s="346"/>
      <c r="CM28" s="346"/>
      <c r="CN28" s="346"/>
      <c r="CO28" s="260" t="str">
        <f t="shared" si="45"/>
        <v xml:space="preserve"> </v>
      </c>
      <c r="CP28" s="260" t="str">
        <f t="shared" si="46"/>
        <v xml:space="preserve"> </v>
      </c>
      <c r="CQ28" s="260" t="str">
        <f t="shared" si="47"/>
        <v xml:space="preserve"> </v>
      </c>
      <c r="CR28" s="260" t="str">
        <f t="shared" si="48"/>
        <v xml:space="preserve"> </v>
      </c>
      <c r="CS28" s="260" t="str">
        <f t="shared" si="49"/>
        <v xml:space="preserve"> </v>
      </c>
      <c r="CT28" s="260" t="str">
        <f t="shared" si="50"/>
        <v xml:space="preserve"> </v>
      </c>
      <c r="CU28" s="260" t="str">
        <f t="shared" si="51"/>
        <v xml:space="preserve"> </v>
      </c>
      <c r="CV28" s="260" t="str">
        <f t="shared" si="52"/>
        <v xml:space="preserve"> </v>
      </c>
      <c r="CW28" s="260" t="str">
        <f t="shared" si="53"/>
        <v xml:space="preserve"> </v>
      </c>
      <c r="CX28" s="547"/>
      <c r="CY28" s="547"/>
      <c r="CZ28" s="547"/>
      <c r="DA28" s="547"/>
      <c r="DB28" s="547"/>
      <c r="DC28" s="547"/>
      <c r="DD28" s="547"/>
      <c r="DE28" s="547"/>
      <c r="DF28" s="547"/>
      <c r="DG28" s="565"/>
      <c r="DH28" s="565"/>
      <c r="DI28" s="565"/>
      <c r="DJ28" s="565"/>
      <c r="DK28" s="565"/>
      <c r="DL28" s="565"/>
      <c r="DM28" s="565"/>
      <c r="DN28" s="565"/>
      <c r="DO28" s="565"/>
      <c r="DP28" s="549" t="str">
        <f t="shared" si="54"/>
        <v xml:space="preserve"> </v>
      </c>
      <c r="DQ28" s="291" t="str">
        <f t="shared" si="55"/>
        <v xml:space="preserve">  </v>
      </c>
      <c r="DR28" s="50" t="str">
        <f t="shared" si="56"/>
        <v xml:space="preserve"> </v>
      </c>
      <c r="DS28" s="282"/>
      <c r="DT28" s="51"/>
      <c r="DU28" s="46" t="str">
        <f t="shared" si="57"/>
        <v xml:space="preserve"> </v>
      </c>
      <c r="DV28" s="46" t="str">
        <f t="shared" si="58"/>
        <v xml:space="preserve"> </v>
      </c>
      <c r="DW28" s="46" t="str">
        <f t="shared" si="59"/>
        <v xml:space="preserve"> </v>
      </c>
      <c r="DX28" s="46" t="str">
        <f t="shared" si="60"/>
        <v xml:space="preserve"> </v>
      </c>
      <c r="DY28" s="46" t="str">
        <f t="shared" si="61"/>
        <v xml:space="preserve"> </v>
      </c>
      <c r="DZ28" s="46" t="str">
        <f t="shared" si="62"/>
        <v xml:space="preserve"> </v>
      </c>
      <c r="EA28" s="46" t="str">
        <f t="shared" si="63"/>
        <v xml:space="preserve"> </v>
      </c>
      <c r="EB28" s="46" t="str">
        <f t="shared" si="64"/>
        <v xml:space="preserve"> </v>
      </c>
      <c r="EC28" s="46" t="str">
        <f t="shared" si="65"/>
        <v xml:space="preserve"> </v>
      </c>
      <c r="ED28" s="46"/>
      <c r="EE28" s="52">
        <f>[2]uts!J27</f>
        <v>81</v>
      </c>
      <c r="EF28" s="51"/>
      <c r="EG28" s="53" t="str">
        <f t="shared" si="66"/>
        <v xml:space="preserve">  </v>
      </c>
      <c r="EH28" s="53" t="str">
        <f t="shared" si="67"/>
        <v xml:space="preserve">  </v>
      </c>
      <c r="EI28" s="53" t="str">
        <f t="shared" si="68"/>
        <v xml:space="preserve">  </v>
      </c>
      <c r="EJ28" s="53" t="str">
        <f t="shared" si="69"/>
        <v xml:space="preserve">  </v>
      </c>
      <c r="EK28" s="53" t="str">
        <f t="shared" si="70"/>
        <v xml:space="preserve">  </v>
      </c>
      <c r="EL28" s="53" t="str">
        <f t="shared" si="71"/>
        <v xml:space="preserve">  </v>
      </c>
      <c r="EM28" s="53" t="str">
        <f t="shared" si="72"/>
        <v xml:space="preserve">  </v>
      </c>
      <c r="EN28" s="53" t="str">
        <f t="shared" si="73"/>
        <v xml:space="preserve">  </v>
      </c>
      <c r="EO28" s="53" t="str">
        <f t="shared" si="74"/>
        <v xml:space="preserve">  </v>
      </c>
      <c r="EP28" s="53"/>
      <c r="EQ28" s="54" t="str">
        <f t="shared" si="75"/>
        <v xml:space="preserve"> </v>
      </c>
      <c r="ER28" s="55">
        <f t="shared" si="76"/>
        <v>0</v>
      </c>
      <c r="ES28" s="55">
        <f t="shared" si="77"/>
        <v>0</v>
      </c>
      <c r="ET28" s="51">
        <f>SISWA!E26</f>
        <v>0</v>
      </c>
      <c r="EU28" s="51" t="str">
        <f t="shared" si="78"/>
        <v/>
      </c>
      <c r="EV28" s="56" t="str">
        <f t="shared" si="79"/>
        <v/>
      </c>
      <c r="EW28" s="57" t="str">
        <f t="shared" si="80"/>
        <v/>
      </c>
      <c r="EX28" s="57" t="str">
        <f t="shared" si="81"/>
        <v/>
      </c>
      <c r="EY28" s="57" t="str">
        <f t="shared" si="82"/>
        <v/>
      </c>
      <c r="EZ28" s="57" t="str">
        <f t="shared" si="83"/>
        <v/>
      </c>
      <c r="FA28" s="57" t="str">
        <f t="shared" si="84"/>
        <v/>
      </c>
      <c r="FB28" s="57" t="str">
        <f t="shared" si="85"/>
        <v/>
      </c>
      <c r="FC28" s="57"/>
      <c r="FD28" s="57"/>
      <c r="FE28" s="57"/>
      <c r="FF28" s="58">
        <f t="shared" si="86"/>
        <v>0</v>
      </c>
      <c r="FG28" s="55" t="e">
        <f t="shared" si="87"/>
        <v>#N/A</v>
      </c>
      <c r="FH28" s="58"/>
      <c r="FI28" s="59" t="e">
        <f>IF(ER28&gt;100,"",IF(ER28&gt;DQ$1,"sangat baik dalam "&amp;FG28,IF(ER28&gt;=DQ$2,"baik dalam "&amp;FG28,IF(ER28&gt;=DQ$3,"cukup dalam "&amp;FG28,IF(ER28&lt;DQ$3,"dengan bimbingan dapat ,meningkatkan dalam "&amp;FG28,IF(ER28&lt;1," ",””))))))</f>
        <v>#N/A</v>
      </c>
      <c r="FJ28" s="58"/>
      <c r="FK28" s="57" t="str">
        <f t="shared" si="88"/>
        <v/>
      </c>
      <c r="FL28" s="57" t="str">
        <f t="shared" si="89"/>
        <v/>
      </c>
      <c r="FM28" s="57" t="str">
        <f t="shared" si="90"/>
        <v/>
      </c>
      <c r="FN28" s="57" t="str">
        <f t="shared" si="91"/>
        <v/>
      </c>
      <c r="FO28" s="57" t="str">
        <f t="shared" si="92"/>
        <v/>
      </c>
      <c r="FP28" s="57" t="str">
        <f t="shared" si="93"/>
        <v/>
      </c>
      <c r="FQ28" s="57" t="str">
        <f t="shared" si="94"/>
        <v/>
      </c>
      <c r="FR28" s="57"/>
      <c r="FS28" s="57"/>
      <c r="FT28" s="57"/>
      <c r="FU28" s="59" t="e">
        <f t="shared" si="95"/>
        <v>#N/A</v>
      </c>
      <c r="FV28" s="59" t="e">
        <f>IF(ES28&gt;100,"",IF(ES28&gt;DQ$1,"sangat baik dalam "&amp;FU28,IF(ES28&gt;=DQ$2,"baik dalam "&amp;FU28,IF(ES28&gt;=DQ$3,"cukup dalam "&amp;FU28,IF(ES28&lt;DQ$3,"dengan bimbingan dapat meningkatkan dalam "&amp;FU28,IF(ES28&lt;1," ",””))))))</f>
        <v>#N/A</v>
      </c>
      <c r="FW28" s="61"/>
      <c r="FX28" s="62" t="e">
        <f t="shared" si="96"/>
        <v>#N/A</v>
      </c>
      <c r="FY28" s="57">
        <f t="shared" si="97"/>
        <v>0</v>
      </c>
      <c r="FZ28" s="57">
        <f t="shared" si="98"/>
        <v>0</v>
      </c>
      <c r="GA28" s="57">
        <f t="shared" si="99"/>
        <v>0</v>
      </c>
      <c r="GB28" s="57"/>
      <c r="GC28" s="57"/>
      <c r="GD28" s="57"/>
      <c r="GE28" s="59">
        <f t="shared" si="44"/>
        <v>0</v>
      </c>
      <c r="GF28" s="60"/>
      <c r="GG28" s="61"/>
      <c r="GH28" s="62" t="str">
        <f t="shared" si="100"/>
        <v>, 0</v>
      </c>
    </row>
    <row r="29" spans="1:191">
      <c r="A29" s="39">
        <v>22</v>
      </c>
      <c r="B29" s="283">
        <f>SISWA!B27</f>
        <v>0</v>
      </c>
      <c r="C29" s="123"/>
      <c r="D29" s="123"/>
      <c r="E29" s="123"/>
      <c r="F29" s="123"/>
      <c r="G29" s="123"/>
      <c r="H29" s="123"/>
      <c r="I29" s="123"/>
      <c r="J29" s="123"/>
      <c r="K29" s="123"/>
      <c r="L29" s="256"/>
      <c r="M29" s="256"/>
      <c r="N29" s="256"/>
      <c r="O29" s="256"/>
      <c r="P29" s="256"/>
      <c r="Q29" s="256"/>
      <c r="R29" s="256"/>
      <c r="S29" s="256"/>
      <c r="T29" s="256"/>
      <c r="U29" s="123"/>
      <c r="V29" s="123"/>
      <c r="W29" s="123"/>
      <c r="X29" s="123"/>
      <c r="Y29" s="123"/>
      <c r="Z29" s="123"/>
      <c r="AA29" s="123"/>
      <c r="AB29" s="123"/>
      <c r="AC29" s="123"/>
      <c r="AD29" s="256"/>
      <c r="AE29" s="256"/>
      <c r="AF29" s="256"/>
      <c r="AG29" s="256"/>
      <c r="AH29" s="256"/>
      <c r="AI29" s="256"/>
      <c r="AJ29" s="256"/>
      <c r="AK29" s="256"/>
      <c r="AL29" s="256"/>
      <c r="AM29" s="123"/>
      <c r="AN29" s="123"/>
      <c r="AO29" s="123"/>
      <c r="AP29" s="123"/>
      <c r="AQ29" s="123"/>
      <c r="AR29" s="123"/>
      <c r="AS29" s="123"/>
      <c r="AT29" s="123"/>
      <c r="AU29" s="123"/>
      <c r="AV29" s="256"/>
      <c r="AW29" s="256"/>
      <c r="AX29" s="256"/>
      <c r="AY29" s="256"/>
      <c r="AZ29" s="256"/>
      <c r="BA29" s="256"/>
      <c r="BB29" s="256"/>
      <c r="BC29" s="256"/>
      <c r="BD29" s="256"/>
      <c r="BE29" s="123"/>
      <c r="BF29" s="123"/>
      <c r="BG29" s="123"/>
      <c r="BH29" s="123"/>
      <c r="BI29" s="123"/>
      <c r="BJ29" s="123"/>
      <c r="BK29" s="123"/>
      <c r="BL29" s="123"/>
      <c r="BM29" s="123"/>
      <c r="BN29" s="256"/>
      <c r="BO29" s="256"/>
      <c r="BP29" s="256"/>
      <c r="BQ29" s="256"/>
      <c r="BR29" s="256"/>
      <c r="BS29" s="256"/>
      <c r="BT29" s="256"/>
      <c r="BU29" s="256"/>
      <c r="BV29" s="256"/>
      <c r="BW29" s="460"/>
      <c r="BX29" s="460"/>
      <c r="BY29" s="460"/>
      <c r="BZ29" s="460"/>
      <c r="CA29" s="460"/>
      <c r="CB29" s="460"/>
      <c r="CC29" s="460"/>
      <c r="CD29" s="460"/>
      <c r="CE29" s="460"/>
      <c r="CF29" s="346"/>
      <c r="CG29" s="346"/>
      <c r="CH29" s="346"/>
      <c r="CI29" s="346"/>
      <c r="CJ29" s="346"/>
      <c r="CK29" s="346"/>
      <c r="CL29" s="346"/>
      <c r="CM29" s="346"/>
      <c r="CN29" s="346"/>
      <c r="CO29" s="260" t="str">
        <f t="shared" si="45"/>
        <v xml:space="preserve"> </v>
      </c>
      <c r="CP29" s="260" t="str">
        <f t="shared" si="46"/>
        <v xml:space="preserve"> </v>
      </c>
      <c r="CQ29" s="260" t="str">
        <f t="shared" si="47"/>
        <v xml:space="preserve"> </v>
      </c>
      <c r="CR29" s="260" t="str">
        <f t="shared" si="48"/>
        <v xml:space="preserve"> </v>
      </c>
      <c r="CS29" s="260" t="str">
        <f t="shared" si="49"/>
        <v xml:space="preserve"> </v>
      </c>
      <c r="CT29" s="260" t="str">
        <f t="shared" si="50"/>
        <v xml:space="preserve"> </v>
      </c>
      <c r="CU29" s="260" t="str">
        <f t="shared" si="51"/>
        <v xml:space="preserve"> </v>
      </c>
      <c r="CV29" s="260" t="str">
        <f t="shared" si="52"/>
        <v xml:space="preserve"> </v>
      </c>
      <c r="CW29" s="260" t="str">
        <f t="shared" si="53"/>
        <v xml:space="preserve"> </v>
      </c>
      <c r="CX29" s="547"/>
      <c r="CY29" s="547"/>
      <c r="CZ29" s="547"/>
      <c r="DA29" s="547"/>
      <c r="DB29" s="547"/>
      <c r="DC29" s="547"/>
      <c r="DD29" s="547"/>
      <c r="DE29" s="547"/>
      <c r="DF29" s="547"/>
      <c r="DG29" s="565"/>
      <c r="DH29" s="565"/>
      <c r="DI29" s="565"/>
      <c r="DJ29" s="565"/>
      <c r="DK29" s="565"/>
      <c r="DL29" s="565"/>
      <c r="DM29" s="565"/>
      <c r="DN29" s="565"/>
      <c r="DO29" s="565"/>
      <c r="DP29" s="549" t="str">
        <f t="shared" si="54"/>
        <v xml:space="preserve"> </v>
      </c>
      <c r="DQ29" s="291" t="str">
        <f t="shared" si="55"/>
        <v xml:space="preserve">  </v>
      </c>
      <c r="DR29" s="50" t="str">
        <f t="shared" si="56"/>
        <v xml:space="preserve"> </v>
      </c>
      <c r="DS29" s="282"/>
      <c r="DT29" s="51"/>
      <c r="DU29" s="46" t="str">
        <f t="shared" si="57"/>
        <v xml:space="preserve"> </v>
      </c>
      <c r="DV29" s="46" t="str">
        <f t="shared" si="58"/>
        <v xml:space="preserve"> </v>
      </c>
      <c r="DW29" s="46" t="str">
        <f t="shared" si="59"/>
        <v xml:space="preserve"> </v>
      </c>
      <c r="DX29" s="46" t="str">
        <f t="shared" si="60"/>
        <v xml:space="preserve"> </v>
      </c>
      <c r="DY29" s="46" t="str">
        <f t="shared" si="61"/>
        <v xml:space="preserve"> </v>
      </c>
      <c r="DZ29" s="46" t="str">
        <f t="shared" si="62"/>
        <v xml:space="preserve"> </v>
      </c>
      <c r="EA29" s="46" t="str">
        <f t="shared" si="63"/>
        <v xml:space="preserve"> </v>
      </c>
      <c r="EB29" s="46" t="str">
        <f t="shared" si="64"/>
        <v xml:space="preserve"> </v>
      </c>
      <c r="EC29" s="46" t="str">
        <f t="shared" si="65"/>
        <v xml:space="preserve"> </v>
      </c>
      <c r="ED29" s="46"/>
      <c r="EE29" s="52">
        <f>[2]uts!J28</f>
        <v>77</v>
      </c>
      <c r="EF29" s="51"/>
      <c r="EG29" s="53" t="str">
        <f t="shared" si="66"/>
        <v xml:space="preserve">  </v>
      </c>
      <c r="EH29" s="53" t="str">
        <f t="shared" si="67"/>
        <v xml:space="preserve">  </v>
      </c>
      <c r="EI29" s="53" t="str">
        <f t="shared" si="68"/>
        <v xml:space="preserve">  </v>
      </c>
      <c r="EJ29" s="53" t="str">
        <f t="shared" si="69"/>
        <v xml:space="preserve">  </v>
      </c>
      <c r="EK29" s="53" t="str">
        <f t="shared" si="70"/>
        <v xml:space="preserve">  </v>
      </c>
      <c r="EL29" s="53" t="str">
        <f t="shared" si="71"/>
        <v xml:space="preserve">  </v>
      </c>
      <c r="EM29" s="53" t="str">
        <f t="shared" si="72"/>
        <v xml:space="preserve">  </v>
      </c>
      <c r="EN29" s="53" t="str">
        <f t="shared" si="73"/>
        <v xml:space="preserve">  </v>
      </c>
      <c r="EO29" s="53" t="str">
        <f t="shared" si="74"/>
        <v xml:space="preserve">  </v>
      </c>
      <c r="EP29" s="53"/>
      <c r="EQ29" s="54" t="str">
        <f t="shared" si="75"/>
        <v xml:space="preserve"> </v>
      </c>
      <c r="ER29" s="55">
        <f t="shared" si="76"/>
        <v>0</v>
      </c>
      <c r="ES29" s="55">
        <f t="shared" si="77"/>
        <v>0</v>
      </c>
      <c r="ET29" s="51">
        <f>SISWA!E27</f>
        <v>0</v>
      </c>
      <c r="EU29" s="51" t="str">
        <f t="shared" si="78"/>
        <v/>
      </c>
      <c r="EV29" s="56" t="str">
        <f t="shared" si="79"/>
        <v/>
      </c>
      <c r="EW29" s="57" t="str">
        <f t="shared" si="80"/>
        <v/>
      </c>
      <c r="EX29" s="57" t="str">
        <f t="shared" si="81"/>
        <v/>
      </c>
      <c r="EY29" s="57" t="str">
        <f t="shared" si="82"/>
        <v/>
      </c>
      <c r="EZ29" s="57" t="str">
        <f t="shared" si="83"/>
        <v/>
      </c>
      <c r="FA29" s="57" t="str">
        <f t="shared" si="84"/>
        <v/>
      </c>
      <c r="FB29" s="57" t="str">
        <f t="shared" si="85"/>
        <v/>
      </c>
      <c r="FC29" s="57"/>
      <c r="FD29" s="57"/>
      <c r="FE29" s="57"/>
      <c r="FF29" s="58">
        <f t="shared" si="86"/>
        <v>0</v>
      </c>
      <c r="FG29" s="55" t="e">
        <f t="shared" si="87"/>
        <v>#N/A</v>
      </c>
      <c r="FH29" s="58"/>
      <c r="FI29" s="59" t="e">
        <f>IF(ER29&gt;100,"",IF(ER29&gt;DQ$1,"sangat baik dalam "&amp;FG29,IF(ER29&gt;=DQ$2,"baik dalam "&amp;FG29,IF(ER29&gt;=DQ$3,"cukup dalam "&amp;FG29,IF(ER29&lt;DQ$3,"dengan bimbingan dapat ,meningkatkan dalam "&amp;FG29,IF(ER29&lt;1," ",””))))))</f>
        <v>#N/A</v>
      </c>
      <c r="FJ29" s="58"/>
      <c r="FK29" s="57" t="str">
        <f t="shared" si="88"/>
        <v/>
      </c>
      <c r="FL29" s="57" t="str">
        <f t="shared" si="89"/>
        <v/>
      </c>
      <c r="FM29" s="57" t="str">
        <f t="shared" si="90"/>
        <v/>
      </c>
      <c r="FN29" s="57" t="str">
        <f t="shared" si="91"/>
        <v/>
      </c>
      <c r="FO29" s="57" t="str">
        <f t="shared" si="92"/>
        <v/>
      </c>
      <c r="FP29" s="57" t="str">
        <f t="shared" si="93"/>
        <v/>
      </c>
      <c r="FQ29" s="57" t="str">
        <f t="shared" si="94"/>
        <v/>
      </c>
      <c r="FR29" s="57"/>
      <c r="FS29" s="57"/>
      <c r="FT29" s="57"/>
      <c r="FU29" s="59" t="e">
        <f t="shared" si="95"/>
        <v>#N/A</v>
      </c>
      <c r="FV29" s="59" t="e">
        <f>IF(ES29&gt;100,"",IF(ES29&gt;DQ$1,"sangat baik dalam "&amp;FU29,IF(ES29&gt;=DQ$2,"baik dalam "&amp;FU29,IF(ES29&gt;=DQ$3,"cukup dalam "&amp;FU29,IF(ES29&lt;DQ$3,"dengan bimbingan dapat meningkatkan dalam "&amp;FU29,IF(ES29&lt;1," ",””))))))</f>
        <v>#N/A</v>
      </c>
      <c r="FW29" s="61"/>
      <c r="FX29" s="62" t="e">
        <f t="shared" si="96"/>
        <v>#N/A</v>
      </c>
      <c r="FY29" s="57">
        <f t="shared" si="97"/>
        <v>0</v>
      </c>
      <c r="FZ29" s="57">
        <f t="shared" si="98"/>
        <v>0</v>
      </c>
      <c r="GA29" s="57">
        <f t="shared" si="99"/>
        <v>0</v>
      </c>
      <c r="GB29" s="57"/>
      <c r="GC29" s="57"/>
      <c r="GD29" s="57"/>
      <c r="GE29" s="59">
        <f t="shared" si="44"/>
        <v>0</v>
      </c>
      <c r="GF29" s="60"/>
      <c r="GG29" s="61"/>
      <c r="GH29" s="62" t="str">
        <f t="shared" si="100"/>
        <v>, 0</v>
      </c>
    </row>
    <row r="30" spans="1:191">
      <c r="A30" s="39">
        <v>23</v>
      </c>
      <c r="B30" s="283">
        <f>SISWA!B28</f>
        <v>0</v>
      </c>
      <c r="C30" s="123"/>
      <c r="D30" s="123"/>
      <c r="E30" s="123"/>
      <c r="F30" s="123"/>
      <c r="G30" s="123"/>
      <c r="H30" s="123"/>
      <c r="I30" s="123"/>
      <c r="J30" s="123"/>
      <c r="K30" s="123"/>
      <c r="L30" s="256"/>
      <c r="M30" s="256"/>
      <c r="N30" s="256"/>
      <c r="O30" s="256"/>
      <c r="P30" s="256"/>
      <c r="Q30" s="256"/>
      <c r="R30" s="256"/>
      <c r="S30" s="256"/>
      <c r="T30" s="256"/>
      <c r="U30" s="123"/>
      <c r="V30" s="123"/>
      <c r="W30" s="123"/>
      <c r="X30" s="123"/>
      <c r="Y30" s="123"/>
      <c r="Z30" s="123"/>
      <c r="AA30" s="123"/>
      <c r="AB30" s="123"/>
      <c r="AC30" s="123"/>
      <c r="AD30" s="256"/>
      <c r="AE30" s="256"/>
      <c r="AF30" s="256"/>
      <c r="AG30" s="256"/>
      <c r="AH30" s="256"/>
      <c r="AI30" s="256"/>
      <c r="AJ30" s="256"/>
      <c r="AK30" s="256"/>
      <c r="AL30" s="256"/>
      <c r="AM30" s="123"/>
      <c r="AN30" s="123"/>
      <c r="AO30" s="123"/>
      <c r="AP30" s="123"/>
      <c r="AQ30" s="123"/>
      <c r="AR30" s="123"/>
      <c r="AS30" s="123"/>
      <c r="AT30" s="123"/>
      <c r="AU30" s="123"/>
      <c r="AV30" s="256"/>
      <c r="AW30" s="256"/>
      <c r="AX30" s="256"/>
      <c r="AY30" s="256"/>
      <c r="AZ30" s="256"/>
      <c r="BA30" s="256"/>
      <c r="BB30" s="256"/>
      <c r="BC30" s="256"/>
      <c r="BD30" s="256"/>
      <c r="BE30" s="123"/>
      <c r="BF30" s="123"/>
      <c r="BG30" s="123"/>
      <c r="BH30" s="123"/>
      <c r="BI30" s="123"/>
      <c r="BJ30" s="123"/>
      <c r="BK30" s="123"/>
      <c r="BL30" s="123"/>
      <c r="BM30" s="123"/>
      <c r="BN30" s="256"/>
      <c r="BO30" s="256"/>
      <c r="BP30" s="256"/>
      <c r="BQ30" s="256"/>
      <c r="BR30" s="256"/>
      <c r="BS30" s="256"/>
      <c r="BT30" s="256"/>
      <c r="BU30" s="256"/>
      <c r="BV30" s="256"/>
      <c r="BW30" s="460"/>
      <c r="BX30" s="460"/>
      <c r="BY30" s="460"/>
      <c r="BZ30" s="460"/>
      <c r="CA30" s="460"/>
      <c r="CB30" s="460"/>
      <c r="CC30" s="460"/>
      <c r="CD30" s="460"/>
      <c r="CE30" s="460"/>
      <c r="CF30" s="346"/>
      <c r="CG30" s="346"/>
      <c r="CH30" s="346"/>
      <c r="CI30" s="346"/>
      <c r="CJ30" s="346"/>
      <c r="CK30" s="346"/>
      <c r="CL30" s="346"/>
      <c r="CM30" s="346"/>
      <c r="CN30" s="346"/>
      <c r="CO30" s="260" t="str">
        <f t="shared" si="45"/>
        <v xml:space="preserve"> </v>
      </c>
      <c r="CP30" s="260" t="str">
        <f t="shared" si="46"/>
        <v xml:space="preserve"> </v>
      </c>
      <c r="CQ30" s="260" t="str">
        <f t="shared" si="47"/>
        <v xml:space="preserve"> </v>
      </c>
      <c r="CR30" s="260" t="str">
        <f t="shared" si="48"/>
        <v xml:space="preserve"> </v>
      </c>
      <c r="CS30" s="260" t="str">
        <f t="shared" si="49"/>
        <v xml:space="preserve"> </v>
      </c>
      <c r="CT30" s="260" t="str">
        <f t="shared" si="50"/>
        <v xml:space="preserve"> </v>
      </c>
      <c r="CU30" s="260" t="str">
        <f t="shared" si="51"/>
        <v xml:space="preserve"> </v>
      </c>
      <c r="CV30" s="260" t="str">
        <f t="shared" si="52"/>
        <v xml:space="preserve"> </v>
      </c>
      <c r="CW30" s="260" t="str">
        <f t="shared" si="53"/>
        <v xml:space="preserve"> </v>
      </c>
      <c r="CX30" s="547"/>
      <c r="CY30" s="547"/>
      <c r="CZ30" s="547"/>
      <c r="DA30" s="547"/>
      <c r="DB30" s="547"/>
      <c r="DC30" s="547"/>
      <c r="DD30" s="547"/>
      <c r="DE30" s="547"/>
      <c r="DF30" s="547"/>
      <c r="DG30" s="565"/>
      <c r="DH30" s="565"/>
      <c r="DI30" s="565"/>
      <c r="DJ30" s="565"/>
      <c r="DK30" s="565"/>
      <c r="DL30" s="565"/>
      <c r="DM30" s="565"/>
      <c r="DN30" s="565"/>
      <c r="DO30" s="565"/>
      <c r="DP30" s="549" t="str">
        <f t="shared" si="54"/>
        <v xml:space="preserve"> </v>
      </c>
      <c r="DQ30" s="291" t="str">
        <f t="shared" si="55"/>
        <v xml:space="preserve">  </v>
      </c>
      <c r="DR30" s="50" t="str">
        <f t="shared" si="56"/>
        <v xml:space="preserve"> </v>
      </c>
      <c r="DS30" s="282"/>
      <c r="DT30" s="51"/>
      <c r="DU30" s="46" t="str">
        <f t="shared" si="57"/>
        <v xml:space="preserve"> </v>
      </c>
      <c r="DV30" s="46" t="str">
        <f t="shared" si="58"/>
        <v xml:space="preserve"> </v>
      </c>
      <c r="DW30" s="46" t="str">
        <f t="shared" si="59"/>
        <v xml:space="preserve"> </v>
      </c>
      <c r="DX30" s="46" t="str">
        <f t="shared" si="60"/>
        <v xml:space="preserve"> </v>
      </c>
      <c r="DY30" s="46" t="str">
        <f t="shared" si="61"/>
        <v xml:space="preserve"> </v>
      </c>
      <c r="DZ30" s="46" t="str">
        <f t="shared" si="62"/>
        <v xml:space="preserve"> </v>
      </c>
      <c r="EA30" s="46" t="str">
        <f t="shared" si="63"/>
        <v xml:space="preserve"> </v>
      </c>
      <c r="EB30" s="46" t="str">
        <f t="shared" si="64"/>
        <v xml:space="preserve"> </v>
      </c>
      <c r="EC30" s="46" t="str">
        <f t="shared" si="65"/>
        <v xml:space="preserve"> </v>
      </c>
      <c r="ED30" s="46"/>
      <c r="EE30" s="52">
        <f>[2]uts!J29</f>
        <v>81</v>
      </c>
      <c r="EF30" s="51"/>
      <c r="EG30" s="53" t="str">
        <f t="shared" si="66"/>
        <v xml:space="preserve">  </v>
      </c>
      <c r="EH30" s="53" t="str">
        <f t="shared" si="67"/>
        <v xml:space="preserve">  </v>
      </c>
      <c r="EI30" s="53" t="str">
        <f t="shared" si="68"/>
        <v xml:space="preserve">  </v>
      </c>
      <c r="EJ30" s="53" t="str">
        <f t="shared" si="69"/>
        <v xml:space="preserve">  </v>
      </c>
      <c r="EK30" s="53" t="str">
        <f t="shared" si="70"/>
        <v xml:space="preserve">  </v>
      </c>
      <c r="EL30" s="53" t="str">
        <f t="shared" si="71"/>
        <v xml:space="preserve">  </v>
      </c>
      <c r="EM30" s="53" t="str">
        <f t="shared" si="72"/>
        <v xml:space="preserve">  </v>
      </c>
      <c r="EN30" s="53" t="str">
        <f t="shared" si="73"/>
        <v xml:space="preserve">  </v>
      </c>
      <c r="EO30" s="53" t="str">
        <f t="shared" si="74"/>
        <v xml:space="preserve">  </v>
      </c>
      <c r="EP30" s="53"/>
      <c r="EQ30" s="54" t="str">
        <f t="shared" si="75"/>
        <v xml:space="preserve"> </v>
      </c>
      <c r="ER30" s="55">
        <f t="shared" si="76"/>
        <v>0</v>
      </c>
      <c r="ES30" s="55">
        <f t="shared" si="77"/>
        <v>0</v>
      </c>
      <c r="ET30" s="51">
        <f>SISWA!E28</f>
        <v>0</v>
      </c>
      <c r="EU30" s="51" t="str">
        <f t="shared" si="78"/>
        <v/>
      </c>
      <c r="EV30" s="56" t="str">
        <f t="shared" si="79"/>
        <v/>
      </c>
      <c r="EW30" s="57" t="str">
        <f t="shared" si="80"/>
        <v/>
      </c>
      <c r="EX30" s="57" t="str">
        <f t="shared" si="81"/>
        <v/>
      </c>
      <c r="EY30" s="57" t="str">
        <f t="shared" si="82"/>
        <v/>
      </c>
      <c r="EZ30" s="57" t="str">
        <f t="shared" si="83"/>
        <v/>
      </c>
      <c r="FA30" s="57" t="str">
        <f t="shared" si="84"/>
        <v/>
      </c>
      <c r="FB30" s="57" t="str">
        <f t="shared" si="85"/>
        <v/>
      </c>
      <c r="FC30" s="57"/>
      <c r="FD30" s="57"/>
      <c r="FE30" s="57"/>
      <c r="FF30" s="58">
        <f t="shared" si="86"/>
        <v>0</v>
      </c>
      <c r="FG30" s="55" t="e">
        <f t="shared" si="87"/>
        <v>#N/A</v>
      </c>
      <c r="FH30" s="58"/>
      <c r="FI30" s="59" t="e">
        <f>IF(ER30&gt;100,"",IF(ER30&gt;DQ$1,"sangat baik dalam "&amp;FG30,IF(ER30&gt;=DQ$2,"baik dalam "&amp;FG30,IF(ER30&gt;=DQ$3,"cukup dalam "&amp;FG30,IF(ER30&lt;DQ$3,"dengan bimbingan dapat ,meningkatkan dalam "&amp;FG30,IF(ER30&lt;1," ",””))))))</f>
        <v>#N/A</v>
      </c>
      <c r="FJ30" s="58"/>
      <c r="FK30" s="57" t="str">
        <f t="shared" si="88"/>
        <v/>
      </c>
      <c r="FL30" s="57" t="str">
        <f t="shared" si="89"/>
        <v/>
      </c>
      <c r="FM30" s="57" t="str">
        <f t="shared" si="90"/>
        <v/>
      </c>
      <c r="FN30" s="57" t="str">
        <f t="shared" si="91"/>
        <v/>
      </c>
      <c r="FO30" s="57" t="str">
        <f t="shared" si="92"/>
        <v/>
      </c>
      <c r="FP30" s="57" t="str">
        <f t="shared" si="93"/>
        <v/>
      </c>
      <c r="FQ30" s="57" t="str">
        <f t="shared" si="94"/>
        <v/>
      </c>
      <c r="FR30" s="57"/>
      <c r="FS30" s="57"/>
      <c r="FT30" s="57"/>
      <c r="FU30" s="59" t="e">
        <f t="shared" si="95"/>
        <v>#N/A</v>
      </c>
      <c r="FV30" s="59" t="e">
        <f>IF(ES30&gt;100,"",IF(ES30&gt;DQ$1,"sangat baik dalam "&amp;FU30,IF(ES30&gt;=DQ$2,"baik dalam "&amp;FU30,IF(ES30&gt;=DQ$3,"cukup dalam "&amp;FU30,IF(ES30&lt;DQ$3,"dengan bimbingan dapat meningkatkan dalam "&amp;FU30,IF(ES30&lt;1," ",””))))))</f>
        <v>#N/A</v>
      </c>
      <c r="FW30" s="61"/>
      <c r="FX30" s="62" t="e">
        <f t="shared" si="96"/>
        <v>#N/A</v>
      </c>
      <c r="FY30" s="57">
        <f t="shared" si="97"/>
        <v>0</v>
      </c>
      <c r="FZ30" s="57">
        <f t="shared" si="98"/>
        <v>0</v>
      </c>
      <c r="GA30" s="57">
        <f t="shared" si="99"/>
        <v>0</v>
      </c>
      <c r="GB30" s="57"/>
      <c r="GC30" s="57"/>
      <c r="GD30" s="57"/>
      <c r="GE30" s="59">
        <f t="shared" si="44"/>
        <v>0</v>
      </c>
      <c r="GF30" s="60"/>
      <c r="GG30" s="61"/>
      <c r="GH30" s="62" t="str">
        <f t="shared" si="100"/>
        <v>, 0</v>
      </c>
    </row>
    <row r="31" spans="1:191">
      <c r="A31" s="39">
        <v>24</v>
      </c>
      <c r="B31" s="283">
        <f>SISWA!B29</f>
        <v>0</v>
      </c>
      <c r="C31" s="123"/>
      <c r="D31" s="123"/>
      <c r="E31" s="123"/>
      <c r="F31" s="123"/>
      <c r="G31" s="123"/>
      <c r="H31" s="123"/>
      <c r="I31" s="123"/>
      <c r="J31" s="123"/>
      <c r="K31" s="123"/>
      <c r="L31" s="256"/>
      <c r="M31" s="256"/>
      <c r="N31" s="256"/>
      <c r="O31" s="256"/>
      <c r="P31" s="256"/>
      <c r="Q31" s="256"/>
      <c r="R31" s="256"/>
      <c r="S31" s="256"/>
      <c r="T31" s="256"/>
      <c r="U31" s="123"/>
      <c r="V31" s="123"/>
      <c r="W31" s="123"/>
      <c r="X31" s="123"/>
      <c r="Y31" s="123"/>
      <c r="Z31" s="123"/>
      <c r="AA31" s="123"/>
      <c r="AB31" s="123"/>
      <c r="AC31" s="123"/>
      <c r="AD31" s="256"/>
      <c r="AE31" s="256"/>
      <c r="AF31" s="256"/>
      <c r="AG31" s="256"/>
      <c r="AH31" s="256"/>
      <c r="AI31" s="256"/>
      <c r="AJ31" s="256"/>
      <c r="AK31" s="256"/>
      <c r="AL31" s="256"/>
      <c r="AM31" s="123"/>
      <c r="AN31" s="123"/>
      <c r="AO31" s="123"/>
      <c r="AP31" s="123"/>
      <c r="AQ31" s="123"/>
      <c r="AR31" s="123"/>
      <c r="AS31" s="123"/>
      <c r="AT31" s="123"/>
      <c r="AU31" s="123"/>
      <c r="AV31" s="256"/>
      <c r="AW31" s="256"/>
      <c r="AX31" s="256"/>
      <c r="AY31" s="256"/>
      <c r="AZ31" s="256"/>
      <c r="BA31" s="256"/>
      <c r="BB31" s="256"/>
      <c r="BC31" s="256"/>
      <c r="BD31" s="256"/>
      <c r="BE31" s="123"/>
      <c r="BF31" s="123"/>
      <c r="BG31" s="123"/>
      <c r="BH31" s="123"/>
      <c r="BI31" s="123"/>
      <c r="BJ31" s="123"/>
      <c r="BK31" s="123"/>
      <c r="BL31" s="123"/>
      <c r="BM31" s="123"/>
      <c r="BN31" s="256"/>
      <c r="BO31" s="256"/>
      <c r="BP31" s="256"/>
      <c r="BQ31" s="256"/>
      <c r="BR31" s="256"/>
      <c r="BS31" s="256"/>
      <c r="BT31" s="256"/>
      <c r="BU31" s="256"/>
      <c r="BV31" s="256"/>
      <c r="BW31" s="460"/>
      <c r="BX31" s="460"/>
      <c r="BY31" s="460"/>
      <c r="BZ31" s="460"/>
      <c r="CA31" s="460"/>
      <c r="CB31" s="460"/>
      <c r="CC31" s="460"/>
      <c r="CD31" s="460"/>
      <c r="CE31" s="460"/>
      <c r="CF31" s="346"/>
      <c r="CG31" s="346"/>
      <c r="CH31" s="346"/>
      <c r="CI31" s="346"/>
      <c r="CJ31" s="346"/>
      <c r="CK31" s="346"/>
      <c r="CL31" s="346"/>
      <c r="CM31" s="346"/>
      <c r="CN31" s="346"/>
      <c r="CO31" s="260" t="str">
        <f t="shared" si="45"/>
        <v xml:space="preserve"> </v>
      </c>
      <c r="CP31" s="260" t="str">
        <f t="shared" si="46"/>
        <v xml:space="preserve"> </v>
      </c>
      <c r="CQ31" s="260" t="str">
        <f t="shared" si="47"/>
        <v xml:space="preserve"> </v>
      </c>
      <c r="CR31" s="260" t="str">
        <f t="shared" si="48"/>
        <v xml:space="preserve"> </v>
      </c>
      <c r="CS31" s="260" t="str">
        <f t="shared" si="49"/>
        <v xml:space="preserve"> </v>
      </c>
      <c r="CT31" s="260" t="str">
        <f t="shared" si="50"/>
        <v xml:space="preserve"> </v>
      </c>
      <c r="CU31" s="260" t="str">
        <f t="shared" si="51"/>
        <v xml:space="preserve"> </v>
      </c>
      <c r="CV31" s="260" t="str">
        <f t="shared" si="52"/>
        <v xml:space="preserve"> </v>
      </c>
      <c r="CW31" s="260" t="str">
        <f t="shared" si="53"/>
        <v xml:space="preserve"> </v>
      </c>
      <c r="CX31" s="547"/>
      <c r="CY31" s="547"/>
      <c r="CZ31" s="547"/>
      <c r="DA31" s="547"/>
      <c r="DB31" s="547"/>
      <c r="DC31" s="547"/>
      <c r="DD31" s="547"/>
      <c r="DE31" s="547"/>
      <c r="DF31" s="547"/>
      <c r="DG31" s="565"/>
      <c r="DH31" s="565"/>
      <c r="DI31" s="565"/>
      <c r="DJ31" s="565"/>
      <c r="DK31" s="565"/>
      <c r="DL31" s="565"/>
      <c r="DM31" s="565"/>
      <c r="DN31" s="565"/>
      <c r="DO31" s="565"/>
      <c r="DP31" s="549" t="str">
        <f t="shared" si="54"/>
        <v xml:space="preserve"> </v>
      </c>
      <c r="DQ31" s="291" t="str">
        <f t="shared" si="55"/>
        <v xml:space="preserve">  </v>
      </c>
      <c r="DR31" s="50" t="str">
        <f t="shared" si="56"/>
        <v xml:space="preserve"> </v>
      </c>
      <c r="DS31" s="282"/>
      <c r="DT31" s="51"/>
      <c r="DU31" s="46" t="str">
        <f t="shared" si="57"/>
        <v xml:space="preserve"> </v>
      </c>
      <c r="DV31" s="46" t="str">
        <f t="shared" si="58"/>
        <v xml:space="preserve"> </v>
      </c>
      <c r="DW31" s="46" t="str">
        <f t="shared" si="59"/>
        <v xml:space="preserve"> </v>
      </c>
      <c r="DX31" s="46" t="str">
        <f t="shared" si="60"/>
        <v xml:space="preserve"> </v>
      </c>
      <c r="DY31" s="46" t="str">
        <f t="shared" si="61"/>
        <v xml:space="preserve"> </v>
      </c>
      <c r="DZ31" s="46" t="str">
        <f t="shared" si="62"/>
        <v xml:space="preserve"> </v>
      </c>
      <c r="EA31" s="46" t="str">
        <f t="shared" si="63"/>
        <v xml:space="preserve"> </v>
      </c>
      <c r="EB31" s="46" t="str">
        <f t="shared" si="64"/>
        <v xml:space="preserve"> </v>
      </c>
      <c r="EC31" s="46" t="str">
        <f t="shared" si="65"/>
        <v xml:space="preserve"> </v>
      </c>
      <c r="ED31" s="46"/>
      <c r="EE31" s="52">
        <f>[2]uts!J30</f>
        <v>78.333333333333329</v>
      </c>
      <c r="EF31" s="51"/>
      <c r="EG31" s="53" t="str">
        <f t="shared" si="66"/>
        <v xml:space="preserve">  </v>
      </c>
      <c r="EH31" s="53" t="str">
        <f t="shared" si="67"/>
        <v xml:space="preserve">  </v>
      </c>
      <c r="EI31" s="53" t="str">
        <f t="shared" si="68"/>
        <v xml:space="preserve">  </v>
      </c>
      <c r="EJ31" s="53" t="str">
        <f t="shared" si="69"/>
        <v xml:space="preserve">  </v>
      </c>
      <c r="EK31" s="53" t="str">
        <f t="shared" si="70"/>
        <v xml:space="preserve">  </v>
      </c>
      <c r="EL31" s="53" t="str">
        <f t="shared" si="71"/>
        <v xml:space="preserve">  </v>
      </c>
      <c r="EM31" s="53" t="str">
        <f t="shared" si="72"/>
        <v xml:space="preserve">  </v>
      </c>
      <c r="EN31" s="53" t="str">
        <f t="shared" si="73"/>
        <v xml:space="preserve">  </v>
      </c>
      <c r="EO31" s="53" t="str">
        <f t="shared" si="74"/>
        <v xml:space="preserve">  </v>
      </c>
      <c r="EP31" s="53"/>
      <c r="EQ31" s="54" t="str">
        <f t="shared" si="75"/>
        <v xml:space="preserve"> </v>
      </c>
      <c r="ER31" s="55">
        <f t="shared" si="76"/>
        <v>0</v>
      </c>
      <c r="ES31" s="55">
        <f t="shared" si="77"/>
        <v>0</v>
      </c>
      <c r="ET31" s="51">
        <f>SISWA!E29</f>
        <v>0</v>
      </c>
      <c r="EU31" s="51" t="str">
        <f t="shared" si="78"/>
        <v/>
      </c>
      <c r="EV31" s="56" t="str">
        <f t="shared" si="79"/>
        <v/>
      </c>
      <c r="EW31" s="57" t="str">
        <f t="shared" si="80"/>
        <v/>
      </c>
      <c r="EX31" s="57" t="str">
        <f t="shared" si="81"/>
        <v/>
      </c>
      <c r="EY31" s="57" t="str">
        <f t="shared" si="82"/>
        <v/>
      </c>
      <c r="EZ31" s="57" t="str">
        <f t="shared" si="83"/>
        <v/>
      </c>
      <c r="FA31" s="57" t="str">
        <f t="shared" si="84"/>
        <v/>
      </c>
      <c r="FB31" s="57" t="str">
        <f t="shared" si="85"/>
        <v/>
      </c>
      <c r="FC31" s="57"/>
      <c r="FD31" s="57"/>
      <c r="FE31" s="57"/>
      <c r="FF31" s="58">
        <f t="shared" si="86"/>
        <v>0</v>
      </c>
      <c r="FG31" s="55" t="e">
        <f t="shared" si="87"/>
        <v>#N/A</v>
      </c>
      <c r="FH31" s="58"/>
      <c r="FI31" s="59" t="e">
        <f>IF(ER31&gt;100,"",IF(ER31&gt;DQ$1,"sangat baik dalam "&amp;FG31,IF(ER31&gt;=DQ$2,"baik dalam "&amp;FG31,IF(ER31&gt;=DQ$3,"cukup dalam "&amp;FG31,IF(ER31&lt;DQ$3,"dengan bimbingan dapat ,meningkatkan dalam "&amp;FG31,IF(ER31&lt;1," ",””))))))</f>
        <v>#N/A</v>
      </c>
      <c r="FJ31" s="58"/>
      <c r="FK31" s="57" t="str">
        <f t="shared" si="88"/>
        <v/>
      </c>
      <c r="FL31" s="57" t="str">
        <f t="shared" si="89"/>
        <v/>
      </c>
      <c r="FM31" s="57" t="str">
        <f t="shared" si="90"/>
        <v/>
      </c>
      <c r="FN31" s="57" t="str">
        <f t="shared" si="91"/>
        <v/>
      </c>
      <c r="FO31" s="57" t="str">
        <f t="shared" si="92"/>
        <v/>
      </c>
      <c r="FP31" s="57" t="str">
        <f t="shared" si="93"/>
        <v/>
      </c>
      <c r="FQ31" s="57" t="str">
        <f t="shared" si="94"/>
        <v/>
      </c>
      <c r="FR31" s="57"/>
      <c r="FS31" s="57"/>
      <c r="FT31" s="57"/>
      <c r="FU31" s="59" t="e">
        <f t="shared" si="95"/>
        <v>#N/A</v>
      </c>
      <c r="FV31" s="59" t="e">
        <f>IF(ES31&gt;100,"",IF(ES31&gt;DQ$1,"sangat baik dalam "&amp;FU31,IF(ES31&gt;=DQ$2,"baik dalam "&amp;FU31,IF(ES31&gt;=DQ$3,"cukup dalam "&amp;FU31,IF(ES31&lt;DQ$3,"dengan bimbingan dapat meningkatkan dalam "&amp;FU31,IF(ES31&lt;1," ",””))))))</f>
        <v>#N/A</v>
      </c>
      <c r="FW31" s="61"/>
      <c r="FX31" s="62" t="e">
        <f t="shared" si="96"/>
        <v>#N/A</v>
      </c>
      <c r="FY31" s="57">
        <f t="shared" si="97"/>
        <v>0</v>
      </c>
      <c r="FZ31" s="57">
        <f t="shared" si="98"/>
        <v>0</v>
      </c>
      <c r="GA31" s="57">
        <f t="shared" si="99"/>
        <v>0</v>
      </c>
      <c r="GB31" s="57"/>
      <c r="GC31" s="57"/>
      <c r="GD31" s="57"/>
      <c r="GE31" s="59">
        <f t="shared" si="44"/>
        <v>0</v>
      </c>
      <c r="GF31" s="60"/>
      <c r="GG31" s="61"/>
      <c r="GH31" s="62" t="str">
        <f t="shared" si="100"/>
        <v>, 0</v>
      </c>
    </row>
    <row r="32" spans="1:191">
      <c r="A32" s="39">
        <v>25</v>
      </c>
      <c r="B32" s="283">
        <f>SISWA!B30</f>
        <v>0</v>
      </c>
      <c r="C32" s="123"/>
      <c r="D32" s="123"/>
      <c r="E32" s="123"/>
      <c r="F32" s="123"/>
      <c r="G32" s="123"/>
      <c r="H32" s="123"/>
      <c r="I32" s="123"/>
      <c r="J32" s="123"/>
      <c r="K32" s="123"/>
      <c r="L32" s="256"/>
      <c r="M32" s="256"/>
      <c r="N32" s="256"/>
      <c r="O32" s="256"/>
      <c r="P32" s="256"/>
      <c r="Q32" s="256"/>
      <c r="R32" s="256"/>
      <c r="S32" s="256"/>
      <c r="T32" s="256"/>
      <c r="U32" s="123"/>
      <c r="V32" s="123"/>
      <c r="W32" s="123"/>
      <c r="X32" s="123"/>
      <c r="Y32" s="123"/>
      <c r="Z32" s="123"/>
      <c r="AA32" s="123"/>
      <c r="AB32" s="123"/>
      <c r="AC32" s="123"/>
      <c r="AD32" s="256"/>
      <c r="AE32" s="256"/>
      <c r="AF32" s="256"/>
      <c r="AG32" s="256"/>
      <c r="AH32" s="256"/>
      <c r="AI32" s="256"/>
      <c r="AJ32" s="256"/>
      <c r="AK32" s="256"/>
      <c r="AL32" s="256"/>
      <c r="AM32" s="123"/>
      <c r="AN32" s="123"/>
      <c r="AO32" s="123"/>
      <c r="AP32" s="123"/>
      <c r="AQ32" s="123"/>
      <c r="AR32" s="123"/>
      <c r="AS32" s="123"/>
      <c r="AT32" s="123"/>
      <c r="AU32" s="123"/>
      <c r="AV32" s="256"/>
      <c r="AW32" s="256"/>
      <c r="AX32" s="256"/>
      <c r="AY32" s="256"/>
      <c r="AZ32" s="256"/>
      <c r="BA32" s="256"/>
      <c r="BB32" s="256"/>
      <c r="BC32" s="256"/>
      <c r="BD32" s="256"/>
      <c r="BE32" s="123"/>
      <c r="BF32" s="123"/>
      <c r="BG32" s="123"/>
      <c r="BH32" s="123"/>
      <c r="BI32" s="123"/>
      <c r="BJ32" s="123"/>
      <c r="BK32" s="123"/>
      <c r="BL32" s="123"/>
      <c r="BM32" s="123"/>
      <c r="BN32" s="256"/>
      <c r="BO32" s="256"/>
      <c r="BP32" s="256"/>
      <c r="BQ32" s="256"/>
      <c r="BR32" s="256"/>
      <c r="BS32" s="256"/>
      <c r="BT32" s="256"/>
      <c r="BU32" s="256"/>
      <c r="BV32" s="256"/>
      <c r="BW32" s="460"/>
      <c r="BX32" s="460"/>
      <c r="BY32" s="460"/>
      <c r="BZ32" s="460"/>
      <c r="CA32" s="460"/>
      <c r="CB32" s="460"/>
      <c r="CC32" s="460"/>
      <c r="CD32" s="460"/>
      <c r="CE32" s="460"/>
      <c r="CF32" s="346"/>
      <c r="CG32" s="346"/>
      <c r="CH32" s="346"/>
      <c r="CI32" s="346"/>
      <c r="CJ32" s="346"/>
      <c r="CK32" s="346"/>
      <c r="CL32" s="346"/>
      <c r="CM32" s="346"/>
      <c r="CN32" s="346"/>
      <c r="CO32" s="260" t="str">
        <f t="shared" si="45"/>
        <v xml:space="preserve"> </v>
      </c>
      <c r="CP32" s="260" t="str">
        <f t="shared" si="46"/>
        <v xml:space="preserve"> </v>
      </c>
      <c r="CQ32" s="260" t="str">
        <f t="shared" si="47"/>
        <v xml:space="preserve"> </v>
      </c>
      <c r="CR32" s="260" t="str">
        <f t="shared" si="48"/>
        <v xml:space="preserve"> </v>
      </c>
      <c r="CS32" s="260" t="str">
        <f t="shared" si="49"/>
        <v xml:space="preserve"> </v>
      </c>
      <c r="CT32" s="260" t="str">
        <f t="shared" si="50"/>
        <v xml:space="preserve"> </v>
      </c>
      <c r="CU32" s="260" t="str">
        <f t="shared" si="51"/>
        <v xml:space="preserve"> </v>
      </c>
      <c r="CV32" s="260" t="str">
        <f t="shared" si="52"/>
        <v xml:space="preserve"> </v>
      </c>
      <c r="CW32" s="260" t="str">
        <f t="shared" si="53"/>
        <v xml:space="preserve"> </v>
      </c>
      <c r="CX32" s="547"/>
      <c r="CY32" s="547"/>
      <c r="CZ32" s="547"/>
      <c r="DA32" s="547"/>
      <c r="DB32" s="547"/>
      <c r="DC32" s="547"/>
      <c r="DD32" s="547"/>
      <c r="DE32" s="547"/>
      <c r="DF32" s="547"/>
      <c r="DG32" s="565"/>
      <c r="DH32" s="565"/>
      <c r="DI32" s="565"/>
      <c r="DJ32" s="565"/>
      <c r="DK32" s="565"/>
      <c r="DL32" s="565"/>
      <c r="DM32" s="565"/>
      <c r="DN32" s="565"/>
      <c r="DO32" s="565"/>
      <c r="DP32" s="549" t="str">
        <f t="shared" si="54"/>
        <v xml:space="preserve"> </v>
      </c>
      <c r="DQ32" s="291" t="str">
        <f t="shared" si="55"/>
        <v xml:space="preserve">  </v>
      </c>
      <c r="DR32" s="50" t="str">
        <f t="shared" si="56"/>
        <v xml:space="preserve"> </v>
      </c>
      <c r="DS32" s="282"/>
      <c r="DT32" s="51"/>
      <c r="DU32" s="46" t="str">
        <f t="shared" si="57"/>
        <v xml:space="preserve"> </v>
      </c>
      <c r="DV32" s="46" t="str">
        <f t="shared" si="58"/>
        <v xml:space="preserve"> </v>
      </c>
      <c r="DW32" s="46" t="str">
        <f t="shared" si="59"/>
        <v xml:space="preserve"> </v>
      </c>
      <c r="DX32" s="46" t="str">
        <f t="shared" si="60"/>
        <v xml:space="preserve"> </v>
      </c>
      <c r="DY32" s="46" t="str">
        <f t="shared" si="61"/>
        <v xml:space="preserve"> </v>
      </c>
      <c r="DZ32" s="46" t="str">
        <f t="shared" si="62"/>
        <v xml:space="preserve"> </v>
      </c>
      <c r="EA32" s="46" t="str">
        <f t="shared" si="63"/>
        <v xml:space="preserve"> </v>
      </c>
      <c r="EB32" s="46" t="str">
        <f t="shared" si="64"/>
        <v xml:space="preserve"> </v>
      </c>
      <c r="EC32" s="46" t="str">
        <f t="shared" si="65"/>
        <v xml:space="preserve"> </v>
      </c>
      <c r="ED32" s="46"/>
      <c r="EE32" s="52">
        <f>[2]uts!J31</f>
        <v>68.666666666666671</v>
      </c>
      <c r="EF32" s="51"/>
      <c r="EG32" s="53" t="str">
        <f t="shared" si="66"/>
        <v xml:space="preserve">  </v>
      </c>
      <c r="EH32" s="53" t="str">
        <f t="shared" si="67"/>
        <v xml:space="preserve">  </v>
      </c>
      <c r="EI32" s="53" t="str">
        <f t="shared" si="68"/>
        <v xml:space="preserve">  </v>
      </c>
      <c r="EJ32" s="53" t="str">
        <f t="shared" si="69"/>
        <v xml:space="preserve">  </v>
      </c>
      <c r="EK32" s="53" t="str">
        <f t="shared" si="70"/>
        <v xml:space="preserve">  </v>
      </c>
      <c r="EL32" s="53" t="str">
        <f t="shared" si="71"/>
        <v xml:space="preserve">  </v>
      </c>
      <c r="EM32" s="53" t="str">
        <f t="shared" si="72"/>
        <v xml:space="preserve">  </v>
      </c>
      <c r="EN32" s="53" t="str">
        <f t="shared" si="73"/>
        <v xml:space="preserve">  </v>
      </c>
      <c r="EO32" s="53" t="str">
        <f t="shared" si="74"/>
        <v xml:space="preserve">  </v>
      </c>
      <c r="EP32" s="53"/>
      <c r="EQ32" s="54" t="str">
        <f t="shared" si="75"/>
        <v xml:space="preserve"> </v>
      </c>
      <c r="ER32" s="55">
        <f t="shared" si="76"/>
        <v>0</v>
      </c>
      <c r="ES32" s="55">
        <f t="shared" si="77"/>
        <v>0</v>
      </c>
      <c r="ET32" s="51">
        <f>SISWA!E30</f>
        <v>0</v>
      </c>
      <c r="EU32" s="51" t="str">
        <f t="shared" si="78"/>
        <v/>
      </c>
      <c r="EV32" s="56" t="str">
        <f t="shared" si="79"/>
        <v/>
      </c>
      <c r="EW32" s="57" t="str">
        <f t="shared" si="80"/>
        <v/>
      </c>
      <c r="EX32" s="57" t="str">
        <f t="shared" si="81"/>
        <v/>
      </c>
      <c r="EY32" s="57" t="str">
        <f t="shared" si="82"/>
        <v/>
      </c>
      <c r="EZ32" s="57" t="str">
        <f t="shared" si="83"/>
        <v/>
      </c>
      <c r="FA32" s="57" t="str">
        <f t="shared" si="84"/>
        <v/>
      </c>
      <c r="FB32" s="57" t="str">
        <f t="shared" si="85"/>
        <v/>
      </c>
      <c r="FC32" s="57"/>
      <c r="FD32" s="57"/>
      <c r="FE32" s="57"/>
      <c r="FF32" s="58">
        <f t="shared" si="86"/>
        <v>0</v>
      </c>
      <c r="FG32" s="55" t="e">
        <f t="shared" si="87"/>
        <v>#N/A</v>
      </c>
      <c r="FH32" s="58"/>
      <c r="FI32" s="59" t="e">
        <f>IF(ER32&gt;100,"",IF(ER32&gt;DQ$1,"sangat baik dalam "&amp;FG32,IF(ER32&gt;=DQ$2,"baik dalam "&amp;FG32,IF(ER32&gt;=DQ$3,"cukup dalam "&amp;FG32,IF(ER32&lt;DQ$3,"dengan bimbingan dapat ,meningkatkan dalam "&amp;FG32,IF(ER32&lt;1," ",””))))))</f>
        <v>#N/A</v>
      </c>
      <c r="FJ32" s="58"/>
      <c r="FK32" s="57" t="str">
        <f t="shared" si="88"/>
        <v/>
      </c>
      <c r="FL32" s="57" t="str">
        <f t="shared" si="89"/>
        <v/>
      </c>
      <c r="FM32" s="57" t="str">
        <f t="shared" si="90"/>
        <v/>
      </c>
      <c r="FN32" s="57" t="str">
        <f t="shared" si="91"/>
        <v/>
      </c>
      <c r="FO32" s="57" t="str">
        <f t="shared" si="92"/>
        <v/>
      </c>
      <c r="FP32" s="57" t="str">
        <f t="shared" si="93"/>
        <v/>
      </c>
      <c r="FQ32" s="57" t="str">
        <f t="shared" si="94"/>
        <v/>
      </c>
      <c r="FR32" s="57"/>
      <c r="FS32" s="57"/>
      <c r="FT32" s="57"/>
      <c r="FU32" s="59" t="e">
        <f t="shared" si="95"/>
        <v>#N/A</v>
      </c>
      <c r="FV32" s="59" t="e">
        <f>IF(ES32&gt;100,"",IF(ES32&gt;DQ$1,"sangat baik dalam "&amp;FU32,IF(ES32&gt;=DQ$2,"baik dalam "&amp;FU32,IF(ES32&gt;=DQ$3,"cukup dalam "&amp;FU32,IF(ES32&lt;DQ$3,"dengan bimbingan dapat meningkatkan dalam "&amp;FU32,IF(ES32&lt;1," ",””))))))</f>
        <v>#N/A</v>
      </c>
      <c r="FW32" s="61"/>
      <c r="FX32" s="62" t="e">
        <f t="shared" si="96"/>
        <v>#N/A</v>
      </c>
      <c r="FY32" s="57">
        <f t="shared" si="97"/>
        <v>0</v>
      </c>
      <c r="FZ32" s="57">
        <f t="shared" si="98"/>
        <v>0</v>
      </c>
      <c r="GA32" s="57">
        <f t="shared" si="99"/>
        <v>0</v>
      </c>
      <c r="GB32" s="57"/>
      <c r="GC32" s="57"/>
      <c r="GD32" s="57"/>
      <c r="GE32" s="59">
        <f t="shared" si="44"/>
        <v>0</v>
      </c>
      <c r="GF32" s="60"/>
      <c r="GG32" s="61"/>
      <c r="GH32" s="62" t="str">
        <f t="shared" si="100"/>
        <v>, 0</v>
      </c>
    </row>
    <row r="33" spans="1:190">
      <c r="A33" s="39">
        <v>26</v>
      </c>
      <c r="B33" s="283">
        <f>SISWA!B31</f>
        <v>0</v>
      </c>
      <c r="C33" s="123"/>
      <c r="D33" s="123"/>
      <c r="E33" s="123"/>
      <c r="F33" s="123"/>
      <c r="G33" s="123"/>
      <c r="H33" s="123"/>
      <c r="I33" s="123"/>
      <c r="J33" s="123"/>
      <c r="K33" s="123"/>
      <c r="L33" s="256"/>
      <c r="M33" s="256"/>
      <c r="N33" s="256"/>
      <c r="O33" s="256"/>
      <c r="P33" s="256"/>
      <c r="Q33" s="256"/>
      <c r="R33" s="256"/>
      <c r="S33" s="256"/>
      <c r="T33" s="256"/>
      <c r="U33" s="123"/>
      <c r="V33" s="123"/>
      <c r="W33" s="123"/>
      <c r="X33" s="123"/>
      <c r="Y33" s="123"/>
      <c r="Z33" s="123"/>
      <c r="AA33" s="123"/>
      <c r="AB33" s="123"/>
      <c r="AC33" s="123"/>
      <c r="AD33" s="256"/>
      <c r="AE33" s="256"/>
      <c r="AF33" s="256"/>
      <c r="AG33" s="256"/>
      <c r="AH33" s="256"/>
      <c r="AI33" s="256"/>
      <c r="AJ33" s="256"/>
      <c r="AK33" s="256"/>
      <c r="AL33" s="256"/>
      <c r="AM33" s="123"/>
      <c r="AN33" s="123"/>
      <c r="AO33" s="123"/>
      <c r="AP33" s="123"/>
      <c r="AQ33" s="123"/>
      <c r="AR33" s="123"/>
      <c r="AS33" s="123"/>
      <c r="AT33" s="123"/>
      <c r="AU33" s="123"/>
      <c r="AV33" s="256"/>
      <c r="AW33" s="256"/>
      <c r="AX33" s="256"/>
      <c r="AY33" s="256"/>
      <c r="AZ33" s="256"/>
      <c r="BA33" s="256"/>
      <c r="BB33" s="256"/>
      <c r="BC33" s="256"/>
      <c r="BD33" s="256"/>
      <c r="BE33" s="123"/>
      <c r="BF33" s="123"/>
      <c r="BG33" s="123"/>
      <c r="BH33" s="123"/>
      <c r="BI33" s="123"/>
      <c r="BJ33" s="123"/>
      <c r="BK33" s="123"/>
      <c r="BL33" s="123"/>
      <c r="BM33" s="123"/>
      <c r="BN33" s="256"/>
      <c r="BO33" s="256"/>
      <c r="BP33" s="256"/>
      <c r="BQ33" s="256"/>
      <c r="BR33" s="256"/>
      <c r="BS33" s="256"/>
      <c r="BT33" s="256"/>
      <c r="BU33" s="256"/>
      <c r="BV33" s="256"/>
      <c r="BW33" s="460"/>
      <c r="BX33" s="460"/>
      <c r="BY33" s="460"/>
      <c r="BZ33" s="460"/>
      <c r="CA33" s="460"/>
      <c r="CB33" s="460"/>
      <c r="CC33" s="460"/>
      <c r="CD33" s="460"/>
      <c r="CE33" s="460"/>
      <c r="CF33" s="346"/>
      <c r="CG33" s="346"/>
      <c r="CH33" s="346"/>
      <c r="CI33" s="346"/>
      <c r="CJ33" s="346"/>
      <c r="CK33" s="346"/>
      <c r="CL33" s="346"/>
      <c r="CM33" s="346"/>
      <c r="CN33" s="346"/>
      <c r="CO33" s="260" t="str">
        <f t="shared" si="45"/>
        <v xml:space="preserve"> </v>
      </c>
      <c r="CP33" s="260" t="str">
        <f t="shared" si="46"/>
        <v xml:space="preserve"> </v>
      </c>
      <c r="CQ33" s="260" t="str">
        <f t="shared" si="47"/>
        <v xml:space="preserve"> </v>
      </c>
      <c r="CR33" s="260" t="str">
        <f t="shared" si="48"/>
        <v xml:space="preserve"> </v>
      </c>
      <c r="CS33" s="260" t="str">
        <f t="shared" si="49"/>
        <v xml:space="preserve"> </v>
      </c>
      <c r="CT33" s="260" t="str">
        <f t="shared" si="50"/>
        <v xml:space="preserve"> </v>
      </c>
      <c r="CU33" s="260" t="str">
        <f t="shared" si="51"/>
        <v xml:space="preserve"> </v>
      </c>
      <c r="CV33" s="260" t="str">
        <f t="shared" si="52"/>
        <v xml:space="preserve"> </v>
      </c>
      <c r="CW33" s="260" t="str">
        <f t="shared" si="53"/>
        <v xml:space="preserve"> </v>
      </c>
      <c r="CX33" s="547"/>
      <c r="CY33" s="547"/>
      <c r="CZ33" s="547"/>
      <c r="DA33" s="547"/>
      <c r="DB33" s="547"/>
      <c r="DC33" s="547"/>
      <c r="DD33" s="547"/>
      <c r="DE33" s="547"/>
      <c r="DF33" s="547"/>
      <c r="DG33" s="565"/>
      <c r="DH33" s="565"/>
      <c r="DI33" s="565"/>
      <c r="DJ33" s="565"/>
      <c r="DK33" s="565"/>
      <c r="DL33" s="565"/>
      <c r="DM33" s="565"/>
      <c r="DN33" s="565"/>
      <c r="DO33" s="565"/>
      <c r="DP33" s="549" t="str">
        <f t="shared" si="54"/>
        <v xml:space="preserve"> </v>
      </c>
      <c r="DQ33" s="291" t="str">
        <f t="shared" si="55"/>
        <v xml:space="preserve">  </v>
      </c>
      <c r="DR33" s="50" t="str">
        <f t="shared" si="56"/>
        <v xml:space="preserve"> </v>
      </c>
      <c r="DS33" s="282"/>
      <c r="DT33" s="51"/>
      <c r="DU33" s="46" t="str">
        <f t="shared" si="57"/>
        <v xml:space="preserve"> </v>
      </c>
      <c r="DV33" s="46" t="str">
        <f t="shared" si="58"/>
        <v xml:space="preserve"> </v>
      </c>
      <c r="DW33" s="46" t="str">
        <f t="shared" si="59"/>
        <v xml:space="preserve"> </v>
      </c>
      <c r="DX33" s="46" t="str">
        <f t="shared" si="60"/>
        <v xml:space="preserve"> </v>
      </c>
      <c r="DY33" s="46" t="str">
        <f t="shared" si="61"/>
        <v xml:space="preserve"> </v>
      </c>
      <c r="DZ33" s="46" t="str">
        <f t="shared" si="62"/>
        <v xml:space="preserve"> </v>
      </c>
      <c r="EA33" s="46" t="str">
        <f t="shared" si="63"/>
        <v xml:space="preserve"> </v>
      </c>
      <c r="EB33" s="46" t="str">
        <f t="shared" si="64"/>
        <v xml:space="preserve"> </v>
      </c>
      <c r="EC33" s="46" t="str">
        <f t="shared" si="65"/>
        <v xml:space="preserve"> </v>
      </c>
      <c r="ED33" s="46"/>
      <c r="EE33" s="52">
        <f>[2]uts!J32</f>
        <v>75</v>
      </c>
      <c r="EF33" s="51"/>
      <c r="EG33" s="53" t="str">
        <f t="shared" si="66"/>
        <v xml:space="preserve">  </v>
      </c>
      <c r="EH33" s="53" t="str">
        <f t="shared" si="67"/>
        <v xml:space="preserve">  </v>
      </c>
      <c r="EI33" s="53" t="str">
        <f t="shared" si="68"/>
        <v xml:space="preserve">  </v>
      </c>
      <c r="EJ33" s="53" t="str">
        <f t="shared" si="69"/>
        <v xml:space="preserve">  </v>
      </c>
      <c r="EK33" s="53" t="str">
        <f t="shared" si="70"/>
        <v xml:space="preserve">  </v>
      </c>
      <c r="EL33" s="53" t="str">
        <f t="shared" si="71"/>
        <v xml:space="preserve">  </v>
      </c>
      <c r="EM33" s="53" t="str">
        <f t="shared" si="72"/>
        <v xml:space="preserve">  </v>
      </c>
      <c r="EN33" s="53" t="str">
        <f t="shared" si="73"/>
        <v xml:space="preserve">  </v>
      </c>
      <c r="EO33" s="53" t="str">
        <f t="shared" si="74"/>
        <v xml:space="preserve">  </v>
      </c>
      <c r="EP33" s="53"/>
      <c r="EQ33" s="54" t="str">
        <f t="shared" si="75"/>
        <v xml:space="preserve"> </v>
      </c>
      <c r="ER33" s="55">
        <f t="shared" si="76"/>
        <v>0</v>
      </c>
      <c r="ES33" s="55">
        <f t="shared" si="77"/>
        <v>0</v>
      </c>
      <c r="ET33" s="51">
        <f>SISWA!E31</f>
        <v>0</v>
      </c>
      <c r="EU33" s="51" t="str">
        <f t="shared" si="78"/>
        <v/>
      </c>
      <c r="EV33" s="56" t="str">
        <f t="shared" si="79"/>
        <v/>
      </c>
      <c r="EW33" s="57" t="str">
        <f t="shared" si="80"/>
        <v/>
      </c>
      <c r="EX33" s="57" t="str">
        <f t="shared" si="81"/>
        <v/>
      </c>
      <c r="EY33" s="57" t="str">
        <f t="shared" si="82"/>
        <v/>
      </c>
      <c r="EZ33" s="57" t="str">
        <f t="shared" si="83"/>
        <v/>
      </c>
      <c r="FA33" s="57" t="str">
        <f t="shared" si="84"/>
        <v/>
      </c>
      <c r="FB33" s="57" t="str">
        <f t="shared" si="85"/>
        <v/>
      </c>
      <c r="FC33" s="57"/>
      <c r="FD33" s="57"/>
      <c r="FE33" s="57"/>
      <c r="FF33" s="58">
        <f t="shared" si="86"/>
        <v>0</v>
      </c>
      <c r="FG33" s="55" t="e">
        <f t="shared" si="87"/>
        <v>#N/A</v>
      </c>
      <c r="FH33" s="58"/>
      <c r="FI33" s="59" t="e">
        <f>IF(ER33&gt;100,"",IF(ER33&gt;DQ$1,"sangat baik dalam "&amp;FG33,IF(ER33&gt;=DQ$2,"baik dalam "&amp;FG33,IF(ER33&gt;=DQ$3,"cukup dalam "&amp;FG33,IF(ER33&lt;DQ$3,"dengan bimbingan dapat ,meningkatkan dalam "&amp;FG33,IF(ER33&lt;1," ",””))))))</f>
        <v>#N/A</v>
      </c>
      <c r="FJ33" s="58"/>
      <c r="FK33" s="57" t="str">
        <f t="shared" si="88"/>
        <v/>
      </c>
      <c r="FL33" s="57" t="str">
        <f t="shared" si="89"/>
        <v/>
      </c>
      <c r="FM33" s="57" t="str">
        <f t="shared" si="90"/>
        <v/>
      </c>
      <c r="FN33" s="57" t="str">
        <f t="shared" si="91"/>
        <v/>
      </c>
      <c r="FO33" s="57" t="str">
        <f t="shared" si="92"/>
        <v/>
      </c>
      <c r="FP33" s="57" t="str">
        <f t="shared" si="93"/>
        <v/>
      </c>
      <c r="FQ33" s="57" t="str">
        <f t="shared" si="94"/>
        <v/>
      </c>
      <c r="FR33" s="57"/>
      <c r="FS33" s="57"/>
      <c r="FT33" s="57"/>
      <c r="FU33" s="59" t="e">
        <f t="shared" si="95"/>
        <v>#N/A</v>
      </c>
      <c r="FV33" s="59" t="e">
        <f>IF(ES33&gt;100,"",IF(ES33&gt;DQ$1,"sangat baik dalam "&amp;FU33,IF(ES33&gt;=DQ$2,"baik dalam "&amp;FU33,IF(ES33&gt;=DQ$3,"cukup dalam "&amp;FU33,IF(ES33&lt;DQ$3,"dengan bimbingan dapat meningkatkan dalam "&amp;FU33,IF(ES33&lt;1," ",””))))))</f>
        <v>#N/A</v>
      </c>
      <c r="FW33" s="61"/>
      <c r="FX33" s="62" t="e">
        <f t="shared" si="96"/>
        <v>#N/A</v>
      </c>
      <c r="FY33" s="57">
        <f t="shared" si="97"/>
        <v>0</v>
      </c>
      <c r="FZ33" s="57">
        <f t="shared" si="98"/>
        <v>0</v>
      </c>
      <c r="GA33" s="57">
        <f t="shared" si="99"/>
        <v>0</v>
      </c>
      <c r="GB33" s="57"/>
      <c r="GC33" s="57"/>
      <c r="GD33" s="57"/>
      <c r="GE33" s="59">
        <f t="shared" si="44"/>
        <v>0</v>
      </c>
      <c r="GF33" s="60"/>
      <c r="GG33" s="61"/>
      <c r="GH33" s="62" t="str">
        <f t="shared" si="100"/>
        <v>, 0</v>
      </c>
    </row>
    <row r="34" spans="1:190">
      <c r="A34" s="39">
        <v>27</v>
      </c>
      <c r="B34" s="283">
        <f>SISWA!B32</f>
        <v>0</v>
      </c>
      <c r="C34" s="123"/>
      <c r="D34" s="123"/>
      <c r="E34" s="123"/>
      <c r="F34" s="123"/>
      <c r="G34" s="123"/>
      <c r="H34" s="123"/>
      <c r="I34" s="123"/>
      <c r="J34" s="123"/>
      <c r="K34" s="123"/>
      <c r="L34" s="256"/>
      <c r="M34" s="256"/>
      <c r="N34" s="256"/>
      <c r="O34" s="256"/>
      <c r="P34" s="256"/>
      <c r="Q34" s="256"/>
      <c r="R34" s="256"/>
      <c r="S34" s="256"/>
      <c r="T34" s="256"/>
      <c r="U34" s="123"/>
      <c r="V34" s="123"/>
      <c r="W34" s="123"/>
      <c r="X34" s="123"/>
      <c r="Y34" s="123"/>
      <c r="Z34" s="123"/>
      <c r="AA34" s="123"/>
      <c r="AB34" s="123"/>
      <c r="AC34" s="123"/>
      <c r="AD34" s="256"/>
      <c r="AE34" s="256"/>
      <c r="AF34" s="256"/>
      <c r="AG34" s="256"/>
      <c r="AH34" s="256"/>
      <c r="AI34" s="256"/>
      <c r="AJ34" s="256"/>
      <c r="AK34" s="256"/>
      <c r="AL34" s="256"/>
      <c r="AM34" s="123"/>
      <c r="AN34" s="123"/>
      <c r="AO34" s="123"/>
      <c r="AP34" s="123"/>
      <c r="AQ34" s="123"/>
      <c r="AR34" s="123"/>
      <c r="AS34" s="123"/>
      <c r="AT34" s="123"/>
      <c r="AU34" s="123"/>
      <c r="AV34" s="256"/>
      <c r="AW34" s="256"/>
      <c r="AX34" s="256"/>
      <c r="AY34" s="256"/>
      <c r="AZ34" s="256"/>
      <c r="BA34" s="256"/>
      <c r="BB34" s="256"/>
      <c r="BC34" s="256"/>
      <c r="BD34" s="256"/>
      <c r="BE34" s="123"/>
      <c r="BF34" s="123"/>
      <c r="BG34" s="123"/>
      <c r="BH34" s="123"/>
      <c r="BI34" s="123"/>
      <c r="BJ34" s="123"/>
      <c r="BK34" s="123"/>
      <c r="BL34" s="123"/>
      <c r="BM34" s="123"/>
      <c r="BN34" s="256"/>
      <c r="BO34" s="256"/>
      <c r="BP34" s="256"/>
      <c r="BQ34" s="256"/>
      <c r="BR34" s="256"/>
      <c r="BS34" s="256"/>
      <c r="BT34" s="256"/>
      <c r="BU34" s="256"/>
      <c r="BV34" s="256"/>
      <c r="BW34" s="460"/>
      <c r="BX34" s="460"/>
      <c r="BY34" s="460"/>
      <c r="BZ34" s="460"/>
      <c r="CA34" s="460"/>
      <c r="CB34" s="460"/>
      <c r="CC34" s="460"/>
      <c r="CD34" s="460"/>
      <c r="CE34" s="460"/>
      <c r="CF34" s="346"/>
      <c r="CG34" s="346"/>
      <c r="CH34" s="346"/>
      <c r="CI34" s="346"/>
      <c r="CJ34" s="346"/>
      <c r="CK34" s="346"/>
      <c r="CL34" s="346"/>
      <c r="CM34" s="346"/>
      <c r="CN34" s="346"/>
      <c r="CO34" s="260" t="str">
        <f t="shared" si="45"/>
        <v xml:space="preserve"> </v>
      </c>
      <c r="CP34" s="260" t="str">
        <f t="shared" si="46"/>
        <v xml:space="preserve"> </v>
      </c>
      <c r="CQ34" s="260" t="str">
        <f t="shared" si="47"/>
        <v xml:space="preserve"> </v>
      </c>
      <c r="CR34" s="260" t="str">
        <f t="shared" si="48"/>
        <v xml:space="preserve"> </v>
      </c>
      <c r="CS34" s="260" t="str">
        <f t="shared" si="49"/>
        <v xml:space="preserve"> </v>
      </c>
      <c r="CT34" s="260" t="str">
        <f t="shared" si="50"/>
        <v xml:space="preserve"> </v>
      </c>
      <c r="CU34" s="260" t="str">
        <f t="shared" si="51"/>
        <v xml:space="preserve"> </v>
      </c>
      <c r="CV34" s="260" t="str">
        <f t="shared" si="52"/>
        <v xml:space="preserve"> </v>
      </c>
      <c r="CW34" s="260" t="str">
        <f t="shared" si="53"/>
        <v xml:space="preserve"> </v>
      </c>
      <c r="CX34" s="547"/>
      <c r="CY34" s="547"/>
      <c r="CZ34" s="547"/>
      <c r="DA34" s="547"/>
      <c r="DB34" s="547"/>
      <c r="DC34" s="547"/>
      <c r="DD34" s="547"/>
      <c r="DE34" s="547"/>
      <c r="DF34" s="547"/>
      <c r="DG34" s="565"/>
      <c r="DH34" s="565"/>
      <c r="DI34" s="565"/>
      <c r="DJ34" s="565"/>
      <c r="DK34" s="565"/>
      <c r="DL34" s="565"/>
      <c r="DM34" s="565"/>
      <c r="DN34" s="565"/>
      <c r="DO34" s="565"/>
      <c r="DP34" s="549" t="str">
        <f t="shared" si="54"/>
        <v xml:space="preserve"> </v>
      </c>
      <c r="DQ34" s="291" t="str">
        <f t="shared" si="55"/>
        <v xml:space="preserve">  </v>
      </c>
      <c r="DR34" s="50" t="str">
        <f t="shared" si="56"/>
        <v xml:space="preserve"> </v>
      </c>
      <c r="DS34" s="282"/>
      <c r="DT34" s="51"/>
      <c r="DU34" s="46" t="str">
        <f t="shared" si="57"/>
        <v xml:space="preserve"> </v>
      </c>
      <c r="DV34" s="46" t="str">
        <f t="shared" si="58"/>
        <v xml:space="preserve"> </v>
      </c>
      <c r="DW34" s="46" t="str">
        <f t="shared" si="59"/>
        <v xml:space="preserve"> </v>
      </c>
      <c r="DX34" s="46" t="str">
        <f t="shared" si="60"/>
        <v xml:space="preserve"> </v>
      </c>
      <c r="DY34" s="46" t="str">
        <f t="shared" si="61"/>
        <v xml:space="preserve"> </v>
      </c>
      <c r="DZ34" s="46" t="str">
        <f t="shared" si="62"/>
        <v xml:space="preserve"> </v>
      </c>
      <c r="EA34" s="46" t="str">
        <f t="shared" si="63"/>
        <v xml:space="preserve"> </v>
      </c>
      <c r="EB34" s="46" t="str">
        <f t="shared" si="64"/>
        <v xml:space="preserve"> </v>
      </c>
      <c r="EC34" s="46" t="str">
        <f t="shared" si="65"/>
        <v xml:space="preserve"> </v>
      </c>
      <c r="ED34" s="46"/>
      <c r="EE34" s="52">
        <f>[2]uts!J33</f>
        <v>76.333333333333329</v>
      </c>
      <c r="EF34" s="51"/>
      <c r="EG34" s="53" t="str">
        <f t="shared" si="66"/>
        <v xml:space="preserve">  </v>
      </c>
      <c r="EH34" s="53" t="str">
        <f t="shared" si="67"/>
        <v xml:space="preserve">  </v>
      </c>
      <c r="EI34" s="53" t="str">
        <f t="shared" si="68"/>
        <v xml:space="preserve">  </v>
      </c>
      <c r="EJ34" s="53" t="str">
        <f t="shared" si="69"/>
        <v xml:space="preserve">  </v>
      </c>
      <c r="EK34" s="53" t="str">
        <f t="shared" si="70"/>
        <v xml:space="preserve">  </v>
      </c>
      <c r="EL34" s="53" t="str">
        <f t="shared" si="71"/>
        <v xml:space="preserve">  </v>
      </c>
      <c r="EM34" s="53" t="str">
        <f t="shared" si="72"/>
        <v xml:space="preserve">  </v>
      </c>
      <c r="EN34" s="53" t="str">
        <f t="shared" si="73"/>
        <v xml:space="preserve">  </v>
      </c>
      <c r="EO34" s="53" t="str">
        <f t="shared" si="74"/>
        <v xml:space="preserve">  </v>
      </c>
      <c r="EP34" s="53"/>
      <c r="EQ34" s="54" t="str">
        <f t="shared" si="75"/>
        <v xml:space="preserve"> </v>
      </c>
      <c r="ER34" s="55">
        <f t="shared" si="76"/>
        <v>0</v>
      </c>
      <c r="ES34" s="55">
        <f t="shared" si="77"/>
        <v>0</v>
      </c>
      <c r="ET34" s="51">
        <f>SISWA!E32</f>
        <v>0</v>
      </c>
      <c r="EU34" s="51" t="str">
        <f t="shared" si="78"/>
        <v/>
      </c>
      <c r="EV34" s="56" t="str">
        <f t="shared" si="79"/>
        <v/>
      </c>
      <c r="EW34" s="57" t="str">
        <f t="shared" si="80"/>
        <v/>
      </c>
      <c r="EX34" s="57" t="str">
        <f t="shared" si="81"/>
        <v/>
      </c>
      <c r="EY34" s="57" t="str">
        <f t="shared" si="82"/>
        <v/>
      </c>
      <c r="EZ34" s="57" t="str">
        <f t="shared" si="83"/>
        <v/>
      </c>
      <c r="FA34" s="57" t="str">
        <f t="shared" si="84"/>
        <v/>
      </c>
      <c r="FB34" s="57" t="str">
        <f t="shared" si="85"/>
        <v/>
      </c>
      <c r="FC34" s="57"/>
      <c r="FD34" s="57"/>
      <c r="FE34" s="57"/>
      <c r="FF34" s="58">
        <f t="shared" si="86"/>
        <v>0</v>
      </c>
      <c r="FG34" s="55" t="e">
        <f t="shared" si="87"/>
        <v>#N/A</v>
      </c>
      <c r="FH34" s="58"/>
      <c r="FI34" s="59" t="e">
        <f>IF(ER34&gt;100,"",IF(ER34&gt;DQ$1,"sangat baik dalam "&amp;FG34,IF(ER34&gt;=DQ$2,"baik dalam "&amp;FG34,IF(ER34&gt;=DQ$3,"cukup dalam "&amp;FG34,IF(ER34&lt;DQ$3,"dengan bimbingan dapat ,meningkatkan dalam "&amp;FG34,IF(ER34&lt;1," ",””))))))</f>
        <v>#N/A</v>
      </c>
      <c r="FJ34" s="58"/>
      <c r="FK34" s="57" t="str">
        <f t="shared" si="88"/>
        <v/>
      </c>
      <c r="FL34" s="57" t="str">
        <f t="shared" si="89"/>
        <v/>
      </c>
      <c r="FM34" s="57" t="str">
        <f t="shared" si="90"/>
        <v/>
      </c>
      <c r="FN34" s="57" t="str">
        <f t="shared" si="91"/>
        <v/>
      </c>
      <c r="FO34" s="57" t="str">
        <f t="shared" si="92"/>
        <v/>
      </c>
      <c r="FP34" s="57" t="str">
        <f t="shared" si="93"/>
        <v/>
      </c>
      <c r="FQ34" s="57" t="str">
        <f t="shared" si="94"/>
        <v/>
      </c>
      <c r="FR34" s="57"/>
      <c r="FS34" s="57"/>
      <c r="FT34" s="57"/>
      <c r="FU34" s="59" t="e">
        <f t="shared" si="95"/>
        <v>#N/A</v>
      </c>
      <c r="FV34" s="59" t="e">
        <f>IF(ES34&gt;100,"",IF(ES34&gt;DQ$1,"sangat baik dalam "&amp;FU34,IF(ES34&gt;=DQ$2,"baik dalam "&amp;FU34,IF(ES34&gt;=DQ$3,"cukup dalam "&amp;FU34,IF(ES34&lt;DQ$3,"dengan bimbingan dapat meningkatkan dalam "&amp;FU34,IF(ES34&lt;1," ",””))))))</f>
        <v>#N/A</v>
      </c>
      <c r="FW34" s="61"/>
      <c r="FX34" s="62" t="e">
        <f t="shared" si="96"/>
        <v>#N/A</v>
      </c>
      <c r="FY34" s="57">
        <f t="shared" si="97"/>
        <v>0</v>
      </c>
      <c r="FZ34" s="57">
        <f t="shared" si="98"/>
        <v>0</v>
      </c>
      <c r="GA34" s="57">
        <f t="shared" si="99"/>
        <v>0</v>
      </c>
      <c r="GB34" s="57"/>
      <c r="GC34" s="57"/>
      <c r="GD34" s="57"/>
      <c r="GE34" s="59">
        <f t="shared" si="44"/>
        <v>0</v>
      </c>
      <c r="GF34" s="60"/>
      <c r="GG34" s="61"/>
      <c r="GH34" s="62" t="str">
        <f t="shared" si="100"/>
        <v>, 0</v>
      </c>
    </row>
    <row r="35" spans="1:190">
      <c r="A35" s="39">
        <v>28</v>
      </c>
      <c r="B35" s="283">
        <f>SISWA!B33</f>
        <v>0</v>
      </c>
      <c r="C35" s="123"/>
      <c r="D35" s="123"/>
      <c r="E35" s="123"/>
      <c r="F35" s="123"/>
      <c r="G35" s="123"/>
      <c r="H35" s="123"/>
      <c r="I35" s="123"/>
      <c r="J35" s="123"/>
      <c r="K35" s="123"/>
      <c r="L35" s="256"/>
      <c r="M35" s="256"/>
      <c r="N35" s="256"/>
      <c r="O35" s="256"/>
      <c r="P35" s="256"/>
      <c r="Q35" s="256"/>
      <c r="R35" s="256"/>
      <c r="S35" s="256"/>
      <c r="T35" s="256"/>
      <c r="U35" s="123"/>
      <c r="V35" s="123"/>
      <c r="W35" s="123"/>
      <c r="X35" s="123"/>
      <c r="Y35" s="123"/>
      <c r="Z35" s="123"/>
      <c r="AA35" s="123"/>
      <c r="AB35" s="123"/>
      <c r="AC35" s="123"/>
      <c r="AD35" s="256"/>
      <c r="AE35" s="256"/>
      <c r="AF35" s="256"/>
      <c r="AG35" s="256"/>
      <c r="AH35" s="256"/>
      <c r="AI35" s="256"/>
      <c r="AJ35" s="256"/>
      <c r="AK35" s="256"/>
      <c r="AL35" s="256"/>
      <c r="AM35" s="123"/>
      <c r="AN35" s="123"/>
      <c r="AO35" s="123"/>
      <c r="AP35" s="123"/>
      <c r="AQ35" s="123"/>
      <c r="AR35" s="123"/>
      <c r="AS35" s="123"/>
      <c r="AT35" s="123"/>
      <c r="AU35" s="123"/>
      <c r="AV35" s="256"/>
      <c r="AW35" s="256"/>
      <c r="AX35" s="256"/>
      <c r="AY35" s="256"/>
      <c r="AZ35" s="256"/>
      <c r="BA35" s="256"/>
      <c r="BB35" s="256"/>
      <c r="BC35" s="256"/>
      <c r="BD35" s="256"/>
      <c r="BE35" s="123"/>
      <c r="BF35" s="123"/>
      <c r="BG35" s="123"/>
      <c r="BH35" s="123"/>
      <c r="BI35" s="123"/>
      <c r="BJ35" s="123"/>
      <c r="BK35" s="123"/>
      <c r="BL35" s="123"/>
      <c r="BM35" s="123"/>
      <c r="BN35" s="256"/>
      <c r="BO35" s="256"/>
      <c r="BP35" s="256"/>
      <c r="BQ35" s="256"/>
      <c r="BR35" s="256"/>
      <c r="BS35" s="256"/>
      <c r="BT35" s="256"/>
      <c r="BU35" s="256"/>
      <c r="BV35" s="256"/>
      <c r="BW35" s="460"/>
      <c r="BX35" s="460"/>
      <c r="BY35" s="460"/>
      <c r="BZ35" s="460"/>
      <c r="CA35" s="460"/>
      <c r="CB35" s="460"/>
      <c r="CC35" s="460"/>
      <c r="CD35" s="460"/>
      <c r="CE35" s="460"/>
      <c r="CF35" s="346"/>
      <c r="CG35" s="346"/>
      <c r="CH35" s="346"/>
      <c r="CI35" s="346"/>
      <c r="CJ35" s="346"/>
      <c r="CK35" s="346"/>
      <c r="CL35" s="346"/>
      <c r="CM35" s="346"/>
      <c r="CN35" s="346"/>
      <c r="CO35" s="260" t="str">
        <f t="shared" si="45"/>
        <v xml:space="preserve"> </v>
      </c>
      <c r="CP35" s="260" t="str">
        <f t="shared" si="46"/>
        <v xml:space="preserve"> </v>
      </c>
      <c r="CQ35" s="260" t="str">
        <f t="shared" si="47"/>
        <v xml:space="preserve"> </v>
      </c>
      <c r="CR35" s="260" t="str">
        <f t="shared" si="48"/>
        <v xml:space="preserve"> </v>
      </c>
      <c r="CS35" s="260" t="str">
        <f t="shared" si="49"/>
        <v xml:space="preserve"> </v>
      </c>
      <c r="CT35" s="260" t="str">
        <f t="shared" si="50"/>
        <v xml:space="preserve"> </v>
      </c>
      <c r="CU35" s="260" t="str">
        <f t="shared" si="51"/>
        <v xml:space="preserve"> </v>
      </c>
      <c r="CV35" s="260" t="str">
        <f t="shared" si="52"/>
        <v xml:space="preserve"> </v>
      </c>
      <c r="CW35" s="260" t="str">
        <f t="shared" si="53"/>
        <v xml:space="preserve"> </v>
      </c>
      <c r="CX35" s="547"/>
      <c r="CY35" s="547"/>
      <c r="CZ35" s="547"/>
      <c r="DA35" s="547"/>
      <c r="DB35" s="547"/>
      <c r="DC35" s="547"/>
      <c r="DD35" s="547"/>
      <c r="DE35" s="547"/>
      <c r="DF35" s="547"/>
      <c r="DG35" s="565"/>
      <c r="DH35" s="565"/>
      <c r="DI35" s="565"/>
      <c r="DJ35" s="565"/>
      <c r="DK35" s="565"/>
      <c r="DL35" s="565"/>
      <c r="DM35" s="565"/>
      <c r="DN35" s="565"/>
      <c r="DO35" s="565"/>
      <c r="DP35" s="549" t="str">
        <f t="shared" si="54"/>
        <v xml:space="preserve"> </v>
      </c>
      <c r="DQ35" s="291" t="str">
        <f t="shared" si="55"/>
        <v xml:space="preserve">  </v>
      </c>
      <c r="DR35" s="50" t="str">
        <f t="shared" si="56"/>
        <v xml:space="preserve"> </v>
      </c>
      <c r="DS35" s="282"/>
      <c r="DT35" s="51"/>
      <c r="DU35" s="46" t="str">
        <f t="shared" si="57"/>
        <v xml:space="preserve"> </v>
      </c>
      <c r="DV35" s="46" t="str">
        <f t="shared" si="58"/>
        <v xml:space="preserve"> </v>
      </c>
      <c r="DW35" s="46" t="str">
        <f t="shared" si="59"/>
        <v xml:space="preserve"> </v>
      </c>
      <c r="DX35" s="46" t="str">
        <f t="shared" si="60"/>
        <v xml:space="preserve"> </v>
      </c>
      <c r="DY35" s="46" t="str">
        <f t="shared" si="61"/>
        <v xml:space="preserve"> </v>
      </c>
      <c r="DZ35" s="46" t="str">
        <f t="shared" si="62"/>
        <v xml:space="preserve"> </v>
      </c>
      <c r="EA35" s="46" t="str">
        <f t="shared" si="63"/>
        <v xml:space="preserve"> </v>
      </c>
      <c r="EB35" s="46" t="str">
        <f t="shared" si="64"/>
        <v xml:space="preserve"> </v>
      </c>
      <c r="EC35" s="46" t="str">
        <f t="shared" si="65"/>
        <v xml:space="preserve"> </v>
      </c>
      <c r="ED35" s="46"/>
      <c r="EE35" s="52">
        <f>[2]uts!J34</f>
        <v>73</v>
      </c>
      <c r="EF35" s="51"/>
      <c r="EG35" s="53" t="str">
        <f t="shared" si="66"/>
        <v xml:space="preserve">  </v>
      </c>
      <c r="EH35" s="53" t="str">
        <f t="shared" si="67"/>
        <v xml:space="preserve">  </v>
      </c>
      <c r="EI35" s="53" t="str">
        <f t="shared" si="68"/>
        <v xml:space="preserve">  </v>
      </c>
      <c r="EJ35" s="53" t="str">
        <f t="shared" si="69"/>
        <v xml:space="preserve">  </v>
      </c>
      <c r="EK35" s="53" t="str">
        <f t="shared" si="70"/>
        <v xml:space="preserve">  </v>
      </c>
      <c r="EL35" s="53" t="str">
        <f t="shared" si="71"/>
        <v xml:space="preserve">  </v>
      </c>
      <c r="EM35" s="53" t="str">
        <f t="shared" si="72"/>
        <v xml:space="preserve">  </v>
      </c>
      <c r="EN35" s="53" t="str">
        <f t="shared" si="73"/>
        <v xml:space="preserve">  </v>
      </c>
      <c r="EO35" s="53" t="str">
        <f t="shared" si="74"/>
        <v xml:space="preserve">  </v>
      </c>
      <c r="EP35" s="53"/>
      <c r="EQ35" s="54" t="str">
        <f t="shared" si="75"/>
        <v xml:space="preserve"> </v>
      </c>
      <c r="ER35" s="55">
        <f t="shared" si="76"/>
        <v>0</v>
      </c>
      <c r="ES35" s="55">
        <f t="shared" si="77"/>
        <v>0</v>
      </c>
      <c r="ET35" s="51">
        <f>SISWA!E33</f>
        <v>0</v>
      </c>
      <c r="EU35" s="51" t="str">
        <f t="shared" si="78"/>
        <v/>
      </c>
      <c r="EV35" s="56" t="str">
        <f t="shared" si="79"/>
        <v/>
      </c>
      <c r="EW35" s="57" t="str">
        <f t="shared" si="80"/>
        <v/>
      </c>
      <c r="EX35" s="57" t="str">
        <f t="shared" si="81"/>
        <v/>
      </c>
      <c r="EY35" s="57" t="str">
        <f t="shared" si="82"/>
        <v/>
      </c>
      <c r="EZ35" s="57" t="str">
        <f t="shared" si="83"/>
        <v/>
      </c>
      <c r="FA35" s="57" t="str">
        <f t="shared" si="84"/>
        <v/>
      </c>
      <c r="FB35" s="57" t="str">
        <f t="shared" si="85"/>
        <v/>
      </c>
      <c r="FC35" s="57"/>
      <c r="FD35" s="57"/>
      <c r="FE35" s="57"/>
      <c r="FF35" s="58">
        <f t="shared" si="86"/>
        <v>0</v>
      </c>
      <c r="FG35" s="55" t="e">
        <f t="shared" si="87"/>
        <v>#N/A</v>
      </c>
      <c r="FH35" s="58"/>
      <c r="FI35" s="59" t="e">
        <f>IF(ER35&gt;100,"",IF(ER35&gt;DQ$1,"sangat baik dalam "&amp;FG35,IF(ER35&gt;=DQ$2,"baik dalam "&amp;FG35,IF(ER35&gt;=DQ$3,"cukup dalam "&amp;FG35,IF(ER35&lt;DQ$3,"dengan bimbingan dapat ,meningkatkan dalam "&amp;FG35,IF(ER35&lt;1," ",””))))))</f>
        <v>#N/A</v>
      </c>
      <c r="FJ35" s="58"/>
      <c r="FK35" s="57" t="str">
        <f t="shared" si="88"/>
        <v/>
      </c>
      <c r="FL35" s="57" t="str">
        <f t="shared" si="89"/>
        <v/>
      </c>
      <c r="FM35" s="57" t="str">
        <f t="shared" si="90"/>
        <v/>
      </c>
      <c r="FN35" s="57" t="str">
        <f t="shared" si="91"/>
        <v/>
      </c>
      <c r="FO35" s="57" t="str">
        <f t="shared" si="92"/>
        <v/>
      </c>
      <c r="FP35" s="57" t="str">
        <f t="shared" si="93"/>
        <v/>
      </c>
      <c r="FQ35" s="57" t="str">
        <f t="shared" si="94"/>
        <v/>
      </c>
      <c r="FR35" s="57"/>
      <c r="FS35" s="57"/>
      <c r="FT35" s="57"/>
      <c r="FU35" s="59" t="e">
        <f t="shared" si="95"/>
        <v>#N/A</v>
      </c>
      <c r="FV35" s="59" t="e">
        <f>IF(ES35&gt;100,"",IF(ES35&gt;DQ$1,"sangat baik dalam "&amp;FU35,IF(ES35&gt;=DQ$2,"baik dalam "&amp;FU35,IF(ES35&gt;=DQ$3,"cukup dalam "&amp;FU35,IF(ES35&lt;DQ$3,"dengan bimbingan dapat meningkatkan dalam "&amp;FU35,IF(ES35&lt;1," ",””))))))</f>
        <v>#N/A</v>
      </c>
      <c r="FW35" s="61"/>
      <c r="FX35" s="62" t="e">
        <f t="shared" si="96"/>
        <v>#N/A</v>
      </c>
      <c r="FY35" s="57">
        <f t="shared" si="97"/>
        <v>0</v>
      </c>
      <c r="FZ35" s="57">
        <f t="shared" si="98"/>
        <v>0</v>
      </c>
      <c r="GA35" s="57">
        <f t="shared" si="99"/>
        <v>0</v>
      </c>
      <c r="GB35" s="57"/>
      <c r="GC35" s="57"/>
      <c r="GD35" s="57"/>
      <c r="GE35" s="59">
        <f t="shared" si="44"/>
        <v>0</v>
      </c>
      <c r="GF35" s="60"/>
      <c r="GG35" s="61"/>
      <c r="GH35" s="62" t="str">
        <f t="shared" si="100"/>
        <v>, 0</v>
      </c>
    </row>
    <row r="36" spans="1:190">
      <c r="A36" s="39">
        <v>29</v>
      </c>
      <c r="B36" s="283">
        <f>SISWA!B34</f>
        <v>0</v>
      </c>
      <c r="C36" s="123"/>
      <c r="D36" s="123"/>
      <c r="E36" s="123"/>
      <c r="F36" s="123"/>
      <c r="G36" s="123"/>
      <c r="H36" s="123"/>
      <c r="I36" s="123"/>
      <c r="J36" s="123"/>
      <c r="K36" s="123"/>
      <c r="L36" s="256"/>
      <c r="M36" s="256"/>
      <c r="N36" s="256"/>
      <c r="O36" s="256"/>
      <c r="P36" s="256"/>
      <c r="Q36" s="256"/>
      <c r="R36" s="256"/>
      <c r="S36" s="256"/>
      <c r="T36" s="256"/>
      <c r="U36" s="123"/>
      <c r="V36" s="123"/>
      <c r="W36" s="123"/>
      <c r="X36" s="123"/>
      <c r="Y36" s="123"/>
      <c r="Z36" s="123"/>
      <c r="AA36" s="123"/>
      <c r="AB36" s="123"/>
      <c r="AC36" s="123"/>
      <c r="AD36" s="256"/>
      <c r="AE36" s="256"/>
      <c r="AF36" s="256"/>
      <c r="AG36" s="256"/>
      <c r="AH36" s="256"/>
      <c r="AI36" s="256"/>
      <c r="AJ36" s="256"/>
      <c r="AK36" s="256"/>
      <c r="AL36" s="256"/>
      <c r="AM36" s="123"/>
      <c r="AN36" s="123"/>
      <c r="AO36" s="123"/>
      <c r="AP36" s="123"/>
      <c r="AQ36" s="123"/>
      <c r="AR36" s="123"/>
      <c r="AS36" s="123"/>
      <c r="AT36" s="123"/>
      <c r="AU36" s="123"/>
      <c r="AV36" s="256"/>
      <c r="AW36" s="256"/>
      <c r="AX36" s="256"/>
      <c r="AY36" s="256"/>
      <c r="AZ36" s="256"/>
      <c r="BA36" s="256"/>
      <c r="BB36" s="256"/>
      <c r="BC36" s="256"/>
      <c r="BD36" s="256"/>
      <c r="BE36" s="123"/>
      <c r="BF36" s="123"/>
      <c r="BG36" s="123"/>
      <c r="BH36" s="123"/>
      <c r="BI36" s="123"/>
      <c r="BJ36" s="123"/>
      <c r="BK36" s="123"/>
      <c r="BL36" s="123"/>
      <c r="BM36" s="123"/>
      <c r="BN36" s="256"/>
      <c r="BO36" s="256"/>
      <c r="BP36" s="256"/>
      <c r="BQ36" s="256"/>
      <c r="BR36" s="256"/>
      <c r="BS36" s="256"/>
      <c r="BT36" s="256"/>
      <c r="BU36" s="256"/>
      <c r="BV36" s="256"/>
      <c r="BW36" s="460"/>
      <c r="BX36" s="460"/>
      <c r="BY36" s="460"/>
      <c r="BZ36" s="460"/>
      <c r="CA36" s="460"/>
      <c r="CB36" s="460"/>
      <c r="CC36" s="460"/>
      <c r="CD36" s="460"/>
      <c r="CE36" s="460"/>
      <c r="CF36" s="346"/>
      <c r="CG36" s="346"/>
      <c r="CH36" s="346"/>
      <c r="CI36" s="346"/>
      <c r="CJ36" s="346"/>
      <c r="CK36" s="346"/>
      <c r="CL36" s="346"/>
      <c r="CM36" s="346"/>
      <c r="CN36" s="346"/>
      <c r="CO36" s="260" t="str">
        <f t="shared" si="45"/>
        <v xml:space="preserve"> </v>
      </c>
      <c r="CP36" s="260" t="str">
        <f t="shared" si="46"/>
        <v xml:space="preserve"> </v>
      </c>
      <c r="CQ36" s="260" t="str">
        <f t="shared" si="47"/>
        <v xml:space="preserve"> </v>
      </c>
      <c r="CR36" s="260" t="str">
        <f t="shared" si="48"/>
        <v xml:space="preserve"> </v>
      </c>
      <c r="CS36" s="260" t="str">
        <f t="shared" si="49"/>
        <v xml:space="preserve"> </v>
      </c>
      <c r="CT36" s="260" t="str">
        <f t="shared" si="50"/>
        <v xml:space="preserve"> </v>
      </c>
      <c r="CU36" s="260" t="str">
        <f t="shared" si="51"/>
        <v xml:space="preserve"> </v>
      </c>
      <c r="CV36" s="260" t="str">
        <f t="shared" si="52"/>
        <v xml:space="preserve"> </v>
      </c>
      <c r="CW36" s="260" t="str">
        <f t="shared" si="53"/>
        <v xml:space="preserve"> </v>
      </c>
      <c r="CX36" s="547"/>
      <c r="CY36" s="547"/>
      <c r="CZ36" s="547"/>
      <c r="DA36" s="547"/>
      <c r="DB36" s="547"/>
      <c r="DC36" s="547"/>
      <c r="DD36" s="547"/>
      <c r="DE36" s="547"/>
      <c r="DF36" s="547"/>
      <c r="DG36" s="565"/>
      <c r="DH36" s="565"/>
      <c r="DI36" s="565"/>
      <c r="DJ36" s="565"/>
      <c r="DK36" s="565"/>
      <c r="DL36" s="565"/>
      <c r="DM36" s="565"/>
      <c r="DN36" s="565"/>
      <c r="DO36" s="565"/>
      <c r="DP36" s="549" t="str">
        <f t="shared" si="54"/>
        <v xml:space="preserve"> </v>
      </c>
      <c r="DQ36" s="291" t="str">
        <f t="shared" si="55"/>
        <v xml:space="preserve">  </v>
      </c>
      <c r="DR36" s="50" t="str">
        <f t="shared" si="56"/>
        <v xml:space="preserve"> </v>
      </c>
      <c r="DS36" s="282"/>
      <c r="DT36" s="51"/>
      <c r="DU36" s="46" t="str">
        <f t="shared" si="57"/>
        <v xml:space="preserve"> </v>
      </c>
      <c r="DV36" s="46" t="str">
        <f t="shared" si="58"/>
        <v xml:space="preserve"> </v>
      </c>
      <c r="DW36" s="46" t="str">
        <f t="shared" si="59"/>
        <v xml:space="preserve"> </v>
      </c>
      <c r="DX36" s="46" t="str">
        <f t="shared" si="60"/>
        <v xml:space="preserve"> </v>
      </c>
      <c r="DY36" s="46" t="str">
        <f t="shared" si="61"/>
        <v xml:space="preserve"> </v>
      </c>
      <c r="DZ36" s="46" t="str">
        <f t="shared" si="62"/>
        <v xml:space="preserve"> </v>
      </c>
      <c r="EA36" s="46" t="str">
        <f t="shared" si="63"/>
        <v xml:space="preserve"> </v>
      </c>
      <c r="EB36" s="46" t="str">
        <f t="shared" si="64"/>
        <v xml:space="preserve"> </v>
      </c>
      <c r="EC36" s="46" t="str">
        <f t="shared" si="65"/>
        <v xml:space="preserve"> </v>
      </c>
      <c r="ED36" s="46"/>
      <c r="EE36" s="52" t="str">
        <f>[2]uts!J35</f>
        <v/>
      </c>
      <c r="EF36" s="51"/>
      <c r="EG36" s="53" t="str">
        <f t="shared" si="66"/>
        <v xml:space="preserve">  </v>
      </c>
      <c r="EH36" s="53" t="str">
        <f t="shared" si="67"/>
        <v xml:space="preserve">  </v>
      </c>
      <c r="EI36" s="53" t="str">
        <f t="shared" si="68"/>
        <v xml:space="preserve">  </v>
      </c>
      <c r="EJ36" s="53" t="str">
        <f t="shared" si="69"/>
        <v xml:space="preserve">  </v>
      </c>
      <c r="EK36" s="53" t="str">
        <f t="shared" si="70"/>
        <v xml:space="preserve">  </v>
      </c>
      <c r="EL36" s="53" t="str">
        <f t="shared" si="71"/>
        <v xml:space="preserve">  </v>
      </c>
      <c r="EM36" s="53" t="str">
        <f t="shared" si="72"/>
        <v xml:space="preserve">  </v>
      </c>
      <c r="EN36" s="53" t="str">
        <f t="shared" si="73"/>
        <v xml:space="preserve">  </v>
      </c>
      <c r="EO36" s="53" t="str">
        <f t="shared" si="74"/>
        <v xml:space="preserve">  </v>
      </c>
      <c r="EP36" s="53"/>
      <c r="EQ36" s="54" t="str">
        <f t="shared" si="75"/>
        <v xml:space="preserve"> </v>
      </c>
      <c r="ER36" s="55">
        <f t="shared" si="76"/>
        <v>0</v>
      </c>
      <c r="ES36" s="55">
        <f t="shared" si="77"/>
        <v>0</v>
      </c>
      <c r="ET36" s="51">
        <f>SISWA!E34</f>
        <v>0</v>
      </c>
      <c r="EU36" s="51" t="str">
        <f t="shared" si="78"/>
        <v/>
      </c>
      <c r="EV36" s="56" t="str">
        <f t="shared" si="79"/>
        <v/>
      </c>
      <c r="EW36" s="57" t="str">
        <f t="shared" si="80"/>
        <v/>
      </c>
      <c r="EX36" s="57" t="str">
        <f t="shared" si="81"/>
        <v/>
      </c>
      <c r="EY36" s="57" t="str">
        <f t="shared" si="82"/>
        <v/>
      </c>
      <c r="EZ36" s="57" t="str">
        <f t="shared" si="83"/>
        <v/>
      </c>
      <c r="FA36" s="57" t="str">
        <f t="shared" si="84"/>
        <v/>
      </c>
      <c r="FB36" s="57" t="str">
        <f t="shared" si="85"/>
        <v/>
      </c>
      <c r="FC36" s="57"/>
      <c r="FD36" s="57"/>
      <c r="FE36" s="57"/>
      <c r="FF36" s="58">
        <f t="shared" si="86"/>
        <v>0</v>
      </c>
      <c r="FG36" s="55" t="e">
        <f t="shared" si="87"/>
        <v>#N/A</v>
      </c>
      <c r="FH36" s="58"/>
      <c r="FI36" s="59" t="e">
        <f>IF(ER36&gt;100,"",IF(ER36&gt;DQ$1,"sangat baik dalam "&amp;FG36,IF(ER36&gt;=DQ$2,"baik dalam "&amp;FG36,IF(ER36&gt;=DQ$3,"cukup dalam "&amp;FG36,IF(ER36&lt;DQ$3,"dengan bimbingan dapat ,meningkatkan dalam "&amp;FG36,IF(ER36&lt;1," ",””))))))</f>
        <v>#N/A</v>
      </c>
      <c r="FJ36" s="58"/>
      <c r="FK36" s="57" t="str">
        <f t="shared" si="88"/>
        <v/>
      </c>
      <c r="FL36" s="57" t="str">
        <f t="shared" si="89"/>
        <v/>
      </c>
      <c r="FM36" s="57" t="str">
        <f t="shared" si="90"/>
        <v/>
      </c>
      <c r="FN36" s="57" t="str">
        <f t="shared" si="91"/>
        <v/>
      </c>
      <c r="FO36" s="57" t="str">
        <f t="shared" si="92"/>
        <v/>
      </c>
      <c r="FP36" s="57" t="str">
        <f t="shared" si="93"/>
        <v/>
      </c>
      <c r="FQ36" s="57" t="str">
        <f t="shared" si="94"/>
        <v/>
      </c>
      <c r="FR36" s="57"/>
      <c r="FS36" s="57"/>
      <c r="FT36" s="57"/>
      <c r="FU36" s="59" t="e">
        <f t="shared" si="95"/>
        <v>#N/A</v>
      </c>
      <c r="FV36" s="59" t="e">
        <f>IF(ES36&gt;100,"",IF(ES36&gt;DQ$1,"sangat baik dalam "&amp;FU36,IF(ES36&gt;=DQ$2,"baik dalam "&amp;FU36,IF(ES36&gt;=DQ$3,"cukup dalam "&amp;FU36,IF(ES36&lt;DQ$3,"dengan bimbingan dapat meningkatkan dalam "&amp;FU36,IF(ES36&lt;1," ",””))))))</f>
        <v>#N/A</v>
      </c>
      <c r="FW36" s="61"/>
      <c r="FX36" s="62" t="e">
        <f t="shared" si="96"/>
        <v>#N/A</v>
      </c>
      <c r="FY36" s="57">
        <f t="shared" si="97"/>
        <v>0</v>
      </c>
      <c r="FZ36" s="57">
        <f t="shared" si="98"/>
        <v>0</v>
      </c>
      <c r="GA36" s="57">
        <f t="shared" si="99"/>
        <v>0</v>
      </c>
      <c r="GB36" s="57"/>
      <c r="GC36" s="57"/>
      <c r="GD36" s="57"/>
      <c r="GE36" s="59">
        <f t="shared" si="44"/>
        <v>0</v>
      </c>
      <c r="GF36" s="60"/>
      <c r="GG36" s="61"/>
      <c r="GH36" s="62" t="str">
        <f t="shared" si="100"/>
        <v>, 0</v>
      </c>
    </row>
    <row r="37" spans="1:190">
      <c r="A37" s="39">
        <v>30</v>
      </c>
      <c r="B37" s="283">
        <f>SISWA!B35</f>
        <v>0</v>
      </c>
      <c r="C37" s="123"/>
      <c r="D37" s="123"/>
      <c r="E37" s="123"/>
      <c r="F37" s="123"/>
      <c r="G37" s="123"/>
      <c r="H37" s="123"/>
      <c r="I37" s="123"/>
      <c r="J37" s="123"/>
      <c r="K37" s="123"/>
      <c r="L37" s="256"/>
      <c r="M37" s="256"/>
      <c r="N37" s="256"/>
      <c r="O37" s="256"/>
      <c r="P37" s="256"/>
      <c r="Q37" s="256"/>
      <c r="R37" s="256"/>
      <c r="S37" s="256"/>
      <c r="T37" s="256"/>
      <c r="U37" s="123"/>
      <c r="V37" s="123"/>
      <c r="W37" s="123"/>
      <c r="X37" s="123"/>
      <c r="Y37" s="123"/>
      <c r="Z37" s="123"/>
      <c r="AA37" s="123"/>
      <c r="AB37" s="123"/>
      <c r="AC37" s="123"/>
      <c r="AD37" s="256"/>
      <c r="AE37" s="256"/>
      <c r="AF37" s="256"/>
      <c r="AG37" s="256"/>
      <c r="AH37" s="256"/>
      <c r="AI37" s="256"/>
      <c r="AJ37" s="256"/>
      <c r="AK37" s="256"/>
      <c r="AL37" s="256"/>
      <c r="AM37" s="123"/>
      <c r="AN37" s="123"/>
      <c r="AO37" s="123"/>
      <c r="AP37" s="123"/>
      <c r="AQ37" s="123"/>
      <c r="AR37" s="123"/>
      <c r="AS37" s="123"/>
      <c r="AT37" s="123"/>
      <c r="AU37" s="123"/>
      <c r="AV37" s="256"/>
      <c r="AW37" s="256"/>
      <c r="AX37" s="256"/>
      <c r="AY37" s="256"/>
      <c r="AZ37" s="256"/>
      <c r="BA37" s="256"/>
      <c r="BB37" s="256"/>
      <c r="BC37" s="256"/>
      <c r="BD37" s="256"/>
      <c r="BE37" s="123"/>
      <c r="BF37" s="123"/>
      <c r="BG37" s="123"/>
      <c r="BH37" s="123"/>
      <c r="BI37" s="123"/>
      <c r="BJ37" s="123"/>
      <c r="BK37" s="123"/>
      <c r="BL37" s="123"/>
      <c r="BM37" s="123"/>
      <c r="BN37" s="256"/>
      <c r="BO37" s="256"/>
      <c r="BP37" s="256"/>
      <c r="BQ37" s="256"/>
      <c r="BR37" s="256"/>
      <c r="BS37" s="256"/>
      <c r="BT37" s="256"/>
      <c r="BU37" s="256"/>
      <c r="BV37" s="256"/>
      <c r="BW37" s="460"/>
      <c r="BX37" s="460"/>
      <c r="BY37" s="460"/>
      <c r="BZ37" s="460"/>
      <c r="CA37" s="460"/>
      <c r="CB37" s="460"/>
      <c r="CC37" s="460"/>
      <c r="CD37" s="460"/>
      <c r="CE37" s="460"/>
      <c r="CF37" s="346"/>
      <c r="CG37" s="346"/>
      <c r="CH37" s="346"/>
      <c r="CI37" s="346"/>
      <c r="CJ37" s="346"/>
      <c r="CK37" s="346"/>
      <c r="CL37" s="346"/>
      <c r="CM37" s="346"/>
      <c r="CN37" s="346"/>
      <c r="CO37" s="260" t="str">
        <f t="shared" si="45"/>
        <v xml:space="preserve"> </v>
      </c>
      <c r="CP37" s="260" t="str">
        <f t="shared" si="46"/>
        <v xml:space="preserve"> </v>
      </c>
      <c r="CQ37" s="260" t="str">
        <f t="shared" si="47"/>
        <v xml:space="preserve"> </v>
      </c>
      <c r="CR37" s="260" t="str">
        <f t="shared" si="48"/>
        <v xml:space="preserve"> </v>
      </c>
      <c r="CS37" s="260" t="str">
        <f t="shared" si="49"/>
        <v xml:space="preserve"> </v>
      </c>
      <c r="CT37" s="260" t="str">
        <f t="shared" si="50"/>
        <v xml:space="preserve"> </v>
      </c>
      <c r="CU37" s="260" t="str">
        <f t="shared" si="51"/>
        <v xml:space="preserve"> </v>
      </c>
      <c r="CV37" s="260" t="str">
        <f t="shared" si="52"/>
        <v xml:space="preserve"> </v>
      </c>
      <c r="CW37" s="260" t="str">
        <f t="shared" si="53"/>
        <v xml:space="preserve"> </v>
      </c>
      <c r="CX37" s="547"/>
      <c r="CY37" s="547"/>
      <c r="CZ37" s="547"/>
      <c r="DA37" s="547"/>
      <c r="DB37" s="547"/>
      <c r="DC37" s="547"/>
      <c r="DD37" s="547"/>
      <c r="DE37" s="547"/>
      <c r="DF37" s="547"/>
      <c r="DG37" s="565"/>
      <c r="DH37" s="565"/>
      <c r="DI37" s="565"/>
      <c r="DJ37" s="565"/>
      <c r="DK37" s="565"/>
      <c r="DL37" s="565"/>
      <c r="DM37" s="565"/>
      <c r="DN37" s="565"/>
      <c r="DO37" s="565"/>
      <c r="DP37" s="549" t="str">
        <f t="shared" si="54"/>
        <v xml:space="preserve"> </v>
      </c>
      <c r="DQ37" s="291" t="str">
        <f t="shared" si="55"/>
        <v xml:space="preserve">  </v>
      </c>
      <c r="DR37" s="50" t="str">
        <f t="shared" si="56"/>
        <v xml:space="preserve"> </v>
      </c>
      <c r="DS37" s="282"/>
      <c r="DT37" s="51"/>
      <c r="DU37" s="46" t="str">
        <f t="shared" si="57"/>
        <v xml:space="preserve"> </v>
      </c>
      <c r="DV37" s="46" t="str">
        <f t="shared" si="58"/>
        <v xml:space="preserve"> </v>
      </c>
      <c r="DW37" s="46" t="str">
        <f t="shared" si="59"/>
        <v xml:space="preserve"> </v>
      </c>
      <c r="DX37" s="46" t="str">
        <f t="shared" si="60"/>
        <v xml:space="preserve"> </v>
      </c>
      <c r="DY37" s="46" t="str">
        <f t="shared" si="61"/>
        <v xml:space="preserve"> </v>
      </c>
      <c r="DZ37" s="46" t="str">
        <f t="shared" si="62"/>
        <v xml:space="preserve"> </v>
      </c>
      <c r="EA37" s="46" t="str">
        <f t="shared" si="63"/>
        <v xml:space="preserve"> </v>
      </c>
      <c r="EB37" s="46" t="str">
        <f t="shared" si="64"/>
        <v xml:space="preserve"> </v>
      </c>
      <c r="EC37" s="46" t="str">
        <f t="shared" si="65"/>
        <v xml:space="preserve"> </v>
      </c>
      <c r="ED37" s="46"/>
      <c r="EE37" s="52" t="str">
        <f>[2]uts!J36</f>
        <v/>
      </c>
      <c r="EF37" s="51"/>
      <c r="EG37" s="53" t="str">
        <f t="shared" si="66"/>
        <v xml:space="preserve">  </v>
      </c>
      <c r="EH37" s="53" t="str">
        <f t="shared" si="67"/>
        <v xml:space="preserve">  </v>
      </c>
      <c r="EI37" s="53" t="str">
        <f t="shared" si="68"/>
        <v xml:space="preserve">  </v>
      </c>
      <c r="EJ37" s="53" t="str">
        <f t="shared" si="69"/>
        <v xml:space="preserve">  </v>
      </c>
      <c r="EK37" s="53" t="str">
        <f t="shared" si="70"/>
        <v xml:space="preserve">  </v>
      </c>
      <c r="EL37" s="53" t="str">
        <f t="shared" si="71"/>
        <v xml:space="preserve">  </v>
      </c>
      <c r="EM37" s="53" t="str">
        <f t="shared" si="72"/>
        <v xml:space="preserve">  </v>
      </c>
      <c r="EN37" s="53" t="str">
        <f t="shared" si="73"/>
        <v xml:space="preserve">  </v>
      </c>
      <c r="EO37" s="53" t="str">
        <f t="shared" si="74"/>
        <v xml:space="preserve">  </v>
      </c>
      <c r="EP37" s="53"/>
      <c r="EQ37" s="54" t="str">
        <f t="shared" si="75"/>
        <v xml:space="preserve"> </v>
      </c>
      <c r="ER37" s="55">
        <f t="shared" si="76"/>
        <v>0</v>
      </c>
      <c r="ES37" s="55">
        <f t="shared" si="77"/>
        <v>0</v>
      </c>
      <c r="ET37" s="51">
        <f>SISWA!E35</f>
        <v>0</v>
      </c>
      <c r="EU37" s="51" t="str">
        <f t="shared" si="78"/>
        <v/>
      </c>
      <c r="EV37" s="56" t="str">
        <f t="shared" si="79"/>
        <v/>
      </c>
      <c r="EW37" s="57" t="str">
        <f t="shared" si="80"/>
        <v/>
      </c>
      <c r="EX37" s="57" t="str">
        <f t="shared" si="81"/>
        <v/>
      </c>
      <c r="EY37" s="57" t="str">
        <f t="shared" si="82"/>
        <v/>
      </c>
      <c r="EZ37" s="57" t="str">
        <f t="shared" si="83"/>
        <v/>
      </c>
      <c r="FA37" s="57" t="str">
        <f t="shared" si="84"/>
        <v/>
      </c>
      <c r="FB37" s="57" t="str">
        <f t="shared" si="85"/>
        <v/>
      </c>
      <c r="FC37" s="57"/>
      <c r="FD37" s="57"/>
      <c r="FE37" s="57"/>
      <c r="FF37" s="58">
        <f t="shared" si="86"/>
        <v>0</v>
      </c>
      <c r="FG37" s="55" t="e">
        <f t="shared" si="87"/>
        <v>#N/A</v>
      </c>
      <c r="FH37" s="58"/>
      <c r="FI37" s="59" t="e">
        <f>IF(ER37&gt;100,"",IF(ER37&gt;DQ$1,"sangat baik dalam "&amp;FG37,IF(ER37&gt;=DQ$2,"baik dalam "&amp;FG37,IF(ER37&gt;=DQ$3,"cukup dalam "&amp;FG37,IF(ER37&lt;DQ$3,"dengan bimbingan dapat ,meningkatkan dalam "&amp;FG37,IF(ER37&lt;1," ",””))))))</f>
        <v>#N/A</v>
      </c>
      <c r="FJ37" s="58"/>
      <c r="FK37" s="57" t="str">
        <f t="shared" si="88"/>
        <v/>
      </c>
      <c r="FL37" s="57" t="str">
        <f t="shared" si="89"/>
        <v/>
      </c>
      <c r="FM37" s="57" t="str">
        <f t="shared" si="90"/>
        <v/>
      </c>
      <c r="FN37" s="57" t="str">
        <f t="shared" si="91"/>
        <v/>
      </c>
      <c r="FO37" s="57" t="str">
        <f t="shared" si="92"/>
        <v/>
      </c>
      <c r="FP37" s="57" t="str">
        <f t="shared" si="93"/>
        <v/>
      </c>
      <c r="FQ37" s="57" t="str">
        <f t="shared" si="94"/>
        <v/>
      </c>
      <c r="FR37" s="57"/>
      <c r="FS37" s="57"/>
      <c r="FT37" s="57"/>
      <c r="FU37" s="59" t="e">
        <f t="shared" si="95"/>
        <v>#N/A</v>
      </c>
      <c r="FV37" s="59" t="e">
        <f>IF(ES37&gt;100,"",IF(ES37&gt;DQ$1,"sangat baik dalam "&amp;FU37,IF(ES37&gt;=DQ$2,"baik dalam "&amp;FU37,IF(ES37&gt;=DQ$3,"cukup dalam "&amp;FU37,IF(ES37&lt;DQ$3,"dengan bimbingan dapat meningkatkan dalam "&amp;FU37,IF(ES37&lt;1," ",””))))))</f>
        <v>#N/A</v>
      </c>
      <c r="FW37" s="61"/>
      <c r="FX37" s="62" t="e">
        <f t="shared" si="96"/>
        <v>#N/A</v>
      </c>
      <c r="FY37" s="57">
        <f t="shared" si="97"/>
        <v>0</v>
      </c>
      <c r="FZ37" s="57">
        <f t="shared" si="98"/>
        <v>0</v>
      </c>
      <c r="GA37" s="57">
        <f t="shared" si="99"/>
        <v>0</v>
      </c>
      <c r="GB37" s="57"/>
      <c r="GC37" s="57"/>
      <c r="GD37" s="57"/>
      <c r="GE37" s="59">
        <f t="shared" si="44"/>
        <v>0</v>
      </c>
      <c r="GF37" s="60"/>
      <c r="GG37" s="61"/>
      <c r="GH37" s="62" t="str">
        <f t="shared" si="100"/>
        <v>, 0</v>
      </c>
    </row>
    <row r="38" spans="1:190">
      <c r="A38" s="39">
        <v>31</v>
      </c>
      <c r="B38" s="283">
        <f>SISWA!B36</f>
        <v>0</v>
      </c>
      <c r="C38" s="123"/>
      <c r="D38" s="123"/>
      <c r="E38" s="123"/>
      <c r="F38" s="123"/>
      <c r="G38" s="123"/>
      <c r="H38" s="123"/>
      <c r="I38" s="123"/>
      <c r="J38" s="123"/>
      <c r="K38" s="123"/>
      <c r="L38" s="256"/>
      <c r="M38" s="256"/>
      <c r="N38" s="256"/>
      <c r="O38" s="256"/>
      <c r="P38" s="256"/>
      <c r="Q38" s="256"/>
      <c r="R38" s="256"/>
      <c r="S38" s="256"/>
      <c r="T38" s="256"/>
      <c r="U38" s="123"/>
      <c r="V38" s="123"/>
      <c r="W38" s="123"/>
      <c r="X38" s="123"/>
      <c r="Y38" s="123"/>
      <c r="Z38" s="123"/>
      <c r="AA38" s="123"/>
      <c r="AB38" s="123"/>
      <c r="AC38" s="123"/>
      <c r="AD38" s="256"/>
      <c r="AE38" s="256"/>
      <c r="AF38" s="256"/>
      <c r="AG38" s="256"/>
      <c r="AH38" s="256"/>
      <c r="AI38" s="256"/>
      <c r="AJ38" s="256"/>
      <c r="AK38" s="256"/>
      <c r="AL38" s="256"/>
      <c r="AM38" s="123"/>
      <c r="AN38" s="123"/>
      <c r="AO38" s="123"/>
      <c r="AP38" s="123"/>
      <c r="AQ38" s="123"/>
      <c r="AR38" s="123"/>
      <c r="AS38" s="123"/>
      <c r="AT38" s="123"/>
      <c r="AU38" s="123"/>
      <c r="AV38" s="256"/>
      <c r="AW38" s="256"/>
      <c r="AX38" s="256"/>
      <c r="AY38" s="256"/>
      <c r="AZ38" s="256"/>
      <c r="BA38" s="256"/>
      <c r="BB38" s="256"/>
      <c r="BC38" s="256"/>
      <c r="BD38" s="256"/>
      <c r="BE38" s="123"/>
      <c r="BF38" s="123"/>
      <c r="BG38" s="123"/>
      <c r="BH38" s="123"/>
      <c r="BI38" s="123"/>
      <c r="BJ38" s="123"/>
      <c r="BK38" s="123"/>
      <c r="BL38" s="123"/>
      <c r="BM38" s="123"/>
      <c r="BN38" s="256"/>
      <c r="BO38" s="256"/>
      <c r="BP38" s="256"/>
      <c r="BQ38" s="256"/>
      <c r="BR38" s="256"/>
      <c r="BS38" s="256"/>
      <c r="BT38" s="256"/>
      <c r="BU38" s="256"/>
      <c r="BV38" s="256"/>
      <c r="BW38" s="460"/>
      <c r="BX38" s="460"/>
      <c r="BY38" s="460"/>
      <c r="BZ38" s="460"/>
      <c r="CA38" s="460"/>
      <c r="CB38" s="460"/>
      <c r="CC38" s="460"/>
      <c r="CD38" s="460"/>
      <c r="CE38" s="460"/>
      <c r="CF38" s="346"/>
      <c r="CG38" s="346"/>
      <c r="CH38" s="346"/>
      <c r="CI38" s="346"/>
      <c r="CJ38" s="346"/>
      <c r="CK38" s="346"/>
      <c r="CL38" s="346"/>
      <c r="CM38" s="346"/>
      <c r="CN38" s="346"/>
      <c r="CO38" s="260" t="str">
        <f t="shared" si="45"/>
        <v xml:space="preserve"> </v>
      </c>
      <c r="CP38" s="260" t="str">
        <f t="shared" si="46"/>
        <v xml:space="preserve"> </v>
      </c>
      <c r="CQ38" s="260" t="str">
        <f t="shared" si="47"/>
        <v xml:space="preserve"> </v>
      </c>
      <c r="CR38" s="260" t="str">
        <f t="shared" si="48"/>
        <v xml:space="preserve"> </v>
      </c>
      <c r="CS38" s="260" t="str">
        <f t="shared" si="49"/>
        <v xml:space="preserve"> </v>
      </c>
      <c r="CT38" s="260" t="str">
        <f t="shared" si="50"/>
        <v xml:space="preserve"> </v>
      </c>
      <c r="CU38" s="260" t="str">
        <f t="shared" si="51"/>
        <v xml:space="preserve"> </v>
      </c>
      <c r="CV38" s="260" t="str">
        <f t="shared" si="52"/>
        <v xml:space="preserve"> </v>
      </c>
      <c r="CW38" s="260" t="str">
        <f t="shared" si="53"/>
        <v xml:space="preserve"> </v>
      </c>
      <c r="CX38" s="547"/>
      <c r="CY38" s="547"/>
      <c r="CZ38" s="547"/>
      <c r="DA38" s="547"/>
      <c r="DB38" s="547"/>
      <c r="DC38" s="547"/>
      <c r="DD38" s="547"/>
      <c r="DE38" s="547"/>
      <c r="DF38" s="547"/>
      <c r="DG38" s="565"/>
      <c r="DH38" s="565"/>
      <c r="DI38" s="565"/>
      <c r="DJ38" s="565"/>
      <c r="DK38" s="565"/>
      <c r="DL38" s="565"/>
      <c r="DM38" s="565"/>
      <c r="DN38" s="565"/>
      <c r="DO38" s="565"/>
      <c r="DP38" s="549" t="str">
        <f t="shared" si="54"/>
        <v xml:space="preserve"> </v>
      </c>
      <c r="DQ38" s="291" t="str">
        <f t="shared" si="55"/>
        <v xml:space="preserve">  </v>
      </c>
      <c r="DR38" s="50" t="str">
        <f t="shared" si="56"/>
        <v xml:space="preserve"> </v>
      </c>
      <c r="DS38" s="282"/>
      <c r="DT38" s="51"/>
      <c r="DU38" s="46" t="str">
        <f t="shared" si="57"/>
        <v xml:space="preserve"> </v>
      </c>
      <c r="DV38" s="46" t="str">
        <f t="shared" si="58"/>
        <v xml:space="preserve"> </v>
      </c>
      <c r="DW38" s="46" t="str">
        <f t="shared" si="59"/>
        <v xml:space="preserve"> </v>
      </c>
      <c r="DX38" s="46" t="str">
        <f t="shared" si="60"/>
        <v xml:space="preserve"> </v>
      </c>
      <c r="DY38" s="46" t="str">
        <f t="shared" si="61"/>
        <v xml:space="preserve"> </v>
      </c>
      <c r="DZ38" s="46" t="str">
        <f t="shared" si="62"/>
        <v xml:space="preserve"> </v>
      </c>
      <c r="EA38" s="46" t="str">
        <f t="shared" si="63"/>
        <v xml:space="preserve"> </v>
      </c>
      <c r="EB38" s="46" t="str">
        <f t="shared" si="64"/>
        <v xml:space="preserve"> </v>
      </c>
      <c r="EC38" s="46" t="str">
        <f t="shared" si="65"/>
        <v xml:space="preserve"> </v>
      </c>
      <c r="ED38" s="46"/>
      <c r="EE38" s="52" t="str">
        <f>[2]uts!J37</f>
        <v/>
      </c>
      <c r="EF38" s="51"/>
      <c r="EG38" s="53" t="str">
        <f t="shared" si="66"/>
        <v xml:space="preserve">  </v>
      </c>
      <c r="EH38" s="53" t="str">
        <f t="shared" si="67"/>
        <v xml:space="preserve">  </v>
      </c>
      <c r="EI38" s="53" t="str">
        <f t="shared" si="68"/>
        <v xml:space="preserve">  </v>
      </c>
      <c r="EJ38" s="53" t="str">
        <f t="shared" si="69"/>
        <v xml:space="preserve">  </v>
      </c>
      <c r="EK38" s="53" t="str">
        <f t="shared" si="70"/>
        <v xml:space="preserve">  </v>
      </c>
      <c r="EL38" s="53" t="str">
        <f t="shared" si="71"/>
        <v xml:space="preserve">  </v>
      </c>
      <c r="EM38" s="53" t="str">
        <f t="shared" si="72"/>
        <v xml:space="preserve">  </v>
      </c>
      <c r="EN38" s="53" t="str">
        <f t="shared" si="73"/>
        <v xml:space="preserve">  </v>
      </c>
      <c r="EO38" s="53" t="str">
        <f t="shared" si="74"/>
        <v xml:space="preserve">  </v>
      </c>
      <c r="EP38" s="53"/>
      <c r="EQ38" s="54" t="str">
        <f t="shared" si="75"/>
        <v xml:space="preserve"> </v>
      </c>
      <c r="ER38" s="55">
        <f t="shared" si="76"/>
        <v>0</v>
      </c>
      <c r="ES38" s="55">
        <f t="shared" si="77"/>
        <v>0</v>
      </c>
      <c r="ET38" s="51">
        <f>SISWA!E36</f>
        <v>0</v>
      </c>
      <c r="EU38" s="51" t="str">
        <f t="shared" si="78"/>
        <v/>
      </c>
      <c r="EV38" s="56" t="str">
        <f t="shared" si="79"/>
        <v/>
      </c>
      <c r="EW38" s="57" t="str">
        <f t="shared" si="80"/>
        <v/>
      </c>
      <c r="EX38" s="57" t="str">
        <f t="shared" si="81"/>
        <v/>
      </c>
      <c r="EY38" s="57" t="str">
        <f t="shared" si="82"/>
        <v/>
      </c>
      <c r="EZ38" s="57" t="str">
        <f t="shared" si="83"/>
        <v/>
      </c>
      <c r="FA38" s="57" t="str">
        <f t="shared" si="84"/>
        <v/>
      </c>
      <c r="FB38" s="57" t="str">
        <f t="shared" si="85"/>
        <v/>
      </c>
      <c r="FC38" s="57"/>
      <c r="FD38" s="57"/>
      <c r="FE38" s="57"/>
      <c r="FF38" s="58">
        <f t="shared" si="86"/>
        <v>0</v>
      </c>
      <c r="FG38" s="55" t="e">
        <f t="shared" si="87"/>
        <v>#N/A</v>
      </c>
      <c r="FH38" s="58"/>
      <c r="FI38" s="59" t="e">
        <f>IF(ER38&gt;100,"",IF(ER38&gt;DQ$1,"sangat baik dalam "&amp;FG38,IF(ER38&gt;=DQ$2,"baik dalam "&amp;FG38,IF(ER38&gt;=DQ$3,"cukup dalam "&amp;FG38,IF(ER38&lt;DQ$3,"dengan bimbingan dapat ,meningkatkan dalam "&amp;FG38,IF(ER38&lt;1," ",””))))))</f>
        <v>#N/A</v>
      </c>
      <c r="FJ38" s="58"/>
      <c r="FK38" s="57" t="str">
        <f t="shared" si="88"/>
        <v/>
      </c>
      <c r="FL38" s="57" t="str">
        <f t="shared" si="89"/>
        <v/>
      </c>
      <c r="FM38" s="57" t="str">
        <f t="shared" si="90"/>
        <v/>
      </c>
      <c r="FN38" s="57" t="str">
        <f t="shared" si="91"/>
        <v/>
      </c>
      <c r="FO38" s="57" t="str">
        <f t="shared" si="92"/>
        <v/>
      </c>
      <c r="FP38" s="57" t="str">
        <f t="shared" si="93"/>
        <v/>
      </c>
      <c r="FQ38" s="57" t="str">
        <f t="shared" si="94"/>
        <v/>
      </c>
      <c r="FR38" s="57"/>
      <c r="FS38" s="57"/>
      <c r="FT38" s="57"/>
      <c r="FU38" s="59" t="e">
        <f t="shared" si="95"/>
        <v>#N/A</v>
      </c>
      <c r="FV38" s="59" t="e">
        <f>IF(ES38&gt;100,"",IF(ES38&gt;DQ$1,"sangat baik dalam "&amp;FU38,IF(ES38&gt;=DQ$2,"baik dalam "&amp;FU38,IF(ES38&gt;=DQ$3,"cukup dalam "&amp;FU38,IF(ES38&lt;DQ$3,"dengan bimbingan dapat meningkatkan dalam "&amp;FU38,IF(ES38&lt;1," ",””))))))</f>
        <v>#N/A</v>
      </c>
      <c r="FW38" s="61"/>
      <c r="FX38" s="62" t="e">
        <f t="shared" si="96"/>
        <v>#N/A</v>
      </c>
      <c r="FY38" s="57">
        <f t="shared" si="97"/>
        <v>0</v>
      </c>
      <c r="FZ38" s="57">
        <f t="shared" si="98"/>
        <v>0</v>
      </c>
      <c r="GA38" s="57">
        <f t="shared" si="99"/>
        <v>0</v>
      </c>
      <c r="GB38" s="57"/>
      <c r="GC38" s="57"/>
      <c r="GD38" s="57"/>
      <c r="GE38" s="59">
        <f t="shared" si="44"/>
        <v>0</v>
      </c>
      <c r="GF38" s="60"/>
      <c r="GG38" s="61"/>
      <c r="GH38" s="62" t="str">
        <f t="shared" si="100"/>
        <v>, 0</v>
      </c>
    </row>
    <row r="39" spans="1:190">
      <c r="A39" s="39">
        <v>32</v>
      </c>
      <c r="B39" s="283">
        <f>SISWA!B37</f>
        <v>0</v>
      </c>
      <c r="C39" s="123"/>
      <c r="D39" s="123"/>
      <c r="E39" s="123"/>
      <c r="F39" s="123"/>
      <c r="G39" s="123"/>
      <c r="H39" s="123"/>
      <c r="I39" s="123"/>
      <c r="J39" s="123"/>
      <c r="K39" s="123"/>
      <c r="L39" s="256"/>
      <c r="M39" s="256"/>
      <c r="N39" s="256"/>
      <c r="O39" s="256"/>
      <c r="P39" s="256"/>
      <c r="Q39" s="256"/>
      <c r="R39" s="256"/>
      <c r="S39" s="256"/>
      <c r="T39" s="256"/>
      <c r="U39" s="123"/>
      <c r="V39" s="123"/>
      <c r="W39" s="123"/>
      <c r="X39" s="123"/>
      <c r="Y39" s="123"/>
      <c r="Z39" s="123"/>
      <c r="AA39" s="123"/>
      <c r="AB39" s="123"/>
      <c r="AC39" s="123"/>
      <c r="AD39" s="256"/>
      <c r="AE39" s="256"/>
      <c r="AF39" s="256"/>
      <c r="AG39" s="256"/>
      <c r="AH39" s="256"/>
      <c r="AI39" s="256"/>
      <c r="AJ39" s="256"/>
      <c r="AK39" s="256"/>
      <c r="AL39" s="256"/>
      <c r="AM39" s="123"/>
      <c r="AN39" s="123"/>
      <c r="AO39" s="123"/>
      <c r="AP39" s="123"/>
      <c r="AQ39" s="123"/>
      <c r="AR39" s="123"/>
      <c r="AS39" s="123"/>
      <c r="AT39" s="123"/>
      <c r="AU39" s="123"/>
      <c r="AV39" s="256"/>
      <c r="AW39" s="256"/>
      <c r="AX39" s="256"/>
      <c r="AY39" s="256"/>
      <c r="AZ39" s="256"/>
      <c r="BA39" s="256"/>
      <c r="BB39" s="256"/>
      <c r="BC39" s="256"/>
      <c r="BD39" s="256"/>
      <c r="BE39" s="123"/>
      <c r="BF39" s="123"/>
      <c r="BG39" s="123"/>
      <c r="BH39" s="123"/>
      <c r="BI39" s="123"/>
      <c r="BJ39" s="123"/>
      <c r="BK39" s="123"/>
      <c r="BL39" s="123"/>
      <c r="BM39" s="123"/>
      <c r="BN39" s="256"/>
      <c r="BO39" s="256"/>
      <c r="BP39" s="256"/>
      <c r="BQ39" s="256"/>
      <c r="BR39" s="256"/>
      <c r="BS39" s="256"/>
      <c r="BT39" s="256"/>
      <c r="BU39" s="256"/>
      <c r="BV39" s="256"/>
      <c r="BW39" s="460"/>
      <c r="BX39" s="460"/>
      <c r="BY39" s="460"/>
      <c r="BZ39" s="460"/>
      <c r="CA39" s="460"/>
      <c r="CB39" s="460"/>
      <c r="CC39" s="460"/>
      <c r="CD39" s="460"/>
      <c r="CE39" s="460"/>
      <c r="CF39" s="346"/>
      <c r="CG39" s="346"/>
      <c r="CH39" s="346"/>
      <c r="CI39" s="346"/>
      <c r="CJ39" s="346"/>
      <c r="CK39" s="346"/>
      <c r="CL39" s="346"/>
      <c r="CM39" s="346"/>
      <c r="CN39" s="346"/>
      <c r="CO39" s="260" t="str">
        <f t="shared" si="45"/>
        <v xml:space="preserve"> </v>
      </c>
      <c r="CP39" s="260" t="str">
        <f t="shared" si="46"/>
        <v xml:space="preserve"> </v>
      </c>
      <c r="CQ39" s="260" t="str">
        <f t="shared" si="47"/>
        <v xml:space="preserve"> </v>
      </c>
      <c r="CR39" s="260" t="str">
        <f t="shared" si="48"/>
        <v xml:space="preserve"> </v>
      </c>
      <c r="CS39" s="260" t="str">
        <f t="shared" si="49"/>
        <v xml:space="preserve"> </v>
      </c>
      <c r="CT39" s="260" t="str">
        <f t="shared" si="50"/>
        <v xml:space="preserve"> </v>
      </c>
      <c r="CU39" s="260" t="str">
        <f t="shared" si="51"/>
        <v xml:space="preserve"> </v>
      </c>
      <c r="CV39" s="260" t="str">
        <f t="shared" si="52"/>
        <v xml:space="preserve"> </v>
      </c>
      <c r="CW39" s="260" t="str">
        <f t="shared" si="53"/>
        <v xml:space="preserve"> </v>
      </c>
      <c r="CX39" s="547"/>
      <c r="CY39" s="547"/>
      <c r="CZ39" s="547"/>
      <c r="DA39" s="547"/>
      <c r="DB39" s="547"/>
      <c r="DC39" s="547"/>
      <c r="DD39" s="547"/>
      <c r="DE39" s="547"/>
      <c r="DF39" s="547"/>
      <c r="DG39" s="565"/>
      <c r="DH39" s="565"/>
      <c r="DI39" s="565"/>
      <c r="DJ39" s="565"/>
      <c r="DK39" s="565"/>
      <c r="DL39" s="565"/>
      <c r="DM39" s="565"/>
      <c r="DN39" s="565"/>
      <c r="DO39" s="565"/>
      <c r="DP39" s="549" t="str">
        <f t="shared" si="54"/>
        <v xml:space="preserve"> </v>
      </c>
      <c r="DQ39" s="291" t="str">
        <f t="shared" si="55"/>
        <v xml:space="preserve">  </v>
      </c>
      <c r="DR39" s="50" t="str">
        <f t="shared" si="56"/>
        <v xml:space="preserve"> </v>
      </c>
      <c r="DS39" s="282"/>
      <c r="DT39" s="51"/>
      <c r="DU39" s="46" t="str">
        <f t="shared" si="57"/>
        <v xml:space="preserve"> </v>
      </c>
      <c r="DV39" s="46" t="str">
        <f t="shared" si="58"/>
        <v xml:space="preserve"> </v>
      </c>
      <c r="DW39" s="46" t="str">
        <f t="shared" si="59"/>
        <v xml:space="preserve"> </v>
      </c>
      <c r="DX39" s="46" t="str">
        <f t="shared" si="60"/>
        <v xml:space="preserve"> </v>
      </c>
      <c r="DY39" s="46" t="str">
        <f t="shared" si="61"/>
        <v xml:space="preserve"> </v>
      </c>
      <c r="DZ39" s="46" t="str">
        <f t="shared" si="62"/>
        <v xml:space="preserve"> </v>
      </c>
      <c r="EA39" s="46" t="str">
        <f t="shared" si="63"/>
        <v xml:space="preserve"> </v>
      </c>
      <c r="EB39" s="46" t="str">
        <f t="shared" si="64"/>
        <v xml:space="preserve"> </v>
      </c>
      <c r="EC39" s="46" t="str">
        <f t="shared" si="65"/>
        <v xml:space="preserve"> </v>
      </c>
      <c r="ED39" s="46"/>
      <c r="EE39" s="52" t="str">
        <f>[2]uts!J38</f>
        <v/>
      </c>
      <c r="EF39" s="51"/>
      <c r="EG39" s="53" t="str">
        <f t="shared" si="66"/>
        <v xml:space="preserve">  </v>
      </c>
      <c r="EH39" s="53" t="str">
        <f t="shared" si="67"/>
        <v xml:space="preserve">  </v>
      </c>
      <c r="EI39" s="53" t="str">
        <f t="shared" si="68"/>
        <v xml:space="preserve">  </v>
      </c>
      <c r="EJ39" s="53" t="str">
        <f t="shared" si="69"/>
        <v xml:space="preserve">  </v>
      </c>
      <c r="EK39" s="53" t="str">
        <f t="shared" si="70"/>
        <v xml:space="preserve">  </v>
      </c>
      <c r="EL39" s="53" t="str">
        <f t="shared" si="71"/>
        <v xml:space="preserve">  </v>
      </c>
      <c r="EM39" s="53" t="str">
        <f t="shared" si="72"/>
        <v xml:space="preserve">  </v>
      </c>
      <c r="EN39" s="53" t="str">
        <f t="shared" si="73"/>
        <v xml:space="preserve">  </v>
      </c>
      <c r="EO39" s="53" t="str">
        <f t="shared" si="74"/>
        <v xml:space="preserve">  </v>
      </c>
      <c r="EP39" s="53"/>
      <c r="EQ39" s="54" t="str">
        <f t="shared" si="75"/>
        <v xml:space="preserve"> </v>
      </c>
      <c r="ER39" s="55">
        <f t="shared" si="76"/>
        <v>0</v>
      </c>
      <c r="ES39" s="55">
        <f t="shared" si="77"/>
        <v>0</v>
      </c>
      <c r="ET39" s="51">
        <f>SISWA!E37</f>
        <v>0</v>
      </c>
      <c r="EU39" s="51" t="str">
        <f t="shared" si="78"/>
        <v/>
      </c>
      <c r="EV39" s="56" t="str">
        <f t="shared" si="79"/>
        <v/>
      </c>
      <c r="EW39" s="57" t="str">
        <f t="shared" si="80"/>
        <v/>
      </c>
      <c r="EX39" s="57" t="str">
        <f t="shared" si="81"/>
        <v/>
      </c>
      <c r="EY39" s="57" t="str">
        <f t="shared" si="82"/>
        <v/>
      </c>
      <c r="EZ39" s="57" t="str">
        <f t="shared" si="83"/>
        <v/>
      </c>
      <c r="FA39" s="57" t="str">
        <f t="shared" si="84"/>
        <v/>
      </c>
      <c r="FB39" s="57" t="str">
        <f t="shared" si="85"/>
        <v/>
      </c>
      <c r="FC39" s="57"/>
      <c r="FD39" s="57"/>
      <c r="FE39" s="57"/>
      <c r="FF39" s="58">
        <f t="shared" si="86"/>
        <v>0</v>
      </c>
      <c r="FG39" s="55" t="e">
        <f t="shared" si="87"/>
        <v>#N/A</v>
      </c>
      <c r="FH39" s="58"/>
      <c r="FI39" s="59" t="e">
        <f>IF(ER39&gt;100,"",IF(ER39&gt;DQ$1,"sangat baik dalam "&amp;FG39,IF(ER39&gt;=DQ$2,"baik dalam "&amp;FG39,IF(ER39&gt;=DQ$3,"cukup dalam "&amp;FG39,IF(ER39&lt;DQ$3,"dengan bimbingan dapat ,meningkatkan dalam "&amp;FG39,IF(ER39&lt;1," ",””))))))</f>
        <v>#N/A</v>
      </c>
      <c r="FJ39" s="58"/>
      <c r="FK39" s="57" t="str">
        <f t="shared" si="88"/>
        <v/>
      </c>
      <c r="FL39" s="57" t="str">
        <f t="shared" si="89"/>
        <v/>
      </c>
      <c r="FM39" s="57" t="str">
        <f t="shared" si="90"/>
        <v/>
      </c>
      <c r="FN39" s="57" t="str">
        <f t="shared" si="91"/>
        <v/>
      </c>
      <c r="FO39" s="57" t="str">
        <f t="shared" si="92"/>
        <v/>
      </c>
      <c r="FP39" s="57" t="str">
        <f t="shared" si="93"/>
        <v/>
      </c>
      <c r="FQ39" s="57" t="str">
        <f t="shared" si="94"/>
        <v/>
      </c>
      <c r="FR39" s="57"/>
      <c r="FS39" s="57"/>
      <c r="FT39" s="57"/>
      <c r="FU39" s="59" t="e">
        <f t="shared" si="95"/>
        <v>#N/A</v>
      </c>
      <c r="FV39" s="59" t="e">
        <f>IF(ES39&gt;100,"",IF(ES39&gt;DQ$1,"sangat baik dalam "&amp;FU39,IF(ES39&gt;=DQ$2,"baik dalam "&amp;FU39,IF(ES39&gt;=DQ$3,"cukup dalam "&amp;FU39,IF(ES39&lt;DQ$3,"dengan bimbingan dapat meningkatkan dalam "&amp;FU39,IF(ES39&lt;1," ",””))))))</f>
        <v>#N/A</v>
      </c>
      <c r="FW39" s="61"/>
      <c r="FX39" s="62" t="e">
        <f t="shared" si="96"/>
        <v>#N/A</v>
      </c>
      <c r="FY39" s="57">
        <f t="shared" si="97"/>
        <v>0</v>
      </c>
      <c r="FZ39" s="57">
        <f t="shared" si="98"/>
        <v>0</v>
      </c>
      <c r="GA39" s="57">
        <f t="shared" si="99"/>
        <v>0</v>
      </c>
      <c r="GB39" s="57"/>
      <c r="GC39" s="57"/>
      <c r="GD39" s="57"/>
      <c r="GE39" s="59">
        <f t="shared" si="44"/>
        <v>0</v>
      </c>
      <c r="GF39" s="60"/>
      <c r="GG39" s="61"/>
      <c r="GH39" s="62" t="str">
        <f t="shared" si="100"/>
        <v>, 0</v>
      </c>
    </row>
    <row r="40" spans="1:190">
      <c r="A40" s="39">
        <v>33</v>
      </c>
      <c r="B40" s="283">
        <f>SISWA!B38</f>
        <v>0</v>
      </c>
      <c r="C40" s="123"/>
      <c r="D40" s="123"/>
      <c r="E40" s="123"/>
      <c r="F40" s="123"/>
      <c r="G40" s="123"/>
      <c r="H40" s="123"/>
      <c r="I40" s="123"/>
      <c r="J40" s="123"/>
      <c r="K40" s="123"/>
      <c r="L40" s="256"/>
      <c r="M40" s="256"/>
      <c r="N40" s="256"/>
      <c r="O40" s="256"/>
      <c r="P40" s="256"/>
      <c r="Q40" s="256"/>
      <c r="R40" s="256"/>
      <c r="S40" s="256"/>
      <c r="T40" s="256"/>
      <c r="U40" s="123"/>
      <c r="V40" s="123"/>
      <c r="W40" s="123"/>
      <c r="X40" s="123"/>
      <c r="Y40" s="123"/>
      <c r="Z40" s="123"/>
      <c r="AA40" s="123"/>
      <c r="AB40" s="123"/>
      <c r="AC40" s="123"/>
      <c r="AD40" s="256"/>
      <c r="AE40" s="256"/>
      <c r="AF40" s="256"/>
      <c r="AG40" s="256"/>
      <c r="AH40" s="256"/>
      <c r="AI40" s="256"/>
      <c r="AJ40" s="256"/>
      <c r="AK40" s="256"/>
      <c r="AL40" s="256"/>
      <c r="AM40" s="123"/>
      <c r="AN40" s="123"/>
      <c r="AO40" s="123"/>
      <c r="AP40" s="123"/>
      <c r="AQ40" s="123"/>
      <c r="AR40" s="123"/>
      <c r="AS40" s="123"/>
      <c r="AT40" s="123"/>
      <c r="AU40" s="123"/>
      <c r="AV40" s="256"/>
      <c r="AW40" s="256"/>
      <c r="AX40" s="256"/>
      <c r="AY40" s="256"/>
      <c r="AZ40" s="256"/>
      <c r="BA40" s="256"/>
      <c r="BB40" s="256"/>
      <c r="BC40" s="256"/>
      <c r="BD40" s="256"/>
      <c r="BE40" s="123"/>
      <c r="BF40" s="123"/>
      <c r="BG40" s="123"/>
      <c r="BH40" s="123"/>
      <c r="BI40" s="123"/>
      <c r="BJ40" s="123"/>
      <c r="BK40" s="123"/>
      <c r="BL40" s="123"/>
      <c r="BM40" s="123"/>
      <c r="BN40" s="256"/>
      <c r="BO40" s="256"/>
      <c r="BP40" s="256"/>
      <c r="BQ40" s="256"/>
      <c r="BR40" s="256"/>
      <c r="BS40" s="256"/>
      <c r="BT40" s="256"/>
      <c r="BU40" s="256"/>
      <c r="BV40" s="256"/>
      <c r="BW40" s="460"/>
      <c r="BX40" s="460"/>
      <c r="BY40" s="460"/>
      <c r="BZ40" s="460"/>
      <c r="CA40" s="460"/>
      <c r="CB40" s="460"/>
      <c r="CC40" s="460"/>
      <c r="CD40" s="460"/>
      <c r="CE40" s="460"/>
      <c r="CF40" s="346"/>
      <c r="CG40" s="346"/>
      <c r="CH40" s="346"/>
      <c r="CI40" s="346"/>
      <c r="CJ40" s="346"/>
      <c r="CK40" s="346"/>
      <c r="CL40" s="346"/>
      <c r="CM40" s="346"/>
      <c r="CN40" s="346"/>
      <c r="CO40" s="260" t="str">
        <f t="shared" si="45"/>
        <v xml:space="preserve"> </v>
      </c>
      <c r="CP40" s="260" t="str">
        <f t="shared" si="46"/>
        <v xml:space="preserve"> </v>
      </c>
      <c r="CQ40" s="260" t="str">
        <f t="shared" si="47"/>
        <v xml:space="preserve"> </v>
      </c>
      <c r="CR40" s="260" t="str">
        <f t="shared" si="48"/>
        <v xml:space="preserve"> </v>
      </c>
      <c r="CS40" s="260" t="str">
        <f t="shared" si="49"/>
        <v xml:space="preserve"> </v>
      </c>
      <c r="CT40" s="260" t="str">
        <f t="shared" si="50"/>
        <v xml:space="preserve"> </v>
      </c>
      <c r="CU40" s="260" t="str">
        <f t="shared" si="51"/>
        <v xml:space="preserve"> </v>
      </c>
      <c r="CV40" s="260" t="str">
        <f t="shared" si="52"/>
        <v xml:space="preserve"> </v>
      </c>
      <c r="CW40" s="260" t="str">
        <f t="shared" si="53"/>
        <v xml:space="preserve"> </v>
      </c>
      <c r="CX40" s="547"/>
      <c r="CY40" s="547"/>
      <c r="CZ40" s="547"/>
      <c r="DA40" s="547"/>
      <c r="DB40" s="547"/>
      <c r="DC40" s="547"/>
      <c r="DD40" s="547"/>
      <c r="DE40" s="547"/>
      <c r="DF40" s="547"/>
      <c r="DG40" s="565"/>
      <c r="DH40" s="565"/>
      <c r="DI40" s="565"/>
      <c r="DJ40" s="565"/>
      <c r="DK40" s="565"/>
      <c r="DL40" s="565"/>
      <c r="DM40" s="565"/>
      <c r="DN40" s="565"/>
      <c r="DO40" s="565"/>
      <c r="DP40" s="549" t="str">
        <f t="shared" si="54"/>
        <v xml:space="preserve"> </v>
      </c>
      <c r="DQ40" s="291" t="str">
        <f t="shared" si="55"/>
        <v xml:space="preserve">  </v>
      </c>
      <c r="DR40" s="50" t="str">
        <f t="shared" si="56"/>
        <v xml:space="preserve"> </v>
      </c>
      <c r="DS40" s="282"/>
      <c r="DT40" s="51"/>
      <c r="DU40" s="46" t="str">
        <f t="shared" si="57"/>
        <v xml:space="preserve"> </v>
      </c>
      <c r="DV40" s="46" t="str">
        <f t="shared" si="58"/>
        <v xml:space="preserve"> </v>
      </c>
      <c r="DW40" s="46" t="str">
        <f t="shared" si="59"/>
        <v xml:space="preserve"> </v>
      </c>
      <c r="DX40" s="46" t="str">
        <f t="shared" si="60"/>
        <v xml:space="preserve"> </v>
      </c>
      <c r="DY40" s="46" t="str">
        <f t="shared" si="61"/>
        <v xml:space="preserve"> </v>
      </c>
      <c r="DZ40" s="46" t="str">
        <f t="shared" si="62"/>
        <v xml:space="preserve"> </v>
      </c>
      <c r="EA40" s="46" t="str">
        <f t="shared" si="63"/>
        <v xml:space="preserve"> </v>
      </c>
      <c r="EB40" s="46" t="str">
        <f t="shared" si="64"/>
        <v xml:space="preserve"> </v>
      </c>
      <c r="EC40" s="46" t="str">
        <f t="shared" si="65"/>
        <v xml:space="preserve"> </v>
      </c>
      <c r="ED40" s="46"/>
      <c r="EE40" s="52" t="str">
        <f>[2]uts!J39</f>
        <v/>
      </c>
      <c r="EF40" s="51"/>
      <c r="EG40" s="53" t="str">
        <f t="shared" si="66"/>
        <v xml:space="preserve">  </v>
      </c>
      <c r="EH40" s="53" t="str">
        <f t="shared" si="67"/>
        <v xml:space="preserve">  </v>
      </c>
      <c r="EI40" s="53" t="str">
        <f t="shared" si="68"/>
        <v xml:space="preserve">  </v>
      </c>
      <c r="EJ40" s="53" t="str">
        <f t="shared" si="69"/>
        <v xml:space="preserve">  </v>
      </c>
      <c r="EK40" s="53" t="str">
        <f t="shared" si="70"/>
        <v xml:space="preserve">  </v>
      </c>
      <c r="EL40" s="53" t="str">
        <f t="shared" si="71"/>
        <v xml:space="preserve">  </v>
      </c>
      <c r="EM40" s="53" t="str">
        <f t="shared" si="72"/>
        <v xml:space="preserve">  </v>
      </c>
      <c r="EN40" s="53" t="str">
        <f t="shared" si="73"/>
        <v xml:space="preserve">  </v>
      </c>
      <c r="EO40" s="53" t="str">
        <f t="shared" si="74"/>
        <v xml:space="preserve">  </v>
      </c>
      <c r="EP40" s="53"/>
      <c r="EQ40" s="54" t="str">
        <f t="shared" si="75"/>
        <v xml:space="preserve"> </v>
      </c>
      <c r="ER40" s="55">
        <f t="shared" si="76"/>
        <v>0</v>
      </c>
      <c r="ES40" s="55">
        <f t="shared" si="77"/>
        <v>0</v>
      </c>
      <c r="ET40" s="51">
        <f>SISWA!E38</f>
        <v>0</v>
      </c>
      <c r="EU40" s="51" t="str">
        <f t="shared" si="78"/>
        <v/>
      </c>
      <c r="EV40" s="56" t="str">
        <f t="shared" si="79"/>
        <v/>
      </c>
      <c r="EW40" s="57" t="str">
        <f t="shared" si="80"/>
        <v/>
      </c>
      <c r="EX40" s="57" t="str">
        <f t="shared" si="81"/>
        <v/>
      </c>
      <c r="EY40" s="57" t="str">
        <f t="shared" si="82"/>
        <v/>
      </c>
      <c r="EZ40" s="57" t="str">
        <f t="shared" si="83"/>
        <v/>
      </c>
      <c r="FA40" s="57" t="str">
        <f t="shared" si="84"/>
        <v/>
      </c>
      <c r="FB40" s="57" t="str">
        <f t="shared" si="85"/>
        <v/>
      </c>
      <c r="FC40" s="57"/>
      <c r="FD40" s="57"/>
      <c r="FE40" s="57"/>
      <c r="FF40" s="58">
        <f t="shared" si="86"/>
        <v>0</v>
      </c>
      <c r="FG40" s="55" t="e">
        <f t="shared" si="87"/>
        <v>#N/A</v>
      </c>
      <c r="FH40" s="58"/>
      <c r="FI40" s="59" t="e">
        <f>IF(ER40&gt;100,"",IF(ER40&gt;DQ$1,"sangat baik dalam "&amp;FG40,IF(ER40&gt;=DQ$2,"baik dalam "&amp;FG40,IF(ER40&gt;=DQ$3,"cukup dalam "&amp;FG40,IF(ER40&lt;DQ$3,"dengan bimbingan dapat ,meningkatkan dalam "&amp;FG40,IF(ER40&lt;1," ",””))))))</f>
        <v>#N/A</v>
      </c>
      <c r="FJ40" s="58"/>
      <c r="FK40" s="57" t="str">
        <f t="shared" si="88"/>
        <v/>
      </c>
      <c r="FL40" s="57" t="str">
        <f t="shared" si="89"/>
        <v/>
      </c>
      <c r="FM40" s="57" t="str">
        <f t="shared" si="90"/>
        <v/>
      </c>
      <c r="FN40" s="57" t="str">
        <f t="shared" si="91"/>
        <v/>
      </c>
      <c r="FO40" s="57" t="str">
        <f t="shared" si="92"/>
        <v/>
      </c>
      <c r="FP40" s="57" t="str">
        <f t="shared" si="93"/>
        <v/>
      </c>
      <c r="FQ40" s="57" t="str">
        <f t="shared" si="94"/>
        <v/>
      </c>
      <c r="FR40" s="57"/>
      <c r="FS40" s="57"/>
      <c r="FT40" s="57"/>
      <c r="FU40" s="59" t="e">
        <f t="shared" si="95"/>
        <v>#N/A</v>
      </c>
      <c r="FV40" s="59" t="e">
        <f>IF(ES40&gt;100,"",IF(ES40&gt;DQ$1,"sangat baik dalam "&amp;FU40,IF(ES40&gt;=DQ$2,"baik dalam "&amp;FU40,IF(ES40&gt;=DQ$3,"cukup dalam "&amp;FU40,IF(ES40&lt;DQ$3,"dengan bimbingan dapat meningkatkan dalam "&amp;FU40,IF(ES40&lt;1," ",””))))))</f>
        <v>#N/A</v>
      </c>
      <c r="FW40" s="61"/>
      <c r="FX40" s="62" t="e">
        <f t="shared" si="96"/>
        <v>#N/A</v>
      </c>
      <c r="FY40" s="57">
        <f t="shared" si="97"/>
        <v>0</v>
      </c>
      <c r="FZ40" s="57">
        <f t="shared" si="98"/>
        <v>0</v>
      </c>
      <c r="GA40" s="57">
        <f t="shared" si="99"/>
        <v>0</v>
      </c>
      <c r="GB40" s="57"/>
      <c r="GC40" s="57"/>
      <c r="GD40" s="57"/>
      <c r="GE40" s="59">
        <f t="shared" si="44"/>
        <v>0</v>
      </c>
      <c r="GF40" s="60"/>
      <c r="GG40" s="61"/>
      <c r="GH40" s="62" t="str">
        <f t="shared" si="100"/>
        <v>, 0</v>
      </c>
    </row>
    <row r="41" spans="1:190">
      <c r="A41" s="39">
        <v>34</v>
      </c>
      <c r="B41" s="283">
        <f>SISWA!B39</f>
        <v>0</v>
      </c>
      <c r="C41" s="123"/>
      <c r="D41" s="123"/>
      <c r="E41" s="123"/>
      <c r="F41" s="123"/>
      <c r="G41" s="123"/>
      <c r="H41" s="123"/>
      <c r="I41" s="123"/>
      <c r="J41" s="123"/>
      <c r="K41" s="123"/>
      <c r="L41" s="256"/>
      <c r="M41" s="256"/>
      <c r="N41" s="256"/>
      <c r="O41" s="256"/>
      <c r="P41" s="256"/>
      <c r="Q41" s="256"/>
      <c r="R41" s="256"/>
      <c r="S41" s="256"/>
      <c r="T41" s="256"/>
      <c r="U41" s="123"/>
      <c r="V41" s="123"/>
      <c r="W41" s="123"/>
      <c r="X41" s="123"/>
      <c r="Y41" s="123"/>
      <c r="Z41" s="123"/>
      <c r="AA41" s="123"/>
      <c r="AB41" s="123"/>
      <c r="AC41" s="123"/>
      <c r="AD41" s="256"/>
      <c r="AE41" s="256"/>
      <c r="AF41" s="256"/>
      <c r="AG41" s="256"/>
      <c r="AH41" s="256"/>
      <c r="AI41" s="256"/>
      <c r="AJ41" s="256"/>
      <c r="AK41" s="256"/>
      <c r="AL41" s="256"/>
      <c r="AM41" s="123"/>
      <c r="AN41" s="123"/>
      <c r="AO41" s="123"/>
      <c r="AP41" s="123"/>
      <c r="AQ41" s="123"/>
      <c r="AR41" s="123"/>
      <c r="AS41" s="123"/>
      <c r="AT41" s="123"/>
      <c r="AU41" s="123"/>
      <c r="AV41" s="256"/>
      <c r="AW41" s="256"/>
      <c r="AX41" s="256"/>
      <c r="AY41" s="256"/>
      <c r="AZ41" s="256"/>
      <c r="BA41" s="256"/>
      <c r="BB41" s="256"/>
      <c r="BC41" s="256"/>
      <c r="BD41" s="256"/>
      <c r="BE41" s="123"/>
      <c r="BF41" s="123"/>
      <c r="BG41" s="123"/>
      <c r="BH41" s="123"/>
      <c r="BI41" s="123"/>
      <c r="BJ41" s="123"/>
      <c r="BK41" s="123"/>
      <c r="BL41" s="123"/>
      <c r="BM41" s="123"/>
      <c r="BN41" s="256"/>
      <c r="BO41" s="256"/>
      <c r="BP41" s="256"/>
      <c r="BQ41" s="256"/>
      <c r="BR41" s="256"/>
      <c r="BS41" s="256"/>
      <c r="BT41" s="256"/>
      <c r="BU41" s="256"/>
      <c r="BV41" s="256"/>
      <c r="BW41" s="460"/>
      <c r="BX41" s="460"/>
      <c r="BY41" s="460"/>
      <c r="BZ41" s="460"/>
      <c r="CA41" s="460"/>
      <c r="CB41" s="460"/>
      <c r="CC41" s="460"/>
      <c r="CD41" s="460"/>
      <c r="CE41" s="460"/>
      <c r="CF41" s="346"/>
      <c r="CG41" s="346"/>
      <c r="CH41" s="346"/>
      <c r="CI41" s="346"/>
      <c r="CJ41" s="346"/>
      <c r="CK41" s="346"/>
      <c r="CL41" s="346"/>
      <c r="CM41" s="346"/>
      <c r="CN41" s="346"/>
      <c r="CO41" s="260" t="str">
        <f t="shared" si="45"/>
        <v xml:space="preserve"> </v>
      </c>
      <c r="CP41" s="260" t="str">
        <f t="shared" si="46"/>
        <v xml:space="preserve"> </v>
      </c>
      <c r="CQ41" s="260" t="str">
        <f t="shared" si="47"/>
        <v xml:space="preserve"> </v>
      </c>
      <c r="CR41" s="260" t="str">
        <f t="shared" si="48"/>
        <v xml:space="preserve"> </v>
      </c>
      <c r="CS41" s="260" t="str">
        <f t="shared" si="49"/>
        <v xml:space="preserve"> </v>
      </c>
      <c r="CT41" s="260" t="str">
        <f t="shared" si="50"/>
        <v xml:space="preserve"> </v>
      </c>
      <c r="CU41" s="260" t="str">
        <f t="shared" si="51"/>
        <v xml:space="preserve"> </v>
      </c>
      <c r="CV41" s="260" t="str">
        <f t="shared" si="52"/>
        <v xml:space="preserve"> </v>
      </c>
      <c r="CW41" s="260" t="str">
        <f t="shared" si="53"/>
        <v xml:space="preserve"> </v>
      </c>
      <c r="CX41" s="547"/>
      <c r="CY41" s="547"/>
      <c r="CZ41" s="547"/>
      <c r="DA41" s="547"/>
      <c r="DB41" s="547"/>
      <c r="DC41" s="547"/>
      <c r="DD41" s="547"/>
      <c r="DE41" s="547"/>
      <c r="DF41" s="547"/>
      <c r="DG41" s="565"/>
      <c r="DH41" s="565"/>
      <c r="DI41" s="565"/>
      <c r="DJ41" s="565"/>
      <c r="DK41" s="565"/>
      <c r="DL41" s="565"/>
      <c r="DM41" s="565"/>
      <c r="DN41" s="565"/>
      <c r="DO41" s="565"/>
      <c r="DP41" s="549" t="str">
        <f t="shared" si="54"/>
        <v xml:space="preserve"> </v>
      </c>
      <c r="DQ41" s="291" t="str">
        <f t="shared" si="55"/>
        <v xml:space="preserve">  </v>
      </c>
      <c r="DR41" s="50" t="str">
        <f t="shared" si="56"/>
        <v xml:space="preserve"> </v>
      </c>
      <c r="DS41" s="282"/>
      <c r="DT41" s="51"/>
      <c r="DU41" s="46" t="str">
        <f t="shared" si="57"/>
        <v xml:space="preserve"> </v>
      </c>
      <c r="DV41" s="46" t="str">
        <f t="shared" si="58"/>
        <v xml:space="preserve"> </v>
      </c>
      <c r="DW41" s="46" t="str">
        <f t="shared" si="59"/>
        <v xml:space="preserve"> </v>
      </c>
      <c r="DX41" s="46" t="str">
        <f t="shared" si="60"/>
        <v xml:space="preserve"> </v>
      </c>
      <c r="DY41" s="46" t="str">
        <f t="shared" si="61"/>
        <v xml:space="preserve"> </v>
      </c>
      <c r="DZ41" s="46" t="str">
        <f t="shared" si="62"/>
        <v xml:space="preserve"> </v>
      </c>
      <c r="EA41" s="46" t="str">
        <f t="shared" si="63"/>
        <v xml:space="preserve"> </v>
      </c>
      <c r="EB41" s="46" t="str">
        <f t="shared" si="64"/>
        <v xml:space="preserve"> </v>
      </c>
      <c r="EC41" s="46" t="str">
        <f t="shared" si="65"/>
        <v xml:space="preserve"> </v>
      </c>
      <c r="ED41" s="46"/>
      <c r="EE41" s="52" t="str">
        <f>[2]uts!J40</f>
        <v/>
      </c>
      <c r="EF41" s="51"/>
      <c r="EG41" s="53" t="str">
        <f t="shared" si="66"/>
        <v xml:space="preserve">  </v>
      </c>
      <c r="EH41" s="53" t="str">
        <f t="shared" si="67"/>
        <v xml:space="preserve">  </v>
      </c>
      <c r="EI41" s="53" t="str">
        <f t="shared" si="68"/>
        <v xml:space="preserve">  </v>
      </c>
      <c r="EJ41" s="53" t="str">
        <f t="shared" si="69"/>
        <v xml:space="preserve">  </v>
      </c>
      <c r="EK41" s="53" t="str">
        <f t="shared" si="70"/>
        <v xml:space="preserve">  </v>
      </c>
      <c r="EL41" s="53" t="str">
        <f t="shared" si="71"/>
        <v xml:space="preserve">  </v>
      </c>
      <c r="EM41" s="53" t="str">
        <f t="shared" si="72"/>
        <v xml:space="preserve">  </v>
      </c>
      <c r="EN41" s="53" t="str">
        <f t="shared" si="73"/>
        <v xml:space="preserve">  </v>
      </c>
      <c r="EO41" s="53" t="str">
        <f t="shared" si="74"/>
        <v xml:space="preserve">  </v>
      </c>
      <c r="EP41" s="53"/>
      <c r="EQ41" s="54" t="str">
        <f t="shared" si="75"/>
        <v xml:space="preserve"> </v>
      </c>
      <c r="ER41" s="55">
        <f t="shared" si="76"/>
        <v>0</v>
      </c>
      <c r="ES41" s="55">
        <f t="shared" si="77"/>
        <v>0</v>
      </c>
      <c r="ET41" s="51">
        <f>SISWA!E39</f>
        <v>0</v>
      </c>
      <c r="EU41" s="51" t="str">
        <f t="shared" si="78"/>
        <v/>
      </c>
      <c r="EV41" s="56" t="str">
        <f t="shared" si="79"/>
        <v/>
      </c>
      <c r="EW41" s="57" t="str">
        <f t="shared" si="80"/>
        <v/>
      </c>
      <c r="EX41" s="57" t="str">
        <f t="shared" si="81"/>
        <v/>
      </c>
      <c r="EY41" s="57" t="str">
        <f t="shared" si="82"/>
        <v/>
      </c>
      <c r="EZ41" s="57" t="str">
        <f t="shared" si="83"/>
        <v/>
      </c>
      <c r="FA41" s="57" t="str">
        <f t="shared" si="84"/>
        <v/>
      </c>
      <c r="FB41" s="57" t="str">
        <f t="shared" si="85"/>
        <v/>
      </c>
      <c r="FC41" s="57"/>
      <c r="FD41" s="57"/>
      <c r="FE41" s="57"/>
      <c r="FF41" s="58">
        <f t="shared" si="86"/>
        <v>0</v>
      </c>
      <c r="FG41" s="55" t="e">
        <f t="shared" si="87"/>
        <v>#N/A</v>
      </c>
      <c r="FH41" s="58"/>
      <c r="FI41" s="59" t="e">
        <f>IF(ER41&gt;100,"",IF(ER41&gt;DQ$1,"sangat baik dalam "&amp;FG41,IF(ER41&gt;=DQ$2,"baik dalam "&amp;FG41,IF(ER41&gt;=DQ$3,"cukup dalam "&amp;FG41,IF(ER41&lt;DQ$3,"dengan bimbingan dapat ,meningkatkan dalam "&amp;FG41,IF(ER41&lt;1," ",””))))))</f>
        <v>#N/A</v>
      </c>
      <c r="FJ41" s="58"/>
      <c r="FK41" s="57" t="str">
        <f t="shared" si="88"/>
        <v/>
      </c>
      <c r="FL41" s="57" t="str">
        <f t="shared" si="89"/>
        <v/>
      </c>
      <c r="FM41" s="57" t="str">
        <f t="shared" si="90"/>
        <v/>
      </c>
      <c r="FN41" s="57" t="str">
        <f t="shared" si="91"/>
        <v/>
      </c>
      <c r="FO41" s="57" t="str">
        <f t="shared" si="92"/>
        <v/>
      </c>
      <c r="FP41" s="57" t="str">
        <f t="shared" si="93"/>
        <v/>
      </c>
      <c r="FQ41" s="57" t="str">
        <f t="shared" si="94"/>
        <v/>
      </c>
      <c r="FR41" s="57"/>
      <c r="FS41" s="57"/>
      <c r="FT41" s="57"/>
      <c r="FU41" s="59" t="e">
        <f t="shared" si="95"/>
        <v>#N/A</v>
      </c>
      <c r="FV41" s="59" t="e">
        <f>IF(ES41&gt;100,"",IF(ES41&gt;DQ$1,"sangat baik dalam "&amp;FU41,IF(ES41&gt;=DQ$2,"baik dalam "&amp;FU41,IF(ES41&gt;=DQ$3,"cukup dalam "&amp;FU41,IF(ES41&lt;DQ$3,"dengan bimbingan dapat meningkatkan dalam "&amp;FU41,IF(ES41&lt;1," ",””))))))</f>
        <v>#N/A</v>
      </c>
      <c r="FW41" s="61"/>
      <c r="FX41" s="62" t="e">
        <f t="shared" si="96"/>
        <v>#N/A</v>
      </c>
      <c r="FY41" s="57">
        <f t="shared" si="97"/>
        <v>0</v>
      </c>
      <c r="FZ41" s="57">
        <f t="shared" si="98"/>
        <v>0</v>
      </c>
      <c r="GA41" s="57">
        <f t="shared" si="99"/>
        <v>0</v>
      </c>
      <c r="GB41" s="57"/>
      <c r="GC41" s="57"/>
      <c r="GD41" s="57"/>
      <c r="GE41" s="59">
        <f t="shared" si="44"/>
        <v>0</v>
      </c>
      <c r="GF41" s="60"/>
      <c r="GG41" s="61"/>
      <c r="GH41" s="62" t="str">
        <f t="shared" si="100"/>
        <v>, 0</v>
      </c>
    </row>
    <row r="42" spans="1:190">
      <c r="A42" s="39">
        <v>35</v>
      </c>
      <c r="B42" s="283">
        <f>SISWA!B40</f>
        <v>0</v>
      </c>
      <c r="C42" s="123"/>
      <c r="D42" s="123"/>
      <c r="E42" s="123"/>
      <c r="F42" s="123"/>
      <c r="G42" s="123"/>
      <c r="H42" s="123"/>
      <c r="I42" s="123"/>
      <c r="J42" s="123"/>
      <c r="K42" s="123"/>
      <c r="L42" s="256"/>
      <c r="M42" s="256"/>
      <c r="N42" s="256"/>
      <c r="O42" s="256"/>
      <c r="P42" s="256"/>
      <c r="Q42" s="256"/>
      <c r="R42" s="256"/>
      <c r="S42" s="256"/>
      <c r="T42" s="256"/>
      <c r="U42" s="123"/>
      <c r="V42" s="123"/>
      <c r="W42" s="123"/>
      <c r="X42" s="123"/>
      <c r="Y42" s="123"/>
      <c r="Z42" s="123"/>
      <c r="AA42" s="123"/>
      <c r="AB42" s="123"/>
      <c r="AC42" s="123"/>
      <c r="AD42" s="256"/>
      <c r="AE42" s="256"/>
      <c r="AF42" s="256"/>
      <c r="AG42" s="256"/>
      <c r="AH42" s="256"/>
      <c r="AI42" s="256"/>
      <c r="AJ42" s="256"/>
      <c r="AK42" s="256"/>
      <c r="AL42" s="256"/>
      <c r="AM42" s="123"/>
      <c r="AN42" s="123"/>
      <c r="AO42" s="123"/>
      <c r="AP42" s="123"/>
      <c r="AQ42" s="123"/>
      <c r="AR42" s="123"/>
      <c r="AS42" s="123"/>
      <c r="AT42" s="123"/>
      <c r="AU42" s="123"/>
      <c r="AV42" s="256"/>
      <c r="AW42" s="256"/>
      <c r="AX42" s="256"/>
      <c r="AY42" s="256"/>
      <c r="AZ42" s="256"/>
      <c r="BA42" s="256"/>
      <c r="BB42" s="256"/>
      <c r="BC42" s="256"/>
      <c r="BD42" s="256"/>
      <c r="BE42" s="123"/>
      <c r="BF42" s="123"/>
      <c r="BG42" s="123"/>
      <c r="BH42" s="123"/>
      <c r="BI42" s="123"/>
      <c r="BJ42" s="123"/>
      <c r="BK42" s="123"/>
      <c r="BL42" s="123"/>
      <c r="BM42" s="123"/>
      <c r="BN42" s="256"/>
      <c r="BO42" s="256"/>
      <c r="BP42" s="256"/>
      <c r="BQ42" s="256"/>
      <c r="BR42" s="256"/>
      <c r="BS42" s="256"/>
      <c r="BT42" s="256"/>
      <c r="BU42" s="256"/>
      <c r="BV42" s="256"/>
      <c r="BW42" s="460"/>
      <c r="BX42" s="460"/>
      <c r="BY42" s="460"/>
      <c r="BZ42" s="460"/>
      <c r="CA42" s="460"/>
      <c r="CB42" s="460"/>
      <c r="CC42" s="460"/>
      <c r="CD42" s="460"/>
      <c r="CE42" s="460"/>
      <c r="CF42" s="346"/>
      <c r="CG42" s="346"/>
      <c r="CH42" s="346"/>
      <c r="CI42" s="346"/>
      <c r="CJ42" s="346"/>
      <c r="CK42" s="346"/>
      <c r="CL42" s="346"/>
      <c r="CM42" s="346"/>
      <c r="CN42" s="346"/>
      <c r="CO42" s="260" t="str">
        <f t="shared" si="45"/>
        <v xml:space="preserve"> </v>
      </c>
      <c r="CP42" s="260" t="str">
        <f t="shared" si="46"/>
        <v xml:space="preserve"> </v>
      </c>
      <c r="CQ42" s="260" t="str">
        <f t="shared" si="47"/>
        <v xml:space="preserve"> </v>
      </c>
      <c r="CR42" s="260" t="str">
        <f t="shared" si="48"/>
        <v xml:space="preserve"> </v>
      </c>
      <c r="CS42" s="260" t="str">
        <f t="shared" si="49"/>
        <v xml:space="preserve"> </v>
      </c>
      <c r="CT42" s="260" t="str">
        <f t="shared" si="50"/>
        <v xml:space="preserve"> </v>
      </c>
      <c r="CU42" s="260" t="str">
        <f t="shared" si="51"/>
        <v xml:space="preserve"> </v>
      </c>
      <c r="CV42" s="260" t="str">
        <f t="shared" si="52"/>
        <v xml:space="preserve"> </v>
      </c>
      <c r="CW42" s="260" t="str">
        <f t="shared" si="53"/>
        <v xml:space="preserve"> </v>
      </c>
      <c r="CX42" s="547"/>
      <c r="CY42" s="547"/>
      <c r="CZ42" s="547"/>
      <c r="DA42" s="547"/>
      <c r="DB42" s="547"/>
      <c r="DC42" s="547"/>
      <c r="DD42" s="547"/>
      <c r="DE42" s="547"/>
      <c r="DF42" s="547"/>
      <c r="DG42" s="565"/>
      <c r="DH42" s="565"/>
      <c r="DI42" s="565"/>
      <c r="DJ42" s="565"/>
      <c r="DK42" s="565"/>
      <c r="DL42" s="565"/>
      <c r="DM42" s="565"/>
      <c r="DN42" s="565"/>
      <c r="DO42" s="565"/>
      <c r="DP42" s="549" t="str">
        <f t="shared" si="54"/>
        <v xml:space="preserve"> </v>
      </c>
      <c r="DQ42" s="291" t="str">
        <f t="shared" si="55"/>
        <v xml:space="preserve">  </v>
      </c>
      <c r="DR42" s="50" t="str">
        <f t="shared" si="56"/>
        <v xml:space="preserve"> </v>
      </c>
      <c r="DS42" s="282"/>
      <c r="DT42" s="51"/>
      <c r="DU42" s="46" t="str">
        <f t="shared" si="57"/>
        <v xml:space="preserve"> </v>
      </c>
      <c r="DV42" s="46" t="str">
        <f t="shared" si="58"/>
        <v xml:space="preserve"> </v>
      </c>
      <c r="DW42" s="46" t="str">
        <f t="shared" si="59"/>
        <v xml:space="preserve"> </v>
      </c>
      <c r="DX42" s="46" t="str">
        <f t="shared" si="60"/>
        <v xml:space="preserve"> </v>
      </c>
      <c r="DY42" s="46" t="str">
        <f t="shared" si="61"/>
        <v xml:space="preserve"> </v>
      </c>
      <c r="DZ42" s="46" t="str">
        <f t="shared" si="62"/>
        <v xml:space="preserve"> </v>
      </c>
      <c r="EA42" s="46" t="str">
        <f t="shared" si="63"/>
        <v xml:space="preserve"> </v>
      </c>
      <c r="EB42" s="46" t="str">
        <f t="shared" si="64"/>
        <v xml:space="preserve"> </v>
      </c>
      <c r="EC42" s="46" t="str">
        <f t="shared" si="65"/>
        <v xml:space="preserve"> </v>
      </c>
      <c r="ED42" s="46"/>
      <c r="EE42" s="52" t="str">
        <f>[2]uts!J41</f>
        <v/>
      </c>
      <c r="EF42" s="51"/>
      <c r="EG42" s="53" t="str">
        <f t="shared" si="66"/>
        <v xml:space="preserve">  </v>
      </c>
      <c r="EH42" s="53" t="str">
        <f t="shared" si="67"/>
        <v xml:space="preserve">  </v>
      </c>
      <c r="EI42" s="53" t="str">
        <f t="shared" si="68"/>
        <v xml:space="preserve">  </v>
      </c>
      <c r="EJ42" s="53" t="str">
        <f t="shared" si="69"/>
        <v xml:space="preserve">  </v>
      </c>
      <c r="EK42" s="53" t="str">
        <f t="shared" si="70"/>
        <v xml:space="preserve">  </v>
      </c>
      <c r="EL42" s="53" t="str">
        <f t="shared" si="71"/>
        <v xml:space="preserve">  </v>
      </c>
      <c r="EM42" s="53" t="str">
        <f t="shared" si="72"/>
        <v xml:space="preserve">  </v>
      </c>
      <c r="EN42" s="53" t="str">
        <f t="shared" si="73"/>
        <v xml:space="preserve">  </v>
      </c>
      <c r="EO42" s="53" t="str">
        <f t="shared" si="74"/>
        <v xml:space="preserve">  </v>
      </c>
      <c r="EP42" s="53"/>
      <c r="EQ42" s="54" t="str">
        <f t="shared" si="75"/>
        <v xml:space="preserve"> </v>
      </c>
      <c r="ER42" s="55">
        <f t="shared" si="76"/>
        <v>0</v>
      </c>
      <c r="ES42" s="55">
        <f t="shared" si="77"/>
        <v>0</v>
      </c>
      <c r="ET42" s="51">
        <f>SISWA!E40</f>
        <v>0</v>
      </c>
      <c r="EU42" s="51" t="str">
        <f t="shared" si="78"/>
        <v/>
      </c>
      <c r="EV42" s="56" t="str">
        <f t="shared" si="79"/>
        <v/>
      </c>
      <c r="EW42" s="57" t="str">
        <f t="shared" si="80"/>
        <v/>
      </c>
      <c r="EX42" s="57" t="str">
        <f t="shared" si="81"/>
        <v/>
      </c>
      <c r="EY42" s="57" t="str">
        <f t="shared" si="82"/>
        <v/>
      </c>
      <c r="EZ42" s="57" t="str">
        <f t="shared" si="83"/>
        <v/>
      </c>
      <c r="FA42" s="57" t="str">
        <f t="shared" si="84"/>
        <v/>
      </c>
      <c r="FB42" s="57" t="str">
        <f t="shared" si="85"/>
        <v/>
      </c>
      <c r="FC42" s="57"/>
      <c r="FD42" s="57"/>
      <c r="FE42" s="57"/>
      <c r="FF42" s="58">
        <f t="shared" si="86"/>
        <v>0</v>
      </c>
      <c r="FG42" s="55" t="e">
        <f t="shared" si="87"/>
        <v>#N/A</v>
      </c>
      <c r="FH42" s="58"/>
      <c r="FI42" s="59" t="e">
        <f>IF(ER42&gt;100,"",IF(ER42&gt;DQ$1,"sangat baik dalam "&amp;FG42,IF(ER42&gt;=DQ$2,"baik dalam "&amp;FG42,IF(ER42&gt;=DQ$3,"cukup dalam "&amp;FG42,IF(ER42&lt;DQ$3,"dengan bimbingan dapat ,meningkatkan dalam "&amp;FG42,IF(ER42&lt;1," ",””))))))</f>
        <v>#N/A</v>
      </c>
      <c r="FJ42" s="58"/>
      <c r="FK42" s="57" t="str">
        <f t="shared" si="88"/>
        <v/>
      </c>
      <c r="FL42" s="57" t="str">
        <f t="shared" si="89"/>
        <v/>
      </c>
      <c r="FM42" s="57" t="str">
        <f t="shared" si="90"/>
        <v/>
      </c>
      <c r="FN42" s="57" t="str">
        <f t="shared" si="91"/>
        <v/>
      </c>
      <c r="FO42" s="57" t="str">
        <f t="shared" si="92"/>
        <v/>
      </c>
      <c r="FP42" s="57" t="str">
        <f t="shared" si="93"/>
        <v/>
      </c>
      <c r="FQ42" s="57" t="str">
        <f t="shared" si="94"/>
        <v/>
      </c>
      <c r="FR42" s="57"/>
      <c r="FS42" s="57"/>
      <c r="FT42" s="57"/>
      <c r="FU42" s="59" t="e">
        <f t="shared" si="95"/>
        <v>#N/A</v>
      </c>
      <c r="FV42" s="59" t="e">
        <f>IF(ES42&gt;100,"",IF(ES42&gt;DQ$1,"sangat baik dalam "&amp;FU42,IF(ES42&gt;=DQ$2,"baik dalam "&amp;FU42,IF(ES42&gt;=DQ$3,"cukup dalam "&amp;FU42,IF(ES42&lt;DQ$3,"dengan bimbingan dapat meningkatkan dalam "&amp;FU42,IF(ES42&lt;1," ",””))))))</f>
        <v>#N/A</v>
      </c>
      <c r="FW42" s="61"/>
      <c r="FX42" s="62" t="e">
        <f t="shared" si="96"/>
        <v>#N/A</v>
      </c>
      <c r="FY42" s="57">
        <f t="shared" si="97"/>
        <v>0</v>
      </c>
      <c r="FZ42" s="57">
        <f t="shared" si="98"/>
        <v>0</v>
      </c>
      <c r="GA42" s="57">
        <f t="shared" si="99"/>
        <v>0</v>
      </c>
      <c r="GB42" s="57"/>
      <c r="GC42" s="57"/>
      <c r="GD42" s="57"/>
      <c r="GE42" s="59">
        <f t="shared" si="44"/>
        <v>0</v>
      </c>
      <c r="GF42" s="60"/>
      <c r="GG42" s="61"/>
      <c r="GH42" s="62" t="str">
        <f t="shared" si="100"/>
        <v>, 0</v>
      </c>
    </row>
    <row r="43" spans="1:190"/>
    <row r="44" spans="1:190">
      <c r="B44" s="1010" t="str">
        <f>"Kompetensi Dasar "&amp;C2&amp;" :"</f>
        <v>Kompetensi Dasar SBDP :</v>
      </c>
      <c r="C44" s="1011"/>
      <c r="D44" s="1011"/>
      <c r="E44" s="1011"/>
      <c r="F44" s="1011"/>
      <c r="G44" s="1011"/>
      <c r="H44" s="1011"/>
      <c r="I44" s="1011"/>
      <c r="J44" s="1011"/>
      <c r="K44" s="1011"/>
      <c r="L44" s="1011"/>
      <c r="M44" s="1011"/>
      <c r="N44" s="1011"/>
      <c r="O44" s="1011"/>
      <c r="P44" s="1011"/>
      <c r="Q44" s="1011"/>
      <c r="R44" s="1011"/>
      <c r="S44" s="1011"/>
      <c r="T44" s="1011"/>
      <c r="U44" s="1011"/>
      <c r="V44" s="1011"/>
      <c r="W44" s="1011"/>
      <c r="X44" s="1011"/>
      <c r="Y44" s="1011"/>
      <c r="Z44" s="1011"/>
      <c r="AA44" s="1011"/>
      <c r="AB44" s="1011"/>
      <c r="AC44" s="1011"/>
      <c r="AD44" s="1011"/>
      <c r="AE44" s="1011"/>
      <c r="AF44" s="1011"/>
    </row>
    <row r="45" spans="1:190">
      <c r="A45" s="69" t="str">
        <f>'KDKI-3'!A59</f>
        <v>3.1</v>
      </c>
      <c r="B45" s="69" t="str">
        <f>'KDKI-3'!B59</f>
        <v>memahami gambar cerita</v>
      </c>
      <c r="C45" s="70"/>
      <c r="D45" s="70"/>
      <c r="E45" s="70"/>
      <c r="F45" s="70"/>
      <c r="G45" s="70"/>
      <c r="H45" s="70"/>
      <c r="I45" s="70"/>
      <c r="J45" s="70"/>
      <c r="K45" s="70"/>
      <c r="L45" s="70"/>
      <c r="M45" s="70"/>
      <c r="N45" s="70"/>
      <c r="O45" s="70"/>
      <c r="P45" s="70"/>
      <c r="Q45" s="70"/>
      <c r="R45" s="70"/>
      <c r="S45" s="70"/>
      <c r="T45" s="70"/>
      <c r="U45" s="70"/>
      <c r="V45" s="70"/>
      <c r="W45" s="70"/>
      <c r="X45" s="70"/>
      <c r="Y45" s="70"/>
      <c r="Z45" s="70"/>
      <c r="AA45" s="70"/>
      <c r="AB45" s="70"/>
      <c r="AC45" s="70"/>
      <c r="AD45" s="70"/>
      <c r="AE45" s="70"/>
      <c r="AF45" s="70"/>
      <c r="AG45" s="70"/>
      <c r="AH45" s="70"/>
      <c r="AI45" s="70"/>
      <c r="AJ45" s="70"/>
      <c r="AK45" s="70"/>
      <c r="AL45" s="70"/>
      <c r="AM45" s="70"/>
      <c r="AN45" s="70"/>
      <c r="AO45" s="70"/>
      <c r="AP45" s="70"/>
      <c r="AQ45" s="70"/>
      <c r="AR45" s="70"/>
      <c r="AS45" s="71"/>
      <c r="AT45" s="72"/>
      <c r="AU45" s="72"/>
    </row>
    <row r="46" spans="1:190">
      <c r="A46" s="69" t="str">
        <f>'KDKI-3'!A60</f>
        <v>3.2</v>
      </c>
      <c r="B46" s="69" t="str">
        <f>'KDKI-3'!B60</f>
        <v>memahami tangga nada</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74"/>
      <c r="AG46" s="74"/>
      <c r="AH46" s="74"/>
      <c r="AI46" s="74"/>
      <c r="AJ46" s="74"/>
      <c r="AK46" s="74"/>
      <c r="AL46" s="74"/>
      <c r="AM46" s="74"/>
      <c r="AN46" s="74"/>
      <c r="AO46" s="74"/>
      <c r="AP46" s="74"/>
      <c r="AQ46" s="74"/>
      <c r="AR46" s="74"/>
      <c r="AS46" s="75"/>
      <c r="AT46" s="72"/>
      <c r="AU46" s="72"/>
    </row>
    <row r="47" spans="1:190">
      <c r="A47" s="69" t="str">
        <f>'KDKI-3'!A61</f>
        <v>3.3</v>
      </c>
      <c r="B47" s="69" t="str">
        <f>'KDKI-3'!B61</f>
        <v>memahami pola lantai dalam tari kreasi daerah</v>
      </c>
      <c r="C47" s="72"/>
      <c r="D47" s="72"/>
      <c r="E47" s="72"/>
      <c r="F47" s="72"/>
      <c r="G47" s="72"/>
      <c r="H47" s="72"/>
      <c r="I47" s="72"/>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6"/>
      <c r="AT47" s="72"/>
      <c r="AU47" s="72"/>
    </row>
    <row r="48" spans="1:190">
      <c r="A48" s="69" t="str">
        <f>'KDKI-3'!A62</f>
        <v>3.4</v>
      </c>
      <c r="B48" s="69" t="str">
        <f>'KDKI-3'!B62</f>
        <v>memahami karya seni rupa daerah</v>
      </c>
      <c r="C48" s="74"/>
      <c r="D48" s="74"/>
      <c r="E48" s="74"/>
      <c r="F48" s="74"/>
      <c r="G48" s="74"/>
      <c r="H48" s="74"/>
      <c r="I48" s="74"/>
      <c r="J48" s="74"/>
      <c r="K48" s="74"/>
      <c r="L48" s="74"/>
      <c r="M48" s="74"/>
      <c r="N48" s="74"/>
      <c r="O48" s="74"/>
      <c r="P48" s="74"/>
      <c r="Q48" s="74"/>
      <c r="R48" s="74"/>
      <c r="S48" s="74"/>
      <c r="T48" s="74"/>
      <c r="U48" s="74"/>
      <c r="V48" s="74"/>
      <c r="W48" s="74"/>
      <c r="X48" s="74"/>
      <c r="Y48" s="74"/>
      <c r="Z48" s="74"/>
      <c r="AA48" s="74"/>
      <c r="AB48" s="74"/>
      <c r="AC48" s="74"/>
      <c r="AD48" s="74"/>
      <c r="AE48" s="74"/>
      <c r="AF48" s="74"/>
      <c r="AG48" s="74"/>
      <c r="AH48" s="74"/>
      <c r="AI48" s="74"/>
      <c r="AJ48" s="74"/>
      <c r="AK48" s="74"/>
      <c r="AL48" s="74"/>
      <c r="AM48" s="74"/>
      <c r="AN48" s="74"/>
      <c r="AO48" s="74"/>
      <c r="AP48" s="74"/>
      <c r="AQ48" s="74"/>
      <c r="AR48" s="74"/>
      <c r="AS48" s="75"/>
      <c r="AT48" s="72"/>
      <c r="AU48" s="72"/>
    </row>
    <row r="49" spans="1:47">
      <c r="A49" s="69">
        <f>'KDKI-3'!A63</f>
        <v>0</v>
      </c>
      <c r="B49" s="69">
        <f>'KDKI-3'!B63</f>
        <v>0</v>
      </c>
      <c r="C49" s="74"/>
      <c r="D49" s="74"/>
      <c r="E49" s="74"/>
      <c r="F49" s="74"/>
      <c r="G49" s="74"/>
      <c r="H49" s="74"/>
      <c r="I49" s="74"/>
      <c r="J49" s="74"/>
      <c r="K49" s="74"/>
      <c r="L49" s="74"/>
      <c r="M49" s="74"/>
      <c r="N49" s="74"/>
      <c r="O49" s="74"/>
      <c r="P49" s="74"/>
      <c r="Q49" s="74"/>
      <c r="R49" s="74"/>
      <c r="S49" s="74"/>
      <c r="T49" s="74"/>
      <c r="U49" s="74"/>
      <c r="V49" s="74"/>
      <c r="W49" s="74"/>
      <c r="X49" s="74"/>
      <c r="Y49" s="74"/>
      <c r="Z49" s="74"/>
      <c r="AA49" s="74"/>
      <c r="AB49" s="74"/>
      <c r="AC49" s="74"/>
      <c r="AD49" s="74"/>
      <c r="AE49" s="74"/>
      <c r="AF49" s="74"/>
      <c r="AG49" s="74"/>
      <c r="AH49" s="74"/>
      <c r="AI49" s="74"/>
      <c r="AJ49" s="74"/>
      <c r="AK49" s="74"/>
      <c r="AL49" s="74"/>
      <c r="AM49" s="74"/>
      <c r="AN49" s="74"/>
      <c r="AO49" s="74"/>
      <c r="AP49" s="74"/>
      <c r="AQ49" s="74"/>
      <c r="AR49" s="74"/>
      <c r="AS49" s="75"/>
      <c r="AT49" s="72"/>
      <c r="AU49" s="72"/>
    </row>
    <row r="50" spans="1:47">
      <c r="A50" s="69">
        <f>'KDKI-3'!A65</f>
        <v>0</v>
      </c>
      <c r="B50" s="69">
        <f>'KDKI-3'!B65</f>
        <v>0</v>
      </c>
      <c r="C50" s="72"/>
      <c r="D50" s="72"/>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6"/>
      <c r="AT50" s="72"/>
      <c r="AU50" s="72"/>
    </row>
    <row r="51" spans="1:47">
      <c r="A51" s="77"/>
      <c r="B51" s="79"/>
      <c r="C51" s="74"/>
      <c r="D51" s="74"/>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c r="AJ51" s="74"/>
      <c r="AK51" s="74"/>
      <c r="AL51" s="74"/>
      <c r="AM51" s="74"/>
      <c r="AN51" s="74"/>
      <c r="AO51" s="74"/>
      <c r="AP51" s="74"/>
      <c r="AQ51" s="74"/>
      <c r="AR51" s="74"/>
      <c r="AS51" s="75"/>
      <c r="AT51" s="72"/>
      <c r="AU51" s="72"/>
    </row>
    <row r="52" spans="1:47">
      <c r="A52" s="80"/>
      <c r="B52" s="81"/>
      <c r="C52" s="72"/>
      <c r="D52" s="72"/>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72"/>
      <c r="AN52" s="72"/>
      <c r="AO52" s="72"/>
      <c r="AP52" s="72"/>
      <c r="AQ52" s="72"/>
      <c r="AR52" s="72"/>
      <c r="AS52" s="76"/>
      <c r="AT52" s="72"/>
      <c r="AU52" s="72"/>
    </row>
    <row r="53" spans="1:47">
      <c r="A53" s="80"/>
      <c r="B53" s="82"/>
      <c r="C53" s="74"/>
      <c r="D53" s="74"/>
      <c r="E53" s="74"/>
      <c r="F53" s="74"/>
      <c r="G53" s="74"/>
      <c r="H53" s="74"/>
      <c r="I53" s="74"/>
      <c r="J53" s="74"/>
      <c r="K53" s="74"/>
      <c r="L53" s="74"/>
      <c r="M53" s="74"/>
      <c r="N53" s="74"/>
      <c r="O53" s="74"/>
      <c r="P53" s="74"/>
      <c r="Q53" s="74"/>
      <c r="R53" s="74"/>
      <c r="S53" s="74"/>
      <c r="T53" s="74"/>
      <c r="U53" s="74"/>
      <c r="V53" s="74"/>
      <c r="W53" s="74"/>
      <c r="X53" s="74"/>
      <c r="Y53" s="74"/>
      <c r="Z53" s="74"/>
      <c r="AA53" s="74"/>
      <c r="AB53" s="74"/>
      <c r="AC53" s="74"/>
      <c r="AD53" s="74"/>
      <c r="AE53" s="74"/>
      <c r="AF53" s="74"/>
      <c r="AG53" s="74"/>
      <c r="AH53" s="74"/>
      <c r="AI53" s="74"/>
      <c r="AJ53" s="74"/>
      <c r="AK53" s="74"/>
      <c r="AL53" s="74"/>
      <c r="AM53" s="74"/>
      <c r="AN53" s="74"/>
      <c r="AO53" s="74"/>
      <c r="AP53" s="74"/>
      <c r="AQ53" s="74"/>
      <c r="AR53" s="74"/>
      <c r="AS53" s="75"/>
      <c r="AT53" s="72"/>
      <c r="AU53" s="72"/>
    </row>
    <row r="54" spans="1:47">
      <c r="A54" s="80"/>
      <c r="B54" s="83"/>
      <c r="C54" s="84"/>
      <c r="D54" s="84"/>
      <c r="E54" s="84"/>
      <c r="F54" s="84"/>
      <c r="G54" s="84"/>
      <c r="H54" s="84"/>
      <c r="I54" s="84"/>
      <c r="J54" s="84"/>
      <c r="K54" s="84"/>
      <c r="L54" s="84"/>
      <c r="M54" s="84"/>
      <c r="N54" s="84"/>
      <c r="O54" s="84"/>
      <c r="P54" s="84"/>
      <c r="Q54" s="84"/>
      <c r="R54" s="84"/>
      <c r="S54" s="84"/>
      <c r="T54" s="84"/>
      <c r="U54" s="84"/>
      <c r="V54" s="84"/>
      <c r="W54" s="84"/>
      <c r="X54" s="84"/>
      <c r="Y54" s="84"/>
      <c r="Z54" s="84"/>
      <c r="AA54" s="84"/>
      <c r="AB54" s="84"/>
      <c r="AC54" s="84"/>
      <c r="AD54" s="84"/>
      <c r="AE54" s="84"/>
      <c r="AF54" s="84"/>
      <c r="AG54" s="84"/>
      <c r="AH54" s="84"/>
      <c r="AI54" s="84"/>
      <c r="AJ54" s="84"/>
      <c r="AK54" s="84"/>
      <c r="AL54" s="84"/>
      <c r="AM54" s="84"/>
      <c r="AN54" s="84"/>
      <c r="AO54" s="84"/>
      <c r="AP54" s="84"/>
      <c r="AQ54" s="84"/>
      <c r="AR54" s="84"/>
      <c r="AS54" s="85"/>
      <c r="AT54" s="72"/>
      <c r="AU54" s="72"/>
    </row>
    <row r="55" spans="1:47"/>
    <row r="56" spans="1:47"/>
    <row r="57" spans="1:47"/>
    <row r="58" spans="1:47"/>
    <row r="59" spans="1:47"/>
    <row r="60" spans="1:47"/>
    <row r="61" spans="1:47"/>
  </sheetData>
  <sheetProtection password="CA9C" sheet="1" objects="1" scenarios="1" formatCells="0" formatRows="0"/>
  <mergeCells count="59">
    <mergeCell ref="B1:AF1"/>
    <mergeCell ref="C2:L2"/>
    <mergeCell ref="AG3:AN3"/>
    <mergeCell ref="A5:A7"/>
    <mergeCell ref="B5:B7"/>
    <mergeCell ref="C5:T5"/>
    <mergeCell ref="U5:AL5"/>
    <mergeCell ref="AM5:BD5"/>
    <mergeCell ref="C6:K6"/>
    <mergeCell ref="L6:T6"/>
    <mergeCell ref="U6:AC6"/>
    <mergeCell ref="AD6:AL6"/>
    <mergeCell ref="C3:T3"/>
    <mergeCell ref="GC6:GC7"/>
    <mergeCell ref="GD6:GD7"/>
    <mergeCell ref="GE6:GE7"/>
    <mergeCell ref="B44:AF44"/>
    <mergeCell ref="FU6:FU7"/>
    <mergeCell ref="FV6:FV7"/>
    <mergeCell ref="FG6:FG7"/>
    <mergeCell ref="FI6:FI7"/>
    <mergeCell ref="FK6:FK7"/>
    <mergeCell ref="DQ5:DQ7"/>
    <mergeCell ref="DR5:DR7"/>
    <mergeCell ref="EE5:EE7"/>
    <mergeCell ref="FL6:FL7"/>
    <mergeCell ref="FM6:FM7"/>
    <mergeCell ref="FN6:FN7"/>
    <mergeCell ref="FO6:FO7"/>
    <mergeCell ref="FX4:FX7"/>
    <mergeCell ref="DU5:ED5"/>
    <mergeCell ref="EG5:EO5"/>
    <mergeCell ref="EV6:EV7"/>
    <mergeCell ref="EW6:EW7"/>
    <mergeCell ref="EX6:EX7"/>
    <mergeCell ref="EY6:EY7"/>
    <mergeCell ref="EZ6:EZ7"/>
    <mergeCell ref="FA6:FA7"/>
    <mergeCell ref="FB6:FB7"/>
    <mergeCell ref="FC6:FC7"/>
    <mergeCell ref="FD6:FD7"/>
    <mergeCell ref="FQ6:FQ7"/>
    <mergeCell ref="FE6:FE7"/>
    <mergeCell ref="FP6:FP7"/>
    <mergeCell ref="FR6:FR7"/>
    <mergeCell ref="FT6:FT7"/>
    <mergeCell ref="C4:K4"/>
    <mergeCell ref="FS6:FS7"/>
    <mergeCell ref="AM6:AU6"/>
    <mergeCell ref="AV6:BD6"/>
    <mergeCell ref="BE6:BM6"/>
    <mergeCell ref="BN6:BV6"/>
    <mergeCell ref="CO5:CW5"/>
    <mergeCell ref="BW6:CE6"/>
    <mergeCell ref="CF6:CN6"/>
    <mergeCell ref="BW5:CJ5"/>
    <mergeCell ref="BE5:BV5"/>
    <mergeCell ref="DG5:DO5"/>
    <mergeCell ref="CX5:DF5"/>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00B0F0"/>
  </sheetPr>
  <dimension ref="A1:FV61"/>
  <sheetViews>
    <sheetView showRowColHeaders="0" showZeros="0" workbookViewId="0">
      <pane xSplit="2" ySplit="7" topLeftCell="AI8" activePane="bottomRight" state="frozen"/>
      <selection pane="topRight" activeCell="C1" sqref="C1"/>
      <selection pane="bottomLeft" activeCell="A8" sqref="A8"/>
      <selection pane="bottomRight" activeCell="AQ23" sqref="AQ23"/>
    </sheetView>
  </sheetViews>
  <sheetFormatPr defaultColWidth="0" defaultRowHeight="15" zeroHeight="1"/>
  <cols>
    <col min="1" max="1" width="4.7109375" customWidth="1"/>
    <col min="2" max="2" width="31" customWidth="1"/>
    <col min="3" max="47" width="3.7109375" customWidth="1"/>
    <col min="48" max="49" width="6.7109375" customWidth="1"/>
    <col min="50" max="50" width="100.7109375" customWidth="1"/>
    <col min="51" max="51" width="3.7109375" customWidth="1"/>
    <col min="52" max="108" width="3.7109375" hidden="1" customWidth="1"/>
    <col min="109" max="124" width="5.7109375" hidden="1" customWidth="1"/>
    <col min="125" max="162" width="3.7109375" hidden="1" customWidth="1"/>
    <col min="163" max="178" width="5.7109375" hidden="1" customWidth="1"/>
    <col min="179" max="16384" width="9.140625" hidden="1"/>
  </cols>
  <sheetData>
    <row r="1" spans="1:119">
      <c r="A1" s="22"/>
      <c r="B1" s="894" t="s">
        <v>0</v>
      </c>
      <c r="C1" s="894"/>
      <c r="D1" s="894"/>
      <c r="E1" s="894"/>
      <c r="F1" s="894"/>
      <c r="G1" s="894"/>
      <c r="H1" s="894"/>
      <c r="I1" s="894"/>
      <c r="J1" s="894"/>
      <c r="K1" s="894"/>
      <c r="L1" s="894"/>
      <c r="M1" s="894"/>
      <c r="N1" s="894"/>
      <c r="O1" s="894"/>
      <c r="P1" s="894"/>
      <c r="Q1" s="894"/>
      <c r="R1" s="894"/>
      <c r="S1" s="894"/>
      <c r="T1" s="894"/>
      <c r="AV1" t="s">
        <v>1</v>
      </c>
      <c r="AW1">
        <f>KKM!D29</f>
        <v>92</v>
      </c>
      <c r="AZ1">
        <v>100</v>
      </c>
      <c r="CL1" s="4"/>
      <c r="CM1" s="4"/>
      <c r="CN1" s="4"/>
      <c r="CO1" s="4"/>
      <c r="CP1" s="4"/>
      <c r="CQ1" s="4"/>
      <c r="CR1" s="4"/>
      <c r="CS1" s="4"/>
      <c r="CT1" s="4"/>
      <c r="CU1" s="4"/>
      <c r="CV1" s="4"/>
      <c r="CW1" s="4"/>
      <c r="CX1" s="4"/>
      <c r="CY1" s="4"/>
      <c r="CZ1" s="4"/>
      <c r="DA1" s="4"/>
      <c r="DB1" s="4"/>
      <c r="DC1" s="4"/>
      <c r="DD1" s="4"/>
      <c r="DI1" s="4"/>
      <c r="DJ1" s="4"/>
      <c r="DK1" s="4"/>
      <c r="DL1" s="4"/>
      <c r="DM1" s="4"/>
      <c r="DN1" s="4"/>
      <c r="DO1" s="4"/>
    </row>
    <row r="2" spans="1:119">
      <c r="A2" s="22"/>
      <c r="B2" s="7" t="s">
        <v>3</v>
      </c>
      <c r="C2" s="1181" t="s">
        <v>192</v>
      </c>
      <c r="D2" s="996"/>
      <c r="E2" s="996"/>
      <c r="F2" s="996"/>
      <c r="G2" s="996"/>
      <c r="H2" s="996"/>
      <c r="I2" s="996"/>
      <c r="J2" s="996"/>
      <c r="K2" s="996"/>
      <c r="L2" s="996"/>
      <c r="M2" s="8"/>
      <c r="N2" s="9"/>
      <c r="O2" s="9"/>
      <c r="P2" s="9"/>
      <c r="Q2" s="9"/>
      <c r="R2" s="9"/>
      <c r="S2" s="9"/>
      <c r="T2" s="9"/>
      <c r="AV2" t="s">
        <v>2</v>
      </c>
      <c r="AW2">
        <f>KKM!D30</f>
        <v>83</v>
      </c>
      <c r="AZ2">
        <f>(AZ1-AW2)/2</f>
        <v>8.5</v>
      </c>
      <c r="CL2" s="4"/>
      <c r="CM2" s="4"/>
      <c r="CN2" s="4"/>
      <c r="CO2" s="4"/>
      <c r="CP2" s="4"/>
      <c r="CQ2" s="4"/>
      <c r="CR2" s="4"/>
      <c r="CS2" s="4"/>
      <c r="CT2" s="4"/>
      <c r="CU2" s="4"/>
      <c r="CV2" s="4"/>
      <c r="CW2" s="4"/>
      <c r="CX2" s="4"/>
      <c r="CY2" s="4"/>
      <c r="CZ2" s="4"/>
      <c r="DA2" s="4"/>
      <c r="DB2" s="4"/>
      <c r="DC2" s="4"/>
      <c r="DD2" s="4"/>
      <c r="DI2" s="4"/>
      <c r="DJ2" s="4"/>
      <c r="DK2" s="4"/>
      <c r="DL2" s="4"/>
      <c r="DM2" s="4"/>
      <c r="DN2" s="4"/>
      <c r="DO2" s="4"/>
    </row>
    <row r="3" spans="1:119" ht="15.75">
      <c r="A3" s="22"/>
      <c r="B3" s="14" t="s">
        <v>7</v>
      </c>
      <c r="C3" s="15" t="str">
        <f>MENU!N20</f>
        <v>V ( Lima )</v>
      </c>
      <c r="D3" s="16"/>
      <c r="E3" s="16"/>
      <c r="F3" s="237" t="s">
        <v>67</v>
      </c>
      <c r="G3" s="17" t="str">
        <f>MENU!N21</f>
        <v>1 ( satu )</v>
      </c>
      <c r="H3" s="18"/>
      <c r="I3" s="18"/>
      <c r="J3" s="18"/>
      <c r="K3" s="237" t="s">
        <v>38</v>
      </c>
      <c r="L3" s="19" t="str">
        <f>MENU!N21</f>
        <v>1 ( satu )</v>
      </c>
      <c r="M3" s="20"/>
      <c r="N3" s="20"/>
      <c r="O3" s="20" t="s">
        <v>202</v>
      </c>
      <c r="P3" t="str">
        <f>MENU!N22</f>
        <v>2019/2020</v>
      </c>
      <c r="AV3" t="s">
        <v>64</v>
      </c>
      <c r="AW3">
        <f>KKM!D31</f>
        <v>75</v>
      </c>
      <c r="CL3" s="555"/>
      <c r="CM3" s="555"/>
      <c r="CN3" s="555"/>
      <c r="CO3" s="555"/>
      <c r="CP3" s="555"/>
      <c r="CQ3" s="555"/>
      <c r="CR3" s="555"/>
      <c r="CS3" s="555"/>
      <c r="CT3" s="555"/>
      <c r="CU3" s="555"/>
      <c r="CV3" s="555"/>
      <c r="CW3" s="555"/>
      <c r="CX3" s="555"/>
      <c r="CY3" s="555"/>
      <c r="CZ3" s="555"/>
      <c r="DA3" s="555"/>
      <c r="DB3" s="555"/>
      <c r="DC3" s="555"/>
      <c r="DD3" s="555"/>
      <c r="DI3" s="26"/>
      <c r="DJ3" s="26"/>
      <c r="DK3" s="26"/>
      <c r="DL3" s="26"/>
      <c r="DM3" s="26"/>
      <c r="DN3" s="26"/>
      <c r="DO3" s="2"/>
    </row>
    <row r="4" spans="1:119">
      <c r="C4" s="27">
        <f>KKM!C25</f>
        <v>75</v>
      </c>
      <c r="D4" s="27"/>
      <c r="E4" s="27"/>
      <c r="F4" s="27"/>
      <c r="G4" s="27"/>
      <c r="H4" s="27"/>
      <c r="I4" s="27"/>
      <c r="J4" s="27"/>
      <c r="K4" s="27"/>
      <c r="L4" s="27"/>
      <c r="M4" s="27"/>
      <c r="N4" s="27"/>
      <c r="O4" s="27"/>
      <c r="P4" s="27"/>
      <c r="Q4" s="27"/>
      <c r="R4" s="27"/>
      <c r="S4" s="27"/>
      <c r="T4" s="27"/>
      <c r="AV4" t="s">
        <v>146</v>
      </c>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1007" t="s">
        <v>23</v>
      </c>
      <c r="DI4" s="4"/>
      <c r="DJ4" s="4"/>
      <c r="DK4" s="4"/>
      <c r="DL4" s="4"/>
      <c r="DM4" s="4"/>
      <c r="DN4" s="4"/>
      <c r="DO4" s="4"/>
    </row>
    <row r="5" spans="1:119" ht="14.1" customHeight="1">
      <c r="A5" s="900" t="s">
        <v>9</v>
      </c>
      <c r="B5" s="900" t="s">
        <v>10</v>
      </c>
      <c r="C5" s="1001" t="s">
        <v>380</v>
      </c>
      <c r="D5" s="1002"/>
      <c r="E5" s="1002"/>
      <c r="F5" s="1002"/>
      <c r="G5" s="1002"/>
      <c r="H5" s="1002"/>
      <c r="I5" s="1002"/>
      <c r="J5" s="1002"/>
      <c r="K5" s="1002"/>
      <c r="L5" s="1002"/>
      <c r="M5" s="1002"/>
      <c r="N5" s="1002"/>
      <c r="O5" s="1002"/>
      <c r="P5" s="1002"/>
      <c r="Q5" s="1002"/>
      <c r="R5" s="1002"/>
      <c r="S5" s="1002"/>
      <c r="T5" s="1174"/>
      <c r="U5" s="956" t="s">
        <v>385</v>
      </c>
      <c r="V5" s="957"/>
      <c r="W5" s="957"/>
      <c r="X5" s="957"/>
      <c r="Y5" s="957"/>
      <c r="Z5" s="957"/>
      <c r="AA5" s="957"/>
      <c r="AB5" s="957"/>
      <c r="AC5" s="958"/>
      <c r="AD5" s="1178" t="s">
        <v>379</v>
      </c>
      <c r="AE5" s="1179"/>
      <c r="AF5" s="1179"/>
      <c r="AG5" s="1179"/>
      <c r="AH5" s="1179"/>
      <c r="AI5" s="1179"/>
      <c r="AJ5" s="1179"/>
      <c r="AK5" s="1179"/>
      <c r="AL5" s="1180"/>
      <c r="AM5" s="956" t="s">
        <v>378</v>
      </c>
      <c r="AN5" s="957"/>
      <c r="AO5" s="957"/>
      <c r="AP5" s="957"/>
      <c r="AQ5" s="957"/>
      <c r="AR5" s="957"/>
      <c r="AS5" s="957"/>
      <c r="AT5" s="957"/>
      <c r="AU5" s="958"/>
      <c r="AV5" s="28" t="s">
        <v>14</v>
      </c>
      <c r="AW5" s="1018" t="s">
        <v>15</v>
      </c>
      <c r="AX5" s="1021" t="s">
        <v>16</v>
      </c>
      <c r="AY5" s="281"/>
      <c r="AZ5" s="556"/>
      <c r="BA5" s="1027" t="s">
        <v>380</v>
      </c>
      <c r="BB5" s="1028"/>
      <c r="BC5" s="1028"/>
      <c r="BD5" s="1028"/>
      <c r="BE5" s="1028"/>
      <c r="BF5" s="1028"/>
      <c r="BG5" s="1028"/>
      <c r="BH5" s="1028"/>
      <c r="BI5" s="1028"/>
      <c r="BJ5" s="1029"/>
      <c r="BK5" s="1024"/>
      <c r="BL5" s="4"/>
      <c r="BM5" s="990" t="s">
        <v>17</v>
      </c>
      <c r="BN5" s="991"/>
      <c r="BO5" s="991"/>
      <c r="BP5" s="991"/>
      <c r="BQ5" s="991"/>
      <c r="BR5" s="991"/>
      <c r="BS5" s="991"/>
      <c r="BT5" s="991"/>
      <c r="BU5" s="991"/>
      <c r="BV5" s="31"/>
      <c r="BW5" s="31"/>
      <c r="BX5" s="31"/>
      <c r="BY5" s="31"/>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1008"/>
      <c r="DI5" s="4"/>
      <c r="DJ5" s="4"/>
      <c r="DK5" s="4"/>
      <c r="DL5" s="4"/>
      <c r="DM5" s="4"/>
      <c r="DN5" s="4"/>
      <c r="DO5" s="4"/>
    </row>
    <row r="6" spans="1:119" ht="18" customHeight="1">
      <c r="A6" s="900"/>
      <c r="B6" s="900"/>
      <c r="C6" s="1003" t="s">
        <v>526</v>
      </c>
      <c r="D6" s="1004"/>
      <c r="E6" s="1004"/>
      <c r="F6" s="1004"/>
      <c r="G6" s="1004"/>
      <c r="H6" s="1004"/>
      <c r="I6" s="1004"/>
      <c r="J6" s="1004"/>
      <c r="K6" s="1172"/>
      <c r="L6" s="1005" t="s">
        <v>18</v>
      </c>
      <c r="M6" s="1006"/>
      <c r="N6" s="1006"/>
      <c r="O6" s="1006"/>
      <c r="P6" s="1006"/>
      <c r="Q6" s="1006"/>
      <c r="R6" s="1006"/>
      <c r="S6" s="1006"/>
      <c r="T6" s="1173"/>
      <c r="U6" s="32" t="s">
        <v>19</v>
      </c>
      <c r="V6" s="32" t="s">
        <v>19</v>
      </c>
      <c r="W6" s="32" t="s">
        <v>19</v>
      </c>
      <c r="X6" s="32" t="s">
        <v>19</v>
      </c>
      <c r="Y6" s="32" t="s">
        <v>19</v>
      </c>
      <c r="Z6" s="32" t="s">
        <v>19</v>
      </c>
      <c r="AA6" s="32" t="s">
        <v>19</v>
      </c>
      <c r="AB6" s="32" t="s">
        <v>19</v>
      </c>
      <c r="AC6" s="32" t="s">
        <v>19</v>
      </c>
      <c r="AD6" s="551" t="s">
        <v>19</v>
      </c>
      <c r="AE6" s="551" t="s">
        <v>19</v>
      </c>
      <c r="AF6" s="551" t="s">
        <v>19</v>
      </c>
      <c r="AG6" s="551" t="s">
        <v>19</v>
      </c>
      <c r="AH6" s="551" t="s">
        <v>19</v>
      </c>
      <c r="AI6" s="551" t="s">
        <v>19</v>
      </c>
      <c r="AJ6" s="551" t="s">
        <v>19</v>
      </c>
      <c r="AK6" s="551" t="s">
        <v>19</v>
      </c>
      <c r="AL6" s="551" t="s">
        <v>19</v>
      </c>
      <c r="AM6" s="32" t="s">
        <v>19</v>
      </c>
      <c r="AN6" s="32" t="s">
        <v>19</v>
      </c>
      <c r="AO6" s="32" t="s">
        <v>19</v>
      </c>
      <c r="AP6" s="32" t="s">
        <v>19</v>
      </c>
      <c r="AQ6" s="32" t="s">
        <v>19</v>
      </c>
      <c r="AR6" s="32" t="s">
        <v>19</v>
      </c>
      <c r="AS6" s="32" t="s">
        <v>19</v>
      </c>
      <c r="AT6" s="32" t="s">
        <v>19</v>
      </c>
      <c r="AU6" s="32" t="s">
        <v>19</v>
      </c>
      <c r="AV6" s="33"/>
      <c r="AW6" s="1019"/>
      <c r="AX6" s="1022"/>
      <c r="AY6" s="281"/>
      <c r="AZ6" s="556"/>
      <c r="BA6" s="32" t="s">
        <v>19</v>
      </c>
      <c r="BB6" s="32" t="s">
        <v>19</v>
      </c>
      <c r="BC6" s="32" t="s">
        <v>19</v>
      </c>
      <c r="BD6" s="32" t="s">
        <v>19</v>
      </c>
      <c r="BE6" s="32" t="s">
        <v>19</v>
      </c>
      <c r="BF6" s="32" t="s">
        <v>19</v>
      </c>
      <c r="BG6" s="32" t="s">
        <v>19</v>
      </c>
      <c r="BH6" s="32"/>
      <c r="BI6" s="32"/>
      <c r="BJ6" s="32"/>
      <c r="BK6" s="1025"/>
      <c r="BL6" s="4"/>
      <c r="BM6" s="36" t="e">
        <f>#REF!</f>
        <v>#REF!</v>
      </c>
      <c r="BN6" s="36" t="e">
        <f>#REF!</f>
        <v>#REF!</v>
      </c>
      <c r="BO6" s="36" t="e">
        <f>#REF!</f>
        <v>#REF!</v>
      </c>
      <c r="BP6" s="36" t="e">
        <f>#REF!</f>
        <v>#REF!</v>
      </c>
      <c r="BQ6" s="36" t="e">
        <f>#REF!</f>
        <v>#REF!</v>
      </c>
      <c r="BR6" s="36" t="e">
        <f>#REF!</f>
        <v>#REF!</v>
      </c>
      <c r="BS6" s="36" t="e">
        <f>#REF!</f>
        <v>#REF!</v>
      </c>
      <c r="BT6" s="36" t="e">
        <f>#REF!</f>
        <v>#REF!</v>
      </c>
      <c r="BU6" s="36" t="e">
        <f>#REF!</f>
        <v>#REF!</v>
      </c>
      <c r="BV6" s="36"/>
      <c r="BW6" s="37"/>
      <c r="BX6" s="37"/>
      <c r="BY6" s="37"/>
      <c r="BZ6" s="4"/>
      <c r="CA6" s="4"/>
      <c r="CB6" s="987" t="str">
        <f>B45</f>
        <v>memahami teks deskriptif tentang peristiwa alam dan adat istiadat.</v>
      </c>
      <c r="CC6" s="987" t="str">
        <f>B46</f>
        <v>memahami tembang macapat Kinanthi, dan geguritan.</v>
      </c>
      <c r="CD6" s="987" t="str">
        <f>B47</f>
        <v>memahami  wayang (Ramayana), pakaian tradisional, dan gamelan.</v>
      </c>
      <c r="CE6" s="987" t="str">
        <f>B48</f>
        <v>memahami unggah-ungguh basa untuk tanya jawab dan menyampaikan ajakan kepada orang lain.</v>
      </c>
      <c r="CF6" s="987" t="str">
        <f>B49</f>
        <v>memahami kata dan kalimat beraksara Jawa yang mengandung  pasangan.</v>
      </c>
      <c r="CG6" s="987">
        <f>B50</f>
        <v>0</v>
      </c>
      <c r="CH6" s="987">
        <f>B51</f>
        <v>0</v>
      </c>
      <c r="CI6" s="989">
        <f>B52</f>
        <v>0</v>
      </c>
      <c r="CJ6" s="989">
        <f>B53</f>
        <v>0</v>
      </c>
      <c r="CK6" s="989">
        <f>B54</f>
        <v>0</v>
      </c>
      <c r="CL6" s="37"/>
      <c r="CM6" s="978" t="s">
        <v>24</v>
      </c>
      <c r="CN6" s="38"/>
      <c r="CO6" s="1016" t="s">
        <v>21</v>
      </c>
      <c r="CQ6" s="981" t="str">
        <f>CB6</f>
        <v>memahami teks deskriptif tentang peristiwa alam dan adat istiadat.</v>
      </c>
      <c r="CR6" s="981" t="str">
        <f t="shared" ref="CR6:CZ6" si="0">CC6</f>
        <v>memahami tembang macapat Kinanthi, dan geguritan.</v>
      </c>
      <c r="CS6" s="981" t="str">
        <f t="shared" si="0"/>
        <v>memahami  wayang (Ramayana), pakaian tradisional, dan gamelan.</v>
      </c>
      <c r="CT6" s="981" t="str">
        <f t="shared" si="0"/>
        <v>memahami unggah-ungguh basa untuk tanya jawab dan menyampaikan ajakan kepada orang lain.</v>
      </c>
      <c r="CU6" s="981" t="str">
        <f t="shared" si="0"/>
        <v>memahami kata dan kalimat beraksara Jawa yang mengandung  pasangan.</v>
      </c>
      <c r="CV6" s="981">
        <f t="shared" si="0"/>
        <v>0</v>
      </c>
      <c r="CW6" s="981">
        <f t="shared" si="0"/>
        <v>0</v>
      </c>
      <c r="CX6" s="981">
        <f t="shared" si="0"/>
        <v>0</v>
      </c>
      <c r="CY6" s="981">
        <f t="shared" si="0"/>
        <v>0</v>
      </c>
      <c r="CZ6" s="981">
        <f t="shared" si="0"/>
        <v>0</v>
      </c>
      <c r="DA6" s="1012" t="s">
        <v>25</v>
      </c>
      <c r="DB6" s="1013" t="s">
        <v>381</v>
      </c>
      <c r="DC6" s="39"/>
      <c r="DD6" s="1008"/>
      <c r="DI6" s="981" t="str">
        <f t="shared" ref="DI6:DJ6" si="1">"perlu bimbingan dalam "&amp;CT6</f>
        <v>perlu bimbingan dalam memahami unggah-ungguh basa untuk tanya jawab dan menyampaikan ajakan kepada orang lain.</v>
      </c>
      <c r="DJ6" s="981" t="str">
        <f t="shared" si="1"/>
        <v>perlu bimbingan dalam memahami kata dan kalimat beraksara Jawa yang mengandung  pasangan.</v>
      </c>
      <c r="DK6" s="1012" t="s">
        <v>22</v>
      </c>
      <c r="DM6" s="39"/>
      <c r="DN6" s="40" t="s">
        <v>23</v>
      </c>
      <c r="DO6" s="4"/>
    </row>
    <row r="7" spans="1:119" ht="15.95" customHeight="1">
      <c r="A7" s="900"/>
      <c r="B7" s="900"/>
      <c r="C7" s="41" t="str">
        <f>A45</f>
        <v>3.1</v>
      </c>
      <c r="D7" s="41" t="str">
        <f>A46</f>
        <v>3.2</v>
      </c>
      <c r="E7" s="41" t="str">
        <f>A47</f>
        <v>3.3</v>
      </c>
      <c r="F7" s="41" t="str">
        <f>A48</f>
        <v>3.4</v>
      </c>
      <c r="G7" s="41" t="str">
        <f>A49</f>
        <v>3.5</v>
      </c>
      <c r="H7" s="41">
        <f>A50</f>
        <v>0</v>
      </c>
      <c r="I7" s="41">
        <f>A51</f>
        <v>0</v>
      </c>
      <c r="J7" s="41">
        <f>A52</f>
        <v>0</v>
      </c>
      <c r="K7" s="41">
        <f>A53</f>
        <v>0</v>
      </c>
      <c r="L7" s="42" t="str">
        <f t="shared" ref="L7:T7" si="2">C7</f>
        <v>3.1</v>
      </c>
      <c r="M7" s="42" t="str">
        <f t="shared" si="2"/>
        <v>3.2</v>
      </c>
      <c r="N7" s="42" t="str">
        <f t="shared" si="2"/>
        <v>3.3</v>
      </c>
      <c r="O7" s="42" t="str">
        <f t="shared" si="2"/>
        <v>3.4</v>
      </c>
      <c r="P7" s="42" t="str">
        <f t="shared" si="2"/>
        <v>3.5</v>
      </c>
      <c r="Q7" s="42">
        <f t="shared" si="2"/>
        <v>0</v>
      </c>
      <c r="R7" s="42">
        <f t="shared" si="2"/>
        <v>0</v>
      </c>
      <c r="S7" s="42">
        <f t="shared" si="2"/>
        <v>0</v>
      </c>
      <c r="T7" s="42">
        <f t="shared" si="2"/>
        <v>0</v>
      </c>
      <c r="U7" s="43" t="str">
        <f>L7</f>
        <v>3.1</v>
      </c>
      <c r="V7" s="43" t="str">
        <f t="shared" ref="V7:AC7" si="3">M7</f>
        <v>3.2</v>
      </c>
      <c r="W7" s="43" t="str">
        <f t="shared" si="3"/>
        <v>3.3</v>
      </c>
      <c r="X7" s="43" t="str">
        <f t="shared" si="3"/>
        <v>3.4</v>
      </c>
      <c r="Y7" s="43" t="str">
        <f t="shared" si="3"/>
        <v>3.5</v>
      </c>
      <c r="Z7" s="43">
        <f t="shared" si="3"/>
        <v>0</v>
      </c>
      <c r="AA7" s="43">
        <f t="shared" si="3"/>
        <v>0</v>
      </c>
      <c r="AB7" s="43">
        <f t="shared" si="3"/>
        <v>0</v>
      </c>
      <c r="AC7" s="43">
        <f t="shared" si="3"/>
        <v>0</v>
      </c>
      <c r="AD7" s="552" t="str">
        <f>U7</f>
        <v>3.1</v>
      </c>
      <c r="AE7" s="552" t="str">
        <f t="shared" ref="AE7" si="4">V7</f>
        <v>3.2</v>
      </c>
      <c r="AF7" s="552" t="str">
        <f t="shared" ref="AF7" si="5">W7</f>
        <v>3.3</v>
      </c>
      <c r="AG7" s="552" t="str">
        <f t="shared" ref="AG7" si="6">X7</f>
        <v>3.4</v>
      </c>
      <c r="AH7" s="552" t="str">
        <f t="shared" ref="AH7" si="7">Y7</f>
        <v>3.5</v>
      </c>
      <c r="AI7" s="552">
        <f t="shared" ref="AI7" si="8">Z7</f>
        <v>0</v>
      </c>
      <c r="AJ7" s="552">
        <f t="shared" ref="AJ7" si="9">AA7</f>
        <v>0</v>
      </c>
      <c r="AK7" s="552">
        <f t="shared" ref="AK7" si="10">AB7</f>
        <v>0</v>
      </c>
      <c r="AL7" s="552">
        <f t="shared" ref="AL7" si="11">AC7</f>
        <v>0</v>
      </c>
      <c r="AM7" s="552" t="str">
        <f>U7</f>
        <v>3.1</v>
      </c>
      <c r="AN7" s="552" t="str">
        <f t="shared" ref="AN7" si="12">V7</f>
        <v>3.2</v>
      </c>
      <c r="AO7" s="552" t="str">
        <f t="shared" ref="AO7" si="13">W7</f>
        <v>3.3</v>
      </c>
      <c r="AP7" s="552" t="str">
        <f t="shared" ref="AP7" si="14">X7</f>
        <v>3.4</v>
      </c>
      <c r="AQ7" s="552" t="str">
        <f t="shared" ref="AQ7" si="15">Y7</f>
        <v>3.5</v>
      </c>
      <c r="AR7" s="552">
        <f t="shared" ref="AR7" si="16">Z7</f>
        <v>0</v>
      </c>
      <c r="AS7" s="552">
        <f t="shared" ref="AS7" si="17">AA7</f>
        <v>0</v>
      </c>
      <c r="AT7" s="552">
        <f t="shared" ref="AT7" si="18">AB7</f>
        <v>0</v>
      </c>
      <c r="AU7" s="552">
        <f t="shared" ref="AU7" si="19">AC7</f>
        <v>0</v>
      </c>
      <c r="AV7" s="44"/>
      <c r="AW7" s="1020"/>
      <c r="AX7" s="1023"/>
      <c r="AY7" s="281"/>
      <c r="AZ7" s="556"/>
      <c r="BA7" s="43" t="str">
        <f>AM7</f>
        <v>3.1</v>
      </c>
      <c r="BB7" s="43" t="str">
        <f t="shared" ref="BB7:BJ7" si="20">AN7</f>
        <v>3.2</v>
      </c>
      <c r="BC7" s="43" t="str">
        <f t="shared" si="20"/>
        <v>3.3</v>
      </c>
      <c r="BD7" s="43" t="str">
        <f t="shared" si="20"/>
        <v>3.4</v>
      </c>
      <c r="BE7" s="43" t="str">
        <f t="shared" si="20"/>
        <v>3.5</v>
      </c>
      <c r="BF7" s="43">
        <f t="shared" si="20"/>
        <v>0</v>
      </c>
      <c r="BG7" s="43">
        <f t="shared" si="20"/>
        <v>0</v>
      </c>
      <c r="BH7" s="43">
        <f t="shared" si="20"/>
        <v>0</v>
      </c>
      <c r="BI7" s="43">
        <f t="shared" si="20"/>
        <v>0</v>
      </c>
      <c r="BJ7" s="43">
        <f t="shared" si="20"/>
        <v>0</v>
      </c>
      <c r="BK7" s="1026"/>
      <c r="BL7" s="4"/>
      <c r="BM7" s="46" t="str">
        <f>BA7</f>
        <v>3.1</v>
      </c>
      <c r="BN7" s="46" t="str">
        <f t="shared" ref="BN7:BV7" si="21">BB7</f>
        <v>3.2</v>
      </c>
      <c r="BO7" s="46" t="str">
        <f t="shared" si="21"/>
        <v>3.3</v>
      </c>
      <c r="BP7" s="46" t="str">
        <f t="shared" si="21"/>
        <v>3.4</v>
      </c>
      <c r="BQ7" s="46" t="str">
        <f t="shared" si="21"/>
        <v>3.5</v>
      </c>
      <c r="BR7" s="46">
        <f t="shared" si="21"/>
        <v>0</v>
      </c>
      <c r="BS7" s="46">
        <f t="shared" si="21"/>
        <v>0</v>
      </c>
      <c r="BT7" s="46">
        <f t="shared" si="21"/>
        <v>0</v>
      </c>
      <c r="BU7" s="46">
        <f t="shared" si="21"/>
        <v>0</v>
      </c>
      <c r="BV7" s="46">
        <f t="shared" si="21"/>
        <v>0</v>
      </c>
      <c r="BW7" s="47"/>
      <c r="BX7" s="48" t="s">
        <v>24</v>
      </c>
      <c r="BY7" s="48" t="s">
        <v>25</v>
      </c>
      <c r="CA7" s="49"/>
      <c r="CB7" s="988"/>
      <c r="CC7" s="988"/>
      <c r="CD7" s="988"/>
      <c r="CE7" s="988"/>
      <c r="CF7" s="988"/>
      <c r="CG7" s="988"/>
      <c r="CH7" s="988"/>
      <c r="CI7" s="989"/>
      <c r="CJ7" s="989"/>
      <c r="CK7" s="989"/>
      <c r="CL7" s="49"/>
      <c r="CM7" s="1015"/>
      <c r="CN7" s="38"/>
      <c r="CO7" s="1017"/>
      <c r="CQ7" s="981"/>
      <c r="CR7" s="981"/>
      <c r="CS7" s="981"/>
      <c r="CT7" s="981"/>
      <c r="CU7" s="981"/>
      <c r="CV7" s="981"/>
      <c r="CW7" s="981"/>
      <c r="CX7" s="981"/>
      <c r="CY7" s="981"/>
      <c r="CZ7" s="981"/>
      <c r="DA7" s="1012"/>
      <c r="DB7" s="1014"/>
      <c r="DD7" s="1009"/>
      <c r="DI7" s="981"/>
      <c r="DJ7" s="981"/>
      <c r="DK7" s="1012"/>
      <c r="DN7" s="49"/>
      <c r="DO7" s="4"/>
    </row>
    <row r="8" spans="1:119" s="63" customFormat="1" ht="48.75" customHeight="1">
      <c r="A8" s="258">
        <v>1</v>
      </c>
      <c r="B8" s="283" t="str">
        <f>SISWA!B6</f>
        <v>Afif Rafiudin</v>
      </c>
      <c r="C8" s="259">
        <v>80</v>
      </c>
      <c r="D8" s="259">
        <v>80</v>
      </c>
      <c r="E8" s="259">
        <v>75</v>
      </c>
      <c r="F8" s="259">
        <v>80</v>
      </c>
      <c r="G8" s="259"/>
      <c r="H8" s="259"/>
      <c r="I8" s="259"/>
      <c r="J8" s="259"/>
      <c r="K8" s="259"/>
      <c r="L8" s="256">
        <v>75</v>
      </c>
      <c r="M8" s="256">
        <v>80</v>
      </c>
      <c r="N8" s="256">
        <v>78</v>
      </c>
      <c r="O8" s="256">
        <v>75</v>
      </c>
      <c r="P8" s="256"/>
      <c r="Q8" s="256"/>
      <c r="R8" s="256"/>
      <c r="S8" s="256"/>
      <c r="T8" s="256"/>
      <c r="U8" s="260">
        <f>IFERROR(AVERAGE(C8,L8)," ")</f>
        <v>77.5</v>
      </c>
      <c r="V8" s="260">
        <f t="shared" ref="V8:AB8" si="22">IFERROR(AVERAGE(D8,M8)," ")</f>
        <v>80</v>
      </c>
      <c r="W8" s="260">
        <f t="shared" si="22"/>
        <v>76.5</v>
      </c>
      <c r="X8" s="260">
        <f t="shared" si="22"/>
        <v>77.5</v>
      </c>
      <c r="Y8" s="260" t="str">
        <f t="shared" si="22"/>
        <v xml:space="preserve"> </v>
      </c>
      <c r="Z8" s="260" t="str">
        <f t="shared" si="22"/>
        <v xml:space="preserve"> </v>
      </c>
      <c r="AA8" s="260" t="str">
        <f t="shared" si="22"/>
        <v xml:space="preserve"> </v>
      </c>
      <c r="AB8" s="260" t="str">
        <f t="shared" si="22"/>
        <v xml:space="preserve"> </v>
      </c>
      <c r="AC8" s="260" t="str">
        <f>IFERROR(AVERAGE(K8,T8)," ")</f>
        <v xml:space="preserve"> </v>
      </c>
      <c r="AD8" s="547">
        <v>82</v>
      </c>
      <c r="AE8" s="547">
        <v>91</v>
      </c>
      <c r="AF8" s="547"/>
      <c r="AG8" s="547"/>
      <c r="AH8" s="547"/>
      <c r="AI8" s="547"/>
      <c r="AJ8" s="547"/>
      <c r="AK8" s="547"/>
      <c r="AL8" s="547"/>
      <c r="AM8" s="565">
        <v>85</v>
      </c>
      <c r="AN8" s="565">
        <v>75</v>
      </c>
      <c r="AO8" s="565">
        <v>75</v>
      </c>
      <c r="AP8" s="565">
        <v>75</v>
      </c>
      <c r="AQ8" s="565">
        <v>75</v>
      </c>
      <c r="AR8" s="565"/>
      <c r="AS8" s="565"/>
      <c r="AT8" s="565"/>
      <c r="AU8" s="565"/>
      <c r="AV8" s="549">
        <f>IFERROR(BW8," ")</f>
        <v>78</v>
      </c>
      <c r="AW8" s="291" t="str">
        <f>IF(AV8&gt;100,"  ",IF(AV8&gt;=AW$1,"A",IF(AV8&gt;=AW$2,"B",IF(AV8&gt;=AW$3,"C",IF(AV8&gt;=1,"D","")))))</f>
        <v>C</v>
      </c>
      <c r="AX8" s="50" t="str">
        <f>IFERROR(DD8," ")</f>
        <v>Ananda Afif cukup dalam memahami tembang macapat Kinanthi, dan geguritan., cukup dalam memahami kata dan kalimat beraksara Jawa yang mengandung  pasangan.</v>
      </c>
      <c r="AY8" s="282"/>
      <c r="AZ8" s="51"/>
      <c r="BA8" s="46">
        <f>U8</f>
        <v>77.5</v>
      </c>
      <c r="BB8" s="46">
        <f t="shared" ref="BB8:BI8" si="23">V8</f>
        <v>80</v>
      </c>
      <c r="BC8" s="46">
        <f t="shared" si="23"/>
        <v>76.5</v>
      </c>
      <c r="BD8" s="46">
        <f t="shared" si="23"/>
        <v>77.5</v>
      </c>
      <c r="BE8" s="46" t="str">
        <f t="shared" si="23"/>
        <v xml:space="preserve"> </v>
      </c>
      <c r="BF8" s="46" t="str">
        <f t="shared" si="23"/>
        <v xml:space="preserve"> </v>
      </c>
      <c r="BG8" s="46" t="str">
        <f t="shared" si="23"/>
        <v xml:space="preserve"> </v>
      </c>
      <c r="BH8" s="46" t="str">
        <f t="shared" si="23"/>
        <v xml:space="preserve"> </v>
      </c>
      <c r="BI8" s="46" t="str">
        <f t="shared" si="23"/>
        <v xml:space="preserve"> </v>
      </c>
      <c r="BJ8" s="46"/>
      <c r="BK8" s="52" t="e">
        <f>[2]uts!#REF!</f>
        <v>#REF!</v>
      </c>
      <c r="BL8" s="51"/>
      <c r="BM8" s="53">
        <f>IFERROR(AVERAGE(U8,AD8,AM8,BA8),"  ")</f>
        <v>80.5</v>
      </c>
      <c r="BN8" s="53">
        <f t="shared" ref="BN8:BU8" si="24">IFERROR(AVERAGE(V8,AE8,AN8,BB8),"  ")</f>
        <v>81.5</v>
      </c>
      <c r="BO8" s="53">
        <f t="shared" si="24"/>
        <v>76</v>
      </c>
      <c r="BP8" s="53">
        <f t="shared" si="24"/>
        <v>76.666666666666671</v>
      </c>
      <c r="BQ8" s="53">
        <f t="shared" si="24"/>
        <v>75</v>
      </c>
      <c r="BR8" s="53" t="str">
        <f t="shared" si="24"/>
        <v xml:space="preserve">  </v>
      </c>
      <c r="BS8" s="53" t="str">
        <f t="shared" si="24"/>
        <v xml:space="preserve">  </v>
      </c>
      <c r="BT8" s="53" t="str">
        <f t="shared" si="24"/>
        <v xml:space="preserve">  </v>
      </c>
      <c r="BU8" s="53" t="str">
        <f t="shared" si="24"/>
        <v xml:space="preserve">  </v>
      </c>
      <c r="BV8" s="53"/>
      <c r="BW8" s="54">
        <f>IFERROR(ROUND(AVERAGE(BM8:BV8),0)," ")</f>
        <v>78</v>
      </c>
      <c r="BX8" s="55">
        <f>MAX(BM8:BV8)</f>
        <v>81.5</v>
      </c>
      <c r="BY8" s="55">
        <f>MIN(BM8:BV8)</f>
        <v>75</v>
      </c>
      <c r="BZ8" s="51" t="str">
        <f>SISWA!E6</f>
        <v>Afif</v>
      </c>
      <c r="CA8" s="51" t="str">
        <f>IF(CL8&gt;1,"Ananda "&amp;BZ8&amp;" ","")</f>
        <v xml:space="preserve">Ananda Afif </v>
      </c>
      <c r="CB8" s="56" t="str">
        <f>IF(BM8=$BX8,$BX8,"")</f>
        <v/>
      </c>
      <c r="CC8" s="56">
        <f t="shared" ref="CC8:CJ8" si="25">IF(BN8=$BX8,$BX8,"")</f>
        <v>81.5</v>
      </c>
      <c r="CD8" s="56" t="str">
        <f t="shared" si="25"/>
        <v/>
      </c>
      <c r="CE8" s="56" t="str">
        <f t="shared" si="25"/>
        <v/>
      </c>
      <c r="CF8" s="56" t="str">
        <f t="shared" si="25"/>
        <v/>
      </c>
      <c r="CG8" s="56" t="str">
        <f t="shared" si="25"/>
        <v/>
      </c>
      <c r="CH8" s="56" t="str">
        <f t="shared" si="25"/>
        <v/>
      </c>
      <c r="CI8" s="56" t="str">
        <f t="shared" si="25"/>
        <v/>
      </c>
      <c r="CJ8" s="56" t="str">
        <f t="shared" si="25"/>
        <v/>
      </c>
      <c r="CK8" s="57"/>
      <c r="CL8" s="58">
        <f>SUM(CB8:CK8)</f>
        <v>81.5</v>
      </c>
      <c r="CM8" s="55" t="str">
        <f>LOOKUP(BX8,(CB8:CK8),($CB$6:$CK$6))</f>
        <v>memahami tembang macapat Kinanthi, dan geguritan.</v>
      </c>
      <c r="CN8" s="58"/>
      <c r="CO8" s="59" t="str">
        <f>IF(BX8&gt;100,"",IF(BX8&gt;AW$1,"sangat baik dalam "&amp;CM8,IF(BX8&gt;=AW$2,"baik dalam "&amp;CM8,IF(BX8&gt;=AW$3,"cukup dalam "&amp;CM8,IF(BX8&lt;AW$3,"dengan bimbingan dapat meningkatkan dalam "&amp;CM8,IF(BX8&lt;1," ",””))))))</f>
        <v>cukup dalam memahami tembang macapat Kinanthi, dan geguritan.</v>
      </c>
      <c r="CP8" s="58"/>
      <c r="CQ8" s="57" t="str">
        <f>IF(BM8=$BY8,$BY8,"")</f>
        <v/>
      </c>
      <c r="CR8" s="57" t="str">
        <f t="shared" ref="CR8:CY8" si="26">IF(BN8=$BY8,$BY8,"")</f>
        <v/>
      </c>
      <c r="CS8" s="57" t="str">
        <f t="shared" si="26"/>
        <v/>
      </c>
      <c r="CT8" s="57" t="str">
        <f t="shared" si="26"/>
        <v/>
      </c>
      <c r="CU8" s="57">
        <f t="shared" si="26"/>
        <v>75</v>
      </c>
      <c r="CV8" s="57" t="str">
        <f t="shared" si="26"/>
        <v/>
      </c>
      <c r="CW8" s="57" t="str">
        <f t="shared" si="26"/>
        <v/>
      </c>
      <c r="CX8" s="57" t="str">
        <f t="shared" si="26"/>
        <v/>
      </c>
      <c r="CY8" s="57" t="str">
        <f t="shared" si="26"/>
        <v/>
      </c>
      <c r="CZ8" s="57"/>
      <c r="DA8" s="59" t="str">
        <f>LOOKUP(BY8,(CQ8:CZ8),($CQ$6:$CZ$6))</f>
        <v>memahami kata dan kalimat beraksara Jawa yang mengandung  pasangan.</v>
      </c>
      <c r="DB8" s="59" t="str">
        <f>IF(BY8&gt;100,"",IF(BY8&gt;AW$1,"sangat baik dalam "&amp;DA8,IF(BY8&gt;=AW$2,"baik dalam "&amp;DA8,IF(BY8&gt;=AW$3,"cukup dalam "&amp;DA8,IF(BY8&lt;AW$3,"dengan bimbingan dapat meningkatkan  dalam "&amp;DA8,IF(BY8&lt;1," ",””))))))</f>
        <v>cukup dalam memahami kata dan kalimat beraksara Jawa yang mengandung  pasangan.</v>
      </c>
      <c r="DC8" s="61"/>
      <c r="DD8" s="62" t="str">
        <f>CONCATENATE(CA8&amp;CO8&amp;", "&amp;DB8)</f>
        <v>Ananda Afif cukup dalam memahami tembang macapat Kinanthi, dan geguritan., cukup dalam memahami kata dan kalimat beraksara Jawa yang mengandung  pasangan.</v>
      </c>
      <c r="DE8"/>
      <c r="DF8"/>
      <c r="DG8"/>
      <c r="DH8"/>
      <c r="DI8" s="57"/>
      <c r="DJ8" s="57"/>
      <c r="DK8" s="59" t="e">
        <f t="shared" ref="DK8:DK42" si="27">LOOKUP(CI8,(DA8:DJ8),($DA$6:$DJ$6))</f>
        <v>#N/A</v>
      </c>
      <c r="DL8" s="60"/>
      <c r="DM8" s="61"/>
      <c r="DN8" s="62" t="e">
        <f>CONCATENATE(CY8&amp;", "&amp;DK8)</f>
        <v>#N/A</v>
      </c>
      <c r="DO8" s="51"/>
    </row>
    <row r="9" spans="1:119" ht="30">
      <c r="A9" s="39">
        <v>2</v>
      </c>
      <c r="B9" s="283" t="str">
        <f>SISWA!B7</f>
        <v>Ahmad Faiq Athaya</v>
      </c>
      <c r="C9" s="123">
        <v>100</v>
      </c>
      <c r="D9" s="123">
        <v>92</v>
      </c>
      <c r="E9" s="123">
        <v>80</v>
      </c>
      <c r="F9" s="123">
        <v>75</v>
      </c>
      <c r="G9" s="123"/>
      <c r="H9" s="123"/>
      <c r="I9" s="123"/>
      <c r="J9" s="123"/>
      <c r="K9" s="123"/>
      <c r="L9" s="256">
        <v>100</v>
      </c>
      <c r="M9" s="256">
        <v>78</v>
      </c>
      <c r="N9" s="256">
        <v>80</v>
      </c>
      <c r="O9" s="256">
        <v>75</v>
      </c>
      <c r="P9" s="256"/>
      <c r="Q9" s="256"/>
      <c r="R9" s="256"/>
      <c r="S9" s="256"/>
      <c r="T9" s="256"/>
      <c r="U9" s="260">
        <f t="shared" ref="U9:U42" si="28">IFERROR(AVERAGE(C9,L9)," ")</f>
        <v>100</v>
      </c>
      <c r="V9" s="260">
        <f t="shared" ref="V9:V42" si="29">IFERROR(AVERAGE(D9,M9)," ")</f>
        <v>85</v>
      </c>
      <c r="W9" s="260">
        <f t="shared" ref="W9:W42" si="30">IFERROR(AVERAGE(E9,N9)," ")</f>
        <v>80</v>
      </c>
      <c r="X9" s="260">
        <f t="shared" ref="X9:X42" si="31">IFERROR(AVERAGE(F9,O9)," ")</f>
        <v>75</v>
      </c>
      <c r="Y9" s="260" t="str">
        <f t="shared" ref="Y9:Y42" si="32">IFERROR(AVERAGE(G9,P9)," ")</f>
        <v xml:space="preserve"> </v>
      </c>
      <c r="Z9" s="260" t="str">
        <f t="shared" ref="Z9:Z42" si="33">IFERROR(AVERAGE(H9,Q9)," ")</f>
        <v xml:space="preserve"> </v>
      </c>
      <c r="AA9" s="260" t="str">
        <f t="shared" ref="AA9:AA42" si="34">IFERROR(AVERAGE(I9,R9)," ")</f>
        <v xml:space="preserve"> </v>
      </c>
      <c r="AB9" s="260" t="str">
        <f t="shared" ref="AB9:AB42" si="35">IFERROR(AVERAGE(J9,S9)," ")</f>
        <v xml:space="preserve"> </v>
      </c>
      <c r="AC9" s="260" t="str">
        <f t="shared" ref="AC9:AC42" si="36">IFERROR(AVERAGE(K9,T9)," ")</f>
        <v xml:space="preserve"> </v>
      </c>
      <c r="AD9" s="547">
        <v>84</v>
      </c>
      <c r="AE9" s="547">
        <v>87</v>
      </c>
      <c r="AF9" s="547"/>
      <c r="AG9" s="547"/>
      <c r="AH9" s="547"/>
      <c r="AI9" s="547"/>
      <c r="AJ9" s="547"/>
      <c r="AK9" s="547"/>
      <c r="AL9" s="547"/>
      <c r="AM9" s="565">
        <v>80</v>
      </c>
      <c r="AN9" s="565">
        <v>82</v>
      </c>
      <c r="AO9" s="565">
        <v>85</v>
      </c>
      <c r="AP9" s="565">
        <v>78</v>
      </c>
      <c r="AQ9" s="565">
        <v>80</v>
      </c>
      <c r="AR9" s="565"/>
      <c r="AS9" s="565"/>
      <c r="AT9" s="565"/>
      <c r="AU9" s="565"/>
      <c r="AV9" s="549">
        <f t="shared" ref="AV9:AV42" si="37">IFERROR(BW9," ")</f>
        <v>83</v>
      </c>
      <c r="AW9" s="291" t="str">
        <f t="shared" ref="AW9:AW42" si="38">IF(AV9&gt;100,"  ",IF(AV9&gt;=AW$1,"A",IF(AV9&gt;=AW$2,"B",IF(AV9&gt;=AW$3,"C",IF(AV9&gt;=1,"D","")))))</f>
        <v>B</v>
      </c>
      <c r="AX9" s="50" t="str">
        <f t="shared" ref="AX9:AX42" si="39">IFERROR(DD9," ")</f>
        <v>Ananda Athaya baik dalam memahami teks deskriptif tentang peristiwa alam dan adat istiadat., cukup dalam memahami unggah-ungguh basa untuk tanya jawab dan menyampaikan ajakan kepada orang lain.</v>
      </c>
      <c r="AY9" s="282"/>
      <c r="AZ9" s="51"/>
      <c r="BA9" s="46">
        <f t="shared" ref="BA9:BA42" si="40">U9</f>
        <v>100</v>
      </c>
      <c r="BB9" s="46">
        <f t="shared" ref="BB9:BB42" si="41">V9</f>
        <v>85</v>
      </c>
      <c r="BC9" s="46">
        <f t="shared" ref="BC9:BC42" si="42">W9</f>
        <v>80</v>
      </c>
      <c r="BD9" s="46">
        <f t="shared" ref="BD9:BD42" si="43">X9</f>
        <v>75</v>
      </c>
      <c r="BE9" s="46" t="str">
        <f t="shared" ref="BE9:BE42" si="44">Y9</f>
        <v xml:space="preserve"> </v>
      </c>
      <c r="BF9" s="46" t="str">
        <f t="shared" ref="BF9:BF42" si="45">Z9</f>
        <v xml:space="preserve"> </v>
      </c>
      <c r="BG9" s="46" t="str">
        <f t="shared" ref="BG9:BG42" si="46">AA9</f>
        <v xml:space="preserve"> </v>
      </c>
      <c r="BH9" s="46" t="str">
        <f t="shared" ref="BH9:BH42" si="47">AB9</f>
        <v xml:space="preserve"> </v>
      </c>
      <c r="BI9" s="46" t="str">
        <f t="shared" ref="BI9:BI42" si="48">AC9</f>
        <v xml:space="preserve"> </v>
      </c>
      <c r="BJ9" s="46"/>
      <c r="BK9" s="52" t="e">
        <f>[2]uts!#REF!</f>
        <v>#REF!</v>
      </c>
      <c r="BL9" s="51"/>
      <c r="BM9" s="53">
        <f t="shared" ref="BM9:BM42" si="49">IFERROR(AVERAGE(U9,AD9,AM9,BA9),"  ")</f>
        <v>91</v>
      </c>
      <c r="BN9" s="53">
        <f t="shared" ref="BN9:BN42" si="50">IFERROR(AVERAGE(V9,AE9,AN9,BB9),"  ")</f>
        <v>84.75</v>
      </c>
      <c r="BO9" s="53">
        <f t="shared" ref="BO9:BO42" si="51">IFERROR(AVERAGE(W9,AF9,AO9,BC9),"  ")</f>
        <v>81.666666666666671</v>
      </c>
      <c r="BP9" s="53">
        <f t="shared" ref="BP9:BP42" si="52">IFERROR(AVERAGE(X9,AG9,AP9,BD9),"  ")</f>
        <v>76</v>
      </c>
      <c r="BQ9" s="53">
        <f t="shared" ref="BQ9:BQ42" si="53">IFERROR(AVERAGE(Y9,AH9,AQ9,BE9),"  ")</f>
        <v>80</v>
      </c>
      <c r="BR9" s="53" t="str">
        <f t="shared" ref="BR9:BR42" si="54">IFERROR(AVERAGE(Z9,AI9,AR9,BF9),"  ")</f>
        <v xml:space="preserve">  </v>
      </c>
      <c r="BS9" s="53" t="str">
        <f t="shared" ref="BS9:BS42" si="55">IFERROR(AVERAGE(AA9,AJ9,AS9,BG9),"  ")</f>
        <v xml:space="preserve">  </v>
      </c>
      <c r="BT9" s="53" t="str">
        <f t="shared" ref="BT9:BT42" si="56">IFERROR(AVERAGE(AB9,AK9,AT9,BH9),"  ")</f>
        <v xml:space="preserve">  </v>
      </c>
      <c r="BU9" s="53" t="str">
        <f t="shared" ref="BU9:BU42" si="57">IFERROR(AVERAGE(AC9,AL9,AU9,BI9),"  ")</f>
        <v xml:space="preserve">  </v>
      </c>
      <c r="BV9" s="53"/>
      <c r="BW9" s="54">
        <f t="shared" ref="BW9:BW42" si="58">IFERROR(ROUND(AVERAGE(BM9:BV9),0)," ")</f>
        <v>83</v>
      </c>
      <c r="BX9" s="55">
        <f t="shared" ref="BX9:BX42" si="59">MAX(BM9:BV9)</f>
        <v>91</v>
      </c>
      <c r="BY9" s="55">
        <f t="shared" ref="BY9:BY42" si="60">MIN(BM9:BV9)</f>
        <v>76</v>
      </c>
      <c r="BZ9" s="51" t="str">
        <f>SISWA!E7</f>
        <v>Athaya</v>
      </c>
      <c r="CA9" s="51" t="str">
        <f t="shared" ref="CA9:CA42" si="61">IF(CL9&gt;1,"Ananda "&amp;BZ9&amp;" ","")</f>
        <v xml:space="preserve">Ananda Athaya </v>
      </c>
      <c r="CB9" s="56">
        <f t="shared" ref="CB9:CB42" si="62">IF(BM9=$BX9,$BX9,"")</f>
        <v>91</v>
      </c>
      <c r="CC9" s="56" t="str">
        <f t="shared" ref="CC9:CC42" si="63">IF(BN9=$BX9,$BX9,"")</f>
        <v/>
      </c>
      <c r="CD9" s="56" t="str">
        <f t="shared" ref="CD9:CD42" si="64">IF(BO9=$BX9,$BX9,"")</f>
        <v/>
      </c>
      <c r="CE9" s="56" t="str">
        <f t="shared" ref="CE9:CE42" si="65">IF(BP9=$BX9,$BX9,"")</f>
        <v/>
      </c>
      <c r="CF9" s="56" t="str">
        <f t="shared" ref="CF9:CF42" si="66">IF(BQ9=$BX9,$BX9,"")</f>
        <v/>
      </c>
      <c r="CG9" s="56" t="str">
        <f t="shared" ref="CG9:CG42" si="67">IF(BR9=$BX9,$BX9,"")</f>
        <v/>
      </c>
      <c r="CH9" s="56" t="str">
        <f t="shared" ref="CH9:CH42" si="68">IF(BS9=$BX9,$BX9,"")</f>
        <v/>
      </c>
      <c r="CI9" s="56" t="str">
        <f t="shared" ref="CI9:CI42" si="69">IF(BT9=$BX9,$BX9,"")</f>
        <v/>
      </c>
      <c r="CJ9" s="56" t="str">
        <f t="shared" ref="CJ9:CJ42" si="70">IF(BU9=$BX9,$BX9,"")</f>
        <v/>
      </c>
      <c r="CK9" s="57"/>
      <c r="CL9" s="58">
        <f t="shared" ref="CL9:CL42" si="71">SUM(CB9:CK9)</f>
        <v>91</v>
      </c>
      <c r="CM9" s="55" t="str">
        <f t="shared" ref="CM9:CM42" si="72">LOOKUP(BX9,(CB9:CK9),($CB$6:$CK$6))</f>
        <v>memahami teks deskriptif tentang peristiwa alam dan adat istiadat.</v>
      </c>
      <c r="CN9" s="58"/>
      <c r="CO9" s="59" t="str">
        <f>IF(BX9&gt;100,"",IF(BX9&gt;AW$1,"sangat baik dalam "&amp;CM9,IF(BX9&gt;=AW$2,"baik dalam "&amp;CM9,IF(BX9&gt;=AW$3,"cukup dalam "&amp;CM9,IF(BX9&lt;AW$3,"dengan bimbingan dapat meningkatkan dalam "&amp;CM9,IF(BX9&lt;1," ",””))))))</f>
        <v>baik dalam memahami teks deskriptif tentang peristiwa alam dan adat istiadat.</v>
      </c>
      <c r="CP9" s="58"/>
      <c r="CQ9" s="57" t="str">
        <f t="shared" ref="CQ9:CQ42" si="73">IF(BM9=$BY9,$BY9,"")</f>
        <v/>
      </c>
      <c r="CR9" s="57" t="str">
        <f t="shared" ref="CR9:CR42" si="74">IF(BN9=$BY9,$BY9,"")</f>
        <v/>
      </c>
      <c r="CS9" s="57" t="str">
        <f t="shared" ref="CS9:CS42" si="75">IF(BO9=$BY9,$BY9,"")</f>
        <v/>
      </c>
      <c r="CT9" s="57">
        <f t="shared" ref="CT9:CT42" si="76">IF(BP9=$BY9,$BY9,"")</f>
        <v>76</v>
      </c>
      <c r="CU9" s="57" t="str">
        <f t="shared" ref="CU9:CU42" si="77">IF(BQ9=$BY9,$BY9,"")</f>
        <v/>
      </c>
      <c r="CV9" s="57" t="str">
        <f t="shared" ref="CV9:CV42" si="78">IF(BR9=$BY9,$BY9,"")</f>
        <v/>
      </c>
      <c r="CW9" s="57" t="str">
        <f t="shared" ref="CW9:CW42" si="79">IF(BS9=$BY9,$BY9,"")</f>
        <v/>
      </c>
      <c r="CX9" s="57" t="str">
        <f t="shared" ref="CX9:CX42" si="80">IF(BT9=$BY9,$BY9,"")</f>
        <v/>
      </c>
      <c r="CY9" s="57" t="str">
        <f t="shared" ref="CY9:CY42" si="81">IF(BU9=$BY9,$BY9,"")</f>
        <v/>
      </c>
      <c r="CZ9" s="57"/>
      <c r="DA9" s="59" t="str">
        <f t="shared" ref="DA9:DA42" si="82">LOOKUP(BY9,(CQ9:CZ9),($CQ$6:$CZ$6))</f>
        <v>memahami unggah-ungguh basa untuk tanya jawab dan menyampaikan ajakan kepada orang lain.</v>
      </c>
      <c r="DB9" s="59" t="str">
        <f>IF(BY9&gt;100,"",IF(BY9&gt;AW$1,"sangat baik dalam "&amp;DA9,IF(BY9&gt;=AW$2,"baik dalam "&amp;DA9,IF(BY9&gt;=AW$3,"cukup dalam "&amp;DA9,IF(BY9&lt;AW$3,"dengan bimbingan dapat meningkatkan  dalam "&amp;DA9,IF(BY9&lt;1," ",””))))))</f>
        <v>cukup dalam memahami unggah-ungguh basa untuk tanya jawab dan menyampaikan ajakan kepada orang lain.</v>
      </c>
      <c r="DC9" s="61"/>
      <c r="DD9" s="62" t="str">
        <f t="shared" ref="DD9:DD42" si="83">CONCATENATE(CA9&amp;CO9&amp;", "&amp;DB9)</f>
        <v>Ananda Athaya baik dalam memahami teks deskriptif tentang peristiwa alam dan adat istiadat., cukup dalam memahami unggah-ungguh basa untuk tanya jawab dan menyampaikan ajakan kepada orang lain.</v>
      </c>
      <c r="DE9" s="57" t="str">
        <f t="shared" ref="DE9:DE42" si="84">IF(CA9=$CI9,$CI9,"")</f>
        <v/>
      </c>
      <c r="DF9" s="57" t="str">
        <f t="shared" ref="DF9:DF42" si="85">IF(CB9=$CI9,$CI9,"")</f>
        <v/>
      </c>
      <c r="DG9" s="57" t="str">
        <f t="shared" ref="DG9:DG42" si="86">IF(CC9=$CI9,$CI9,"")</f>
        <v/>
      </c>
      <c r="DH9" s="57"/>
      <c r="DI9" s="57"/>
      <c r="DJ9" s="57"/>
      <c r="DK9" s="59">
        <f t="shared" si="27"/>
        <v>0</v>
      </c>
      <c r="DL9" s="60"/>
      <c r="DM9" s="61"/>
      <c r="DN9" s="62" t="str">
        <f t="shared" ref="DN9:DN42" si="87">CONCATENATE(CY9&amp;", "&amp;DK9)</f>
        <v>, 0</v>
      </c>
      <c r="DO9" s="4"/>
    </row>
    <row r="10" spans="1:119" ht="30">
      <c r="A10" s="39">
        <v>3</v>
      </c>
      <c r="B10" s="283" t="str">
        <f>SISWA!B8</f>
        <v>Amira Zerlinda</v>
      </c>
      <c r="C10" s="123">
        <v>90</v>
      </c>
      <c r="D10" s="123">
        <v>75</v>
      </c>
      <c r="E10" s="123">
        <v>80</v>
      </c>
      <c r="F10" s="123">
        <v>75</v>
      </c>
      <c r="G10" s="123"/>
      <c r="H10" s="123"/>
      <c r="I10" s="123"/>
      <c r="J10" s="123"/>
      <c r="K10" s="123"/>
      <c r="L10" s="256">
        <v>100</v>
      </c>
      <c r="M10" s="256">
        <v>78</v>
      </c>
      <c r="N10" s="256">
        <v>75</v>
      </c>
      <c r="O10" s="256">
        <v>80</v>
      </c>
      <c r="P10" s="256"/>
      <c r="Q10" s="256"/>
      <c r="R10" s="256"/>
      <c r="S10" s="256"/>
      <c r="T10" s="256"/>
      <c r="U10" s="260">
        <f t="shared" si="28"/>
        <v>95</v>
      </c>
      <c r="V10" s="260">
        <f t="shared" si="29"/>
        <v>76.5</v>
      </c>
      <c r="W10" s="260">
        <f t="shared" si="30"/>
        <v>77.5</v>
      </c>
      <c r="X10" s="260">
        <f t="shared" si="31"/>
        <v>77.5</v>
      </c>
      <c r="Y10" s="260" t="str">
        <f t="shared" si="32"/>
        <v xml:space="preserve"> </v>
      </c>
      <c r="Z10" s="260" t="str">
        <f t="shared" si="33"/>
        <v xml:space="preserve"> </v>
      </c>
      <c r="AA10" s="260" t="str">
        <f t="shared" si="34"/>
        <v xml:space="preserve"> </v>
      </c>
      <c r="AB10" s="260" t="str">
        <f t="shared" si="35"/>
        <v xml:space="preserve"> </v>
      </c>
      <c r="AC10" s="260" t="str">
        <f t="shared" si="36"/>
        <v xml:space="preserve"> </v>
      </c>
      <c r="AD10" s="547">
        <v>75</v>
      </c>
      <c r="AE10" s="547">
        <v>75</v>
      </c>
      <c r="AF10" s="547"/>
      <c r="AG10" s="547"/>
      <c r="AH10" s="547"/>
      <c r="AI10" s="547"/>
      <c r="AJ10" s="547"/>
      <c r="AK10" s="547"/>
      <c r="AL10" s="547"/>
      <c r="AM10" s="565">
        <v>77</v>
      </c>
      <c r="AN10" s="565">
        <v>75</v>
      </c>
      <c r="AO10" s="565">
        <v>75</v>
      </c>
      <c r="AP10" s="565">
        <v>75</v>
      </c>
      <c r="AQ10" s="565">
        <v>80</v>
      </c>
      <c r="AR10" s="565"/>
      <c r="AS10" s="565"/>
      <c r="AT10" s="565"/>
      <c r="AU10" s="565"/>
      <c r="AV10" s="549">
        <f t="shared" si="37"/>
        <v>79</v>
      </c>
      <c r="AW10" s="291" t="str">
        <f t="shared" si="38"/>
        <v>C</v>
      </c>
      <c r="AX10" s="50" t="str">
        <f t="shared" si="39"/>
        <v>Ananda Amira baik dalam memahami teks deskriptif tentang peristiwa alam dan adat istiadat., cukup dalam memahami tembang macapat Kinanthi, dan geguritan.</v>
      </c>
      <c r="AY10" s="282"/>
      <c r="AZ10" s="51"/>
      <c r="BA10" s="46">
        <f t="shared" si="40"/>
        <v>95</v>
      </c>
      <c r="BB10" s="46">
        <f t="shared" si="41"/>
        <v>76.5</v>
      </c>
      <c r="BC10" s="46">
        <f t="shared" si="42"/>
        <v>77.5</v>
      </c>
      <c r="BD10" s="46">
        <f t="shared" si="43"/>
        <v>77.5</v>
      </c>
      <c r="BE10" s="46" t="str">
        <f t="shared" si="44"/>
        <v xml:space="preserve"> </v>
      </c>
      <c r="BF10" s="46" t="str">
        <f t="shared" si="45"/>
        <v xml:space="preserve"> </v>
      </c>
      <c r="BG10" s="46" t="str">
        <f t="shared" si="46"/>
        <v xml:space="preserve"> </v>
      </c>
      <c r="BH10" s="46" t="str">
        <f t="shared" si="47"/>
        <v xml:space="preserve"> </v>
      </c>
      <c r="BI10" s="46" t="str">
        <f t="shared" si="48"/>
        <v xml:space="preserve"> </v>
      </c>
      <c r="BJ10" s="46"/>
      <c r="BK10" s="52" t="e">
        <f>[2]uts!#REF!</f>
        <v>#REF!</v>
      </c>
      <c r="BL10" s="51"/>
      <c r="BM10" s="53">
        <f t="shared" si="49"/>
        <v>85.5</v>
      </c>
      <c r="BN10" s="53">
        <f t="shared" si="50"/>
        <v>75.75</v>
      </c>
      <c r="BO10" s="53">
        <f t="shared" si="51"/>
        <v>76.666666666666671</v>
      </c>
      <c r="BP10" s="53">
        <f t="shared" si="52"/>
        <v>76.666666666666671</v>
      </c>
      <c r="BQ10" s="53">
        <f t="shared" si="53"/>
        <v>80</v>
      </c>
      <c r="BR10" s="53" t="str">
        <f t="shared" si="54"/>
        <v xml:space="preserve">  </v>
      </c>
      <c r="BS10" s="53" t="str">
        <f t="shared" si="55"/>
        <v xml:space="preserve">  </v>
      </c>
      <c r="BT10" s="53" t="str">
        <f t="shared" si="56"/>
        <v xml:space="preserve">  </v>
      </c>
      <c r="BU10" s="53" t="str">
        <f t="shared" si="57"/>
        <v xml:space="preserve">  </v>
      </c>
      <c r="BV10" s="53"/>
      <c r="BW10" s="54">
        <f t="shared" si="58"/>
        <v>79</v>
      </c>
      <c r="BX10" s="55">
        <f t="shared" si="59"/>
        <v>85.5</v>
      </c>
      <c r="BY10" s="55">
        <f t="shared" si="60"/>
        <v>75.75</v>
      </c>
      <c r="BZ10" s="51" t="str">
        <f>SISWA!E8</f>
        <v>Amira</v>
      </c>
      <c r="CA10" s="51" t="str">
        <f t="shared" si="61"/>
        <v xml:space="preserve">Ananda Amira </v>
      </c>
      <c r="CB10" s="56">
        <f t="shared" si="62"/>
        <v>85.5</v>
      </c>
      <c r="CC10" s="56" t="str">
        <f t="shared" si="63"/>
        <v/>
      </c>
      <c r="CD10" s="56" t="str">
        <f t="shared" si="64"/>
        <v/>
      </c>
      <c r="CE10" s="56" t="str">
        <f t="shared" si="65"/>
        <v/>
      </c>
      <c r="CF10" s="56" t="str">
        <f t="shared" si="66"/>
        <v/>
      </c>
      <c r="CG10" s="56" t="str">
        <f t="shared" si="67"/>
        <v/>
      </c>
      <c r="CH10" s="56" t="str">
        <f t="shared" si="68"/>
        <v/>
      </c>
      <c r="CI10" s="56" t="str">
        <f t="shared" si="69"/>
        <v/>
      </c>
      <c r="CJ10" s="56" t="str">
        <f t="shared" si="70"/>
        <v/>
      </c>
      <c r="CK10" s="57"/>
      <c r="CL10" s="58">
        <f t="shared" si="71"/>
        <v>85.5</v>
      </c>
      <c r="CM10" s="55" t="str">
        <f t="shared" si="72"/>
        <v>memahami teks deskriptif tentang peristiwa alam dan adat istiadat.</v>
      </c>
      <c r="CN10" s="58"/>
      <c r="CO10" s="59" t="str">
        <f>IF(BX10&gt;100,"",IF(BX10&gt;AW$1,"sangat baik dalam "&amp;CM10,IF(BX10&gt;=AW$2,"baik dalam "&amp;CM10,IF(BX10&gt;=AW$3,"cukup dalam "&amp;CM10,IF(BX10&lt;AW$3,"dengan bimbingan dapat meningkatkan dalam "&amp;CM10,IF(BX10&lt;1," ",””))))))</f>
        <v>baik dalam memahami teks deskriptif tentang peristiwa alam dan adat istiadat.</v>
      </c>
      <c r="CP10" s="58"/>
      <c r="CQ10" s="57" t="str">
        <f t="shared" si="73"/>
        <v/>
      </c>
      <c r="CR10" s="57">
        <f t="shared" si="74"/>
        <v>75.75</v>
      </c>
      <c r="CS10" s="57" t="str">
        <f t="shared" si="75"/>
        <v/>
      </c>
      <c r="CT10" s="57" t="str">
        <f t="shared" si="76"/>
        <v/>
      </c>
      <c r="CU10" s="57" t="str">
        <f t="shared" si="77"/>
        <v/>
      </c>
      <c r="CV10" s="57" t="str">
        <f t="shared" si="78"/>
        <v/>
      </c>
      <c r="CW10" s="57" t="str">
        <f t="shared" si="79"/>
        <v/>
      </c>
      <c r="CX10" s="57" t="str">
        <f t="shared" si="80"/>
        <v/>
      </c>
      <c r="CY10" s="57" t="str">
        <f t="shared" si="81"/>
        <v/>
      </c>
      <c r="CZ10" s="57"/>
      <c r="DA10" s="59" t="str">
        <f t="shared" si="82"/>
        <v>memahami tembang macapat Kinanthi, dan geguritan.</v>
      </c>
      <c r="DB10" s="59" t="str">
        <f>IF(BY10&gt;100,"",IF(BY10&gt;AW$1,"sangat baik dalam "&amp;DA10,IF(BY10&gt;=AW$2,"baik dalam "&amp;DA10,IF(BY10&gt;=AW$3,"cukup dalam "&amp;DA10,IF(BY10&lt;AW$3,"dengan bimbingan dapat meningkatkan  dalam "&amp;DA10,IF(BY10&lt;1," ",””))))))</f>
        <v>cukup dalam memahami tembang macapat Kinanthi, dan geguritan.</v>
      </c>
      <c r="DC10" s="61"/>
      <c r="DD10" s="62" t="str">
        <f t="shared" si="83"/>
        <v>Ananda Amira baik dalam memahami teks deskriptif tentang peristiwa alam dan adat istiadat., cukup dalam memahami tembang macapat Kinanthi, dan geguritan.</v>
      </c>
      <c r="DE10" s="57" t="str">
        <f t="shared" si="84"/>
        <v/>
      </c>
      <c r="DF10" s="57" t="str">
        <f t="shared" si="85"/>
        <v/>
      </c>
      <c r="DG10" s="57" t="str">
        <f t="shared" si="86"/>
        <v/>
      </c>
      <c r="DH10" s="57"/>
      <c r="DI10" s="57"/>
      <c r="DJ10" s="57"/>
      <c r="DK10" s="59">
        <f t="shared" si="27"/>
        <v>0</v>
      </c>
      <c r="DL10" s="60"/>
      <c r="DM10" s="61"/>
      <c r="DN10" s="62" t="str">
        <f t="shared" si="87"/>
        <v>, 0</v>
      </c>
      <c r="DO10" s="4"/>
    </row>
    <row r="11" spans="1:119" ht="30">
      <c r="A11" s="39">
        <v>4</v>
      </c>
      <c r="B11" s="283" t="str">
        <f>SISWA!B9</f>
        <v>Andrian Putra Pangestu</v>
      </c>
      <c r="C11" s="123">
        <v>80</v>
      </c>
      <c r="D11" s="123">
        <v>75</v>
      </c>
      <c r="E11" s="123">
        <v>75</v>
      </c>
      <c r="F11" s="123">
        <v>80</v>
      </c>
      <c r="G11" s="123"/>
      <c r="H11" s="123"/>
      <c r="I11" s="123"/>
      <c r="J11" s="123"/>
      <c r="K11" s="123"/>
      <c r="L11" s="256">
        <v>80</v>
      </c>
      <c r="M11" s="256">
        <v>78</v>
      </c>
      <c r="N11" s="256">
        <v>75</v>
      </c>
      <c r="O11" s="256">
        <v>80</v>
      </c>
      <c r="P11" s="256"/>
      <c r="Q11" s="256"/>
      <c r="R11" s="256"/>
      <c r="S11" s="256"/>
      <c r="T11" s="256"/>
      <c r="U11" s="260">
        <f t="shared" si="28"/>
        <v>80</v>
      </c>
      <c r="V11" s="260">
        <f t="shared" si="29"/>
        <v>76.5</v>
      </c>
      <c r="W11" s="260">
        <f t="shared" si="30"/>
        <v>75</v>
      </c>
      <c r="X11" s="260">
        <f t="shared" si="31"/>
        <v>80</v>
      </c>
      <c r="Y11" s="260" t="str">
        <f t="shared" si="32"/>
        <v xml:space="preserve"> </v>
      </c>
      <c r="Z11" s="260" t="str">
        <f t="shared" si="33"/>
        <v xml:space="preserve"> </v>
      </c>
      <c r="AA11" s="260" t="str">
        <f t="shared" si="34"/>
        <v xml:space="preserve"> </v>
      </c>
      <c r="AB11" s="260" t="str">
        <f t="shared" si="35"/>
        <v xml:space="preserve"> </v>
      </c>
      <c r="AC11" s="260" t="str">
        <f t="shared" si="36"/>
        <v xml:space="preserve"> </v>
      </c>
      <c r="AD11" s="547">
        <v>75</v>
      </c>
      <c r="AE11" s="547">
        <v>75</v>
      </c>
      <c r="AF11" s="547"/>
      <c r="AG11" s="547"/>
      <c r="AH11" s="547"/>
      <c r="AI11" s="547"/>
      <c r="AJ11" s="547"/>
      <c r="AK11" s="547"/>
      <c r="AL11" s="547"/>
      <c r="AM11" s="565">
        <v>77</v>
      </c>
      <c r="AN11" s="565">
        <v>75</v>
      </c>
      <c r="AO11" s="565">
        <v>75</v>
      </c>
      <c r="AP11" s="565">
        <v>75</v>
      </c>
      <c r="AQ11" s="565">
        <v>78</v>
      </c>
      <c r="AR11" s="565"/>
      <c r="AS11" s="565"/>
      <c r="AT11" s="565"/>
      <c r="AU11" s="565"/>
      <c r="AV11" s="549">
        <f t="shared" si="37"/>
        <v>77</v>
      </c>
      <c r="AW11" s="291" t="str">
        <f t="shared" si="38"/>
        <v>C</v>
      </c>
      <c r="AX11" s="50" t="str">
        <f t="shared" si="39"/>
        <v>Ananda Andri cukup dalam memahami unggah-ungguh basa untuk tanya jawab dan menyampaikan ajakan kepada orang lain., cukup dalam memahami  wayang (Ramayana), pakaian tradisional, dan gamelan.</v>
      </c>
      <c r="AY11" s="282"/>
      <c r="AZ11" s="51"/>
      <c r="BA11" s="46">
        <f t="shared" si="40"/>
        <v>80</v>
      </c>
      <c r="BB11" s="46">
        <f t="shared" si="41"/>
        <v>76.5</v>
      </c>
      <c r="BC11" s="46">
        <f t="shared" si="42"/>
        <v>75</v>
      </c>
      <c r="BD11" s="46">
        <f t="shared" si="43"/>
        <v>80</v>
      </c>
      <c r="BE11" s="46" t="str">
        <f t="shared" si="44"/>
        <v xml:space="preserve"> </v>
      </c>
      <c r="BF11" s="46" t="str">
        <f t="shared" si="45"/>
        <v xml:space="preserve"> </v>
      </c>
      <c r="BG11" s="46" t="str">
        <f t="shared" si="46"/>
        <v xml:space="preserve"> </v>
      </c>
      <c r="BH11" s="46" t="str">
        <f t="shared" si="47"/>
        <v xml:space="preserve"> </v>
      </c>
      <c r="BI11" s="46" t="str">
        <f t="shared" si="48"/>
        <v xml:space="preserve"> </v>
      </c>
      <c r="BJ11" s="46"/>
      <c r="BK11" s="52" t="e">
        <f>[2]uts!#REF!</f>
        <v>#REF!</v>
      </c>
      <c r="BL11" s="51"/>
      <c r="BM11" s="53">
        <f t="shared" si="49"/>
        <v>78</v>
      </c>
      <c r="BN11" s="53">
        <f t="shared" si="50"/>
        <v>75.75</v>
      </c>
      <c r="BO11" s="53">
        <f t="shared" si="51"/>
        <v>75</v>
      </c>
      <c r="BP11" s="53">
        <f t="shared" si="52"/>
        <v>78.333333333333329</v>
      </c>
      <c r="BQ11" s="53">
        <f t="shared" si="53"/>
        <v>78</v>
      </c>
      <c r="BR11" s="53" t="str">
        <f t="shared" si="54"/>
        <v xml:space="preserve">  </v>
      </c>
      <c r="BS11" s="53" t="str">
        <f t="shared" si="55"/>
        <v xml:space="preserve">  </v>
      </c>
      <c r="BT11" s="53" t="str">
        <f t="shared" si="56"/>
        <v xml:space="preserve">  </v>
      </c>
      <c r="BU11" s="53" t="str">
        <f t="shared" si="57"/>
        <v xml:space="preserve">  </v>
      </c>
      <c r="BV11" s="53"/>
      <c r="BW11" s="54">
        <f t="shared" si="58"/>
        <v>77</v>
      </c>
      <c r="BX11" s="55">
        <f t="shared" si="59"/>
        <v>78.333333333333329</v>
      </c>
      <c r="BY11" s="55">
        <f t="shared" si="60"/>
        <v>75</v>
      </c>
      <c r="BZ11" s="51" t="str">
        <f>SISWA!E9</f>
        <v>Andri</v>
      </c>
      <c r="CA11" s="51" t="str">
        <f t="shared" si="61"/>
        <v xml:space="preserve">Ananda Andri </v>
      </c>
      <c r="CB11" s="56" t="str">
        <f t="shared" si="62"/>
        <v/>
      </c>
      <c r="CC11" s="56" t="str">
        <f t="shared" si="63"/>
        <v/>
      </c>
      <c r="CD11" s="56" t="str">
        <f t="shared" si="64"/>
        <v/>
      </c>
      <c r="CE11" s="56">
        <f t="shared" si="65"/>
        <v>78.333333333333329</v>
      </c>
      <c r="CF11" s="56" t="str">
        <f t="shared" si="66"/>
        <v/>
      </c>
      <c r="CG11" s="56" t="str">
        <f t="shared" si="67"/>
        <v/>
      </c>
      <c r="CH11" s="56" t="str">
        <f t="shared" si="68"/>
        <v/>
      </c>
      <c r="CI11" s="56" t="str">
        <f t="shared" si="69"/>
        <v/>
      </c>
      <c r="CJ11" s="56" t="str">
        <f t="shared" si="70"/>
        <v/>
      </c>
      <c r="CK11" s="57"/>
      <c r="CL11" s="58">
        <f t="shared" si="71"/>
        <v>78.333333333333329</v>
      </c>
      <c r="CM11" s="55" t="str">
        <f t="shared" si="72"/>
        <v>memahami unggah-ungguh basa untuk tanya jawab dan menyampaikan ajakan kepada orang lain.</v>
      </c>
      <c r="CN11" s="58"/>
      <c r="CO11" s="59" t="str">
        <f>IF(BX11&gt;100,"",IF(BX11&gt;AW$1,"sangat baik dalam "&amp;CM11,IF(BX11&gt;=AW$2,"baik dalam "&amp;CM11,IF(BX11&gt;=AW$3,"cukup dalam "&amp;CM11,IF(BX11&lt;AW$3,"dengan bimbingan dapat meningkatkan dalam "&amp;CM11,IF(BX11&lt;1," ",””))))))</f>
        <v>cukup dalam memahami unggah-ungguh basa untuk tanya jawab dan menyampaikan ajakan kepada orang lain.</v>
      </c>
      <c r="CP11" s="58"/>
      <c r="CQ11" s="57" t="str">
        <f t="shared" si="73"/>
        <v/>
      </c>
      <c r="CR11" s="57" t="str">
        <f t="shared" si="74"/>
        <v/>
      </c>
      <c r="CS11" s="57">
        <f t="shared" si="75"/>
        <v>75</v>
      </c>
      <c r="CT11" s="57" t="str">
        <f t="shared" si="76"/>
        <v/>
      </c>
      <c r="CU11" s="57" t="str">
        <f t="shared" si="77"/>
        <v/>
      </c>
      <c r="CV11" s="57" t="str">
        <f t="shared" si="78"/>
        <v/>
      </c>
      <c r="CW11" s="57" t="str">
        <f t="shared" si="79"/>
        <v/>
      </c>
      <c r="CX11" s="57" t="str">
        <f t="shared" si="80"/>
        <v/>
      </c>
      <c r="CY11" s="57" t="str">
        <f t="shared" si="81"/>
        <v/>
      </c>
      <c r="CZ11" s="57"/>
      <c r="DA11" s="59" t="str">
        <f t="shared" si="82"/>
        <v>memahami  wayang (Ramayana), pakaian tradisional, dan gamelan.</v>
      </c>
      <c r="DB11" s="59" t="str">
        <f>IF(BY11&gt;100,"",IF(BY11&gt;AW$1,"sangat baik dalam "&amp;DA11,IF(BY11&gt;=AW$2,"baik dalam "&amp;DA11,IF(BY11&gt;=AW$3,"cukup dalam "&amp;DA11,IF(BY11&lt;AW$3,"dengan bimbingan dapat meningkatkan  dalam "&amp;DA11,IF(BY11&lt;1," ",””))))))</f>
        <v>cukup dalam memahami  wayang (Ramayana), pakaian tradisional, dan gamelan.</v>
      </c>
      <c r="DC11" s="61"/>
      <c r="DD11" s="62" t="str">
        <f t="shared" si="83"/>
        <v>Ananda Andri cukup dalam memahami unggah-ungguh basa untuk tanya jawab dan menyampaikan ajakan kepada orang lain., cukup dalam memahami  wayang (Ramayana), pakaian tradisional, dan gamelan.</v>
      </c>
      <c r="DE11" s="57" t="str">
        <f t="shared" si="84"/>
        <v/>
      </c>
      <c r="DF11" s="57" t="str">
        <f t="shared" si="85"/>
        <v/>
      </c>
      <c r="DG11" s="57" t="str">
        <f t="shared" si="86"/>
        <v/>
      </c>
      <c r="DH11" s="57"/>
      <c r="DI11" s="57"/>
      <c r="DJ11" s="57"/>
      <c r="DK11" s="59">
        <f t="shared" si="27"/>
        <v>0</v>
      </c>
      <c r="DL11" s="60"/>
      <c r="DM11" s="61"/>
      <c r="DN11" s="62" t="str">
        <f t="shared" si="87"/>
        <v>, 0</v>
      </c>
      <c r="DO11" s="4"/>
    </row>
    <row r="12" spans="1:119" ht="30">
      <c r="A12" s="39">
        <v>5</v>
      </c>
      <c r="B12" s="283" t="str">
        <f>SISWA!B10</f>
        <v>Gresiya Suma Safitri</v>
      </c>
      <c r="C12" s="123">
        <v>80</v>
      </c>
      <c r="D12" s="123">
        <v>82</v>
      </c>
      <c r="E12" s="123">
        <v>75</v>
      </c>
      <c r="F12" s="123">
        <v>80</v>
      </c>
      <c r="G12" s="123"/>
      <c r="H12" s="123"/>
      <c r="I12" s="123"/>
      <c r="J12" s="123"/>
      <c r="K12" s="123"/>
      <c r="L12" s="256">
        <v>100</v>
      </c>
      <c r="M12" s="256">
        <v>78</v>
      </c>
      <c r="N12" s="256">
        <v>80</v>
      </c>
      <c r="O12" s="256">
        <v>75</v>
      </c>
      <c r="P12" s="256"/>
      <c r="Q12" s="256"/>
      <c r="R12" s="256"/>
      <c r="S12" s="256"/>
      <c r="T12" s="256"/>
      <c r="U12" s="260">
        <f t="shared" si="28"/>
        <v>90</v>
      </c>
      <c r="V12" s="260">
        <f t="shared" si="29"/>
        <v>80</v>
      </c>
      <c r="W12" s="260">
        <f t="shared" si="30"/>
        <v>77.5</v>
      </c>
      <c r="X12" s="260">
        <f t="shared" si="31"/>
        <v>77.5</v>
      </c>
      <c r="Y12" s="260" t="str">
        <f t="shared" si="32"/>
        <v xml:space="preserve"> </v>
      </c>
      <c r="Z12" s="260" t="str">
        <f t="shared" si="33"/>
        <v xml:space="preserve"> </v>
      </c>
      <c r="AA12" s="260" t="str">
        <f t="shared" si="34"/>
        <v xml:space="preserve"> </v>
      </c>
      <c r="AB12" s="260" t="str">
        <f t="shared" si="35"/>
        <v xml:space="preserve"> </v>
      </c>
      <c r="AC12" s="260" t="str">
        <f t="shared" si="36"/>
        <v xml:space="preserve"> </v>
      </c>
      <c r="AD12" s="547">
        <v>75</v>
      </c>
      <c r="AE12" s="547">
        <v>75</v>
      </c>
      <c r="AF12" s="547"/>
      <c r="AG12" s="547"/>
      <c r="AH12" s="547"/>
      <c r="AI12" s="547"/>
      <c r="AJ12" s="547"/>
      <c r="AK12" s="547"/>
      <c r="AL12" s="547"/>
      <c r="AM12" s="565">
        <v>75</v>
      </c>
      <c r="AN12" s="565">
        <v>75</v>
      </c>
      <c r="AO12" s="565">
        <v>75</v>
      </c>
      <c r="AP12" s="565">
        <v>75</v>
      </c>
      <c r="AQ12" s="565">
        <v>75</v>
      </c>
      <c r="AR12" s="565"/>
      <c r="AS12" s="565"/>
      <c r="AT12" s="565"/>
      <c r="AU12" s="565"/>
      <c r="AV12" s="549">
        <f t="shared" si="37"/>
        <v>78</v>
      </c>
      <c r="AW12" s="291" t="str">
        <f t="shared" si="38"/>
        <v>C</v>
      </c>
      <c r="AX12" s="50" t="str">
        <f t="shared" si="39"/>
        <v>Ananda Gresia cukup dalam memahami teks deskriptif tentang peristiwa alam dan adat istiadat., cukup dalam memahami kata dan kalimat beraksara Jawa yang mengandung  pasangan.</v>
      </c>
      <c r="AY12" s="282"/>
      <c r="AZ12" s="51"/>
      <c r="BA12" s="46">
        <f t="shared" si="40"/>
        <v>90</v>
      </c>
      <c r="BB12" s="46">
        <f t="shared" si="41"/>
        <v>80</v>
      </c>
      <c r="BC12" s="46">
        <f t="shared" si="42"/>
        <v>77.5</v>
      </c>
      <c r="BD12" s="46">
        <f t="shared" si="43"/>
        <v>77.5</v>
      </c>
      <c r="BE12" s="46" t="str">
        <f t="shared" si="44"/>
        <v xml:space="preserve"> </v>
      </c>
      <c r="BF12" s="46" t="str">
        <f t="shared" si="45"/>
        <v xml:space="preserve"> </v>
      </c>
      <c r="BG12" s="46" t="str">
        <f t="shared" si="46"/>
        <v xml:space="preserve"> </v>
      </c>
      <c r="BH12" s="46" t="str">
        <f t="shared" si="47"/>
        <v xml:space="preserve"> </v>
      </c>
      <c r="BI12" s="46" t="str">
        <f t="shared" si="48"/>
        <v xml:space="preserve"> </v>
      </c>
      <c r="BJ12" s="46"/>
      <c r="BK12" s="52" t="e">
        <f>[2]uts!#REF!</f>
        <v>#REF!</v>
      </c>
      <c r="BL12" s="51"/>
      <c r="BM12" s="53">
        <f t="shared" si="49"/>
        <v>82.5</v>
      </c>
      <c r="BN12" s="53">
        <f t="shared" si="50"/>
        <v>77.5</v>
      </c>
      <c r="BO12" s="53">
        <f t="shared" si="51"/>
        <v>76.666666666666671</v>
      </c>
      <c r="BP12" s="53">
        <f t="shared" si="52"/>
        <v>76.666666666666671</v>
      </c>
      <c r="BQ12" s="53">
        <f t="shared" si="53"/>
        <v>75</v>
      </c>
      <c r="BR12" s="53" t="str">
        <f t="shared" si="54"/>
        <v xml:space="preserve">  </v>
      </c>
      <c r="BS12" s="53" t="str">
        <f t="shared" si="55"/>
        <v xml:space="preserve">  </v>
      </c>
      <c r="BT12" s="53" t="str">
        <f t="shared" si="56"/>
        <v xml:space="preserve">  </v>
      </c>
      <c r="BU12" s="53" t="str">
        <f t="shared" si="57"/>
        <v xml:space="preserve">  </v>
      </c>
      <c r="BV12" s="53"/>
      <c r="BW12" s="54">
        <f t="shared" si="58"/>
        <v>78</v>
      </c>
      <c r="BX12" s="55">
        <f t="shared" si="59"/>
        <v>82.5</v>
      </c>
      <c r="BY12" s="55">
        <f t="shared" si="60"/>
        <v>75</v>
      </c>
      <c r="BZ12" s="51" t="str">
        <f>SISWA!E10</f>
        <v>Gresia</v>
      </c>
      <c r="CA12" s="51" t="str">
        <f t="shared" si="61"/>
        <v xml:space="preserve">Ananda Gresia </v>
      </c>
      <c r="CB12" s="56">
        <f t="shared" si="62"/>
        <v>82.5</v>
      </c>
      <c r="CC12" s="56" t="str">
        <f t="shared" si="63"/>
        <v/>
      </c>
      <c r="CD12" s="56" t="str">
        <f t="shared" si="64"/>
        <v/>
      </c>
      <c r="CE12" s="56" t="str">
        <f t="shared" si="65"/>
        <v/>
      </c>
      <c r="CF12" s="56" t="str">
        <f t="shared" si="66"/>
        <v/>
      </c>
      <c r="CG12" s="56" t="str">
        <f t="shared" si="67"/>
        <v/>
      </c>
      <c r="CH12" s="56" t="str">
        <f t="shared" si="68"/>
        <v/>
      </c>
      <c r="CI12" s="56" t="str">
        <f t="shared" si="69"/>
        <v/>
      </c>
      <c r="CJ12" s="56" t="str">
        <f t="shared" si="70"/>
        <v/>
      </c>
      <c r="CK12" s="57"/>
      <c r="CL12" s="58">
        <f t="shared" si="71"/>
        <v>82.5</v>
      </c>
      <c r="CM12" s="55" t="str">
        <f t="shared" si="72"/>
        <v>memahami teks deskriptif tentang peristiwa alam dan adat istiadat.</v>
      </c>
      <c r="CN12" s="58"/>
      <c r="CO12" s="59" t="str">
        <f>IF(BX12&gt;100,"",IF(BX12&gt;AW$1,"sangat baik dalam "&amp;CM12,IF(BX12&gt;=AW$2,"baik dalam "&amp;CM12,IF(BX12&gt;=AW$3,"cukup dalam "&amp;CM12,IF(BX12&lt;AW$3,"dengan bimbingan dapat meningkatkan dalam "&amp;CM12,IF(BX12&lt;1," ",””))))))</f>
        <v>cukup dalam memahami teks deskriptif tentang peristiwa alam dan adat istiadat.</v>
      </c>
      <c r="CP12" s="58"/>
      <c r="CQ12" s="57" t="str">
        <f t="shared" si="73"/>
        <v/>
      </c>
      <c r="CR12" s="57" t="str">
        <f t="shared" si="74"/>
        <v/>
      </c>
      <c r="CS12" s="57" t="str">
        <f t="shared" si="75"/>
        <v/>
      </c>
      <c r="CT12" s="57" t="str">
        <f t="shared" si="76"/>
        <v/>
      </c>
      <c r="CU12" s="57">
        <f t="shared" si="77"/>
        <v>75</v>
      </c>
      <c r="CV12" s="57" t="str">
        <f t="shared" si="78"/>
        <v/>
      </c>
      <c r="CW12" s="57" t="str">
        <f t="shared" si="79"/>
        <v/>
      </c>
      <c r="CX12" s="57" t="str">
        <f t="shared" si="80"/>
        <v/>
      </c>
      <c r="CY12" s="57" t="str">
        <f t="shared" si="81"/>
        <v/>
      </c>
      <c r="CZ12" s="57"/>
      <c r="DA12" s="59" t="str">
        <f t="shared" si="82"/>
        <v>memahami kata dan kalimat beraksara Jawa yang mengandung  pasangan.</v>
      </c>
      <c r="DB12" s="59" t="str">
        <f>IF(BY12&gt;100,"",IF(BY12&gt;AW$1,"sangat baik dalam "&amp;DA12,IF(BY12&gt;=AW$2,"baik dalam "&amp;DA12,IF(BY12&gt;=AW$3,"cukup dalam "&amp;DA12,IF(BY12&lt;AW$3,"dengan bimbingan dapat meningkatkan  dalam "&amp;DA12,IF(BY12&lt;1," ",””))))))</f>
        <v>cukup dalam memahami kata dan kalimat beraksara Jawa yang mengandung  pasangan.</v>
      </c>
      <c r="DC12" s="61"/>
      <c r="DD12" s="62" t="str">
        <f t="shared" si="83"/>
        <v>Ananda Gresia cukup dalam memahami teks deskriptif tentang peristiwa alam dan adat istiadat., cukup dalam memahami kata dan kalimat beraksara Jawa yang mengandung  pasangan.</v>
      </c>
      <c r="DE12" s="57" t="str">
        <f t="shared" si="84"/>
        <v/>
      </c>
      <c r="DF12" s="57" t="str">
        <f t="shared" si="85"/>
        <v/>
      </c>
      <c r="DG12" s="57" t="str">
        <f t="shared" si="86"/>
        <v/>
      </c>
      <c r="DH12" s="57"/>
      <c r="DI12" s="57"/>
      <c r="DJ12" s="57"/>
      <c r="DK12" s="59">
        <f t="shared" si="27"/>
        <v>0</v>
      </c>
      <c r="DL12" s="60"/>
      <c r="DM12" s="61"/>
      <c r="DN12" s="62" t="str">
        <f t="shared" si="87"/>
        <v>, 0</v>
      </c>
      <c r="DO12" s="4" t="str">
        <f t="shared" ref="DO12:DO27" si="88">CONCATENATE(IF(BW12&gt;100,"  ",IF(BW12&gt;95,"Sangat pandai "&amp;$B$45,IF(BW12&gt;87,"Pandai "&amp;$B$45,IF(BW12&gt;79,"Cukup pandai "&amp;$B$45,IF(BW12&gt;71,"Menguasai dengan baik "&amp;$B$45,IF(BW12&gt;62,"Perlu banyak latihan "&amp;$B$45,IF(BW12&gt;0,"Perlu bimbingan "&amp;$B$45,IF(BW12="","")))))))),IF(BX12&gt;100,"  ",IF(BX12&gt;95," Sangat pandai "&amp;$B$46,IF(BX12&gt;87," Pandai "&amp;$B$46,IF(BX12&gt;79," Cukup pandai "&amp;$B$46,IF(BX12&gt;71," Menguasai dengan baik "&amp;$B$46,IF(BX12&gt;62," Perlu banyak latihan "&amp;$B$46,IF(BX12&gt;0," Perlu bimbingan "&amp;$B$46,IF(BX12="","")))))))),IF(BY12&gt;100,"  ",IF(BY12&gt;95," Sangat pandai "&amp;$B$47,IF(BY12&gt;87," Pandai "&amp;$B$47,IF(BY12&gt;79," cukup pandai "&amp;$B$47,IF(BY12&gt;71," Menguasai dengan baik "&amp;$B$47,IF(BY12&gt;62," Perlu banyak latihan "&amp;$B$47,IF(BY12&gt;0," Perlu bimbingan "&amp;$B$47,IF(BY12="","")))))))),IF(BZ12&gt;100,"  ",IF(BZ12&gt;95," Sangat pandai "&amp;$B$48,IF(BZ12&gt;87," Pandai "&amp;$B$48,IF(BZ12&gt;79," Cukup pandai "&amp;$B$48,IF(BZ12&gt;71," Menguasai dengan baik "&amp;$B$48,IF(BZ12&gt;62," Perlu banyak latihan "&amp;$B$48,IF(BZ12&gt;0," Perlu bimbingan "&amp;$B$48,IF(BZ12="","")))))))),IF(CA12&gt;100,"  ",IF(CA12&gt;95," Sangat pandai "&amp;$B$49,IF(CA12&gt;87," Pandai "&amp;$B$49,IF(CA12&gt;79," Cukup pandai "&amp;$B$49,IF(CA12&gt;71," Menguasai dengan baik "&amp;$B$49,IF(CA12&gt;62," Perlu banyak latihan "&amp;$B$49,IF(CA12&gt;0," Perlu bimbingan "&amp;$B$49,IF(CA12="","")))))))),IF(CB12&gt;100,"  ",IF(CB12&gt;95," Sangat pandai "&amp;$B$50,IF(CB12&gt;87," Pandai "&amp;$B$50,IF(CB12&gt;79," Cukup pandai "&amp;$B$50,IF(CB12&gt;71," Menguasai dengan baik "&amp;$B$50,IF(CB12&gt;62," Perlu banyak latihan "&amp;$B$50,IF(CB12&gt;0," Perlu bimbingan "&amp;$B$50,IF(CB12="","")))))))),IF(CC12&gt;100,"  ",IF(CC12&gt;95," Sangat pandai "&amp;$B$51,IF(CC12&gt;87," Pandai "&amp;$B$51,IF(CC12&gt;79," Cukup pandai "&amp;$B$51,IF(CC12&gt;71," Menguasai dengan baik "&amp;$B$51,IF(CC12&gt;62," Perlu banyak latihan "&amp;$B$51,IF(CC12&gt;0," Perlu bimbingan "&amp;$B$51,IF(CC12="","")))))))))</f>
        <v xml:space="preserve">Menguasai dengan baik memahami teks deskriptif tentang peristiwa alam dan adat istiadat. Cukup pandai memahami tembang macapat Kinanthi, dan geguritan. Menguasai dengan baik memahami  wayang (Ramayana), pakaian tradisional, dan gamelan.     Cukup pandai   </v>
      </c>
    </row>
    <row r="13" spans="1:119" ht="30">
      <c r="A13" s="39">
        <v>6</v>
      </c>
      <c r="B13" s="283" t="str">
        <f>SISWA!B11</f>
        <v>Hasna Fathitya Sabrina</v>
      </c>
      <c r="C13" s="123">
        <v>80</v>
      </c>
      <c r="D13" s="123">
        <v>75</v>
      </c>
      <c r="E13" s="123">
        <v>80</v>
      </c>
      <c r="F13" s="123">
        <v>75</v>
      </c>
      <c r="G13" s="123"/>
      <c r="H13" s="123"/>
      <c r="I13" s="123"/>
      <c r="J13" s="123"/>
      <c r="K13" s="123"/>
      <c r="L13" s="256">
        <v>100</v>
      </c>
      <c r="M13" s="256">
        <v>80</v>
      </c>
      <c r="N13" s="256">
        <v>75</v>
      </c>
      <c r="O13" s="256">
        <v>78</v>
      </c>
      <c r="P13" s="256"/>
      <c r="Q13" s="256"/>
      <c r="R13" s="256"/>
      <c r="S13" s="256"/>
      <c r="T13" s="256"/>
      <c r="U13" s="260">
        <f t="shared" si="28"/>
        <v>90</v>
      </c>
      <c r="V13" s="260">
        <f t="shared" si="29"/>
        <v>77.5</v>
      </c>
      <c r="W13" s="260">
        <f t="shared" si="30"/>
        <v>77.5</v>
      </c>
      <c r="X13" s="260">
        <f t="shared" si="31"/>
        <v>76.5</v>
      </c>
      <c r="Y13" s="260" t="str">
        <f t="shared" si="32"/>
        <v xml:space="preserve"> </v>
      </c>
      <c r="Z13" s="260" t="str">
        <f t="shared" si="33"/>
        <v xml:space="preserve"> </v>
      </c>
      <c r="AA13" s="260" t="str">
        <f t="shared" si="34"/>
        <v xml:space="preserve"> </v>
      </c>
      <c r="AB13" s="260" t="str">
        <f t="shared" si="35"/>
        <v xml:space="preserve"> </v>
      </c>
      <c r="AC13" s="260" t="str">
        <f t="shared" si="36"/>
        <v xml:space="preserve"> </v>
      </c>
      <c r="AD13" s="547">
        <v>75</v>
      </c>
      <c r="AE13" s="547">
        <v>75</v>
      </c>
      <c r="AF13" s="547"/>
      <c r="AG13" s="547"/>
      <c r="AH13" s="547"/>
      <c r="AI13" s="547"/>
      <c r="AJ13" s="547"/>
      <c r="AK13" s="547"/>
      <c r="AL13" s="547"/>
      <c r="AM13" s="565">
        <v>77</v>
      </c>
      <c r="AN13" s="565">
        <v>75</v>
      </c>
      <c r="AO13" s="565">
        <v>75</v>
      </c>
      <c r="AP13" s="565">
        <v>76</v>
      </c>
      <c r="AQ13" s="565">
        <v>75</v>
      </c>
      <c r="AR13" s="565"/>
      <c r="AS13" s="565"/>
      <c r="AT13" s="565"/>
      <c r="AU13" s="565"/>
      <c r="AV13" s="549">
        <f t="shared" si="37"/>
        <v>77</v>
      </c>
      <c r="AW13" s="291" t="str">
        <f t="shared" si="38"/>
        <v>C</v>
      </c>
      <c r="AX13" s="50" t="str">
        <f t="shared" si="39"/>
        <v>Ananda Hasna baik dalam memahami teks deskriptif tentang peristiwa alam dan adat istiadat., cukup dalam memahami kata dan kalimat beraksara Jawa yang mengandung  pasangan.</v>
      </c>
      <c r="AY13" s="282"/>
      <c r="AZ13" s="51"/>
      <c r="BA13" s="46">
        <f t="shared" si="40"/>
        <v>90</v>
      </c>
      <c r="BB13" s="46">
        <f t="shared" si="41"/>
        <v>77.5</v>
      </c>
      <c r="BC13" s="46">
        <f t="shared" si="42"/>
        <v>77.5</v>
      </c>
      <c r="BD13" s="46">
        <f t="shared" si="43"/>
        <v>76.5</v>
      </c>
      <c r="BE13" s="46" t="str">
        <f t="shared" si="44"/>
        <v xml:space="preserve"> </v>
      </c>
      <c r="BF13" s="46" t="str">
        <f t="shared" si="45"/>
        <v xml:space="preserve"> </v>
      </c>
      <c r="BG13" s="46" t="str">
        <f t="shared" si="46"/>
        <v xml:space="preserve"> </v>
      </c>
      <c r="BH13" s="46" t="str">
        <f t="shared" si="47"/>
        <v xml:space="preserve"> </v>
      </c>
      <c r="BI13" s="46" t="str">
        <f t="shared" si="48"/>
        <v xml:space="preserve"> </v>
      </c>
      <c r="BJ13" s="46"/>
      <c r="BK13" s="52" t="e">
        <f>[2]uts!#REF!</f>
        <v>#REF!</v>
      </c>
      <c r="BL13" s="51"/>
      <c r="BM13" s="53">
        <f t="shared" si="49"/>
        <v>83</v>
      </c>
      <c r="BN13" s="53">
        <f t="shared" si="50"/>
        <v>76.25</v>
      </c>
      <c r="BO13" s="53">
        <f t="shared" si="51"/>
        <v>76.666666666666671</v>
      </c>
      <c r="BP13" s="53">
        <f t="shared" si="52"/>
        <v>76.333333333333329</v>
      </c>
      <c r="BQ13" s="53">
        <f t="shared" si="53"/>
        <v>75</v>
      </c>
      <c r="BR13" s="53" t="str">
        <f t="shared" si="54"/>
        <v xml:space="preserve">  </v>
      </c>
      <c r="BS13" s="53" t="str">
        <f t="shared" si="55"/>
        <v xml:space="preserve">  </v>
      </c>
      <c r="BT13" s="53" t="str">
        <f t="shared" si="56"/>
        <v xml:space="preserve">  </v>
      </c>
      <c r="BU13" s="53" t="str">
        <f t="shared" si="57"/>
        <v xml:space="preserve">  </v>
      </c>
      <c r="BV13" s="53"/>
      <c r="BW13" s="54">
        <f t="shared" si="58"/>
        <v>77</v>
      </c>
      <c r="BX13" s="55">
        <f t="shared" si="59"/>
        <v>83</v>
      </c>
      <c r="BY13" s="55">
        <f t="shared" si="60"/>
        <v>75</v>
      </c>
      <c r="BZ13" s="51" t="str">
        <f>SISWA!E11</f>
        <v>Hasna</v>
      </c>
      <c r="CA13" s="51" t="str">
        <f t="shared" si="61"/>
        <v xml:space="preserve">Ananda Hasna </v>
      </c>
      <c r="CB13" s="56">
        <f t="shared" si="62"/>
        <v>83</v>
      </c>
      <c r="CC13" s="56" t="str">
        <f t="shared" si="63"/>
        <v/>
      </c>
      <c r="CD13" s="56" t="str">
        <f t="shared" si="64"/>
        <v/>
      </c>
      <c r="CE13" s="56" t="str">
        <f t="shared" si="65"/>
        <v/>
      </c>
      <c r="CF13" s="56" t="str">
        <f t="shared" si="66"/>
        <v/>
      </c>
      <c r="CG13" s="56" t="str">
        <f t="shared" si="67"/>
        <v/>
      </c>
      <c r="CH13" s="56" t="str">
        <f t="shared" si="68"/>
        <v/>
      </c>
      <c r="CI13" s="56" t="str">
        <f t="shared" si="69"/>
        <v/>
      </c>
      <c r="CJ13" s="56" t="str">
        <f t="shared" si="70"/>
        <v/>
      </c>
      <c r="CK13" s="57"/>
      <c r="CL13" s="58">
        <f t="shared" si="71"/>
        <v>83</v>
      </c>
      <c r="CM13" s="55" t="str">
        <f t="shared" si="72"/>
        <v>memahami teks deskriptif tentang peristiwa alam dan adat istiadat.</v>
      </c>
      <c r="CN13" s="58"/>
      <c r="CO13" s="59" t="str">
        <f>IF(BX13&gt;100,"",IF(BX13&gt;AW$1,"sangat baik dalam "&amp;CM13,IF(BX13&gt;=AW$2,"baik dalam "&amp;CM13,IF(BX13&gt;=AW$3,"cukup dalam "&amp;CM13,IF(BX13&lt;AW$3,"dengan bimbingan dapat meningkatkan dalam "&amp;CM13,IF(BX13&lt;1," ",””))))))</f>
        <v>baik dalam memahami teks deskriptif tentang peristiwa alam dan adat istiadat.</v>
      </c>
      <c r="CP13" s="58"/>
      <c r="CQ13" s="57" t="str">
        <f t="shared" si="73"/>
        <v/>
      </c>
      <c r="CR13" s="57" t="str">
        <f t="shared" si="74"/>
        <v/>
      </c>
      <c r="CS13" s="57" t="str">
        <f t="shared" si="75"/>
        <v/>
      </c>
      <c r="CT13" s="57" t="str">
        <f t="shared" si="76"/>
        <v/>
      </c>
      <c r="CU13" s="57">
        <f t="shared" si="77"/>
        <v>75</v>
      </c>
      <c r="CV13" s="57" t="str">
        <f t="shared" si="78"/>
        <v/>
      </c>
      <c r="CW13" s="57" t="str">
        <f t="shared" si="79"/>
        <v/>
      </c>
      <c r="CX13" s="57" t="str">
        <f t="shared" si="80"/>
        <v/>
      </c>
      <c r="CY13" s="57" t="str">
        <f t="shared" si="81"/>
        <v/>
      </c>
      <c r="CZ13" s="57"/>
      <c r="DA13" s="59" t="str">
        <f t="shared" si="82"/>
        <v>memahami kata dan kalimat beraksara Jawa yang mengandung  pasangan.</v>
      </c>
      <c r="DB13" s="59" t="str">
        <f>IF(BY13&gt;100,"",IF(BY13&gt;AW$1,"sangat baik dalam "&amp;DA13,IF(BY13&gt;=AW$2,"baik dalam "&amp;DA13,IF(BY13&gt;=AW$3,"cukup dalam "&amp;DA13,IF(BY13&lt;AW$3,"dengan bimbingan dapat meningkatkan  dalam "&amp;DA13,IF(BY13&lt;1," ",””))))))</f>
        <v>cukup dalam memahami kata dan kalimat beraksara Jawa yang mengandung  pasangan.</v>
      </c>
      <c r="DC13" s="61"/>
      <c r="DD13" s="62" t="str">
        <f t="shared" si="83"/>
        <v>Ananda Hasna baik dalam memahami teks deskriptif tentang peristiwa alam dan adat istiadat., cukup dalam memahami kata dan kalimat beraksara Jawa yang mengandung  pasangan.</v>
      </c>
      <c r="DE13" s="57" t="str">
        <f t="shared" si="84"/>
        <v/>
      </c>
      <c r="DF13" s="57" t="str">
        <f t="shared" si="85"/>
        <v/>
      </c>
      <c r="DG13" s="57" t="str">
        <f t="shared" si="86"/>
        <v/>
      </c>
      <c r="DH13" s="57"/>
      <c r="DI13" s="57"/>
      <c r="DJ13" s="57"/>
      <c r="DK13" s="59">
        <f t="shared" si="27"/>
        <v>0</v>
      </c>
      <c r="DL13" s="60"/>
      <c r="DM13" s="61"/>
      <c r="DN13" s="62" t="str">
        <f t="shared" si="87"/>
        <v>, 0</v>
      </c>
      <c r="DO13" s="4" t="str">
        <f t="shared" si="88"/>
        <v xml:space="preserve">Menguasai dengan baik memahami teks deskriptif tentang peristiwa alam dan adat istiadat. Cukup pandai memahami tembang macapat Kinanthi, dan geguritan. Menguasai dengan baik memahami  wayang (Ramayana), pakaian tradisional, dan gamelan.     Cukup pandai   </v>
      </c>
    </row>
    <row r="14" spans="1:119" ht="30">
      <c r="A14" s="39">
        <v>7</v>
      </c>
      <c r="B14" s="283" t="str">
        <f>SISWA!B12</f>
        <v>Indah Fitria Ningrum</v>
      </c>
      <c r="C14" s="123">
        <v>90</v>
      </c>
      <c r="D14" s="123">
        <v>90</v>
      </c>
      <c r="E14" s="123">
        <v>80</v>
      </c>
      <c r="F14" s="123">
        <v>75</v>
      </c>
      <c r="G14" s="123"/>
      <c r="H14" s="123"/>
      <c r="I14" s="123"/>
      <c r="J14" s="123"/>
      <c r="K14" s="123"/>
      <c r="L14" s="256">
        <v>100</v>
      </c>
      <c r="M14" s="256">
        <v>80</v>
      </c>
      <c r="N14" s="256">
        <v>78</v>
      </c>
      <c r="O14" s="256">
        <v>75</v>
      </c>
      <c r="P14" s="256"/>
      <c r="Q14" s="256"/>
      <c r="R14" s="256"/>
      <c r="S14" s="256"/>
      <c r="T14" s="256"/>
      <c r="U14" s="260">
        <f t="shared" si="28"/>
        <v>95</v>
      </c>
      <c r="V14" s="260">
        <f t="shared" si="29"/>
        <v>85</v>
      </c>
      <c r="W14" s="260">
        <f t="shared" si="30"/>
        <v>79</v>
      </c>
      <c r="X14" s="260">
        <f t="shared" si="31"/>
        <v>75</v>
      </c>
      <c r="Y14" s="260" t="str">
        <f t="shared" si="32"/>
        <v xml:space="preserve"> </v>
      </c>
      <c r="Z14" s="260" t="str">
        <f t="shared" si="33"/>
        <v xml:space="preserve"> </v>
      </c>
      <c r="AA14" s="260" t="str">
        <f t="shared" si="34"/>
        <v xml:space="preserve"> </v>
      </c>
      <c r="AB14" s="260" t="str">
        <f t="shared" si="35"/>
        <v xml:space="preserve"> </v>
      </c>
      <c r="AC14" s="260" t="str">
        <f t="shared" si="36"/>
        <v xml:space="preserve"> </v>
      </c>
      <c r="AD14" s="547">
        <v>75</v>
      </c>
      <c r="AE14" s="547">
        <v>82</v>
      </c>
      <c r="AF14" s="547"/>
      <c r="AG14" s="547"/>
      <c r="AH14" s="547"/>
      <c r="AI14" s="547"/>
      <c r="AJ14" s="547"/>
      <c r="AK14" s="547"/>
      <c r="AL14" s="547"/>
      <c r="AM14" s="565">
        <v>92</v>
      </c>
      <c r="AN14" s="565">
        <v>80</v>
      </c>
      <c r="AO14" s="565">
        <v>75</v>
      </c>
      <c r="AP14" s="565">
        <v>75</v>
      </c>
      <c r="AQ14" s="565">
        <v>87</v>
      </c>
      <c r="AR14" s="565"/>
      <c r="AS14" s="565"/>
      <c r="AT14" s="565"/>
      <c r="AU14" s="565"/>
      <c r="AV14" s="549">
        <f t="shared" si="37"/>
        <v>82</v>
      </c>
      <c r="AW14" s="291" t="str">
        <f t="shared" si="38"/>
        <v>C</v>
      </c>
      <c r="AX14" s="50" t="str">
        <f t="shared" si="39"/>
        <v>Ananda Indah baik dalam memahami teks deskriptif tentang peristiwa alam dan adat istiadat., cukup dalam memahami unggah-ungguh basa untuk tanya jawab dan menyampaikan ajakan kepada orang lain.</v>
      </c>
      <c r="AY14" s="282"/>
      <c r="AZ14" s="51"/>
      <c r="BA14" s="46">
        <f t="shared" si="40"/>
        <v>95</v>
      </c>
      <c r="BB14" s="46">
        <f t="shared" si="41"/>
        <v>85</v>
      </c>
      <c r="BC14" s="46">
        <f t="shared" si="42"/>
        <v>79</v>
      </c>
      <c r="BD14" s="46">
        <f t="shared" si="43"/>
        <v>75</v>
      </c>
      <c r="BE14" s="46" t="str">
        <f t="shared" si="44"/>
        <v xml:space="preserve"> </v>
      </c>
      <c r="BF14" s="46" t="str">
        <f t="shared" si="45"/>
        <v xml:space="preserve"> </v>
      </c>
      <c r="BG14" s="46" t="str">
        <f t="shared" si="46"/>
        <v xml:space="preserve"> </v>
      </c>
      <c r="BH14" s="46" t="str">
        <f t="shared" si="47"/>
        <v xml:space="preserve"> </v>
      </c>
      <c r="BI14" s="46" t="str">
        <f t="shared" si="48"/>
        <v xml:space="preserve"> </v>
      </c>
      <c r="BJ14" s="46"/>
      <c r="BK14" s="52" t="e">
        <f>[2]uts!#REF!</f>
        <v>#REF!</v>
      </c>
      <c r="BL14" s="51"/>
      <c r="BM14" s="53">
        <f t="shared" si="49"/>
        <v>89.25</v>
      </c>
      <c r="BN14" s="53">
        <f t="shared" si="50"/>
        <v>83</v>
      </c>
      <c r="BO14" s="53">
        <f t="shared" si="51"/>
        <v>77.666666666666671</v>
      </c>
      <c r="BP14" s="53">
        <f t="shared" si="52"/>
        <v>75</v>
      </c>
      <c r="BQ14" s="53">
        <f t="shared" si="53"/>
        <v>87</v>
      </c>
      <c r="BR14" s="53" t="str">
        <f t="shared" si="54"/>
        <v xml:space="preserve">  </v>
      </c>
      <c r="BS14" s="53" t="str">
        <f t="shared" si="55"/>
        <v xml:space="preserve">  </v>
      </c>
      <c r="BT14" s="53" t="str">
        <f t="shared" si="56"/>
        <v xml:space="preserve">  </v>
      </c>
      <c r="BU14" s="53" t="str">
        <f t="shared" si="57"/>
        <v xml:space="preserve">  </v>
      </c>
      <c r="BV14" s="53"/>
      <c r="BW14" s="54">
        <f t="shared" si="58"/>
        <v>82</v>
      </c>
      <c r="BX14" s="55">
        <f t="shared" si="59"/>
        <v>89.25</v>
      </c>
      <c r="BY14" s="55">
        <f t="shared" si="60"/>
        <v>75</v>
      </c>
      <c r="BZ14" s="51" t="str">
        <f>SISWA!E12</f>
        <v>Indah</v>
      </c>
      <c r="CA14" s="51" t="str">
        <f t="shared" si="61"/>
        <v xml:space="preserve">Ananda Indah </v>
      </c>
      <c r="CB14" s="56">
        <f t="shared" si="62"/>
        <v>89.25</v>
      </c>
      <c r="CC14" s="56" t="str">
        <f t="shared" si="63"/>
        <v/>
      </c>
      <c r="CD14" s="56" t="str">
        <f t="shared" si="64"/>
        <v/>
      </c>
      <c r="CE14" s="56" t="str">
        <f t="shared" si="65"/>
        <v/>
      </c>
      <c r="CF14" s="56" t="str">
        <f t="shared" si="66"/>
        <v/>
      </c>
      <c r="CG14" s="56" t="str">
        <f t="shared" si="67"/>
        <v/>
      </c>
      <c r="CH14" s="56" t="str">
        <f t="shared" si="68"/>
        <v/>
      </c>
      <c r="CI14" s="56" t="str">
        <f t="shared" si="69"/>
        <v/>
      </c>
      <c r="CJ14" s="56" t="str">
        <f t="shared" si="70"/>
        <v/>
      </c>
      <c r="CK14" s="57"/>
      <c r="CL14" s="58">
        <f t="shared" si="71"/>
        <v>89.25</v>
      </c>
      <c r="CM14" s="55" t="str">
        <f t="shared" si="72"/>
        <v>memahami teks deskriptif tentang peristiwa alam dan adat istiadat.</v>
      </c>
      <c r="CN14" s="58"/>
      <c r="CO14" s="59" t="str">
        <f>IF(BX14&gt;100,"",IF(BX14&gt;AW$1,"sangat baik dalam "&amp;CM14,IF(BX14&gt;=AW$2,"baik dalam "&amp;CM14,IF(BX14&gt;=AW$3,"cukup dalam "&amp;CM14,IF(BX14&lt;AW$3,"dengan bimbingan dapat meningkatkan dalam "&amp;CM14,IF(BX14&lt;1," ",””))))))</f>
        <v>baik dalam memahami teks deskriptif tentang peristiwa alam dan adat istiadat.</v>
      </c>
      <c r="CP14" s="58"/>
      <c r="CQ14" s="57" t="str">
        <f t="shared" si="73"/>
        <v/>
      </c>
      <c r="CR14" s="57" t="str">
        <f t="shared" si="74"/>
        <v/>
      </c>
      <c r="CS14" s="57" t="str">
        <f t="shared" si="75"/>
        <v/>
      </c>
      <c r="CT14" s="57">
        <f t="shared" si="76"/>
        <v>75</v>
      </c>
      <c r="CU14" s="57" t="str">
        <f t="shared" si="77"/>
        <v/>
      </c>
      <c r="CV14" s="57" t="str">
        <f t="shared" si="78"/>
        <v/>
      </c>
      <c r="CW14" s="57" t="str">
        <f t="shared" si="79"/>
        <v/>
      </c>
      <c r="CX14" s="57" t="str">
        <f t="shared" si="80"/>
        <v/>
      </c>
      <c r="CY14" s="57" t="str">
        <f t="shared" si="81"/>
        <v/>
      </c>
      <c r="CZ14" s="57"/>
      <c r="DA14" s="59" t="str">
        <f t="shared" si="82"/>
        <v>memahami unggah-ungguh basa untuk tanya jawab dan menyampaikan ajakan kepada orang lain.</v>
      </c>
      <c r="DB14" s="59" t="str">
        <f>IF(BY14&gt;100,"",IF(BY14&gt;AW$1,"sangat baik dalam "&amp;DA14,IF(BY14&gt;=AW$2,"baik dalam "&amp;DA14,IF(BY14&gt;=AW$3,"cukup dalam "&amp;DA14,IF(BY14&lt;AW$3,"dengan bimbingan dapat meningkatkan  dalam "&amp;DA14,IF(BY14&lt;1," ",””))))))</f>
        <v>cukup dalam memahami unggah-ungguh basa untuk tanya jawab dan menyampaikan ajakan kepada orang lain.</v>
      </c>
      <c r="DC14" s="61"/>
      <c r="DD14" s="62" t="str">
        <f t="shared" si="83"/>
        <v>Ananda Indah baik dalam memahami teks deskriptif tentang peristiwa alam dan adat istiadat., cukup dalam memahami unggah-ungguh basa untuk tanya jawab dan menyampaikan ajakan kepada orang lain.</v>
      </c>
      <c r="DE14" s="57" t="str">
        <f t="shared" si="84"/>
        <v/>
      </c>
      <c r="DF14" s="57" t="str">
        <f t="shared" si="85"/>
        <v/>
      </c>
      <c r="DG14" s="57" t="str">
        <f t="shared" si="86"/>
        <v/>
      </c>
      <c r="DH14" s="57"/>
      <c r="DI14" s="57"/>
      <c r="DJ14" s="57"/>
      <c r="DK14" s="59">
        <f t="shared" si="27"/>
        <v>0</v>
      </c>
      <c r="DL14" s="60"/>
      <c r="DM14" s="61"/>
      <c r="DN14" s="62" t="str">
        <f t="shared" si="87"/>
        <v>, 0</v>
      </c>
      <c r="DO14" s="4" t="str">
        <f t="shared" si="88"/>
        <v xml:space="preserve">Cukup pandai memahami teks deskriptif tentang peristiwa alam dan adat istiadat. Pandai memahami tembang macapat Kinanthi, dan geguritan. Menguasai dengan baik memahami  wayang (Ramayana), pakaian tradisional, dan gamelan.     Pandai   </v>
      </c>
    </row>
    <row r="15" spans="1:119" ht="30">
      <c r="A15" s="39">
        <v>8</v>
      </c>
      <c r="B15" s="283" t="str">
        <f>SISWA!B13</f>
        <v>Muhammad Ilham Sarifuddin</v>
      </c>
      <c r="C15" s="123">
        <v>80</v>
      </c>
      <c r="D15" s="123">
        <v>80</v>
      </c>
      <c r="E15" s="123">
        <v>75</v>
      </c>
      <c r="F15" s="123">
        <v>80</v>
      </c>
      <c r="G15" s="123"/>
      <c r="H15" s="123"/>
      <c r="I15" s="123"/>
      <c r="J15" s="123"/>
      <c r="K15" s="123"/>
      <c r="L15" s="256">
        <v>75</v>
      </c>
      <c r="M15" s="256">
        <v>78</v>
      </c>
      <c r="N15" s="256">
        <v>80</v>
      </c>
      <c r="O15" s="256">
        <v>75</v>
      </c>
      <c r="P15" s="256"/>
      <c r="Q15" s="256"/>
      <c r="R15" s="256"/>
      <c r="S15" s="256"/>
      <c r="T15" s="256"/>
      <c r="U15" s="260">
        <f t="shared" si="28"/>
        <v>77.5</v>
      </c>
      <c r="V15" s="260">
        <f t="shared" si="29"/>
        <v>79</v>
      </c>
      <c r="W15" s="260">
        <f t="shared" si="30"/>
        <v>77.5</v>
      </c>
      <c r="X15" s="260">
        <f t="shared" si="31"/>
        <v>77.5</v>
      </c>
      <c r="Y15" s="260" t="str">
        <f t="shared" si="32"/>
        <v xml:space="preserve"> </v>
      </c>
      <c r="Z15" s="260" t="str">
        <f t="shared" si="33"/>
        <v xml:space="preserve"> </v>
      </c>
      <c r="AA15" s="260" t="str">
        <f t="shared" si="34"/>
        <v xml:space="preserve"> </v>
      </c>
      <c r="AB15" s="260" t="str">
        <f t="shared" si="35"/>
        <v xml:space="preserve"> </v>
      </c>
      <c r="AC15" s="260" t="str">
        <f t="shared" si="36"/>
        <v xml:space="preserve"> </v>
      </c>
      <c r="AD15" s="547">
        <v>75</v>
      </c>
      <c r="AE15" s="547">
        <v>78</v>
      </c>
      <c r="AF15" s="547"/>
      <c r="AG15" s="547"/>
      <c r="AH15" s="547"/>
      <c r="AI15" s="547"/>
      <c r="AJ15" s="547"/>
      <c r="AK15" s="547"/>
      <c r="AL15" s="547"/>
      <c r="AM15" s="565">
        <v>85</v>
      </c>
      <c r="AN15" s="565">
        <v>76</v>
      </c>
      <c r="AO15" s="565">
        <v>75</v>
      </c>
      <c r="AP15" s="565">
        <v>75</v>
      </c>
      <c r="AQ15" s="565">
        <v>78</v>
      </c>
      <c r="AR15" s="565"/>
      <c r="AS15" s="565"/>
      <c r="AT15" s="565"/>
      <c r="AU15" s="565"/>
      <c r="AV15" s="549">
        <f t="shared" si="37"/>
        <v>78</v>
      </c>
      <c r="AW15" s="291" t="str">
        <f t="shared" si="38"/>
        <v>C</v>
      </c>
      <c r="AX15" s="50" t="str">
        <f t="shared" si="39"/>
        <v>Ananda Ilham cukup dalam memahami teks deskriptif tentang peristiwa alam dan adat istiadat., cukup dalam memahami unggah-ungguh basa untuk tanya jawab dan menyampaikan ajakan kepada orang lain.</v>
      </c>
      <c r="AY15" s="282"/>
      <c r="AZ15" s="51"/>
      <c r="BA15" s="46">
        <f t="shared" si="40"/>
        <v>77.5</v>
      </c>
      <c r="BB15" s="46">
        <f t="shared" si="41"/>
        <v>79</v>
      </c>
      <c r="BC15" s="46">
        <f t="shared" si="42"/>
        <v>77.5</v>
      </c>
      <c r="BD15" s="46">
        <f t="shared" si="43"/>
        <v>77.5</v>
      </c>
      <c r="BE15" s="46" t="str">
        <f t="shared" si="44"/>
        <v xml:space="preserve"> </v>
      </c>
      <c r="BF15" s="46" t="str">
        <f t="shared" si="45"/>
        <v xml:space="preserve"> </v>
      </c>
      <c r="BG15" s="46" t="str">
        <f t="shared" si="46"/>
        <v xml:space="preserve"> </v>
      </c>
      <c r="BH15" s="46" t="str">
        <f t="shared" si="47"/>
        <v xml:space="preserve"> </v>
      </c>
      <c r="BI15" s="46" t="str">
        <f t="shared" si="48"/>
        <v xml:space="preserve"> </v>
      </c>
      <c r="BJ15" s="46"/>
      <c r="BK15" s="52" t="e">
        <f>[2]uts!#REF!</f>
        <v>#REF!</v>
      </c>
      <c r="BL15" s="51"/>
      <c r="BM15" s="53">
        <f t="shared" si="49"/>
        <v>78.75</v>
      </c>
      <c r="BN15" s="53">
        <f t="shared" si="50"/>
        <v>78</v>
      </c>
      <c r="BO15" s="53">
        <f t="shared" si="51"/>
        <v>76.666666666666671</v>
      </c>
      <c r="BP15" s="53">
        <f t="shared" si="52"/>
        <v>76.666666666666671</v>
      </c>
      <c r="BQ15" s="53">
        <f t="shared" si="53"/>
        <v>78</v>
      </c>
      <c r="BR15" s="53" t="str">
        <f t="shared" si="54"/>
        <v xml:space="preserve">  </v>
      </c>
      <c r="BS15" s="53" t="str">
        <f t="shared" si="55"/>
        <v xml:space="preserve">  </v>
      </c>
      <c r="BT15" s="53" t="str">
        <f t="shared" si="56"/>
        <v xml:space="preserve">  </v>
      </c>
      <c r="BU15" s="53" t="str">
        <f t="shared" si="57"/>
        <v xml:space="preserve">  </v>
      </c>
      <c r="BV15" s="53"/>
      <c r="BW15" s="54">
        <f t="shared" si="58"/>
        <v>78</v>
      </c>
      <c r="BX15" s="55">
        <f t="shared" si="59"/>
        <v>78.75</v>
      </c>
      <c r="BY15" s="55">
        <f t="shared" si="60"/>
        <v>76.666666666666671</v>
      </c>
      <c r="BZ15" s="51" t="str">
        <f>SISWA!E13</f>
        <v>Ilham</v>
      </c>
      <c r="CA15" s="51" t="str">
        <f t="shared" si="61"/>
        <v xml:space="preserve">Ananda Ilham </v>
      </c>
      <c r="CB15" s="56">
        <f t="shared" si="62"/>
        <v>78.75</v>
      </c>
      <c r="CC15" s="56" t="str">
        <f t="shared" si="63"/>
        <v/>
      </c>
      <c r="CD15" s="56" t="str">
        <f t="shared" si="64"/>
        <v/>
      </c>
      <c r="CE15" s="56" t="str">
        <f t="shared" si="65"/>
        <v/>
      </c>
      <c r="CF15" s="56" t="str">
        <f t="shared" si="66"/>
        <v/>
      </c>
      <c r="CG15" s="56" t="str">
        <f t="shared" si="67"/>
        <v/>
      </c>
      <c r="CH15" s="56" t="str">
        <f t="shared" si="68"/>
        <v/>
      </c>
      <c r="CI15" s="56" t="str">
        <f t="shared" si="69"/>
        <v/>
      </c>
      <c r="CJ15" s="56" t="str">
        <f t="shared" si="70"/>
        <v/>
      </c>
      <c r="CK15" s="57"/>
      <c r="CL15" s="58">
        <f t="shared" si="71"/>
        <v>78.75</v>
      </c>
      <c r="CM15" s="55" t="str">
        <f t="shared" si="72"/>
        <v>memahami teks deskriptif tentang peristiwa alam dan adat istiadat.</v>
      </c>
      <c r="CN15" s="58"/>
      <c r="CO15" s="59" t="str">
        <f>IF(BX15&gt;100,"",IF(BX15&gt;AW$1,"sangat baik dalam "&amp;CM15,IF(BX15&gt;=AW$2,"baik dalam "&amp;CM15,IF(BX15&gt;=AW$3,"cukup dalam "&amp;CM15,IF(BX15&lt;AW$3,"dengan bimbingan dapat meningkatkan dalam "&amp;CM15,IF(BX15&lt;1," ",””))))))</f>
        <v>cukup dalam memahami teks deskriptif tentang peristiwa alam dan adat istiadat.</v>
      </c>
      <c r="CP15" s="58"/>
      <c r="CQ15" s="57" t="str">
        <f t="shared" si="73"/>
        <v/>
      </c>
      <c r="CR15" s="57" t="str">
        <f t="shared" si="74"/>
        <v/>
      </c>
      <c r="CS15" s="57">
        <f t="shared" si="75"/>
        <v>76.666666666666671</v>
      </c>
      <c r="CT15" s="57">
        <f t="shared" si="76"/>
        <v>76.666666666666671</v>
      </c>
      <c r="CU15" s="57" t="str">
        <f t="shared" si="77"/>
        <v/>
      </c>
      <c r="CV15" s="57" t="str">
        <f t="shared" si="78"/>
        <v/>
      </c>
      <c r="CW15" s="57" t="str">
        <f t="shared" si="79"/>
        <v/>
      </c>
      <c r="CX15" s="57" t="str">
        <f t="shared" si="80"/>
        <v/>
      </c>
      <c r="CY15" s="57" t="str">
        <f t="shared" si="81"/>
        <v/>
      </c>
      <c r="CZ15" s="57"/>
      <c r="DA15" s="59" t="str">
        <f t="shared" si="82"/>
        <v>memahami unggah-ungguh basa untuk tanya jawab dan menyampaikan ajakan kepada orang lain.</v>
      </c>
      <c r="DB15" s="59" t="str">
        <f>IF(BY15&gt;100,"",IF(BY15&gt;AW$1,"sangat baik dalam "&amp;DA15,IF(BY15&gt;=AW$2,"baik dalam "&amp;DA15,IF(BY15&gt;=AW$3,"cukup dalam "&amp;DA15,IF(BY15&lt;AW$3,"dengan bimbingan dapat meningkatkan  dalam "&amp;DA15,IF(BY15&lt;1," ",””))))))</f>
        <v>cukup dalam memahami unggah-ungguh basa untuk tanya jawab dan menyampaikan ajakan kepada orang lain.</v>
      </c>
      <c r="DC15" s="61"/>
      <c r="DD15" s="62" t="str">
        <f t="shared" si="83"/>
        <v>Ananda Ilham cukup dalam memahami teks deskriptif tentang peristiwa alam dan adat istiadat., cukup dalam memahami unggah-ungguh basa untuk tanya jawab dan menyampaikan ajakan kepada orang lain.</v>
      </c>
      <c r="DE15" s="57" t="str">
        <f t="shared" si="84"/>
        <v/>
      </c>
      <c r="DF15" s="57" t="str">
        <f t="shared" si="85"/>
        <v/>
      </c>
      <c r="DG15" s="57" t="str">
        <f t="shared" si="86"/>
        <v/>
      </c>
      <c r="DH15" s="57"/>
      <c r="DI15" s="57"/>
      <c r="DJ15" s="57"/>
      <c r="DK15" s="59">
        <f t="shared" si="27"/>
        <v>0</v>
      </c>
      <c r="DL15" s="60"/>
      <c r="DM15" s="61"/>
      <c r="DN15" s="62" t="str">
        <f t="shared" si="87"/>
        <v>, 0</v>
      </c>
      <c r="DO15" s="4" t="str">
        <f t="shared" si="88"/>
        <v xml:space="preserve">Menguasai dengan baik memahami teks deskriptif tentang peristiwa alam dan adat istiadat. Menguasai dengan baik memahami tembang macapat Kinanthi, dan geguritan. Menguasai dengan baik memahami  wayang (Ramayana), pakaian tradisional, dan gamelan.     Menguasai dengan baik   </v>
      </c>
    </row>
    <row r="16" spans="1:119" ht="30">
      <c r="A16" s="39">
        <v>9</v>
      </c>
      <c r="B16" s="283" t="str">
        <f>SISWA!B14</f>
        <v>Muhammad Raditya Ainul Yaqin</v>
      </c>
      <c r="C16" s="123">
        <v>100</v>
      </c>
      <c r="D16" s="123">
        <v>80</v>
      </c>
      <c r="E16" s="123">
        <v>75</v>
      </c>
      <c r="F16" s="123">
        <v>80</v>
      </c>
      <c r="G16" s="123"/>
      <c r="H16" s="123"/>
      <c r="I16" s="123"/>
      <c r="J16" s="123"/>
      <c r="K16" s="123"/>
      <c r="L16" s="256">
        <v>100</v>
      </c>
      <c r="M16" s="256">
        <v>78</v>
      </c>
      <c r="N16" s="256">
        <v>75</v>
      </c>
      <c r="O16" s="256">
        <v>80</v>
      </c>
      <c r="P16" s="256"/>
      <c r="Q16" s="256"/>
      <c r="R16" s="256"/>
      <c r="S16" s="256"/>
      <c r="T16" s="256"/>
      <c r="U16" s="260">
        <f t="shared" si="28"/>
        <v>100</v>
      </c>
      <c r="V16" s="260">
        <f t="shared" si="29"/>
        <v>79</v>
      </c>
      <c r="W16" s="260">
        <f t="shared" si="30"/>
        <v>75</v>
      </c>
      <c r="X16" s="260">
        <f t="shared" si="31"/>
        <v>80</v>
      </c>
      <c r="Y16" s="260" t="str">
        <f t="shared" si="32"/>
        <v xml:space="preserve"> </v>
      </c>
      <c r="Z16" s="260" t="str">
        <f t="shared" si="33"/>
        <v xml:space="preserve"> </v>
      </c>
      <c r="AA16" s="260" t="str">
        <f t="shared" si="34"/>
        <v xml:space="preserve"> </v>
      </c>
      <c r="AB16" s="260" t="str">
        <f t="shared" si="35"/>
        <v xml:space="preserve"> </v>
      </c>
      <c r="AC16" s="260" t="str">
        <f t="shared" si="36"/>
        <v xml:space="preserve"> </v>
      </c>
      <c r="AD16" s="547">
        <v>75</v>
      </c>
      <c r="AE16" s="547">
        <v>75</v>
      </c>
      <c r="AF16" s="547"/>
      <c r="AG16" s="547"/>
      <c r="AH16" s="547"/>
      <c r="AI16" s="547"/>
      <c r="AJ16" s="547"/>
      <c r="AK16" s="547"/>
      <c r="AL16" s="547"/>
      <c r="AM16" s="565">
        <v>85</v>
      </c>
      <c r="AN16" s="565">
        <v>75</v>
      </c>
      <c r="AO16" s="565">
        <v>75</v>
      </c>
      <c r="AP16" s="565">
        <v>75</v>
      </c>
      <c r="AQ16" s="565">
        <v>79</v>
      </c>
      <c r="AR16" s="565"/>
      <c r="AS16" s="565"/>
      <c r="AT16" s="565"/>
      <c r="AU16" s="565"/>
      <c r="AV16" s="549">
        <f t="shared" si="37"/>
        <v>80</v>
      </c>
      <c r="AW16" s="291" t="str">
        <f t="shared" si="38"/>
        <v>C</v>
      </c>
      <c r="AX16" s="50" t="str">
        <f t="shared" si="39"/>
        <v>Ananda Radit baik dalam memahami teks deskriptif tentang peristiwa alam dan adat istiadat., cukup dalam memahami  wayang (Ramayana), pakaian tradisional, dan gamelan.</v>
      </c>
      <c r="AY16" s="282"/>
      <c r="AZ16" s="51"/>
      <c r="BA16" s="46">
        <f t="shared" si="40"/>
        <v>100</v>
      </c>
      <c r="BB16" s="46">
        <f t="shared" si="41"/>
        <v>79</v>
      </c>
      <c r="BC16" s="46">
        <f t="shared" si="42"/>
        <v>75</v>
      </c>
      <c r="BD16" s="46">
        <f t="shared" si="43"/>
        <v>80</v>
      </c>
      <c r="BE16" s="46" t="str">
        <f t="shared" si="44"/>
        <v xml:space="preserve"> </v>
      </c>
      <c r="BF16" s="46" t="str">
        <f t="shared" si="45"/>
        <v xml:space="preserve"> </v>
      </c>
      <c r="BG16" s="46" t="str">
        <f t="shared" si="46"/>
        <v xml:space="preserve"> </v>
      </c>
      <c r="BH16" s="46" t="str">
        <f t="shared" si="47"/>
        <v xml:space="preserve"> </v>
      </c>
      <c r="BI16" s="46" t="str">
        <f t="shared" si="48"/>
        <v xml:space="preserve"> </v>
      </c>
      <c r="BJ16" s="46"/>
      <c r="BK16" s="52" t="e">
        <f>[2]uts!#REF!</f>
        <v>#REF!</v>
      </c>
      <c r="BL16" s="51"/>
      <c r="BM16" s="53">
        <f t="shared" si="49"/>
        <v>90</v>
      </c>
      <c r="BN16" s="53">
        <f t="shared" si="50"/>
        <v>77</v>
      </c>
      <c r="BO16" s="53">
        <f t="shared" si="51"/>
        <v>75</v>
      </c>
      <c r="BP16" s="53">
        <f t="shared" si="52"/>
        <v>78.333333333333329</v>
      </c>
      <c r="BQ16" s="53">
        <f t="shared" si="53"/>
        <v>79</v>
      </c>
      <c r="BR16" s="53" t="str">
        <f t="shared" si="54"/>
        <v xml:space="preserve">  </v>
      </c>
      <c r="BS16" s="53" t="str">
        <f t="shared" si="55"/>
        <v xml:space="preserve">  </v>
      </c>
      <c r="BT16" s="53" t="str">
        <f t="shared" si="56"/>
        <v xml:space="preserve">  </v>
      </c>
      <c r="BU16" s="53" t="str">
        <f t="shared" si="57"/>
        <v xml:space="preserve">  </v>
      </c>
      <c r="BV16" s="53"/>
      <c r="BW16" s="54">
        <f t="shared" si="58"/>
        <v>80</v>
      </c>
      <c r="BX16" s="55">
        <f t="shared" si="59"/>
        <v>90</v>
      </c>
      <c r="BY16" s="55">
        <f t="shared" si="60"/>
        <v>75</v>
      </c>
      <c r="BZ16" s="51" t="str">
        <f>SISWA!E14</f>
        <v>Radit</v>
      </c>
      <c r="CA16" s="51" t="str">
        <f t="shared" si="61"/>
        <v xml:space="preserve">Ananda Radit </v>
      </c>
      <c r="CB16" s="56">
        <f t="shared" si="62"/>
        <v>90</v>
      </c>
      <c r="CC16" s="56" t="str">
        <f t="shared" si="63"/>
        <v/>
      </c>
      <c r="CD16" s="56" t="str">
        <f t="shared" si="64"/>
        <v/>
      </c>
      <c r="CE16" s="56" t="str">
        <f t="shared" si="65"/>
        <v/>
      </c>
      <c r="CF16" s="56" t="str">
        <f t="shared" si="66"/>
        <v/>
      </c>
      <c r="CG16" s="56" t="str">
        <f t="shared" si="67"/>
        <v/>
      </c>
      <c r="CH16" s="56" t="str">
        <f t="shared" si="68"/>
        <v/>
      </c>
      <c r="CI16" s="56" t="str">
        <f t="shared" si="69"/>
        <v/>
      </c>
      <c r="CJ16" s="56" t="str">
        <f t="shared" si="70"/>
        <v/>
      </c>
      <c r="CK16" s="57"/>
      <c r="CL16" s="58">
        <f t="shared" si="71"/>
        <v>90</v>
      </c>
      <c r="CM16" s="55" t="str">
        <f t="shared" si="72"/>
        <v>memahami teks deskriptif tentang peristiwa alam dan adat istiadat.</v>
      </c>
      <c r="CN16" s="58"/>
      <c r="CO16" s="59" t="str">
        <f>IF(BX16&gt;100,"",IF(BX16&gt;AW$1,"sangat baik dalam "&amp;CM16,IF(BX16&gt;=AW$2,"baik dalam "&amp;CM16,IF(BX16&gt;=AW$3,"cukup dalam "&amp;CM16,IF(BX16&lt;AW$3,"dengan bimbingan dapat meningkatkan dalam "&amp;CM16,IF(BX16&lt;1," ",””))))))</f>
        <v>baik dalam memahami teks deskriptif tentang peristiwa alam dan adat istiadat.</v>
      </c>
      <c r="CP16" s="58"/>
      <c r="CQ16" s="57" t="str">
        <f t="shared" si="73"/>
        <v/>
      </c>
      <c r="CR16" s="57" t="str">
        <f t="shared" si="74"/>
        <v/>
      </c>
      <c r="CS16" s="57">
        <f t="shared" si="75"/>
        <v>75</v>
      </c>
      <c r="CT16" s="57" t="str">
        <f t="shared" si="76"/>
        <v/>
      </c>
      <c r="CU16" s="57" t="str">
        <f t="shared" si="77"/>
        <v/>
      </c>
      <c r="CV16" s="57" t="str">
        <f t="shared" si="78"/>
        <v/>
      </c>
      <c r="CW16" s="57" t="str">
        <f t="shared" si="79"/>
        <v/>
      </c>
      <c r="CX16" s="57" t="str">
        <f t="shared" si="80"/>
        <v/>
      </c>
      <c r="CY16" s="57" t="str">
        <f t="shared" si="81"/>
        <v/>
      </c>
      <c r="CZ16" s="57"/>
      <c r="DA16" s="59" t="str">
        <f t="shared" si="82"/>
        <v>memahami  wayang (Ramayana), pakaian tradisional, dan gamelan.</v>
      </c>
      <c r="DB16" s="59" t="str">
        <f>IF(BY16&gt;100,"",IF(BY16&gt;AW$1,"sangat baik dalam "&amp;DA16,IF(BY16&gt;=AW$2,"baik dalam "&amp;DA16,IF(BY16&gt;=AW$3,"cukup dalam "&amp;DA16,IF(BY16&lt;AW$3,"dengan bimbingan dapat meningkatkan  dalam "&amp;DA16,IF(BY16&lt;1," ",””))))))</f>
        <v>cukup dalam memahami  wayang (Ramayana), pakaian tradisional, dan gamelan.</v>
      </c>
      <c r="DC16" s="61"/>
      <c r="DD16" s="62" t="str">
        <f t="shared" si="83"/>
        <v>Ananda Radit baik dalam memahami teks deskriptif tentang peristiwa alam dan adat istiadat., cukup dalam memahami  wayang (Ramayana), pakaian tradisional, dan gamelan.</v>
      </c>
      <c r="DE16" s="57" t="str">
        <f t="shared" si="84"/>
        <v/>
      </c>
      <c r="DF16" s="57" t="str">
        <f t="shared" si="85"/>
        <v/>
      </c>
      <c r="DG16" s="57" t="str">
        <f t="shared" si="86"/>
        <v/>
      </c>
      <c r="DH16" s="57"/>
      <c r="DI16" s="57"/>
      <c r="DJ16" s="57"/>
      <c r="DK16" s="59">
        <f t="shared" si="27"/>
        <v>0</v>
      </c>
      <c r="DL16" s="60"/>
      <c r="DM16" s="61"/>
      <c r="DN16" s="62" t="str">
        <f t="shared" si="87"/>
        <v>, 0</v>
      </c>
      <c r="DO16" s="4" t="str">
        <f t="shared" si="88"/>
        <v xml:space="preserve">Cukup pandai memahami teks deskriptif tentang peristiwa alam dan adat istiadat. Pandai memahami tembang macapat Kinanthi, dan geguritan. Menguasai dengan baik memahami  wayang (Ramayana), pakaian tradisional, dan gamelan.     Pandai   </v>
      </c>
    </row>
    <row r="17" spans="1:119" ht="30">
      <c r="A17" s="39">
        <v>10</v>
      </c>
      <c r="B17" s="283" t="str">
        <f>SISWA!B15</f>
        <v>Muhammad Shulhan Al-farisi</v>
      </c>
      <c r="C17" s="123">
        <v>100</v>
      </c>
      <c r="D17" s="123">
        <v>80</v>
      </c>
      <c r="E17" s="123">
        <v>80</v>
      </c>
      <c r="F17" s="123">
        <v>75</v>
      </c>
      <c r="G17" s="123"/>
      <c r="H17" s="123"/>
      <c r="I17" s="123"/>
      <c r="J17" s="123"/>
      <c r="K17" s="123"/>
      <c r="L17" s="256">
        <v>100</v>
      </c>
      <c r="M17" s="256">
        <v>78</v>
      </c>
      <c r="N17" s="256">
        <v>80</v>
      </c>
      <c r="O17" s="256">
        <v>75</v>
      </c>
      <c r="P17" s="256"/>
      <c r="Q17" s="256"/>
      <c r="R17" s="256"/>
      <c r="S17" s="256"/>
      <c r="T17" s="256"/>
      <c r="U17" s="260">
        <f t="shared" si="28"/>
        <v>100</v>
      </c>
      <c r="V17" s="260">
        <f t="shared" si="29"/>
        <v>79</v>
      </c>
      <c r="W17" s="260">
        <f t="shared" si="30"/>
        <v>80</v>
      </c>
      <c r="X17" s="260">
        <f t="shared" si="31"/>
        <v>75</v>
      </c>
      <c r="Y17" s="260" t="str">
        <f t="shared" si="32"/>
        <v xml:space="preserve"> </v>
      </c>
      <c r="Z17" s="260" t="str">
        <f t="shared" si="33"/>
        <v xml:space="preserve"> </v>
      </c>
      <c r="AA17" s="260" t="str">
        <f t="shared" si="34"/>
        <v xml:space="preserve"> </v>
      </c>
      <c r="AB17" s="260" t="str">
        <f t="shared" si="35"/>
        <v xml:space="preserve"> </v>
      </c>
      <c r="AC17" s="260" t="str">
        <f t="shared" si="36"/>
        <v xml:space="preserve"> </v>
      </c>
      <c r="AD17" s="547">
        <v>76</v>
      </c>
      <c r="AE17" s="547">
        <v>75</v>
      </c>
      <c r="AF17" s="547"/>
      <c r="AG17" s="547"/>
      <c r="AH17" s="547"/>
      <c r="AI17" s="547"/>
      <c r="AJ17" s="547"/>
      <c r="AK17" s="547"/>
      <c r="AL17" s="547"/>
      <c r="AM17" s="565">
        <v>80</v>
      </c>
      <c r="AN17" s="565">
        <v>83</v>
      </c>
      <c r="AO17" s="565">
        <v>85</v>
      </c>
      <c r="AP17" s="565">
        <v>78</v>
      </c>
      <c r="AQ17" s="565">
        <v>80</v>
      </c>
      <c r="AR17" s="565"/>
      <c r="AS17" s="565"/>
      <c r="AT17" s="565"/>
      <c r="AU17" s="565"/>
      <c r="AV17" s="549">
        <f t="shared" si="37"/>
        <v>81</v>
      </c>
      <c r="AW17" s="291" t="str">
        <f t="shared" si="38"/>
        <v>C</v>
      </c>
      <c r="AX17" s="50" t="str">
        <f t="shared" si="39"/>
        <v>Ananda Shulhan baik dalam memahami teks deskriptif tentang peristiwa alam dan adat istiadat., cukup dalam memahami unggah-ungguh basa untuk tanya jawab dan menyampaikan ajakan kepada orang lain.</v>
      </c>
      <c r="AY17" s="282"/>
      <c r="AZ17" s="51"/>
      <c r="BA17" s="46">
        <f t="shared" si="40"/>
        <v>100</v>
      </c>
      <c r="BB17" s="46">
        <f t="shared" si="41"/>
        <v>79</v>
      </c>
      <c r="BC17" s="46">
        <f t="shared" si="42"/>
        <v>80</v>
      </c>
      <c r="BD17" s="46">
        <f t="shared" si="43"/>
        <v>75</v>
      </c>
      <c r="BE17" s="46" t="str">
        <f t="shared" si="44"/>
        <v xml:space="preserve"> </v>
      </c>
      <c r="BF17" s="46" t="str">
        <f t="shared" si="45"/>
        <v xml:space="preserve"> </v>
      </c>
      <c r="BG17" s="46" t="str">
        <f t="shared" si="46"/>
        <v xml:space="preserve"> </v>
      </c>
      <c r="BH17" s="46" t="str">
        <f t="shared" si="47"/>
        <v xml:space="preserve"> </v>
      </c>
      <c r="BI17" s="46" t="str">
        <f t="shared" si="48"/>
        <v xml:space="preserve"> </v>
      </c>
      <c r="BJ17" s="46"/>
      <c r="BK17" s="52" t="e">
        <f>[2]uts!#REF!</f>
        <v>#REF!</v>
      </c>
      <c r="BL17" s="51"/>
      <c r="BM17" s="53">
        <f t="shared" si="49"/>
        <v>89</v>
      </c>
      <c r="BN17" s="53">
        <f t="shared" si="50"/>
        <v>79</v>
      </c>
      <c r="BO17" s="53">
        <f t="shared" si="51"/>
        <v>81.666666666666671</v>
      </c>
      <c r="BP17" s="53">
        <f t="shared" si="52"/>
        <v>76</v>
      </c>
      <c r="BQ17" s="53">
        <f t="shared" si="53"/>
        <v>80</v>
      </c>
      <c r="BR17" s="53" t="str">
        <f t="shared" si="54"/>
        <v xml:space="preserve">  </v>
      </c>
      <c r="BS17" s="53" t="str">
        <f t="shared" si="55"/>
        <v xml:space="preserve">  </v>
      </c>
      <c r="BT17" s="53" t="str">
        <f t="shared" si="56"/>
        <v xml:space="preserve">  </v>
      </c>
      <c r="BU17" s="53" t="str">
        <f t="shared" si="57"/>
        <v xml:space="preserve">  </v>
      </c>
      <c r="BV17" s="53"/>
      <c r="BW17" s="54">
        <f t="shared" si="58"/>
        <v>81</v>
      </c>
      <c r="BX17" s="55">
        <f t="shared" si="59"/>
        <v>89</v>
      </c>
      <c r="BY17" s="55">
        <f t="shared" si="60"/>
        <v>76</v>
      </c>
      <c r="BZ17" s="51" t="str">
        <f>SISWA!E15</f>
        <v>Shulhan</v>
      </c>
      <c r="CA17" s="51" t="str">
        <f t="shared" si="61"/>
        <v xml:space="preserve">Ananda Shulhan </v>
      </c>
      <c r="CB17" s="56">
        <f t="shared" si="62"/>
        <v>89</v>
      </c>
      <c r="CC17" s="56" t="str">
        <f t="shared" si="63"/>
        <v/>
      </c>
      <c r="CD17" s="56" t="str">
        <f t="shared" si="64"/>
        <v/>
      </c>
      <c r="CE17" s="56" t="str">
        <f t="shared" si="65"/>
        <v/>
      </c>
      <c r="CF17" s="56" t="str">
        <f t="shared" si="66"/>
        <v/>
      </c>
      <c r="CG17" s="56" t="str">
        <f t="shared" si="67"/>
        <v/>
      </c>
      <c r="CH17" s="56" t="str">
        <f t="shared" si="68"/>
        <v/>
      </c>
      <c r="CI17" s="56" t="str">
        <f t="shared" si="69"/>
        <v/>
      </c>
      <c r="CJ17" s="56" t="str">
        <f t="shared" si="70"/>
        <v/>
      </c>
      <c r="CK17" s="57"/>
      <c r="CL17" s="58">
        <f t="shared" si="71"/>
        <v>89</v>
      </c>
      <c r="CM17" s="55" t="str">
        <f t="shared" si="72"/>
        <v>memahami teks deskriptif tentang peristiwa alam dan adat istiadat.</v>
      </c>
      <c r="CN17" s="58"/>
      <c r="CO17" s="59" t="str">
        <f>IF(BX17&gt;100,"",IF(BX17&gt;AW$1,"sangat baik dalam "&amp;CM17,IF(BX17&gt;=AW$2,"baik dalam "&amp;CM17,IF(BX17&gt;=AW$3,"cukup dalam "&amp;CM17,IF(BX17&lt;AW$3,"dengan bimbingan dapat meningkatkan dalam "&amp;CM17,IF(BX17&lt;1," ",””))))))</f>
        <v>baik dalam memahami teks deskriptif tentang peristiwa alam dan adat istiadat.</v>
      </c>
      <c r="CP17" s="58"/>
      <c r="CQ17" s="57" t="str">
        <f t="shared" si="73"/>
        <v/>
      </c>
      <c r="CR17" s="57" t="str">
        <f t="shared" si="74"/>
        <v/>
      </c>
      <c r="CS17" s="57" t="str">
        <f t="shared" si="75"/>
        <v/>
      </c>
      <c r="CT17" s="57">
        <f t="shared" si="76"/>
        <v>76</v>
      </c>
      <c r="CU17" s="57" t="str">
        <f t="shared" si="77"/>
        <v/>
      </c>
      <c r="CV17" s="57" t="str">
        <f t="shared" si="78"/>
        <v/>
      </c>
      <c r="CW17" s="57" t="str">
        <f t="shared" si="79"/>
        <v/>
      </c>
      <c r="CX17" s="57" t="str">
        <f t="shared" si="80"/>
        <v/>
      </c>
      <c r="CY17" s="57" t="str">
        <f t="shared" si="81"/>
        <v/>
      </c>
      <c r="CZ17" s="57"/>
      <c r="DA17" s="59" t="str">
        <f t="shared" si="82"/>
        <v>memahami unggah-ungguh basa untuk tanya jawab dan menyampaikan ajakan kepada orang lain.</v>
      </c>
      <c r="DB17" s="59" t="str">
        <f>IF(BY17&gt;100,"",IF(BY17&gt;AW$1,"sangat baik dalam "&amp;DA17,IF(BY17&gt;=AW$2,"baik dalam "&amp;DA17,IF(BY17&gt;=AW$3,"cukup dalam "&amp;DA17,IF(BY17&lt;AW$3,"dengan bimbingan dapat meningkatkan  dalam "&amp;DA17,IF(BY17&lt;1," ",””))))))</f>
        <v>cukup dalam memahami unggah-ungguh basa untuk tanya jawab dan menyampaikan ajakan kepada orang lain.</v>
      </c>
      <c r="DC17" s="61"/>
      <c r="DD17" s="62" t="str">
        <f t="shared" si="83"/>
        <v>Ananda Shulhan baik dalam memahami teks deskriptif tentang peristiwa alam dan adat istiadat., cukup dalam memahami unggah-ungguh basa untuk tanya jawab dan menyampaikan ajakan kepada orang lain.</v>
      </c>
      <c r="DE17" s="57" t="str">
        <f t="shared" si="84"/>
        <v/>
      </c>
      <c r="DF17" s="57" t="str">
        <f t="shared" si="85"/>
        <v/>
      </c>
      <c r="DG17" s="57" t="str">
        <f t="shared" si="86"/>
        <v/>
      </c>
      <c r="DH17" s="57"/>
      <c r="DI17" s="57"/>
      <c r="DJ17" s="57"/>
      <c r="DK17" s="59">
        <f t="shared" si="27"/>
        <v>0</v>
      </c>
      <c r="DL17" s="60"/>
      <c r="DM17" s="61"/>
      <c r="DN17" s="62" t="str">
        <f t="shared" si="87"/>
        <v>, 0</v>
      </c>
      <c r="DO17" s="4" t="str">
        <f t="shared" si="88"/>
        <v xml:space="preserve">Cukup pandai memahami teks deskriptif tentang peristiwa alam dan adat istiadat. Pandai memahami tembang macapat Kinanthi, dan geguritan. Menguasai dengan baik memahami  wayang (Ramayana), pakaian tradisional, dan gamelan.     Pandai   </v>
      </c>
    </row>
    <row r="18" spans="1:119" ht="30">
      <c r="A18" s="39">
        <v>11</v>
      </c>
      <c r="B18" s="283" t="str">
        <f>SISWA!B16</f>
        <v>Novaris Dwi Firmansyah</v>
      </c>
      <c r="C18" s="123">
        <v>80</v>
      </c>
      <c r="D18" s="123">
        <v>75</v>
      </c>
      <c r="E18" s="123">
        <v>80</v>
      </c>
      <c r="F18" s="123">
        <v>75</v>
      </c>
      <c r="G18" s="123"/>
      <c r="H18" s="123"/>
      <c r="I18" s="123"/>
      <c r="J18" s="123"/>
      <c r="K18" s="123"/>
      <c r="L18" s="256">
        <v>75</v>
      </c>
      <c r="M18" s="256">
        <v>78</v>
      </c>
      <c r="N18" s="256">
        <v>80</v>
      </c>
      <c r="O18" s="256">
        <v>75</v>
      </c>
      <c r="P18" s="256"/>
      <c r="Q18" s="256"/>
      <c r="R18" s="256"/>
      <c r="S18" s="256"/>
      <c r="T18" s="256"/>
      <c r="U18" s="260">
        <f t="shared" si="28"/>
        <v>77.5</v>
      </c>
      <c r="V18" s="260">
        <f t="shared" si="29"/>
        <v>76.5</v>
      </c>
      <c r="W18" s="260">
        <f t="shared" si="30"/>
        <v>80</v>
      </c>
      <c r="X18" s="260">
        <f t="shared" si="31"/>
        <v>75</v>
      </c>
      <c r="Y18" s="260" t="str">
        <f t="shared" si="32"/>
        <v xml:space="preserve"> </v>
      </c>
      <c r="Z18" s="260" t="str">
        <f t="shared" si="33"/>
        <v xml:space="preserve"> </v>
      </c>
      <c r="AA18" s="260" t="str">
        <f t="shared" si="34"/>
        <v xml:space="preserve"> </v>
      </c>
      <c r="AB18" s="260" t="str">
        <f t="shared" si="35"/>
        <v xml:space="preserve"> </v>
      </c>
      <c r="AC18" s="260" t="str">
        <f t="shared" si="36"/>
        <v xml:space="preserve"> </v>
      </c>
      <c r="AD18" s="547">
        <v>75</v>
      </c>
      <c r="AE18" s="547">
        <v>75</v>
      </c>
      <c r="AF18" s="547"/>
      <c r="AG18" s="547"/>
      <c r="AH18" s="547"/>
      <c r="AI18" s="547"/>
      <c r="AJ18" s="547"/>
      <c r="AK18" s="547"/>
      <c r="AL18" s="547"/>
      <c r="AM18" s="565">
        <v>77</v>
      </c>
      <c r="AN18" s="565">
        <v>75</v>
      </c>
      <c r="AO18" s="565">
        <v>75</v>
      </c>
      <c r="AP18" s="565">
        <v>75</v>
      </c>
      <c r="AQ18" s="565">
        <v>77</v>
      </c>
      <c r="AR18" s="565"/>
      <c r="AS18" s="565"/>
      <c r="AT18" s="565"/>
      <c r="AU18" s="565"/>
      <c r="AV18" s="549">
        <f t="shared" si="37"/>
        <v>77</v>
      </c>
      <c r="AW18" s="291" t="str">
        <f t="shared" si="38"/>
        <v>C</v>
      </c>
      <c r="AX18" s="50" t="str">
        <f t="shared" si="39"/>
        <v>Ananda Varis cukup dalam memahami  wayang (Ramayana), pakaian tradisional, dan gamelan., cukup dalam memahami unggah-ungguh basa untuk tanya jawab dan menyampaikan ajakan kepada orang lain.</v>
      </c>
      <c r="AY18" s="282"/>
      <c r="AZ18" s="51"/>
      <c r="BA18" s="46">
        <f t="shared" si="40"/>
        <v>77.5</v>
      </c>
      <c r="BB18" s="46">
        <f t="shared" si="41"/>
        <v>76.5</v>
      </c>
      <c r="BC18" s="46">
        <f t="shared" si="42"/>
        <v>80</v>
      </c>
      <c r="BD18" s="46">
        <f t="shared" si="43"/>
        <v>75</v>
      </c>
      <c r="BE18" s="46" t="str">
        <f t="shared" si="44"/>
        <v xml:space="preserve"> </v>
      </c>
      <c r="BF18" s="46" t="str">
        <f t="shared" si="45"/>
        <v xml:space="preserve"> </v>
      </c>
      <c r="BG18" s="46" t="str">
        <f t="shared" si="46"/>
        <v xml:space="preserve"> </v>
      </c>
      <c r="BH18" s="46" t="str">
        <f t="shared" si="47"/>
        <v xml:space="preserve"> </v>
      </c>
      <c r="BI18" s="46" t="str">
        <f t="shared" si="48"/>
        <v xml:space="preserve"> </v>
      </c>
      <c r="BJ18" s="46"/>
      <c r="BK18" s="52" t="e">
        <f>[2]uts!#REF!</f>
        <v>#REF!</v>
      </c>
      <c r="BL18" s="51"/>
      <c r="BM18" s="53">
        <f t="shared" si="49"/>
        <v>76.75</v>
      </c>
      <c r="BN18" s="53">
        <f t="shared" si="50"/>
        <v>75.75</v>
      </c>
      <c r="BO18" s="53">
        <f t="shared" si="51"/>
        <v>78.333333333333329</v>
      </c>
      <c r="BP18" s="53">
        <f t="shared" si="52"/>
        <v>75</v>
      </c>
      <c r="BQ18" s="53">
        <f t="shared" si="53"/>
        <v>77</v>
      </c>
      <c r="BR18" s="53" t="str">
        <f t="shared" si="54"/>
        <v xml:space="preserve">  </v>
      </c>
      <c r="BS18" s="53" t="str">
        <f t="shared" si="55"/>
        <v xml:space="preserve">  </v>
      </c>
      <c r="BT18" s="53" t="str">
        <f t="shared" si="56"/>
        <v xml:space="preserve">  </v>
      </c>
      <c r="BU18" s="53" t="str">
        <f t="shared" si="57"/>
        <v xml:space="preserve">  </v>
      </c>
      <c r="BV18" s="53"/>
      <c r="BW18" s="54">
        <f t="shared" si="58"/>
        <v>77</v>
      </c>
      <c r="BX18" s="55">
        <f t="shared" si="59"/>
        <v>78.333333333333329</v>
      </c>
      <c r="BY18" s="55">
        <f t="shared" si="60"/>
        <v>75</v>
      </c>
      <c r="BZ18" s="51" t="str">
        <f>SISWA!E16</f>
        <v>Varis</v>
      </c>
      <c r="CA18" s="51" t="str">
        <f t="shared" si="61"/>
        <v xml:space="preserve">Ananda Varis </v>
      </c>
      <c r="CB18" s="56" t="str">
        <f t="shared" si="62"/>
        <v/>
      </c>
      <c r="CC18" s="56" t="str">
        <f t="shared" si="63"/>
        <v/>
      </c>
      <c r="CD18" s="56">
        <f t="shared" si="64"/>
        <v>78.333333333333329</v>
      </c>
      <c r="CE18" s="56" t="str">
        <f t="shared" si="65"/>
        <v/>
      </c>
      <c r="CF18" s="56" t="str">
        <f t="shared" si="66"/>
        <v/>
      </c>
      <c r="CG18" s="56" t="str">
        <f t="shared" si="67"/>
        <v/>
      </c>
      <c r="CH18" s="56" t="str">
        <f t="shared" si="68"/>
        <v/>
      </c>
      <c r="CI18" s="56" t="str">
        <f t="shared" si="69"/>
        <v/>
      </c>
      <c r="CJ18" s="56" t="str">
        <f t="shared" si="70"/>
        <v/>
      </c>
      <c r="CK18" s="57"/>
      <c r="CL18" s="58">
        <f t="shared" si="71"/>
        <v>78.333333333333329</v>
      </c>
      <c r="CM18" s="55" t="str">
        <f t="shared" si="72"/>
        <v>memahami  wayang (Ramayana), pakaian tradisional, dan gamelan.</v>
      </c>
      <c r="CN18" s="58"/>
      <c r="CO18" s="59" t="str">
        <f>IF(BX18&gt;100,"",IF(BX18&gt;AW$1,"sangat baik dalam "&amp;CM18,IF(BX18&gt;=AW$2,"baik dalam "&amp;CM18,IF(BX18&gt;=AW$3,"cukup dalam "&amp;CM18,IF(BX18&lt;AW$3,"dengan bimbingan dapat meningkatkan dalam "&amp;CM18,IF(BX18&lt;1," ",””))))))</f>
        <v>cukup dalam memahami  wayang (Ramayana), pakaian tradisional, dan gamelan.</v>
      </c>
      <c r="CP18" s="58"/>
      <c r="CQ18" s="57" t="str">
        <f t="shared" si="73"/>
        <v/>
      </c>
      <c r="CR18" s="57" t="str">
        <f t="shared" si="74"/>
        <v/>
      </c>
      <c r="CS18" s="57" t="str">
        <f t="shared" si="75"/>
        <v/>
      </c>
      <c r="CT18" s="57">
        <f t="shared" si="76"/>
        <v>75</v>
      </c>
      <c r="CU18" s="57" t="str">
        <f t="shared" si="77"/>
        <v/>
      </c>
      <c r="CV18" s="57" t="str">
        <f t="shared" si="78"/>
        <v/>
      </c>
      <c r="CW18" s="57" t="str">
        <f t="shared" si="79"/>
        <v/>
      </c>
      <c r="CX18" s="57" t="str">
        <f t="shared" si="80"/>
        <v/>
      </c>
      <c r="CY18" s="57" t="str">
        <f t="shared" si="81"/>
        <v/>
      </c>
      <c r="CZ18" s="57"/>
      <c r="DA18" s="59" t="str">
        <f t="shared" si="82"/>
        <v>memahami unggah-ungguh basa untuk tanya jawab dan menyampaikan ajakan kepada orang lain.</v>
      </c>
      <c r="DB18" s="59" t="str">
        <f>IF(BY18&gt;100,"",IF(BY18&gt;AW$1,"sangat baik dalam "&amp;DA18,IF(BY18&gt;=AW$2,"baik dalam "&amp;DA18,IF(BY18&gt;=AW$3,"cukup dalam "&amp;DA18,IF(BY18&lt;AW$3,"dengan bimbingan dapat meningkatkan  dalam "&amp;DA18,IF(BY18&lt;1," ",””))))))</f>
        <v>cukup dalam memahami unggah-ungguh basa untuk tanya jawab dan menyampaikan ajakan kepada orang lain.</v>
      </c>
      <c r="DC18" s="61"/>
      <c r="DD18" s="62" t="str">
        <f t="shared" si="83"/>
        <v>Ananda Varis cukup dalam memahami  wayang (Ramayana), pakaian tradisional, dan gamelan., cukup dalam memahami unggah-ungguh basa untuk tanya jawab dan menyampaikan ajakan kepada orang lain.</v>
      </c>
      <c r="DE18" s="57" t="str">
        <f t="shared" si="84"/>
        <v/>
      </c>
      <c r="DF18" s="57" t="str">
        <f t="shared" si="85"/>
        <v/>
      </c>
      <c r="DG18" s="57" t="str">
        <f t="shared" si="86"/>
        <v/>
      </c>
      <c r="DH18" s="57"/>
      <c r="DI18" s="57"/>
      <c r="DJ18" s="57"/>
      <c r="DK18" s="59">
        <f t="shared" si="27"/>
        <v>0</v>
      </c>
      <c r="DL18" s="60"/>
      <c r="DM18" s="61"/>
      <c r="DN18" s="62" t="str">
        <f t="shared" si="87"/>
        <v>, 0</v>
      </c>
      <c r="DO18" s="4" t="str">
        <f t="shared" si="88"/>
        <v xml:space="preserve">Menguasai dengan baik memahami teks deskriptif tentang peristiwa alam dan adat istiadat. Menguasai dengan baik memahami tembang macapat Kinanthi, dan geguritan. Menguasai dengan baik memahami  wayang (Ramayana), pakaian tradisional, dan gamelan.        </v>
      </c>
    </row>
    <row r="19" spans="1:119" ht="30">
      <c r="A19" s="39">
        <v>12</v>
      </c>
      <c r="B19" s="283" t="str">
        <f>SISWA!B17</f>
        <v>Oktafiya Duwi Safitri</v>
      </c>
      <c r="C19" s="123">
        <v>75</v>
      </c>
      <c r="D19" s="123">
        <v>82</v>
      </c>
      <c r="E19" s="123">
        <v>75</v>
      </c>
      <c r="F19" s="123">
        <v>80</v>
      </c>
      <c r="G19" s="123"/>
      <c r="H19" s="123"/>
      <c r="I19" s="123"/>
      <c r="J19" s="123"/>
      <c r="K19" s="123"/>
      <c r="L19" s="256">
        <v>75</v>
      </c>
      <c r="M19" s="256">
        <v>80</v>
      </c>
      <c r="N19" s="256">
        <v>75</v>
      </c>
      <c r="O19" s="256">
        <v>78</v>
      </c>
      <c r="P19" s="256"/>
      <c r="Q19" s="256"/>
      <c r="R19" s="256"/>
      <c r="S19" s="256"/>
      <c r="T19" s="256"/>
      <c r="U19" s="260">
        <f t="shared" si="28"/>
        <v>75</v>
      </c>
      <c r="V19" s="260">
        <f t="shared" si="29"/>
        <v>81</v>
      </c>
      <c r="W19" s="260">
        <f t="shared" si="30"/>
        <v>75</v>
      </c>
      <c r="X19" s="260">
        <f t="shared" si="31"/>
        <v>79</v>
      </c>
      <c r="Y19" s="260" t="str">
        <f t="shared" si="32"/>
        <v xml:space="preserve"> </v>
      </c>
      <c r="Z19" s="260" t="str">
        <f t="shared" si="33"/>
        <v xml:space="preserve"> </v>
      </c>
      <c r="AA19" s="260" t="str">
        <f t="shared" si="34"/>
        <v xml:space="preserve"> </v>
      </c>
      <c r="AB19" s="260" t="str">
        <f t="shared" si="35"/>
        <v xml:space="preserve"> </v>
      </c>
      <c r="AC19" s="260" t="str">
        <f t="shared" si="36"/>
        <v xml:space="preserve"> </v>
      </c>
      <c r="AD19" s="547">
        <v>75</v>
      </c>
      <c r="AE19" s="547">
        <v>75</v>
      </c>
      <c r="AF19" s="547"/>
      <c r="AG19" s="547"/>
      <c r="AH19" s="547"/>
      <c r="AI19" s="547"/>
      <c r="AJ19" s="547"/>
      <c r="AK19" s="547"/>
      <c r="AL19" s="547"/>
      <c r="AM19" s="565">
        <v>75</v>
      </c>
      <c r="AN19" s="565">
        <v>75</v>
      </c>
      <c r="AO19" s="565">
        <v>75</v>
      </c>
      <c r="AP19" s="565">
        <v>75</v>
      </c>
      <c r="AQ19" s="565">
        <v>75</v>
      </c>
      <c r="AR19" s="565"/>
      <c r="AS19" s="565"/>
      <c r="AT19" s="565"/>
      <c r="AU19" s="565"/>
      <c r="AV19" s="549">
        <f t="shared" si="37"/>
        <v>76</v>
      </c>
      <c r="AW19" s="291" t="str">
        <f t="shared" si="38"/>
        <v>C</v>
      </c>
      <c r="AX19" s="50" t="str">
        <f t="shared" si="39"/>
        <v>Ananda Fitri cukup dalam memahami tembang macapat Kinanthi, dan geguritan., cukup dalam memahami kata dan kalimat beraksara Jawa yang mengandung  pasangan.</v>
      </c>
      <c r="AY19" s="282"/>
      <c r="AZ19" s="51"/>
      <c r="BA19" s="46">
        <f t="shared" si="40"/>
        <v>75</v>
      </c>
      <c r="BB19" s="46">
        <f t="shared" si="41"/>
        <v>81</v>
      </c>
      <c r="BC19" s="46">
        <f t="shared" si="42"/>
        <v>75</v>
      </c>
      <c r="BD19" s="46">
        <f t="shared" si="43"/>
        <v>79</v>
      </c>
      <c r="BE19" s="46" t="str">
        <f t="shared" si="44"/>
        <v xml:space="preserve"> </v>
      </c>
      <c r="BF19" s="46" t="str">
        <f t="shared" si="45"/>
        <v xml:space="preserve"> </v>
      </c>
      <c r="BG19" s="46" t="str">
        <f t="shared" si="46"/>
        <v xml:space="preserve"> </v>
      </c>
      <c r="BH19" s="46" t="str">
        <f t="shared" si="47"/>
        <v xml:space="preserve"> </v>
      </c>
      <c r="BI19" s="46" t="str">
        <f t="shared" si="48"/>
        <v xml:space="preserve"> </v>
      </c>
      <c r="BJ19" s="46"/>
      <c r="BK19" s="52" t="e">
        <f>[2]uts!#REF!</f>
        <v>#REF!</v>
      </c>
      <c r="BL19" s="51"/>
      <c r="BM19" s="53">
        <f t="shared" si="49"/>
        <v>75</v>
      </c>
      <c r="BN19" s="53">
        <f t="shared" si="50"/>
        <v>78</v>
      </c>
      <c r="BO19" s="53">
        <f t="shared" si="51"/>
        <v>75</v>
      </c>
      <c r="BP19" s="53">
        <f t="shared" si="52"/>
        <v>77.666666666666671</v>
      </c>
      <c r="BQ19" s="53">
        <f t="shared" si="53"/>
        <v>75</v>
      </c>
      <c r="BR19" s="53" t="str">
        <f t="shared" si="54"/>
        <v xml:space="preserve">  </v>
      </c>
      <c r="BS19" s="53" t="str">
        <f t="shared" si="55"/>
        <v xml:space="preserve">  </v>
      </c>
      <c r="BT19" s="53" t="str">
        <f t="shared" si="56"/>
        <v xml:space="preserve">  </v>
      </c>
      <c r="BU19" s="53" t="str">
        <f t="shared" si="57"/>
        <v xml:space="preserve">  </v>
      </c>
      <c r="BV19" s="53"/>
      <c r="BW19" s="54">
        <f t="shared" si="58"/>
        <v>76</v>
      </c>
      <c r="BX19" s="55">
        <f t="shared" si="59"/>
        <v>78</v>
      </c>
      <c r="BY19" s="55">
        <f t="shared" si="60"/>
        <v>75</v>
      </c>
      <c r="BZ19" s="51" t="str">
        <f>SISWA!E17</f>
        <v>Fitri</v>
      </c>
      <c r="CA19" s="51" t="str">
        <f t="shared" si="61"/>
        <v xml:space="preserve">Ananda Fitri </v>
      </c>
      <c r="CB19" s="56" t="str">
        <f t="shared" si="62"/>
        <v/>
      </c>
      <c r="CC19" s="56">
        <f t="shared" si="63"/>
        <v>78</v>
      </c>
      <c r="CD19" s="56" t="str">
        <f t="shared" si="64"/>
        <v/>
      </c>
      <c r="CE19" s="56" t="str">
        <f t="shared" si="65"/>
        <v/>
      </c>
      <c r="CF19" s="56" t="str">
        <f t="shared" si="66"/>
        <v/>
      </c>
      <c r="CG19" s="56" t="str">
        <f t="shared" si="67"/>
        <v/>
      </c>
      <c r="CH19" s="56" t="str">
        <f t="shared" si="68"/>
        <v/>
      </c>
      <c r="CI19" s="56" t="str">
        <f t="shared" si="69"/>
        <v/>
      </c>
      <c r="CJ19" s="56" t="str">
        <f t="shared" si="70"/>
        <v/>
      </c>
      <c r="CK19" s="57"/>
      <c r="CL19" s="58">
        <f t="shared" si="71"/>
        <v>78</v>
      </c>
      <c r="CM19" s="55" t="str">
        <f t="shared" si="72"/>
        <v>memahami tembang macapat Kinanthi, dan geguritan.</v>
      </c>
      <c r="CN19" s="58"/>
      <c r="CO19" s="59" t="str">
        <f>IF(BX19&gt;100,"",IF(BX19&gt;AW$1,"sangat baik dalam "&amp;CM19,IF(BX19&gt;=AW$2,"baik dalam "&amp;CM19,IF(BX19&gt;=AW$3,"cukup dalam "&amp;CM19,IF(BX19&lt;AW$3,"dengan bimbingan dapat meningkatkan dalam "&amp;CM19,IF(BX19&lt;1," ",””))))))</f>
        <v>cukup dalam memahami tembang macapat Kinanthi, dan geguritan.</v>
      </c>
      <c r="CP19" s="58"/>
      <c r="CQ19" s="57">
        <f t="shared" si="73"/>
        <v>75</v>
      </c>
      <c r="CR19" s="57" t="str">
        <f t="shared" si="74"/>
        <v/>
      </c>
      <c r="CS19" s="57">
        <f t="shared" si="75"/>
        <v>75</v>
      </c>
      <c r="CT19" s="57" t="str">
        <f t="shared" si="76"/>
        <v/>
      </c>
      <c r="CU19" s="57">
        <f t="shared" si="77"/>
        <v>75</v>
      </c>
      <c r="CV19" s="57" t="str">
        <f t="shared" si="78"/>
        <v/>
      </c>
      <c r="CW19" s="57" t="str">
        <f t="shared" si="79"/>
        <v/>
      </c>
      <c r="CX19" s="57" t="str">
        <f t="shared" si="80"/>
        <v/>
      </c>
      <c r="CY19" s="57" t="str">
        <f t="shared" si="81"/>
        <v/>
      </c>
      <c r="CZ19" s="57"/>
      <c r="DA19" s="59" t="str">
        <f t="shared" si="82"/>
        <v>memahami kata dan kalimat beraksara Jawa yang mengandung  pasangan.</v>
      </c>
      <c r="DB19" s="59" t="str">
        <f>IF(BY19&gt;100,"",IF(BY19&gt;AW$1,"sangat baik dalam "&amp;DA19,IF(BY19&gt;=AW$2,"baik dalam "&amp;DA19,IF(BY19&gt;=AW$3,"cukup dalam "&amp;DA19,IF(BY19&lt;AW$3,"dengan bimbingan dapat meningkatkan  dalam "&amp;DA19,IF(BY19&lt;1," ",””))))))</f>
        <v>cukup dalam memahami kata dan kalimat beraksara Jawa yang mengandung  pasangan.</v>
      </c>
      <c r="DC19" s="61"/>
      <c r="DD19" s="62" t="str">
        <f t="shared" si="83"/>
        <v>Ananda Fitri cukup dalam memahami tembang macapat Kinanthi, dan geguritan., cukup dalam memahami kata dan kalimat beraksara Jawa yang mengandung  pasangan.</v>
      </c>
      <c r="DE19" s="57" t="str">
        <f t="shared" si="84"/>
        <v/>
      </c>
      <c r="DF19" s="57" t="str">
        <f t="shared" si="85"/>
        <v/>
      </c>
      <c r="DG19" s="57" t="str">
        <f t="shared" si="86"/>
        <v/>
      </c>
      <c r="DH19" s="57"/>
      <c r="DI19" s="57"/>
      <c r="DJ19" s="57"/>
      <c r="DK19" s="59">
        <f t="shared" si="27"/>
        <v>0</v>
      </c>
      <c r="DL19" s="60"/>
      <c r="DM19" s="61"/>
      <c r="DN19" s="62" t="str">
        <f t="shared" si="87"/>
        <v>, 0</v>
      </c>
      <c r="DO19" s="4" t="str">
        <f t="shared" si="88"/>
        <v xml:space="preserve">Menguasai dengan baik memahami teks deskriptif tentang peristiwa alam dan adat istiadat. Menguasai dengan baik memahami tembang macapat Kinanthi, dan geguritan. Menguasai dengan baik memahami  wayang (Ramayana), pakaian tradisional, dan gamelan.       Menguasai dengan baik </v>
      </c>
    </row>
    <row r="20" spans="1:119" ht="30">
      <c r="A20" s="39">
        <v>13</v>
      </c>
      <c r="B20" s="283" t="str">
        <f>SISWA!B18</f>
        <v>Prastika Guntur Firmansyah</v>
      </c>
      <c r="C20" s="123">
        <v>80</v>
      </c>
      <c r="D20" s="123">
        <v>80</v>
      </c>
      <c r="E20" s="123">
        <v>75</v>
      </c>
      <c r="F20" s="123">
        <v>80</v>
      </c>
      <c r="G20" s="123"/>
      <c r="H20" s="123"/>
      <c r="I20" s="123"/>
      <c r="J20" s="123"/>
      <c r="K20" s="123"/>
      <c r="L20" s="256">
        <v>80</v>
      </c>
      <c r="M20" s="256">
        <v>80</v>
      </c>
      <c r="N20" s="256">
        <v>75</v>
      </c>
      <c r="O20" s="256">
        <v>78</v>
      </c>
      <c r="P20" s="256"/>
      <c r="Q20" s="256"/>
      <c r="R20" s="256"/>
      <c r="S20" s="256"/>
      <c r="T20" s="256"/>
      <c r="U20" s="260">
        <f t="shared" si="28"/>
        <v>80</v>
      </c>
      <c r="V20" s="260">
        <f t="shared" si="29"/>
        <v>80</v>
      </c>
      <c r="W20" s="260">
        <f t="shared" si="30"/>
        <v>75</v>
      </c>
      <c r="X20" s="260">
        <f t="shared" si="31"/>
        <v>79</v>
      </c>
      <c r="Y20" s="260" t="str">
        <f t="shared" si="32"/>
        <v xml:space="preserve"> </v>
      </c>
      <c r="Z20" s="260" t="str">
        <f t="shared" si="33"/>
        <v xml:space="preserve"> </v>
      </c>
      <c r="AA20" s="260" t="str">
        <f t="shared" si="34"/>
        <v xml:space="preserve"> </v>
      </c>
      <c r="AB20" s="260" t="str">
        <f t="shared" si="35"/>
        <v xml:space="preserve"> </v>
      </c>
      <c r="AC20" s="260" t="str">
        <f t="shared" si="36"/>
        <v xml:space="preserve"> </v>
      </c>
      <c r="AD20" s="547">
        <v>75</v>
      </c>
      <c r="AE20" s="547">
        <v>75</v>
      </c>
      <c r="AF20" s="547"/>
      <c r="AG20" s="547"/>
      <c r="AH20" s="547"/>
      <c r="AI20" s="547"/>
      <c r="AJ20" s="547"/>
      <c r="AK20" s="547"/>
      <c r="AL20" s="547"/>
      <c r="AM20" s="565">
        <v>85</v>
      </c>
      <c r="AN20" s="565">
        <v>75</v>
      </c>
      <c r="AO20" s="565">
        <v>75</v>
      </c>
      <c r="AP20" s="565">
        <v>75</v>
      </c>
      <c r="AQ20" s="565">
        <v>78</v>
      </c>
      <c r="AR20" s="565"/>
      <c r="AS20" s="565"/>
      <c r="AT20" s="565"/>
      <c r="AU20" s="565"/>
      <c r="AV20" s="549">
        <f t="shared" si="37"/>
        <v>78</v>
      </c>
      <c r="AW20" s="291" t="str">
        <f t="shared" si="38"/>
        <v>C</v>
      </c>
      <c r="AX20" s="50" t="str">
        <f t="shared" si="39"/>
        <v>Ananda Pras cukup dalam memahami teks deskriptif tentang peristiwa alam dan adat istiadat., cukup dalam memahami  wayang (Ramayana), pakaian tradisional, dan gamelan.</v>
      </c>
      <c r="AY20" s="282"/>
      <c r="AZ20" s="51"/>
      <c r="BA20" s="46">
        <f t="shared" si="40"/>
        <v>80</v>
      </c>
      <c r="BB20" s="46">
        <f t="shared" si="41"/>
        <v>80</v>
      </c>
      <c r="BC20" s="46">
        <f t="shared" si="42"/>
        <v>75</v>
      </c>
      <c r="BD20" s="46">
        <f t="shared" si="43"/>
        <v>79</v>
      </c>
      <c r="BE20" s="46" t="str">
        <f t="shared" si="44"/>
        <v xml:space="preserve"> </v>
      </c>
      <c r="BF20" s="46" t="str">
        <f t="shared" si="45"/>
        <v xml:space="preserve"> </v>
      </c>
      <c r="BG20" s="46" t="str">
        <f t="shared" si="46"/>
        <v xml:space="preserve"> </v>
      </c>
      <c r="BH20" s="46" t="str">
        <f t="shared" si="47"/>
        <v xml:space="preserve"> </v>
      </c>
      <c r="BI20" s="46" t="str">
        <f t="shared" si="48"/>
        <v xml:space="preserve"> </v>
      </c>
      <c r="BJ20" s="46"/>
      <c r="BK20" s="52" t="e">
        <f>[2]uts!#REF!</f>
        <v>#REF!</v>
      </c>
      <c r="BL20" s="51"/>
      <c r="BM20" s="53">
        <f t="shared" si="49"/>
        <v>80</v>
      </c>
      <c r="BN20" s="53">
        <f t="shared" si="50"/>
        <v>77.5</v>
      </c>
      <c r="BO20" s="53">
        <f t="shared" si="51"/>
        <v>75</v>
      </c>
      <c r="BP20" s="53">
        <f t="shared" si="52"/>
        <v>77.666666666666671</v>
      </c>
      <c r="BQ20" s="53">
        <f t="shared" si="53"/>
        <v>78</v>
      </c>
      <c r="BR20" s="53" t="str">
        <f t="shared" si="54"/>
        <v xml:space="preserve">  </v>
      </c>
      <c r="BS20" s="53" t="str">
        <f t="shared" si="55"/>
        <v xml:space="preserve">  </v>
      </c>
      <c r="BT20" s="53" t="str">
        <f t="shared" si="56"/>
        <v xml:space="preserve">  </v>
      </c>
      <c r="BU20" s="53" t="str">
        <f t="shared" si="57"/>
        <v xml:space="preserve">  </v>
      </c>
      <c r="BV20" s="53"/>
      <c r="BW20" s="54">
        <f t="shared" si="58"/>
        <v>78</v>
      </c>
      <c r="BX20" s="55">
        <f t="shared" si="59"/>
        <v>80</v>
      </c>
      <c r="BY20" s="55">
        <f t="shared" si="60"/>
        <v>75</v>
      </c>
      <c r="BZ20" s="51" t="str">
        <f>SISWA!E18</f>
        <v>Pras</v>
      </c>
      <c r="CA20" s="51" t="str">
        <f t="shared" si="61"/>
        <v xml:space="preserve">Ananda Pras </v>
      </c>
      <c r="CB20" s="56">
        <f t="shared" si="62"/>
        <v>80</v>
      </c>
      <c r="CC20" s="56" t="str">
        <f t="shared" si="63"/>
        <v/>
      </c>
      <c r="CD20" s="56" t="str">
        <f t="shared" si="64"/>
        <v/>
      </c>
      <c r="CE20" s="56" t="str">
        <f t="shared" si="65"/>
        <v/>
      </c>
      <c r="CF20" s="56" t="str">
        <f t="shared" si="66"/>
        <v/>
      </c>
      <c r="CG20" s="56" t="str">
        <f t="shared" si="67"/>
        <v/>
      </c>
      <c r="CH20" s="56" t="str">
        <f t="shared" si="68"/>
        <v/>
      </c>
      <c r="CI20" s="56" t="str">
        <f t="shared" si="69"/>
        <v/>
      </c>
      <c r="CJ20" s="56" t="str">
        <f t="shared" si="70"/>
        <v/>
      </c>
      <c r="CK20" s="57"/>
      <c r="CL20" s="58">
        <f t="shared" si="71"/>
        <v>80</v>
      </c>
      <c r="CM20" s="55" t="str">
        <f t="shared" si="72"/>
        <v>memahami teks deskriptif tentang peristiwa alam dan adat istiadat.</v>
      </c>
      <c r="CN20" s="58"/>
      <c r="CO20" s="59" t="str">
        <f>IF(BX20&gt;100,"",IF(BX20&gt;AW$1,"sangat baik dalam "&amp;CM20,IF(BX20&gt;=AW$2,"baik dalam "&amp;CM20,IF(BX20&gt;=AW$3,"cukup dalam "&amp;CM20,IF(BX20&lt;AW$3,"dengan bimbingan dapat meningkatkan dalam "&amp;CM20,IF(BX20&lt;1," ",””))))))</f>
        <v>cukup dalam memahami teks deskriptif tentang peristiwa alam dan adat istiadat.</v>
      </c>
      <c r="CP20" s="58"/>
      <c r="CQ20" s="57" t="str">
        <f t="shared" si="73"/>
        <v/>
      </c>
      <c r="CR20" s="57" t="str">
        <f t="shared" si="74"/>
        <v/>
      </c>
      <c r="CS20" s="57">
        <f t="shared" si="75"/>
        <v>75</v>
      </c>
      <c r="CT20" s="57" t="str">
        <f t="shared" si="76"/>
        <v/>
      </c>
      <c r="CU20" s="57" t="str">
        <f t="shared" si="77"/>
        <v/>
      </c>
      <c r="CV20" s="57" t="str">
        <f t="shared" si="78"/>
        <v/>
      </c>
      <c r="CW20" s="57" t="str">
        <f t="shared" si="79"/>
        <v/>
      </c>
      <c r="CX20" s="57" t="str">
        <f t="shared" si="80"/>
        <v/>
      </c>
      <c r="CY20" s="57" t="str">
        <f t="shared" si="81"/>
        <v/>
      </c>
      <c r="CZ20" s="57"/>
      <c r="DA20" s="59" t="str">
        <f t="shared" si="82"/>
        <v>memahami  wayang (Ramayana), pakaian tradisional, dan gamelan.</v>
      </c>
      <c r="DB20" s="59" t="str">
        <f>IF(BY20&gt;100,"",IF(BY20&gt;AW$1,"sangat baik dalam "&amp;DA20,IF(BY20&gt;=AW$2,"baik dalam "&amp;DA20,IF(BY20&gt;=AW$3,"cukup dalam "&amp;DA20,IF(BY20&lt;AW$3,"dengan bimbingan dapat meningkatkan  dalam "&amp;DA20,IF(BY20&lt;1," ",””))))))</f>
        <v>cukup dalam memahami  wayang (Ramayana), pakaian tradisional, dan gamelan.</v>
      </c>
      <c r="DC20" s="61"/>
      <c r="DD20" s="62" t="str">
        <f t="shared" si="83"/>
        <v>Ananda Pras cukup dalam memahami teks deskriptif tentang peristiwa alam dan adat istiadat., cukup dalam memahami  wayang (Ramayana), pakaian tradisional, dan gamelan.</v>
      </c>
      <c r="DE20" s="57" t="str">
        <f t="shared" si="84"/>
        <v/>
      </c>
      <c r="DF20" s="57" t="str">
        <f t="shared" si="85"/>
        <v/>
      </c>
      <c r="DG20" s="57" t="str">
        <f t="shared" si="86"/>
        <v/>
      </c>
      <c r="DH20" s="57"/>
      <c r="DI20" s="57"/>
      <c r="DJ20" s="57"/>
      <c r="DK20" s="59">
        <f t="shared" si="27"/>
        <v>0</v>
      </c>
      <c r="DL20" s="60"/>
      <c r="DM20" s="61"/>
      <c r="DN20" s="62" t="str">
        <f t="shared" si="87"/>
        <v>, 0</v>
      </c>
      <c r="DO20" s="4" t="str">
        <f t="shared" si="88"/>
        <v xml:space="preserve">Menguasai dengan baik memahami teks deskriptif tentang peristiwa alam dan adat istiadat. Cukup pandai memahami tembang macapat Kinanthi, dan geguritan. Menguasai dengan baik memahami  wayang (Ramayana), pakaian tradisional, dan gamelan.     Cukup pandai   </v>
      </c>
    </row>
    <row r="21" spans="1:119" ht="30">
      <c r="A21" s="39">
        <v>14</v>
      </c>
      <c r="B21" s="283" t="str">
        <f>SISWA!B19</f>
        <v>Siti Musyafiani</v>
      </c>
      <c r="C21" s="123">
        <v>90</v>
      </c>
      <c r="D21" s="123">
        <v>75</v>
      </c>
      <c r="E21" s="123">
        <v>80</v>
      </c>
      <c r="F21" s="123">
        <v>75</v>
      </c>
      <c r="G21" s="123"/>
      <c r="H21" s="123"/>
      <c r="I21" s="123"/>
      <c r="J21" s="123"/>
      <c r="K21" s="123"/>
      <c r="L21" s="256">
        <v>100</v>
      </c>
      <c r="M21" s="256">
        <v>75</v>
      </c>
      <c r="N21" s="256">
        <v>80</v>
      </c>
      <c r="O21" s="256">
        <v>78</v>
      </c>
      <c r="P21" s="256"/>
      <c r="Q21" s="256"/>
      <c r="R21" s="256"/>
      <c r="S21" s="256"/>
      <c r="T21" s="256"/>
      <c r="U21" s="260">
        <f t="shared" si="28"/>
        <v>95</v>
      </c>
      <c r="V21" s="260">
        <f t="shared" si="29"/>
        <v>75</v>
      </c>
      <c r="W21" s="260">
        <f t="shared" si="30"/>
        <v>80</v>
      </c>
      <c r="X21" s="260">
        <f t="shared" si="31"/>
        <v>76.5</v>
      </c>
      <c r="Y21" s="260" t="str">
        <f t="shared" si="32"/>
        <v xml:space="preserve"> </v>
      </c>
      <c r="Z21" s="260" t="str">
        <f t="shared" si="33"/>
        <v xml:space="preserve"> </v>
      </c>
      <c r="AA21" s="260" t="str">
        <f t="shared" si="34"/>
        <v xml:space="preserve"> </v>
      </c>
      <c r="AB21" s="260" t="str">
        <f t="shared" si="35"/>
        <v xml:space="preserve"> </v>
      </c>
      <c r="AC21" s="260" t="str">
        <f t="shared" si="36"/>
        <v xml:space="preserve"> </v>
      </c>
      <c r="AD21" s="547">
        <v>75</v>
      </c>
      <c r="AE21" s="547">
        <v>75</v>
      </c>
      <c r="AF21" s="547"/>
      <c r="AG21" s="547"/>
      <c r="AH21" s="547"/>
      <c r="AI21" s="547"/>
      <c r="AJ21" s="547"/>
      <c r="AK21" s="547"/>
      <c r="AL21" s="547"/>
      <c r="AM21" s="565">
        <v>75</v>
      </c>
      <c r="AN21" s="565">
        <v>75</v>
      </c>
      <c r="AO21" s="565">
        <v>75</v>
      </c>
      <c r="AP21" s="565">
        <v>75</v>
      </c>
      <c r="AQ21" s="565">
        <v>75</v>
      </c>
      <c r="AR21" s="565"/>
      <c r="AS21" s="565"/>
      <c r="AT21" s="565"/>
      <c r="AU21" s="565"/>
      <c r="AV21" s="549">
        <f t="shared" si="37"/>
        <v>78</v>
      </c>
      <c r="AW21" s="291" t="str">
        <f t="shared" si="38"/>
        <v>C</v>
      </c>
      <c r="AX21" s="50" t="str">
        <f t="shared" si="39"/>
        <v>Ananda Fifi baik dalam memahami teks deskriptif tentang peristiwa alam dan adat istiadat., cukup dalam memahami kata dan kalimat beraksara Jawa yang mengandung  pasangan.</v>
      </c>
      <c r="AY21" s="282"/>
      <c r="AZ21" s="51"/>
      <c r="BA21" s="46">
        <f t="shared" si="40"/>
        <v>95</v>
      </c>
      <c r="BB21" s="46">
        <f t="shared" si="41"/>
        <v>75</v>
      </c>
      <c r="BC21" s="46">
        <f t="shared" si="42"/>
        <v>80</v>
      </c>
      <c r="BD21" s="46">
        <f t="shared" si="43"/>
        <v>76.5</v>
      </c>
      <c r="BE21" s="46" t="str">
        <f t="shared" si="44"/>
        <v xml:space="preserve"> </v>
      </c>
      <c r="BF21" s="46" t="str">
        <f t="shared" si="45"/>
        <v xml:space="preserve"> </v>
      </c>
      <c r="BG21" s="46" t="str">
        <f t="shared" si="46"/>
        <v xml:space="preserve"> </v>
      </c>
      <c r="BH21" s="46" t="str">
        <f t="shared" si="47"/>
        <v xml:space="preserve"> </v>
      </c>
      <c r="BI21" s="46" t="str">
        <f t="shared" si="48"/>
        <v xml:space="preserve"> </v>
      </c>
      <c r="BJ21" s="46"/>
      <c r="BK21" s="52" t="e">
        <f>[2]uts!#REF!</f>
        <v>#REF!</v>
      </c>
      <c r="BL21" s="51"/>
      <c r="BM21" s="53">
        <f t="shared" si="49"/>
        <v>85</v>
      </c>
      <c r="BN21" s="53">
        <f t="shared" si="50"/>
        <v>75</v>
      </c>
      <c r="BO21" s="53">
        <f t="shared" si="51"/>
        <v>78.333333333333329</v>
      </c>
      <c r="BP21" s="53">
        <f t="shared" si="52"/>
        <v>76</v>
      </c>
      <c r="BQ21" s="53">
        <f t="shared" si="53"/>
        <v>75</v>
      </c>
      <c r="BR21" s="53" t="str">
        <f t="shared" si="54"/>
        <v xml:space="preserve">  </v>
      </c>
      <c r="BS21" s="53" t="str">
        <f t="shared" si="55"/>
        <v xml:space="preserve">  </v>
      </c>
      <c r="BT21" s="53" t="str">
        <f t="shared" si="56"/>
        <v xml:space="preserve">  </v>
      </c>
      <c r="BU21" s="53" t="str">
        <f t="shared" si="57"/>
        <v xml:space="preserve">  </v>
      </c>
      <c r="BV21" s="53"/>
      <c r="BW21" s="54">
        <f t="shared" si="58"/>
        <v>78</v>
      </c>
      <c r="BX21" s="55">
        <f t="shared" si="59"/>
        <v>85</v>
      </c>
      <c r="BY21" s="55">
        <f t="shared" si="60"/>
        <v>75</v>
      </c>
      <c r="BZ21" s="51" t="str">
        <f>SISWA!E19</f>
        <v>Fifi</v>
      </c>
      <c r="CA21" s="51" t="str">
        <f t="shared" si="61"/>
        <v xml:space="preserve">Ananda Fifi </v>
      </c>
      <c r="CB21" s="56">
        <f t="shared" si="62"/>
        <v>85</v>
      </c>
      <c r="CC21" s="56" t="str">
        <f t="shared" si="63"/>
        <v/>
      </c>
      <c r="CD21" s="56" t="str">
        <f t="shared" si="64"/>
        <v/>
      </c>
      <c r="CE21" s="56" t="str">
        <f t="shared" si="65"/>
        <v/>
      </c>
      <c r="CF21" s="56" t="str">
        <f t="shared" si="66"/>
        <v/>
      </c>
      <c r="CG21" s="56" t="str">
        <f t="shared" si="67"/>
        <v/>
      </c>
      <c r="CH21" s="56" t="str">
        <f t="shared" si="68"/>
        <v/>
      </c>
      <c r="CI21" s="56" t="str">
        <f t="shared" si="69"/>
        <v/>
      </c>
      <c r="CJ21" s="56" t="str">
        <f t="shared" si="70"/>
        <v/>
      </c>
      <c r="CK21" s="57"/>
      <c r="CL21" s="58">
        <f t="shared" si="71"/>
        <v>85</v>
      </c>
      <c r="CM21" s="55" t="str">
        <f t="shared" si="72"/>
        <v>memahami teks deskriptif tentang peristiwa alam dan adat istiadat.</v>
      </c>
      <c r="CN21" s="58"/>
      <c r="CO21" s="59" t="str">
        <f>IF(BX21&gt;100,"",IF(BX21&gt;AW$1,"sangat baik dalam "&amp;CM21,IF(BX21&gt;=AW$2,"baik dalam "&amp;CM21,IF(BX21&gt;=AW$3,"cukup dalam "&amp;CM21,IF(BX21&lt;AW$3,"dengan bimbingan dapat meningkatkan dalam "&amp;CM21,IF(BX21&lt;1," ",””))))))</f>
        <v>baik dalam memahami teks deskriptif tentang peristiwa alam dan adat istiadat.</v>
      </c>
      <c r="CP21" s="58"/>
      <c r="CQ21" s="57" t="str">
        <f t="shared" si="73"/>
        <v/>
      </c>
      <c r="CR21" s="57">
        <f t="shared" si="74"/>
        <v>75</v>
      </c>
      <c r="CS21" s="57" t="str">
        <f t="shared" si="75"/>
        <v/>
      </c>
      <c r="CT21" s="57" t="str">
        <f t="shared" si="76"/>
        <v/>
      </c>
      <c r="CU21" s="57">
        <f t="shared" si="77"/>
        <v>75</v>
      </c>
      <c r="CV21" s="57" t="str">
        <f t="shared" si="78"/>
        <v/>
      </c>
      <c r="CW21" s="57" t="str">
        <f t="shared" si="79"/>
        <v/>
      </c>
      <c r="CX21" s="57" t="str">
        <f t="shared" si="80"/>
        <v/>
      </c>
      <c r="CY21" s="57" t="str">
        <f t="shared" si="81"/>
        <v/>
      </c>
      <c r="CZ21" s="57"/>
      <c r="DA21" s="59" t="str">
        <f t="shared" si="82"/>
        <v>memahami kata dan kalimat beraksara Jawa yang mengandung  pasangan.</v>
      </c>
      <c r="DB21" s="59" t="str">
        <f>IF(BY21&gt;100,"",IF(BY21&gt;AW$1,"sangat baik dalam "&amp;DA21,IF(BY21&gt;=AW$2,"baik dalam "&amp;DA21,IF(BY21&gt;=AW$3,"cukup dalam "&amp;DA21,IF(BY21&lt;AW$3,"dengan bimbingan dapat meningkatkan  dalam "&amp;DA21,IF(BY21&lt;1," ",””))))))</f>
        <v>cukup dalam memahami kata dan kalimat beraksara Jawa yang mengandung  pasangan.</v>
      </c>
      <c r="DC21" s="61"/>
      <c r="DD21" s="62" t="str">
        <f t="shared" si="83"/>
        <v>Ananda Fifi baik dalam memahami teks deskriptif tentang peristiwa alam dan adat istiadat., cukup dalam memahami kata dan kalimat beraksara Jawa yang mengandung  pasangan.</v>
      </c>
      <c r="DE21" s="57" t="str">
        <f t="shared" si="84"/>
        <v/>
      </c>
      <c r="DF21" s="57" t="str">
        <f t="shared" si="85"/>
        <v/>
      </c>
      <c r="DG21" s="57" t="str">
        <f t="shared" si="86"/>
        <v/>
      </c>
      <c r="DH21" s="57"/>
      <c r="DI21" s="57"/>
      <c r="DJ21" s="57"/>
      <c r="DK21" s="59">
        <f t="shared" si="27"/>
        <v>0</v>
      </c>
      <c r="DL21" s="60"/>
      <c r="DM21" s="61"/>
      <c r="DN21" s="62" t="str">
        <f t="shared" si="87"/>
        <v>, 0</v>
      </c>
      <c r="DO21" s="4" t="str">
        <f t="shared" si="88"/>
        <v xml:space="preserve">Menguasai dengan baik memahami teks deskriptif tentang peristiwa alam dan adat istiadat. Cukup pandai memahami tembang macapat Kinanthi, dan geguritan. Menguasai dengan baik memahami  wayang (Ramayana), pakaian tradisional, dan gamelan.     Cukup pandai   </v>
      </c>
    </row>
    <row r="22" spans="1:119" ht="30">
      <c r="A22" s="39">
        <v>15</v>
      </c>
      <c r="B22" s="283" t="str">
        <f>SISWA!B20</f>
        <v>Tegar Arya Pangestu</v>
      </c>
      <c r="C22" s="123">
        <v>80</v>
      </c>
      <c r="D22" s="123">
        <v>75</v>
      </c>
      <c r="E22" s="123">
        <v>80</v>
      </c>
      <c r="F22" s="123">
        <v>85</v>
      </c>
      <c r="G22" s="123"/>
      <c r="H22" s="123"/>
      <c r="I22" s="123"/>
      <c r="J22" s="123"/>
      <c r="K22" s="123"/>
      <c r="L22" s="256">
        <v>80</v>
      </c>
      <c r="M22" s="256">
        <v>78</v>
      </c>
      <c r="N22" s="256">
        <v>75</v>
      </c>
      <c r="O22" s="256">
        <v>80</v>
      </c>
      <c r="P22" s="256"/>
      <c r="Q22" s="256"/>
      <c r="R22" s="256"/>
      <c r="S22" s="256"/>
      <c r="T22" s="256"/>
      <c r="U22" s="260">
        <f t="shared" si="28"/>
        <v>80</v>
      </c>
      <c r="V22" s="260">
        <f t="shared" si="29"/>
        <v>76.5</v>
      </c>
      <c r="W22" s="260">
        <f t="shared" si="30"/>
        <v>77.5</v>
      </c>
      <c r="X22" s="260">
        <f t="shared" si="31"/>
        <v>82.5</v>
      </c>
      <c r="Y22" s="260" t="str">
        <f t="shared" si="32"/>
        <v xml:space="preserve"> </v>
      </c>
      <c r="Z22" s="260" t="str">
        <f t="shared" si="33"/>
        <v xml:space="preserve"> </v>
      </c>
      <c r="AA22" s="260" t="str">
        <f t="shared" si="34"/>
        <v xml:space="preserve"> </v>
      </c>
      <c r="AB22" s="260" t="str">
        <f t="shared" si="35"/>
        <v xml:space="preserve"> </v>
      </c>
      <c r="AC22" s="260" t="str">
        <f t="shared" si="36"/>
        <v xml:space="preserve"> </v>
      </c>
      <c r="AD22" s="547">
        <v>76</v>
      </c>
      <c r="AE22" s="547">
        <v>76</v>
      </c>
      <c r="AF22" s="547"/>
      <c r="AG22" s="547"/>
      <c r="AH22" s="547"/>
      <c r="AI22" s="547"/>
      <c r="AJ22" s="547"/>
      <c r="AK22" s="547"/>
      <c r="AL22" s="547"/>
      <c r="AM22" s="565">
        <v>85</v>
      </c>
      <c r="AN22" s="565">
        <v>75</v>
      </c>
      <c r="AO22" s="565">
        <v>75</v>
      </c>
      <c r="AP22" s="565">
        <v>75</v>
      </c>
      <c r="AQ22" s="565">
        <v>75</v>
      </c>
      <c r="AR22" s="565"/>
      <c r="AS22" s="565"/>
      <c r="AT22" s="565"/>
      <c r="AU22" s="565"/>
      <c r="AV22" s="549">
        <f t="shared" si="37"/>
        <v>78</v>
      </c>
      <c r="AW22" s="291" t="str">
        <f t="shared" si="38"/>
        <v>C</v>
      </c>
      <c r="AX22" s="50" t="str">
        <f t="shared" si="39"/>
        <v>Ananda Tegar cukup dalam memahami teks deskriptif tentang peristiwa alam dan adat istiadat., cukup dalam memahami kata dan kalimat beraksara Jawa yang mengandung  pasangan.</v>
      </c>
      <c r="AY22" s="282"/>
      <c r="AZ22" s="51"/>
      <c r="BA22" s="46">
        <f t="shared" si="40"/>
        <v>80</v>
      </c>
      <c r="BB22" s="46">
        <f t="shared" si="41"/>
        <v>76.5</v>
      </c>
      <c r="BC22" s="46">
        <f t="shared" si="42"/>
        <v>77.5</v>
      </c>
      <c r="BD22" s="46">
        <f t="shared" si="43"/>
        <v>82.5</v>
      </c>
      <c r="BE22" s="46" t="str">
        <f t="shared" si="44"/>
        <v xml:space="preserve"> </v>
      </c>
      <c r="BF22" s="46" t="str">
        <f t="shared" si="45"/>
        <v xml:space="preserve"> </v>
      </c>
      <c r="BG22" s="46" t="str">
        <f t="shared" si="46"/>
        <v xml:space="preserve"> </v>
      </c>
      <c r="BH22" s="46" t="str">
        <f t="shared" si="47"/>
        <v xml:space="preserve"> </v>
      </c>
      <c r="BI22" s="46" t="str">
        <f t="shared" si="48"/>
        <v xml:space="preserve"> </v>
      </c>
      <c r="BJ22" s="46"/>
      <c r="BK22" s="52" t="e">
        <f>[2]uts!#REF!</f>
        <v>#REF!</v>
      </c>
      <c r="BL22" s="51"/>
      <c r="BM22" s="53">
        <f t="shared" si="49"/>
        <v>80.25</v>
      </c>
      <c r="BN22" s="53">
        <f t="shared" si="50"/>
        <v>76</v>
      </c>
      <c r="BO22" s="53">
        <f t="shared" si="51"/>
        <v>76.666666666666671</v>
      </c>
      <c r="BP22" s="53">
        <f t="shared" si="52"/>
        <v>80</v>
      </c>
      <c r="BQ22" s="53">
        <f t="shared" si="53"/>
        <v>75</v>
      </c>
      <c r="BR22" s="53" t="str">
        <f t="shared" si="54"/>
        <v xml:space="preserve">  </v>
      </c>
      <c r="BS22" s="53" t="str">
        <f t="shared" si="55"/>
        <v xml:space="preserve">  </v>
      </c>
      <c r="BT22" s="53" t="str">
        <f t="shared" si="56"/>
        <v xml:space="preserve">  </v>
      </c>
      <c r="BU22" s="53" t="str">
        <f t="shared" si="57"/>
        <v xml:space="preserve">  </v>
      </c>
      <c r="BV22" s="53"/>
      <c r="BW22" s="54">
        <f t="shared" si="58"/>
        <v>78</v>
      </c>
      <c r="BX22" s="55">
        <f t="shared" si="59"/>
        <v>80.25</v>
      </c>
      <c r="BY22" s="55">
        <f t="shared" si="60"/>
        <v>75</v>
      </c>
      <c r="BZ22" s="51" t="str">
        <f>SISWA!E20</f>
        <v>Tegar</v>
      </c>
      <c r="CA22" s="51" t="str">
        <f t="shared" si="61"/>
        <v xml:space="preserve">Ananda Tegar </v>
      </c>
      <c r="CB22" s="56">
        <f t="shared" si="62"/>
        <v>80.25</v>
      </c>
      <c r="CC22" s="56" t="str">
        <f t="shared" si="63"/>
        <v/>
      </c>
      <c r="CD22" s="56" t="str">
        <f t="shared" si="64"/>
        <v/>
      </c>
      <c r="CE22" s="56" t="str">
        <f t="shared" si="65"/>
        <v/>
      </c>
      <c r="CF22" s="56" t="str">
        <f t="shared" si="66"/>
        <v/>
      </c>
      <c r="CG22" s="56" t="str">
        <f t="shared" si="67"/>
        <v/>
      </c>
      <c r="CH22" s="56" t="str">
        <f t="shared" si="68"/>
        <v/>
      </c>
      <c r="CI22" s="56" t="str">
        <f t="shared" si="69"/>
        <v/>
      </c>
      <c r="CJ22" s="56" t="str">
        <f t="shared" si="70"/>
        <v/>
      </c>
      <c r="CK22" s="57"/>
      <c r="CL22" s="58">
        <f t="shared" si="71"/>
        <v>80.25</v>
      </c>
      <c r="CM22" s="55" t="str">
        <f t="shared" si="72"/>
        <v>memahami teks deskriptif tentang peristiwa alam dan adat istiadat.</v>
      </c>
      <c r="CN22" s="58"/>
      <c r="CO22" s="59" t="str">
        <f>IF(BX22&gt;100,"",IF(BX22&gt;AW$1,"sangat baik dalam "&amp;CM22,IF(BX22&gt;=AW$2,"baik dalam "&amp;CM22,IF(BX22&gt;=AW$3,"cukup dalam "&amp;CM22,IF(BX22&lt;AW$3,"dengan bimbingan dapat meningkatkan dalam "&amp;CM22,IF(BX22&lt;1," ",””))))))</f>
        <v>cukup dalam memahami teks deskriptif tentang peristiwa alam dan adat istiadat.</v>
      </c>
      <c r="CP22" s="58"/>
      <c r="CQ22" s="57" t="str">
        <f t="shared" si="73"/>
        <v/>
      </c>
      <c r="CR22" s="57" t="str">
        <f t="shared" si="74"/>
        <v/>
      </c>
      <c r="CS22" s="57" t="str">
        <f t="shared" si="75"/>
        <v/>
      </c>
      <c r="CT22" s="57" t="str">
        <f t="shared" si="76"/>
        <v/>
      </c>
      <c r="CU22" s="57">
        <f t="shared" si="77"/>
        <v>75</v>
      </c>
      <c r="CV22" s="57" t="str">
        <f t="shared" si="78"/>
        <v/>
      </c>
      <c r="CW22" s="57" t="str">
        <f t="shared" si="79"/>
        <v/>
      </c>
      <c r="CX22" s="57" t="str">
        <f t="shared" si="80"/>
        <v/>
      </c>
      <c r="CY22" s="57" t="str">
        <f t="shared" si="81"/>
        <v/>
      </c>
      <c r="CZ22" s="57"/>
      <c r="DA22" s="59" t="str">
        <f t="shared" si="82"/>
        <v>memahami kata dan kalimat beraksara Jawa yang mengandung  pasangan.</v>
      </c>
      <c r="DB22" s="59" t="str">
        <f>IF(BY22&gt;100,"",IF(BY22&gt;AW$1,"sangat baik dalam "&amp;DA22,IF(BY22&gt;=AW$2,"baik dalam "&amp;DA22,IF(BY22&gt;=AW$3,"cukup dalam "&amp;DA22,IF(BY22&lt;AW$3,"dengan bimbingan dapat meningkatkan  dalam "&amp;DA22,IF(BY22&lt;1," ",””))))))</f>
        <v>cukup dalam memahami kata dan kalimat beraksara Jawa yang mengandung  pasangan.</v>
      </c>
      <c r="DC22" s="61"/>
      <c r="DD22" s="62" t="str">
        <f t="shared" si="83"/>
        <v>Ananda Tegar cukup dalam memahami teks deskriptif tentang peristiwa alam dan adat istiadat., cukup dalam memahami kata dan kalimat beraksara Jawa yang mengandung  pasangan.</v>
      </c>
      <c r="DE22" s="57" t="str">
        <f t="shared" si="84"/>
        <v/>
      </c>
      <c r="DF22" s="57" t="str">
        <f t="shared" si="85"/>
        <v/>
      </c>
      <c r="DG22" s="57" t="str">
        <f t="shared" si="86"/>
        <v/>
      </c>
      <c r="DH22" s="57"/>
      <c r="DI22" s="57"/>
      <c r="DJ22" s="57"/>
      <c r="DK22" s="59">
        <f t="shared" si="27"/>
        <v>0</v>
      </c>
      <c r="DL22" s="60"/>
      <c r="DM22" s="61"/>
      <c r="DN22" s="62" t="str">
        <f t="shared" si="87"/>
        <v>, 0</v>
      </c>
      <c r="DO22" s="4" t="str">
        <f t="shared" si="88"/>
        <v xml:space="preserve">Menguasai dengan baik memahami teks deskriptif tentang peristiwa alam dan adat istiadat. Cukup pandai memahami tembang macapat Kinanthi, dan geguritan. Menguasai dengan baik memahami  wayang (Ramayana), pakaian tradisional, dan gamelan.     Cukup pandai   </v>
      </c>
    </row>
    <row r="23" spans="1:119">
      <c r="A23" s="39">
        <v>16</v>
      </c>
      <c r="B23" s="283">
        <f>SISWA!B21</f>
        <v>0</v>
      </c>
      <c r="C23" s="123"/>
      <c r="D23" s="123"/>
      <c r="E23" s="123"/>
      <c r="F23" s="123"/>
      <c r="G23" s="123"/>
      <c r="H23" s="123"/>
      <c r="I23" s="123"/>
      <c r="J23" s="123"/>
      <c r="K23" s="123"/>
      <c r="L23" s="256"/>
      <c r="M23" s="256"/>
      <c r="N23" s="256"/>
      <c r="O23" s="256"/>
      <c r="P23" s="256"/>
      <c r="Q23" s="256"/>
      <c r="R23" s="256"/>
      <c r="S23" s="256"/>
      <c r="T23" s="256"/>
      <c r="U23" s="260" t="str">
        <f t="shared" si="28"/>
        <v xml:space="preserve"> </v>
      </c>
      <c r="V23" s="260" t="str">
        <f t="shared" si="29"/>
        <v xml:space="preserve"> </v>
      </c>
      <c r="W23" s="260" t="str">
        <f t="shared" si="30"/>
        <v xml:space="preserve"> </v>
      </c>
      <c r="X23" s="260" t="str">
        <f t="shared" si="31"/>
        <v xml:space="preserve"> </v>
      </c>
      <c r="Y23" s="260" t="str">
        <f t="shared" si="32"/>
        <v xml:space="preserve"> </v>
      </c>
      <c r="Z23" s="260" t="str">
        <f t="shared" si="33"/>
        <v xml:space="preserve"> </v>
      </c>
      <c r="AA23" s="260" t="str">
        <f t="shared" si="34"/>
        <v xml:space="preserve"> </v>
      </c>
      <c r="AB23" s="260" t="str">
        <f t="shared" si="35"/>
        <v xml:space="preserve"> </v>
      </c>
      <c r="AC23" s="260" t="str">
        <f t="shared" si="36"/>
        <v xml:space="preserve"> </v>
      </c>
      <c r="AD23" s="547"/>
      <c r="AE23" s="547"/>
      <c r="AF23" s="547"/>
      <c r="AG23" s="547"/>
      <c r="AH23" s="547"/>
      <c r="AI23" s="547"/>
      <c r="AJ23" s="547"/>
      <c r="AK23" s="547"/>
      <c r="AL23" s="547"/>
      <c r="AM23" s="565"/>
      <c r="AN23" s="565"/>
      <c r="AO23" s="565"/>
      <c r="AP23" s="565"/>
      <c r="AQ23" s="565"/>
      <c r="AR23" s="565"/>
      <c r="AS23" s="565"/>
      <c r="AT23" s="565"/>
      <c r="AU23" s="565"/>
      <c r="AV23" s="549" t="str">
        <f t="shared" si="37"/>
        <v xml:space="preserve"> </v>
      </c>
      <c r="AW23" s="291" t="str">
        <f t="shared" si="38"/>
        <v xml:space="preserve">  </v>
      </c>
      <c r="AX23" s="50" t="str">
        <f t="shared" si="39"/>
        <v xml:space="preserve"> </v>
      </c>
      <c r="AY23" s="282"/>
      <c r="AZ23" s="51"/>
      <c r="BA23" s="46" t="str">
        <f t="shared" si="40"/>
        <v xml:space="preserve"> </v>
      </c>
      <c r="BB23" s="46" t="str">
        <f t="shared" si="41"/>
        <v xml:space="preserve"> </v>
      </c>
      <c r="BC23" s="46" t="str">
        <f t="shared" si="42"/>
        <v xml:space="preserve"> </v>
      </c>
      <c r="BD23" s="46" t="str">
        <f t="shared" si="43"/>
        <v xml:space="preserve"> </v>
      </c>
      <c r="BE23" s="46" t="str">
        <f t="shared" si="44"/>
        <v xml:space="preserve"> </v>
      </c>
      <c r="BF23" s="46" t="str">
        <f t="shared" si="45"/>
        <v xml:space="preserve"> </v>
      </c>
      <c r="BG23" s="46" t="str">
        <f t="shared" si="46"/>
        <v xml:space="preserve"> </v>
      </c>
      <c r="BH23" s="46" t="str">
        <f t="shared" si="47"/>
        <v xml:space="preserve"> </v>
      </c>
      <c r="BI23" s="46" t="str">
        <f t="shared" si="48"/>
        <v xml:space="preserve"> </v>
      </c>
      <c r="BJ23" s="46"/>
      <c r="BK23" s="52" t="e">
        <f>[2]uts!#REF!</f>
        <v>#REF!</v>
      </c>
      <c r="BL23" s="51"/>
      <c r="BM23" s="53" t="str">
        <f t="shared" si="49"/>
        <v xml:space="preserve">  </v>
      </c>
      <c r="BN23" s="53" t="str">
        <f t="shared" si="50"/>
        <v xml:space="preserve">  </v>
      </c>
      <c r="BO23" s="53" t="str">
        <f t="shared" si="51"/>
        <v xml:space="preserve">  </v>
      </c>
      <c r="BP23" s="53" t="str">
        <f t="shared" si="52"/>
        <v xml:space="preserve">  </v>
      </c>
      <c r="BQ23" s="53" t="str">
        <f t="shared" si="53"/>
        <v xml:space="preserve">  </v>
      </c>
      <c r="BR23" s="53" t="str">
        <f t="shared" si="54"/>
        <v xml:space="preserve">  </v>
      </c>
      <c r="BS23" s="53" t="str">
        <f t="shared" si="55"/>
        <v xml:space="preserve">  </v>
      </c>
      <c r="BT23" s="53" t="str">
        <f t="shared" si="56"/>
        <v xml:space="preserve">  </v>
      </c>
      <c r="BU23" s="53" t="str">
        <f t="shared" si="57"/>
        <v xml:space="preserve">  </v>
      </c>
      <c r="BV23" s="53"/>
      <c r="BW23" s="54" t="str">
        <f t="shared" si="58"/>
        <v xml:space="preserve"> </v>
      </c>
      <c r="BX23" s="55">
        <f t="shared" si="59"/>
        <v>0</v>
      </c>
      <c r="BY23" s="55">
        <f t="shared" si="60"/>
        <v>0</v>
      </c>
      <c r="BZ23" s="51">
        <f>SISWA!E21</f>
        <v>0</v>
      </c>
      <c r="CA23" s="51" t="str">
        <f t="shared" si="61"/>
        <v/>
      </c>
      <c r="CB23" s="56" t="str">
        <f t="shared" si="62"/>
        <v/>
      </c>
      <c r="CC23" s="56" t="str">
        <f t="shared" si="63"/>
        <v/>
      </c>
      <c r="CD23" s="56" t="str">
        <f t="shared" si="64"/>
        <v/>
      </c>
      <c r="CE23" s="56" t="str">
        <f t="shared" si="65"/>
        <v/>
      </c>
      <c r="CF23" s="56" t="str">
        <f t="shared" si="66"/>
        <v/>
      </c>
      <c r="CG23" s="56" t="str">
        <f t="shared" si="67"/>
        <v/>
      </c>
      <c r="CH23" s="56" t="str">
        <f t="shared" si="68"/>
        <v/>
      </c>
      <c r="CI23" s="56" t="str">
        <f t="shared" si="69"/>
        <v/>
      </c>
      <c r="CJ23" s="56" t="str">
        <f t="shared" si="70"/>
        <v/>
      </c>
      <c r="CK23" s="57"/>
      <c r="CL23" s="58">
        <f t="shared" si="71"/>
        <v>0</v>
      </c>
      <c r="CM23" s="55" t="e">
        <f t="shared" si="72"/>
        <v>#N/A</v>
      </c>
      <c r="CN23" s="58"/>
      <c r="CO23" s="59" t="e">
        <f>IF(BX23&gt;100,"",IF(BX23&gt;AW$1,"sangat baik dalam "&amp;CM23,IF(BX23&gt;=AW$2,"baik dalam "&amp;CM23,IF(BX23&gt;=AW$3,"cukup dalam "&amp;CM23,IF(BX23&lt;AW$3,"dengan bimbingan dapat meningkatkan dalam "&amp;CM23,IF(BX23&lt;1," ",””))))))</f>
        <v>#N/A</v>
      </c>
      <c r="CP23" s="58"/>
      <c r="CQ23" s="57" t="str">
        <f t="shared" si="73"/>
        <v/>
      </c>
      <c r="CR23" s="57" t="str">
        <f t="shared" si="74"/>
        <v/>
      </c>
      <c r="CS23" s="57" t="str">
        <f t="shared" si="75"/>
        <v/>
      </c>
      <c r="CT23" s="57" t="str">
        <f t="shared" si="76"/>
        <v/>
      </c>
      <c r="CU23" s="57" t="str">
        <f t="shared" si="77"/>
        <v/>
      </c>
      <c r="CV23" s="57" t="str">
        <f t="shared" si="78"/>
        <v/>
      </c>
      <c r="CW23" s="57" t="str">
        <f t="shared" si="79"/>
        <v/>
      </c>
      <c r="CX23" s="57" t="str">
        <f t="shared" si="80"/>
        <v/>
      </c>
      <c r="CY23" s="57" t="str">
        <f t="shared" si="81"/>
        <v/>
      </c>
      <c r="CZ23" s="57"/>
      <c r="DA23" s="59" t="e">
        <f t="shared" si="82"/>
        <v>#N/A</v>
      </c>
      <c r="DB23" s="59" t="e">
        <f>IF(BY23&gt;100,"",IF(BY23&gt;AW$1,"sangat baik dalam "&amp;DA23,IF(BY23&gt;=AW$2,"baik dalam "&amp;DA23,IF(BY23&gt;=AW$3,"cukup dalam "&amp;DA23,IF(BY23&lt;AW$3,"dengan bimbingan dapat meningkatkan  dalam "&amp;DA23,IF(BY23&lt;1," ",””))))))</f>
        <v>#N/A</v>
      </c>
      <c r="DC23" s="61"/>
      <c r="DD23" s="62" t="e">
        <f t="shared" si="83"/>
        <v>#N/A</v>
      </c>
      <c r="DE23" s="57" t="str">
        <f t="shared" si="84"/>
        <v/>
      </c>
      <c r="DF23" s="57" t="str">
        <f t="shared" si="85"/>
        <v/>
      </c>
      <c r="DG23" s="57" t="str">
        <f t="shared" si="86"/>
        <v/>
      </c>
      <c r="DH23" s="57"/>
      <c r="DI23" s="57"/>
      <c r="DJ23" s="57"/>
      <c r="DK23" s="59">
        <f t="shared" si="27"/>
        <v>0</v>
      </c>
      <c r="DL23" s="60"/>
      <c r="DM23" s="61"/>
      <c r="DN23" s="62" t="str">
        <f t="shared" si="87"/>
        <v>, 0</v>
      </c>
      <c r="DO23" s="4" t="str">
        <f t="shared" si="88"/>
        <v xml:space="preserve">  FALSEFALSEFALSE      </v>
      </c>
    </row>
    <row r="24" spans="1:119">
      <c r="A24" s="39">
        <v>17</v>
      </c>
      <c r="B24" s="283">
        <f>SISWA!B22</f>
        <v>0</v>
      </c>
      <c r="C24" s="123"/>
      <c r="D24" s="123"/>
      <c r="E24" s="123"/>
      <c r="F24" s="123"/>
      <c r="G24" s="123"/>
      <c r="H24" s="123"/>
      <c r="I24" s="123"/>
      <c r="J24" s="123"/>
      <c r="K24" s="123"/>
      <c r="L24" s="256"/>
      <c r="M24" s="256"/>
      <c r="N24" s="256"/>
      <c r="O24" s="256"/>
      <c r="P24" s="256"/>
      <c r="Q24" s="256"/>
      <c r="R24" s="256"/>
      <c r="S24" s="256"/>
      <c r="T24" s="256"/>
      <c r="U24" s="260" t="str">
        <f t="shared" si="28"/>
        <v xml:space="preserve"> </v>
      </c>
      <c r="V24" s="260" t="str">
        <f t="shared" si="29"/>
        <v xml:space="preserve"> </v>
      </c>
      <c r="W24" s="260" t="str">
        <f t="shared" si="30"/>
        <v xml:space="preserve"> </v>
      </c>
      <c r="X24" s="260" t="str">
        <f t="shared" si="31"/>
        <v xml:space="preserve"> </v>
      </c>
      <c r="Y24" s="260" t="str">
        <f t="shared" si="32"/>
        <v xml:space="preserve"> </v>
      </c>
      <c r="Z24" s="260" t="str">
        <f t="shared" si="33"/>
        <v xml:space="preserve"> </v>
      </c>
      <c r="AA24" s="260" t="str">
        <f t="shared" si="34"/>
        <v xml:space="preserve"> </v>
      </c>
      <c r="AB24" s="260" t="str">
        <f t="shared" si="35"/>
        <v xml:space="preserve"> </v>
      </c>
      <c r="AC24" s="260" t="str">
        <f t="shared" si="36"/>
        <v xml:space="preserve"> </v>
      </c>
      <c r="AD24" s="547"/>
      <c r="AE24" s="547"/>
      <c r="AF24" s="547"/>
      <c r="AG24" s="547"/>
      <c r="AH24" s="547"/>
      <c r="AI24" s="547"/>
      <c r="AJ24" s="547"/>
      <c r="AK24" s="547"/>
      <c r="AL24" s="547"/>
      <c r="AM24" s="565"/>
      <c r="AN24" s="565"/>
      <c r="AO24" s="565"/>
      <c r="AP24" s="565"/>
      <c r="AQ24" s="565"/>
      <c r="AR24" s="565"/>
      <c r="AS24" s="565"/>
      <c r="AT24" s="565"/>
      <c r="AU24" s="565"/>
      <c r="AV24" s="549" t="str">
        <f t="shared" si="37"/>
        <v xml:space="preserve"> </v>
      </c>
      <c r="AW24" s="291" t="str">
        <f t="shared" si="38"/>
        <v xml:space="preserve">  </v>
      </c>
      <c r="AX24" s="50" t="str">
        <f t="shared" si="39"/>
        <v xml:space="preserve"> </v>
      </c>
      <c r="AY24" s="282"/>
      <c r="AZ24" s="51"/>
      <c r="BA24" s="46" t="str">
        <f t="shared" si="40"/>
        <v xml:space="preserve"> </v>
      </c>
      <c r="BB24" s="46" t="str">
        <f t="shared" si="41"/>
        <v xml:space="preserve"> </v>
      </c>
      <c r="BC24" s="46" t="str">
        <f t="shared" si="42"/>
        <v xml:space="preserve"> </v>
      </c>
      <c r="BD24" s="46" t="str">
        <f t="shared" si="43"/>
        <v xml:space="preserve"> </v>
      </c>
      <c r="BE24" s="46" t="str">
        <f t="shared" si="44"/>
        <v xml:space="preserve"> </v>
      </c>
      <c r="BF24" s="46" t="str">
        <f t="shared" si="45"/>
        <v xml:space="preserve"> </v>
      </c>
      <c r="BG24" s="46" t="str">
        <f t="shared" si="46"/>
        <v xml:space="preserve"> </v>
      </c>
      <c r="BH24" s="46" t="str">
        <f t="shared" si="47"/>
        <v xml:space="preserve"> </v>
      </c>
      <c r="BI24" s="46" t="str">
        <f t="shared" si="48"/>
        <v xml:space="preserve"> </v>
      </c>
      <c r="BJ24" s="46"/>
      <c r="BK24" s="52" t="e">
        <f>[2]uts!#REF!</f>
        <v>#REF!</v>
      </c>
      <c r="BL24" s="51"/>
      <c r="BM24" s="53" t="str">
        <f t="shared" si="49"/>
        <v xml:space="preserve">  </v>
      </c>
      <c r="BN24" s="53" t="str">
        <f t="shared" si="50"/>
        <v xml:space="preserve">  </v>
      </c>
      <c r="BO24" s="53" t="str">
        <f t="shared" si="51"/>
        <v xml:space="preserve">  </v>
      </c>
      <c r="BP24" s="53" t="str">
        <f t="shared" si="52"/>
        <v xml:space="preserve">  </v>
      </c>
      <c r="BQ24" s="53" t="str">
        <f t="shared" si="53"/>
        <v xml:space="preserve">  </v>
      </c>
      <c r="BR24" s="53" t="str">
        <f t="shared" si="54"/>
        <v xml:space="preserve">  </v>
      </c>
      <c r="BS24" s="53" t="str">
        <f t="shared" si="55"/>
        <v xml:space="preserve">  </v>
      </c>
      <c r="BT24" s="53" t="str">
        <f t="shared" si="56"/>
        <v xml:space="preserve">  </v>
      </c>
      <c r="BU24" s="53" t="str">
        <f t="shared" si="57"/>
        <v xml:space="preserve">  </v>
      </c>
      <c r="BV24" s="53"/>
      <c r="BW24" s="54" t="str">
        <f t="shared" si="58"/>
        <v xml:space="preserve"> </v>
      </c>
      <c r="BX24" s="55">
        <f t="shared" si="59"/>
        <v>0</v>
      </c>
      <c r="BY24" s="55">
        <f t="shared" si="60"/>
        <v>0</v>
      </c>
      <c r="BZ24" s="51">
        <f>SISWA!E22</f>
        <v>0</v>
      </c>
      <c r="CA24" s="51" t="str">
        <f t="shared" si="61"/>
        <v/>
      </c>
      <c r="CB24" s="56" t="str">
        <f t="shared" si="62"/>
        <v/>
      </c>
      <c r="CC24" s="56" t="str">
        <f t="shared" si="63"/>
        <v/>
      </c>
      <c r="CD24" s="56" t="str">
        <f t="shared" si="64"/>
        <v/>
      </c>
      <c r="CE24" s="56" t="str">
        <f t="shared" si="65"/>
        <v/>
      </c>
      <c r="CF24" s="56" t="str">
        <f t="shared" si="66"/>
        <v/>
      </c>
      <c r="CG24" s="56" t="str">
        <f t="shared" si="67"/>
        <v/>
      </c>
      <c r="CH24" s="56" t="str">
        <f t="shared" si="68"/>
        <v/>
      </c>
      <c r="CI24" s="56" t="str">
        <f t="shared" si="69"/>
        <v/>
      </c>
      <c r="CJ24" s="56" t="str">
        <f t="shared" si="70"/>
        <v/>
      </c>
      <c r="CK24" s="57"/>
      <c r="CL24" s="58">
        <f t="shared" si="71"/>
        <v>0</v>
      </c>
      <c r="CM24" s="55" t="e">
        <f t="shared" si="72"/>
        <v>#N/A</v>
      </c>
      <c r="CN24" s="58"/>
      <c r="CO24" s="59" t="e">
        <f>IF(BX24&gt;100,"",IF(BX24&gt;AW$1,"sangat baik dalam "&amp;CM24,IF(BX24&gt;=AW$2,"baik dalam "&amp;CM24,IF(BX24&gt;=AW$3,"cukup dalam "&amp;CM24,IF(BX24&lt;AW$3,"dengan bimbingan dapat meningkatkan dalam "&amp;CM24,IF(BX24&lt;1," ",””))))))</f>
        <v>#N/A</v>
      </c>
      <c r="CP24" s="58"/>
      <c r="CQ24" s="57" t="str">
        <f t="shared" si="73"/>
        <v/>
      </c>
      <c r="CR24" s="57" t="str">
        <f t="shared" si="74"/>
        <v/>
      </c>
      <c r="CS24" s="57" t="str">
        <f t="shared" si="75"/>
        <v/>
      </c>
      <c r="CT24" s="57" t="str">
        <f t="shared" si="76"/>
        <v/>
      </c>
      <c r="CU24" s="57" t="str">
        <f t="shared" si="77"/>
        <v/>
      </c>
      <c r="CV24" s="57" t="str">
        <f t="shared" si="78"/>
        <v/>
      </c>
      <c r="CW24" s="57" t="str">
        <f t="shared" si="79"/>
        <v/>
      </c>
      <c r="CX24" s="57" t="str">
        <f t="shared" si="80"/>
        <v/>
      </c>
      <c r="CY24" s="57" t="str">
        <f t="shared" si="81"/>
        <v/>
      </c>
      <c r="CZ24" s="57"/>
      <c r="DA24" s="59" t="e">
        <f t="shared" si="82"/>
        <v>#N/A</v>
      </c>
      <c r="DB24" s="59" t="e">
        <f>IF(BY24&gt;100,"",IF(BY24&gt;AW$1,"sangat baik dalam "&amp;DA24,IF(BY24&gt;=AW$2,"baik dalam "&amp;DA24,IF(BY24&gt;=AW$3,"cukup dalam "&amp;DA24,IF(BY24&lt;AW$3,"dengan bimbingan dapat meningkatkan  dalam "&amp;DA24,IF(BY24&lt;1," ",””))))))</f>
        <v>#N/A</v>
      </c>
      <c r="DC24" s="61"/>
      <c r="DD24" s="62" t="e">
        <f t="shared" si="83"/>
        <v>#N/A</v>
      </c>
      <c r="DE24" s="57" t="str">
        <f t="shared" si="84"/>
        <v/>
      </c>
      <c r="DF24" s="57" t="str">
        <f t="shared" si="85"/>
        <v/>
      </c>
      <c r="DG24" s="57" t="str">
        <f t="shared" si="86"/>
        <v/>
      </c>
      <c r="DH24" s="57"/>
      <c r="DI24" s="57"/>
      <c r="DJ24" s="57"/>
      <c r="DK24" s="59">
        <f t="shared" si="27"/>
        <v>0</v>
      </c>
      <c r="DL24" s="60"/>
      <c r="DM24" s="61"/>
      <c r="DN24" s="62" t="str">
        <f t="shared" si="87"/>
        <v>, 0</v>
      </c>
      <c r="DO24" s="4" t="str">
        <f t="shared" si="88"/>
        <v xml:space="preserve">  FALSEFALSEFALSE      </v>
      </c>
    </row>
    <row r="25" spans="1:119">
      <c r="A25" s="39">
        <v>18</v>
      </c>
      <c r="B25" s="283">
        <f>SISWA!B23</f>
        <v>0</v>
      </c>
      <c r="C25" s="123"/>
      <c r="D25" s="123"/>
      <c r="E25" s="123"/>
      <c r="F25" s="123"/>
      <c r="G25" s="123"/>
      <c r="H25" s="123"/>
      <c r="I25" s="123"/>
      <c r="J25" s="123"/>
      <c r="K25" s="123"/>
      <c r="L25" s="256"/>
      <c r="M25" s="256"/>
      <c r="N25" s="256"/>
      <c r="O25" s="256"/>
      <c r="P25" s="256"/>
      <c r="Q25" s="256"/>
      <c r="R25" s="256"/>
      <c r="S25" s="256"/>
      <c r="T25" s="256"/>
      <c r="U25" s="260" t="str">
        <f t="shared" si="28"/>
        <v xml:space="preserve"> </v>
      </c>
      <c r="V25" s="260" t="str">
        <f t="shared" si="29"/>
        <v xml:space="preserve"> </v>
      </c>
      <c r="W25" s="260" t="str">
        <f t="shared" si="30"/>
        <v xml:space="preserve"> </v>
      </c>
      <c r="X25" s="260" t="str">
        <f t="shared" si="31"/>
        <v xml:space="preserve"> </v>
      </c>
      <c r="Y25" s="260" t="str">
        <f t="shared" si="32"/>
        <v xml:space="preserve"> </v>
      </c>
      <c r="Z25" s="260" t="str">
        <f t="shared" si="33"/>
        <v xml:space="preserve"> </v>
      </c>
      <c r="AA25" s="260" t="str">
        <f t="shared" si="34"/>
        <v xml:space="preserve"> </v>
      </c>
      <c r="AB25" s="260" t="str">
        <f t="shared" si="35"/>
        <v xml:space="preserve"> </v>
      </c>
      <c r="AC25" s="260" t="str">
        <f t="shared" si="36"/>
        <v xml:space="preserve"> </v>
      </c>
      <c r="AD25" s="547"/>
      <c r="AE25" s="547"/>
      <c r="AF25" s="547"/>
      <c r="AG25" s="547"/>
      <c r="AH25" s="547"/>
      <c r="AI25" s="547"/>
      <c r="AJ25" s="547"/>
      <c r="AK25" s="547"/>
      <c r="AL25" s="547"/>
      <c r="AM25" s="565"/>
      <c r="AN25" s="565"/>
      <c r="AO25" s="565"/>
      <c r="AP25" s="565"/>
      <c r="AQ25" s="565"/>
      <c r="AR25" s="565"/>
      <c r="AS25" s="565"/>
      <c r="AT25" s="565"/>
      <c r="AU25" s="565"/>
      <c r="AV25" s="549" t="str">
        <f t="shared" si="37"/>
        <v xml:space="preserve"> </v>
      </c>
      <c r="AW25" s="291" t="str">
        <f t="shared" si="38"/>
        <v xml:space="preserve">  </v>
      </c>
      <c r="AX25" s="50" t="str">
        <f t="shared" si="39"/>
        <v xml:space="preserve"> </v>
      </c>
      <c r="AY25" s="282"/>
      <c r="AZ25" s="51"/>
      <c r="BA25" s="46" t="str">
        <f t="shared" si="40"/>
        <v xml:space="preserve"> </v>
      </c>
      <c r="BB25" s="46" t="str">
        <f t="shared" si="41"/>
        <v xml:space="preserve"> </v>
      </c>
      <c r="BC25" s="46" t="str">
        <f t="shared" si="42"/>
        <v xml:space="preserve"> </v>
      </c>
      <c r="BD25" s="46" t="str">
        <f t="shared" si="43"/>
        <v xml:space="preserve"> </v>
      </c>
      <c r="BE25" s="46" t="str">
        <f t="shared" si="44"/>
        <v xml:space="preserve"> </v>
      </c>
      <c r="BF25" s="46" t="str">
        <f t="shared" si="45"/>
        <v xml:space="preserve"> </v>
      </c>
      <c r="BG25" s="46" t="str">
        <f t="shared" si="46"/>
        <v xml:space="preserve"> </v>
      </c>
      <c r="BH25" s="46" t="str">
        <f t="shared" si="47"/>
        <v xml:space="preserve"> </v>
      </c>
      <c r="BI25" s="46" t="str">
        <f t="shared" si="48"/>
        <v xml:space="preserve"> </v>
      </c>
      <c r="BJ25" s="46"/>
      <c r="BK25" s="52" t="e">
        <f>[2]uts!#REF!</f>
        <v>#REF!</v>
      </c>
      <c r="BL25" s="51"/>
      <c r="BM25" s="53" t="str">
        <f t="shared" si="49"/>
        <v xml:space="preserve">  </v>
      </c>
      <c r="BN25" s="53" t="str">
        <f t="shared" si="50"/>
        <v xml:space="preserve">  </v>
      </c>
      <c r="BO25" s="53" t="str">
        <f t="shared" si="51"/>
        <v xml:space="preserve">  </v>
      </c>
      <c r="BP25" s="53" t="str">
        <f t="shared" si="52"/>
        <v xml:space="preserve">  </v>
      </c>
      <c r="BQ25" s="53" t="str">
        <f t="shared" si="53"/>
        <v xml:space="preserve">  </v>
      </c>
      <c r="BR25" s="53" t="str">
        <f t="shared" si="54"/>
        <v xml:space="preserve">  </v>
      </c>
      <c r="BS25" s="53" t="str">
        <f t="shared" si="55"/>
        <v xml:space="preserve">  </v>
      </c>
      <c r="BT25" s="53" t="str">
        <f t="shared" si="56"/>
        <v xml:space="preserve">  </v>
      </c>
      <c r="BU25" s="53" t="str">
        <f t="shared" si="57"/>
        <v xml:space="preserve">  </v>
      </c>
      <c r="BV25" s="53"/>
      <c r="BW25" s="54" t="str">
        <f t="shared" si="58"/>
        <v xml:space="preserve"> </v>
      </c>
      <c r="BX25" s="55">
        <f t="shared" si="59"/>
        <v>0</v>
      </c>
      <c r="BY25" s="55">
        <f t="shared" si="60"/>
        <v>0</v>
      </c>
      <c r="BZ25" s="51">
        <f>SISWA!E23</f>
        <v>0</v>
      </c>
      <c r="CA25" s="51" t="str">
        <f t="shared" si="61"/>
        <v/>
      </c>
      <c r="CB25" s="56" t="str">
        <f t="shared" si="62"/>
        <v/>
      </c>
      <c r="CC25" s="56" t="str">
        <f t="shared" si="63"/>
        <v/>
      </c>
      <c r="CD25" s="56" t="str">
        <f t="shared" si="64"/>
        <v/>
      </c>
      <c r="CE25" s="56" t="str">
        <f t="shared" si="65"/>
        <v/>
      </c>
      <c r="CF25" s="56" t="str">
        <f t="shared" si="66"/>
        <v/>
      </c>
      <c r="CG25" s="56" t="str">
        <f t="shared" si="67"/>
        <v/>
      </c>
      <c r="CH25" s="56" t="str">
        <f t="shared" si="68"/>
        <v/>
      </c>
      <c r="CI25" s="56" t="str">
        <f t="shared" si="69"/>
        <v/>
      </c>
      <c r="CJ25" s="56" t="str">
        <f t="shared" si="70"/>
        <v/>
      </c>
      <c r="CK25" s="57"/>
      <c r="CL25" s="58">
        <f t="shared" si="71"/>
        <v>0</v>
      </c>
      <c r="CM25" s="55" t="e">
        <f t="shared" si="72"/>
        <v>#N/A</v>
      </c>
      <c r="CN25" s="58"/>
      <c r="CO25" s="59" t="e">
        <f>IF(BX25&gt;100,"",IF(BX25&gt;AW$1,"sangat baik dalam "&amp;CM25,IF(BX25&gt;=AW$2,"baik dalam "&amp;CM25,IF(BX25&gt;=AW$3,"cukup dalam "&amp;CM25,IF(BX25&lt;AW$3,"dengan bimbingan dapat meningkatkan dalam "&amp;CM25,IF(BX25&lt;1," ",””))))))</f>
        <v>#N/A</v>
      </c>
      <c r="CP25" s="58"/>
      <c r="CQ25" s="57" t="str">
        <f t="shared" si="73"/>
        <v/>
      </c>
      <c r="CR25" s="57" t="str">
        <f t="shared" si="74"/>
        <v/>
      </c>
      <c r="CS25" s="57" t="str">
        <f t="shared" si="75"/>
        <v/>
      </c>
      <c r="CT25" s="57" t="str">
        <f t="shared" si="76"/>
        <v/>
      </c>
      <c r="CU25" s="57" t="str">
        <f t="shared" si="77"/>
        <v/>
      </c>
      <c r="CV25" s="57" t="str">
        <f t="shared" si="78"/>
        <v/>
      </c>
      <c r="CW25" s="57" t="str">
        <f t="shared" si="79"/>
        <v/>
      </c>
      <c r="CX25" s="57" t="str">
        <f t="shared" si="80"/>
        <v/>
      </c>
      <c r="CY25" s="57" t="str">
        <f t="shared" si="81"/>
        <v/>
      </c>
      <c r="CZ25" s="57"/>
      <c r="DA25" s="59" t="e">
        <f t="shared" si="82"/>
        <v>#N/A</v>
      </c>
      <c r="DB25" s="59" t="e">
        <f>IF(BY25&gt;100,"",IF(BY25&gt;AW$1,"sangat baik dalam "&amp;DA25,IF(BY25&gt;=AW$2,"baik dalam "&amp;DA25,IF(BY25&gt;=AW$3,"cukup dalam "&amp;DA25,IF(BY25&lt;AW$3,"dengan bimbingan dapat meningkatkan  dalam "&amp;DA25,IF(BY25&lt;1," ",””))))))</f>
        <v>#N/A</v>
      </c>
      <c r="DC25" s="61"/>
      <c r="DD25" s="62" t="e">
        <f t="shared" si="83"/>
        <v>#N/A</v>
      </c>
      <c r="DE25" s="57" t="str">
        <f t="shared" si="84"/>
        <v/>
      </c>
      <c r="DF25" s="57" t="str">
        <f t="shared" si="85"/>
        <v/>
      </c>
      <c r="DG25" s="57" t="str">
        <f t="shared" si="86"/>
        <v/>
      </c>
      <c r="DH25" s="57"/>
      <c r="DI25" s="57"/>
      <c r="DJ25" s="57"/>
      <c r="DK25" s="59">
        <f t="shared" si="27"/>
        <v>0</v>
      </c>
      <c r="DL25" s="60"/>
      <c r="DM25" s="61"/>
      <c r="DN25" s="62" t="str">
        <f t="shared" si="87"/>
        <v>, 0</v>
      </c>
      <c r="DO25" s="4" t="str">
        <f t="shared" si="88"/>
        <v xml:space="preserve">  FALSEFALSEFALSE      </v>
      </c>
    </row>
    <row r="26" spans="1:119">
      <c r="A26" s="39">
        <v>19</v>
      </c>
      <c r="B26" s="283">
        <f>SISWA!B24</f>
        <v>0</v>
      </c>
      <c r="C26" s="123"/>
      <c r="D26" s="123"/>
      <c r="E26" s="123"/>
      <c r="F26" s="123"/>
      <c r="G26" s="123"/>
      <c r="H26" s="123"/>
      <c r="I26" s="123"/>
      <c r="J26" s="123"/>
      <c r="K26" s="123"/>
      <c r="L26" s="256"/>
      <c r="M26" s="256"/>
      <c r="N26" s="256"/>
      <c r="O26" s="256"/>
      <c r="P26" s="256"/>
      <c r="Q26" s="256"/>
      <c r="R26" s="256"/>
      <c r="S26" s="256"/>
      <c r="T26" s="256"/>
      <c r="U26" s="260" t="str">
        <f t="shared" si="28"/>
        <v xml:space="preserve"> </v>
      </c>
      <c r="V26" s="260" t="str">
        <f t="shared" si="29"/>
        <v xml:space="preserve"> </v>
      </c>
      <c r="W26" s="260" t="str">
        <f t="shared" si="30"/>
        <v xml:space="preserve"> </v>
      </c>
      <c r="X26" s="260" t="str">
        <f t="shared" si="31"/>
        <v xml:space="preserve"> </v>
      </c>
      <c r="Y26" s="260" t="str">
        <f t="shared" si="32"/>
        <v xml:space="preserve"> </v>
      </c>
      <c r="Z26" s="260" t="str">
        <f t="shared" si="33"/>
        <v xml:space="preserve"> </v>
      </c>
      <c r="AA26" s="260" t="str">
        <f t="shared" si="34"/>
        <v xml:space="preserve"> </v>
      </c>
      <c r="AB26" s="260" t="str">
        <f t="shared" si="35"/>
        <v xml:space="preserve"> </v>
      </c>
      <c r="AC26" s="260" t="str">
        <f t="shared" si="36"/>
        <v xml:space="preserve"> </v>
      </c>
      <c r="AD26" s="547"/>
      <c r="AE26" s="547"/>
      <c r="AF26" s="547"/>
      <c r="AG26" s="547"/>
      <c r="AH26" s="547"/>
      <c r="AI26" s="547"/>
      <c r="AJ26" s="547"/>
      <c r="AK26" s="547"/>
      <c r="AL26" s="547"/>
      <c r="AM26" s="565"/>
      <c r="AN26" s="565"/>
      <c r="AO26" s="565"/>
      <c r="AP26" s="565"/>
      <c r="AQ26" s="565"/>
      <c r="AR26" s="565"/>
      <c r="AS26" s="565"/>
      <c r="AT26" s="565"/>
      <c r="AU26" s="565"/>
      <c r="AV26" s="549" t="str">
        <f t="shared" si="37"/>
        <v xml:space="preserve"> </v>
      </c>
      <c r="AW26" s="291" t="str">
        <f t="shared" si="38"/>
        <v xml:space="preserve">  </v>
      </c>
      <c r="AX26" s="50" t="str">
        <f t="shared" si="39"/>
        <v xml:space="preserve"> </v>
      </c>
      <c r="AY26" s="282"/>
      <c r="AZ26" s="51"/>
      <c r="BA26" s="46" t="str">
        <f t="shared" si="40"/>
        <v xml:space="preserve"> </v>
      </c>
      <c r="BB26" s="46" t="str">
        <f t="shared" si="41"/>
        <v xml:space="preserve"> </v>
      </c>
      <c r="BC26" s="46" t="str">
        <f t="shared" si="42"/>
        <v xml:space="preserve"> </v>
      </c>
      <c r="BD26" s="46" t="str">
        <f t="shared" si="43"/>
        <v xml:space="preserve"> </v>
      </c>
      <c r="BE26" s="46" t="str">
        <f t="shared" si="44"/>
        <v xml:space="preserve"> </v>
      </c>
      <c r="BF26" s="46" t="str">
        <f t="shared" si="45"/>
        <v xml:space="preserve"> </v>
      </c>
      <c r="BG26" s="46" t="str">
        <f t="shared" si="46"/>
        <v xml:space="preserve"> </v>
      </c>
      <c r="BH26" s="46" t="str">
        <f t="shared" si="47"/>
        <v xml:space="preserve"> </v>
      </c>
      <c r="BI26" s="46" t="str">
        <f t="shared" si="48"/>
        <v xml:space="preserve"> </v>
      </c>
      <c r="BJ26" s="46"/>
      <c r="BK26" s="52" t="e">
        <f>[2]uts!#REF!</f>
        <v>#REF!</v>
      </c>
      <c r="BL26" s="51"/>
      <c r="BM26" s="53" t="str">
        <f t="shared" si="49"/>
        <v xml:space="preserve">  </v>
      </c>
      <c r="BN26" s="53" t="str">
        <f t="shared" si="50"/>
        <v xml:space="preserve">  </v>
      </c>
      <c r="BO26" s="53" t="str">
        <f t="shared" si="51"/>
        <v xml:space="preserve">  </v>
      </c>
      <c r="BP26" s="53" t="str">
        <f t="shared" si="52"/>
        <v xml:space="preserve">  </v>
      </c>
      <c r="BQ26" s="53" t="str">
        <f t="shared" si="53"/>
        <v xml:space="preserve">  </v>
      </c>
      <c r="BR26" s="53" t="str">
        <f t="shared" si="54"/>
        <v xml:space="preserve">  </v>
      </c>
      <c r="BS26" s="53" t="str">
        <f t="shared" si="55"/>
        <v xml:space="preserve">  </v>
      </c>
      <c r="BT26" s="53" t="str">
        <f t="shared" si="56"/>
        <v xml:space="preserve">  </v>
      </c>
      <c r="BU26" s="53" t="str">
        <f t="shared" si="57"/>
        <v xml:space="preserve">  </v>
      </c>
      <c r="BV26" s="53"/>
      <c r="BW26" s="54" t="str">
        <f t="shared" si="58"/>
        <v xml:space="preserve"> </v>
      </c>
      <c r="BX26" s="55">
        <f t="shared" si="59"/>
        <v>0</v>
      </c>
      <c r="BY26" s="55">
        <f t="shared" si="60"/>
        <v>0</v>
      </c>
      <c r="BZ26" s="51">
        <f>SISWA!E24</f>
        <v>0</v>
      </c>
      <c r="CA26" s="51" t="str">
        <f t="shared" si="61"/>
        <v/>
      </c>
      <c r="CB26" s="56" t="str">
        <f t="shared" si="62"/>
        <v/>
      </c>
      <c r="CC26" s="56" t="str">
        <f t="shared" si="63"/>
        <v/>
      </c>
      <c r="CD26" s="56" t="str">
        <f t="shared" si="64"/>
        <v/>
      </c>
      <c r="CE26" s="56" t="str">
        <f t="shared" si="65"/>
        <v/>
      </c>
      <c r="CF26" s="56" t="str">
        <f t="shared" si="66"/>
        <v/>
      </c>
      <c r="CG26" s="56" t="str">
        <f t="shared" si="67"/>
        <v/>
      </c>
      <c r="CH26" s="56" t="str">
        <f t="shared" si="68"/>
        <v/>
      </c>
      <c r="CI26" s="56" t="str">
        <f t="shared" si="69"/>
        <v/>
      </c>
      <c r="CJ26" s="56" t="str">
        <f t="shared" si="70"/>
        <v/>
      </c>
      <c r="CK26" s="57"/>
      <c r="CL26" s="58">
        <f t="shared" si="71"/>
        <v>0</v>
      </c>
      <c r="CM26" s="55" t="e">
        <f t="shared" si="72"/>
        <v>#N/A</v>
      </c>
      <c r="CN26" s="58"/>
      <c r="CO26" s="59" t="e">
        <f>IF(BX26&gt;100,"",IF(BX26&gt;AW$1,"sangat baik dalam "&amp;CM26,IF(BX26&gt;=AW$2,"baik dalam "&amp;CM26,IF(BX26&gt;=AW$3,"cukup dalam "&amp;CM26,IF(BX26&lt;AW$3,"dengan bimbingan dapat meningkatkan dalam "&amp;CM26,IF(BX26&lt;1," ",””))))))</f>
        <v>#N/A</v>
      </c>
      <c r="CP26" s="58"/>
      <c r="CQ26" s="57" t="str">
        <f t="shared" si="73"/>
        <v/>
      </c>
      <c r="CR26" s="57" t="str">
        <f t="shared" si="74"/>
        <v/>
      </c>
      <c r="CS26" s="57" t="str">
        <f t="shared" si="75"/>
        <v/>
      </c>
      <c r="CT26" s="57" t="str">
        <f t="shared" si="76"/>
        <v/>
      </c>
      <c r="CU26" s="57" t="str">
        <f t="shared" si="77"/>
        <v/>
      </c>
      <c r="CV26" s="57" t="str">
        <f t="shared" si="78"/>
        <v/>
      </c>
      <c r="CW26" s="57" t="str">
        <f t="shared" si="79"/>
        <v/>
      </c>
      <c r="CX26" s="57" t="str">
        <f t="shared" si="80"/>
        <v/>
      </c>
      <c r="CY26" s="57" t="str">
        <f t="shared" si="81"/>
        <v/>
      </c>
      <c r="CZ26" s="57"/>
      <c r="DA26" s="59" t="e">
        <f t="shared" si="82"/>
        <v>#N/A</v>
      </c>
      <c r="DB26" s="59" t="e">
        <f>IF(BY26&gt;100,"",IF(BY26&gt;AW$1,"sangat baik dalam "&amp;DA26,IF(BY26&gt;=AW$2,"baik dalam "&amp;DA26,IF(BY26&gt;=AW$3,"cukup dalam "&amp;DA26,IF(BY26&lt;AW$3,"dengan bimbingan dapat meningkatkan  dalam "&amp;DA26,IF(BY26&lt;1," ",””))))))</f>
        <v>#N/A</v>
      </c>
      <c r="DC26" s="61"/>
      <c r="DD26" s="62" t="e">
        <f t="shared" si="83"/>
        <v>#N/A</v>
      </c>
      <c r="DE26" s="57" t="str">
        <f t="shared" si="84"/>
        <v/>
      </c>
      <c r="DF26" s="57" t="str">
        <f t="shared" si="85"/>
        <v/>
      </c>
      <c r="DG26" s="57" t="str">
        <f t="shared" si="86"/>
        <v/>
      </c>
      <c r="DH26" s="57"/>
      <c r="DI26" s="57"/>
      <c r="DJ26" s="57"/>
      <c r="DK26" s="59">
        <f t="shared" si="27"/>
        <v>0</v>
      </c>
      <c r="DL26" s="60"/>
      <c r="DM26" s="61"/>
      <c r="DN26" s="62" t="str">
        <f t="shared" si="87"/>
        <v>, 0</v>
      </c>
      <c r="DO26" s="4" t="str">
        <f t="shared" si="88"/>
        <v xml:space="preserve">  FALSEFALSEFALSE      </v>
      </c>
    </row>
    <row r="27" spans="1:119">
      <c r="A27" s="39">
        <v>20</v>
      </c>
      <c r="B27" s="283">
        <f>SISWA!B25</f>
        <v>0</v>
      </c>
      <c r="C27" s="123"/>
      <c r="D27" s="123"/>
      <c r="E27" s="123"/>
      <c r="F27" s="123"/>
      <c r="G27" s="123"/>
      <c r="H27" s="123"/>
      <c r="I27" s="123"/>
      <c r="J27" s="123"/>
      <c r="K27" s="123"/>
      <c r="L27" s="256"/>
      <c r="M27" s="256"/>
      <c r="N27" s="256"/>
      <c r="O27" s="256"/>
      <c r="P27" s="256"/>
      <c r="Q27" s="256"/>
      <c r="R27" s="256"/>
      <c r="S27" s="256"/>
      <c r="T27" s="256"/>
      <c r="U27" s="260" t="str">
        <f t="shared" si="28"/>
        <v xml:space="preserve"> </v>
      </c>
      <c r="V27" s="260" t="str">
        <f t="shared" si="29"/>
        <v xml:space="preserve"> </v>
      </c>
      <c r="W27" s="260" t="str">
        <f t="shared" si="30"/>
        <v xml:space="preserve"> </v>
      </c>
      <c r="X27" s="260" t="str">
        <f t="shared" si="31"/>
        <v xml:space="preserve"> </v>
      </c>
      <c r="Y27" s="260" t="str">
        <f t="shared" si="32"/>
        <v xml:space="preserve"> </v>
      </c>
      <c r="Z27" s="260" t="str">
        <f t="shared" si="33"/>
        <v xml:space="preserve"> </v>
      </c>
      <c r="AA27" s="260" t="str">
        <f t="shared" si="34"/>
        <v xml:space="preserve"> </v>
      </c>
      <c r="AB27" s="260" t="str">
        <f t="shared" si="35"/>
        <v xml:space="preserve"> </v>
      </c>
      <c r="AC27" s="260" t="str">
        <f t="shared" si="36"/>
        <v xml:space="preserve"> </v>
      </c>
      <c r="AD27" s="547"/>
      <c r="AE27" s="547"/>
      <c r="AF27" s="547"/>
      <c r="AG27" s="547"/>
      <c r="AH27" s="547"/>
      <c r="AI27" s="547"/>
      <c r="AJ27" s="547"/>
      <c r="AK27" s="547"/>
      <c r="AL27" s="547"/>
      <c r="AM27" s="565"/>
      <c r="AN27" s="565"/>
      <c r="AO27" s="565"/>
      <c r="AP27" s="565"/>
      <c r="AQ27" s="565"/>
      <c r="AR27" s="565"/>
      <c r="AS27" s="565"/>
      <c r="AT27" s="565"/>
      <c r="AU27" s="565"/>
      <c r="AV27" s="549" t="str">
        <f t="shared" si="37"/>
        <v xml:space="preserve"> </v>
      </c>
      <c r="AW27" s="291" t="str">
        <f t="shared" si="38"/>
        <v xml:space="preserve">  </v>
      </c>
      <c r="AX27" s="50" t="str">
        <f t="shared" si="39"/>
        <v xml:space="preserve"> </v>
      </c>
      <c r="AY27" s="282"/>
      <c r="AZ27" s="51"/>
      <c r="BA27" s="46" t="str">
        <f t="shared" si="40"/>
        <v xml:space="preserve"> </v>
      </c>
      <c r="BB27" s="46" t="str">
        <f t="shared" si="41"/>
        <v xml:space="preserve"> </v>
      </c>
      <c r="BC27" s="46" t="str">
        <f t="shared" si="42"/>
        <v xml:space="preserve"> </v>
      </c>
      <c r="BD27" s="46" t="str">
        <f t="shared" si="43"/>
        <v xml:space="preserve"> </v>
      </c>
      <c r="BE27" s="46" t="str">
        <f t="shared" si="44"/>
        <v xml:space="preserve"> </v>
      </c>
      <c r="BF27" s="46" t="str">
        <f t="shared" si="45"/>
        <v xml:space="preserve"> </v>
      </c>
      <c r="BG27" s="46" t="str">
        <f t="shared" si="46"/>
        <v xml:space="preserve"> </v>
      </c>
      <c r="BH27" s="46" t="str">
        <f t="shared" si="47"/>
        <v xml:space="preserve"> </v>
      </c>
      <c r="BI27" s="46" t="str">
        <f t="shared" si="48"/>
        <v xml:space="preserve"> </v>
      </c>
      <c r="BJ27" s="46"/>
      <c r="BK27" s="52" t="e">
        <f>[2]uts!#REF!</f>
        <v>#REF!</v>
      </c>
      <c r="BL27" s="51"/>
      <c r="BM27" s="53" t="str">
        <f t="shared" si="49"/>
        <v xml:space="preserve">  </v>
      </c>
      <c r="BN27" s="53" t="str">
        <f t="shared" si="50"/>
        <v xml:space="preserve">  </v>
      </c>
      <c r="BO27" s="53" t="str">
        <f t="shared" si="51"/>
        <v xml:space="preserve">  </v>
      </c>
      <c r="BP27" s="53" t="str">
        <f t="shared" si="52"/>
        <v xml:space="preserve">  </v>
      </c>
      <c r="BQ27" s="53" t="str">
        <f t="shared" si="53"/>
        <v xml:space="preserve">  </v>
      </c>
      <c r="BR27" s="53" t="str">
        <f t="shared" si="54"/>
        <v xml:space="preserve">  </v>
      </c>
      <c r="BS27" s="53" t="str">
        <f t="shared" si="55"/>
        <v xml:space="preserve">  </v>
      </c>
      <c r="BT27" s="53" t="str">
        <f t="shared" si="56"/>
        <v xml:space="preserve">  </v>
      </c>
      <c r="BU27" s="53" t="str">
        <f t="shared" si="57"/>
        <v xml:space="preserve">  </v>
      </c>
      <c r="BV27" s="53"/>
      <c r="BW27" s="54" t="str">
        <f t="shared" si="58"/>
        <v xml:space="preserve"> </v>
      </c>
      <c r="BX27" s="55">
        <f t="shared" si="59"/>
        <v>0</v>
      </c>
      <c r="BY27" s="55">
        <f t="shared" si="60"/>
        <v>0</v>
      </c>
      <c r="BZ27" s="51">
        <f>SISWA!E25</f>
        <v>0</v>
      </c>
      <c r="CA27" s="51" t="str">
        <f t="shared" si="61"/>
        <v/>
      </c>
      <c r="CB27" s="56" t="str">
        <f t="shared" si="62"/>
        <v/>
      </c>
      <c r="CC27" s="56" t="str">
        <f t="shared" si="63"/>
        <v/>
      </c>
      <c r="CD27" s="56" t="str">
        <f t="shared" si="64"/>
        <v/>
      </c>
      <c r="CE27" s="56" t="str">
        <f t="shared" si="65"/>
        <v/>
      </c>
      <c r="CF27" s="56" t="str">
        <f t="shared" si="66"/>
        <v/>
      </c>
      <c r="CG27" s="56" t="str">
        <f t="shared" si="67"/>
        <v/>
      </c>
      <c r="CH27" s="56" t="str">
        <f t="shared" si="68"/>
        <v/>
      </c>
      <c r="CI27" s="56" t="str">
        <f t="shared" si="69"/>
        <v/>
      </c>
      <c r="CJ27" s="56" t="str">
        <f t="shared" si="70"/>
        <v/>
      </c>
      <c r="CK27" s="57"/>
      <c r="CL27" s="58">
        <f t="shared" si="71"/>
        <v>0</v>
      </c>
      <c r="CM27" s="55" t="e">
        <f t="shared" si="72"/>
        <v>#N/A</v>
      </c>
      <c r="CN27" s="58"/>
      <c r="CO27" s="59" t="e">
        <f>IF(BX27&gt;100,"",IF(BX27&gt;AW$1,"sangat baik dalam "&amp;CM27,IF(BX27&gt;=AW$2,"baik dalam "&amp;CM27,IF(BX27&gt;=AW$3,"cukup dalam "&amp;CM27,IF(BX27&lt;AW$3,"dengan bimbingan dapat meningkatkan dalam "&amp;CM27,IF(BX27&lt;1," ",””))))))</f>
        <v>#N/A</v>
      </c>
      <c r="CP27" s="58"/>
      <c r="CQ27" s="57" t="str">
        <f t="shared" si="73"/>
        <v/>
      </c>
      <c r="CR27" s="57" t="str">
        <f t="shared" si="74"/>
        <v/>
      </c>
      <c r="CS27" s="57" t="str">
        <f t="shared" si="75"/>
        <v/>
      </c>
      <c r="CT27" s="57" t="str">
        <f t="shared" si="76"/>
        <v/>
      </c>
      <c r="CU27" s="57" t="str">
        <f t="shared" si="77"/>
        <v/>
      </c>
      <c r="CV27" s="57" t="str">
        <f t="shared" si="78"/>
        <v/>
      </c>
      <c r="CW27" s="57" t="str">
        <f t="shared" si="79"/>
        <v/>
      </c>
      <c r="CX27" s="57" t="str">
        <f t="shared" si="80"/>
        <v/>
      </c>
      <c r="CY27" s="57" t="str">
        <f t="shared" si="81"/>
        <v/>
      </c>
      <c r="CZ27" s="57"/>
      <c r="DA27" s="59" t="e">
        <f t="shared" si="82"/>
        <v>#N/A</v>
      </c>
      <c r="DB27" s="59" t="e">
        <f>IF(BY27&gt;100,"",IF(BY27&gt;AW$1,"sangat baik dalam "&amp;DA27,IF(BY27&gt;=AW$2,"baik dalam "&amp;DA27,IF(BY27&gt;=AW$3,"cukup dalam "&amp;DA27,IF(BY27&lt;AW$3,"dengan bimbingan dapat meningkatkan  dalam "&amp;DA27,IF(BY27&lt;1," ",””))))))</f>
        <v>#N/A</v>
      </c>
      <c r="DC27" s="61"/>
      <c r="DD27" s="62" t="e">
        <f t="shared" si="83"/>
        <v>#N/A</v>
      </c>
      <c r="DE27" s="57" t="str">
        <f t="shared" si="84"/>
        <v/>
      </c>
      <c r="DF27" s="57" t="str">
        <f t="shared" si="85"/>
        <v/>
      </c>
      <c r="DG27" s="57" t="str">
        <f t="shared" si="86"/>
        <v/>
      </c>
      <c r="DH27" s="57"/>
      <c r="DI27" s="57"/>
      <c r="DJ27" s="57"/>
      <c r="DK27" s="59">
        <f t="shared" si="27"/>
        <v>0</v>
      </c>
      <c r="DL27" s="60"/>
      <c r="DM27" s="61"/>
      <c r="DN27" s="62" t="str">
        <f t="shared" si="87"/>
        <v>, 0</v>
      </c>
      <c r="DO27" s="4" t="str">
        <f t="shared" si="88"/>
        <v xml:space="preserve">  FALSEFALSEFALSE      </v>
      </c>
    </row>
    <row r="28" spans="1:119">
      <c r="A28" s="39">
        <v>21</v>
      </c>
      <c r="B28" s="283">
        <f>SISWA!B26</f>
        <v>0</v>
      </c>
      <c r="C28" s="123"/>
      <c r="D28" s="123"/>
      <c r="E28" s="123"/>
      <c r="F28" s="123"/>
      <c r="G28" s="123"/>
      <c r="H28" s="123"/>
      <c r="I28" s="123"/>
      <c r="J28" s="123"/>
      <c r="K28" s="123"/>
      <c r="L28" s="256"/>
      <c r="M28" s="256"/>
      <c r="N28" s="256"/>
      <c r="O28" s="256"/>
      <c r="P28" s="256"/>
      <c r="Q28" s="256"/>
      <c r="R28" s="256"/>
      <c r="S28" s="256"/>
      <c r="T28" s="256"/>
      <c r="U28" s="260" t="str">
        <f t="shared" si="28"/>
        <v xml:space="preserve"> </v>
      </c>
      <c r="V28" s="260" t="str">
        <f t="shared" si="29"/>
        <v xml:space="preserve"> </v>
      </c>
      <c r="W28" s="260" t="str">
        <f t="shared" si="30"/>
        <v xml:space="preserve"> </v>
      </c>
      <c r="X28" s="260" t="str">
        <f t="shared" si="31"/>
        <v xml:space="preserve"> </v>
      </c>
      <c r="Y28" s="260" t="str">
        <f t="shared" si="32"/>
        <v xml:space="preserve"> </v>
      </c>
      <c r="Z28" s="260" t="str">
        <f t="shared" si="33"/>
        <v xml:space="preserve"> </v>
      </c>
      <c r="AA28" s="260" t="str">
        <f t="shared" si="34"/>
        <v xml:space="preserve"> </v>
      </c>
      <c r="AB28" s="260" t="str">
        <f t="shared" si="35"/>
        <v xml:space="preserve"> </v>
      </c>
      <c r="AC28" s="260" t="str">
        <f t="shared" si="36"/>
        <v xml:space="preserve"> </v>
      </c>
      <c r="AD28" s="547"/>
      <c r="AE28" s="547"/>
      <c r="AF28" s="547"/>
      <c r="AG28" s="547"/>
      <c r="AH28" s="547"/>
      <c r="AI28" s="547"/>
      <c r="AJ28" s="547"/>
      <c r="AK28" s="547"/>
      <c r="AL28" s="547"/>
      <c r="AM28" s="565"/>
      <c r="AN28" s="565"/>
      <c r="AO28" s="565"/>
      <c r="AP28" s="565"/>
      <c r="AQ28" s="565"/>
      <c r="AR28" s="565"/>
      <c r="AS28" s="565"/>
      <c r="AT28" s="565"/>
      <c r="AU28" s="565"/>
      <c r="AV28" s="549" t="str">
        <f t="shared" si="37"/>
        <v xml:space="preserve"> </v>
      </c>
      <c r="AW28" s="291" t="str">
        <f t="shared" si="38"/>
        <v xml:space="preserve">  </v>
      </c>
      <c r="AX28" s="50" t="str">
        <f t="shared" si="39"/>
        <v xml:space="preserve"> </v>
      </c>
      <c r="AY28" s="282"/>
      <c r="AZ28" s="51"/>
      <c r="BA28" s="46" t="str">
        <f t="shared" si="40"/>
        <v xml:space="preserve"> </v>
      </c>
      <c r="BB28" s="46" t="str">
        <f t="shared" si="41"/>
        <v xml:space="preserve"> </v>
      </c>
      <c r="BC28" s="46" t="str">
        <f t="shared" si="42"/>
        <v xml:space="preserve"> </v>
      </c>
      <c r="BD28" s="46" t="str">
        <f t="shared" si="43"/>
        <v xml:space="preserve"> </v>
      </c>
      <c r="BE28" s="46" t="str">
        <f t="shared" si="44"/>
        <v xml:space="preserve"> </v>
      </c>
      <c r="BF28" s="46" t="str">
        <f t="shared" si="45"/>
        <v xml:space="preserve"> </v>
      </c>
      <c r="BG28" s="46" t="str">
        <f t="shared" si="46"/>
        <v xml:space="preserve"> </v>
      </c>
      <c r="BH28" s="46" t="str">
        <f t="shared" si="47"/>
        <v xml:space="preserve"> </v>
      </c>
      <c r="BI28" s="46" t="str">
        <f t="shared" si="48"/>
        <v xml:space="preserve"> </v>
      </c>
      <c r="BJ28" s="46"/>
      <c r="BK28" s="52" t="e">
        <f>[2]uts!#REF!</f>
        <v>#REF!</v>
      </c>
      <c r="BL28" s="51"/>
      <c r="BM28" s="53" t="str">
        <f t="shared" si="49"/>
        <v xml:space="preserve">  </v>
      </c>
      <c r="BN28" s="53" t="str">
        <f t="shared" si="50"/>
        <v xml:space="preserve">  </v>
      </c>
      <c r="BO28" s="53" t="str">
        <f t="shared" si="51"/>
        <v xml:space="preserve">  </v>
      </c>
      <c r="BP28" s="53" t="str">
        <f t="shared" si="52"/>
        <v xml:space="preserve">  </v>
      </c>
      <c r="BQ28" s="53" t="str">
        <f t="shared" si="53"/>
        <v xml:space="preserve">  </v>
      </c>
      <c r="BR28" s="53" t="str">
        <f t="shared" si="54"/>
        <v xml:space="preserve">  </v>
      </c>
      <c r="BS28" s="53" t="str">
        <f t="shared" si="55"/>
        <v xml:space="preserve">  </v>
      </c>
      <c r="BT28" s="53" t="str">
        <f t="shared" si="56"/>
        <v xml:space="preserve">  </v>
      </c>
      <c r="BU28" s="53" t="str">
        <f t="shared" si="57"/>
        <v xml:space="preserve">  </v>
      </c>
      <c r="BV28" s="53"/>
      <c r="BW28" s="54" t="str">
        <f t="shared" si="58"/>
        <v xml:space="preserve"> </v>
      </c>
      <c r="BX28" s="55">
        <f t="shared" si="59"/>
        <v>0</v>
      </c>
      <c r="BY28" s="55">
        <f t="shared" si="60"/>
        <v>0</v>
      </c>
      <c r="BZ28" s="51">
        <f>SISWA!E26</f>
        <v>0</v>
      </c>
      <c r="CA28" s="51" t="str">
        <f t="shared" si="61"/>
        <v/>
      </c>
      <c r="CB28" s="56" t="str">
        <f t="shared" si="62"/>
        <v/>
      </c>
      <c r="CC28" s="56" t="str">
        <f t="shared" si="63"/>
        <v/>
      </c>
      <c r="CD28" s="56" t="str">
        <f t="shared" si="64"/>
        <v/>
      </c>
      <c r="CE28" s="56" t="str">
        <f t="shared" si="65"/>
        <v/>
      </c>
      <c r="CF28" s="56" t="str">
        <f t="shared" si="66"/>
        <v/>
      </c>
      <c r="CG28" s="56" t="str">
        <f t="shared" si="67"/>
        <v/>
      </c>
      <c r="CH28" s="56" t="str">
        <f t="shared" si="68"/>
        <v/>
      </c>
      <c r="CI28" s="56" t="str">
        <f t="shared" si="69"/>
        <v/>
      </c>
      <c r="CJ28" s="56" t="str">
        <f t="shared" si="70"/>
        <v/>
      </c>
      <c r="CK28" s="57"/>
      <c r="CL28" s="58">
        <f t="shared" si="71"/>
        <v>0</v>
      </c>
      <c r="CM28" s="55" t="e">
        <f t="shared" si="72"/>
        <v>#N/A</v>
      </c>
      <c r="CN28" s="58"/>
      <c r="CO28" s="59" t="e">
        <f>IF(BX28&gt;100,"",IF(BX28&gt;AW$1,"sangat baik dalam "&amp;CM28,IF(BX28&gt;=AW$2,"baik dalam "&amp;CM28,IF(BX28&gt;=AW$3,"cukup dalam "&amp;CM28,IF(BX28&lt;AW$3,"dengan bimbingan dapat meningkatkan dalam "&amp;CM28,IF(BX28&lt;1," ",””))))))</f>
        <v>#N/A</v>
      </c>
      <c r="CP28" s="58"/>
      <c r="CQ28" s="57" t="str">
        <f t="shared" si="73"/>
        <v/>
      </c>
      <c r="CR28" s="57" t="str">
        <f t="shared" si="74"/>
        <v/>
      </c>
      <c r="CS28" s="57" t="str">
        <f t="shared" si="75"/>
        <v/>
      </c>
      <c r="CT28" s="57" t="str">
        <f t="shared" si="76"/>
        <v/>
      </c>
      <c r="CU28" s="57" t="str">
        <f t="shared" si="77"/>
        <v/>
      </c>
      <c r="CV28" s="57" t="str">
        <f t="shared" si="78"/>
        <v/>
      </c>
      <c r="CW28" s="57" t="str">
        <f t="shared" si="79"/>
        <v/>
      </c>
      <c r="CX28" s="57" t="str">
        <f t="shared" si="80"/>
        <v/>
      </c>
      <c r="CY28" s="57" t="str">
        <f t="shared" si="81"/>
        <v/>
      </c>
      <c r="CZ28" s="57"/>
      <c r="DA28" s="59" t="e">
        <f t="shared" si="82"/>
        <v>#N/A</v>
      </c>
      <c r="DB28" s="59" t="e">
        <f>IF(BY28&gt;100,"",IF(BY28&gt;AW$1,"sangat baik dalam "&amp;DA28,IF(BY28&gt;=AW$2,"baik dalam "&amp;DA28,IF(BY28&gt;=AW$3,"cukup dalam "&amp;DA28,IF(BY28&lt;AW$3,"dengan bimbingan dapat meningkatkan  dalam "&amp;DA28,IF(BY28&lt;1," ",””))))))</f>
        <v>#N/A</v>
      </c>
      <c r="DC28" s="61"/>
      <c r="DD28" s="62" t="e">
        <f t="shared" si="83"/>
        <v>#N/A</v>
      </c>
      <c r="DE28" s="57" t="str">
        <f t="shared" si="84"/>
        <v/>
      </c>
      <c r="DF28" s="57" t="str">
        <f t="shared" si="85"/>
        <v/>
      </c>
      <c r="DG28" s="57" t="str">
        <f t="shared" si="86"/>
        <v/>
      </c>
      <c r="DH28" s="57"/>
      <c r="DI28" s="57"/>
      <c r="DJ28" s="57"/>
      <c r="DK28" s="59">
        <f t="shared" si="27"/>
        <v>0</v>
      </c>
      <c r="DL28" s="60"/>
      <c r="DM28" s="61"/>
      <c r="DN28" s="62" t="str">
        <f t="shared" si="87"/>
        <v>, 0</v>
      </c>
    </row>
    <row r="29" spans="1:119">
      <c r="A29" s="39">
        <v>22</v>
      </c>
      <c r="B29" s="283">
        <f>SISWA!B27</f>
        <v>0</v>
      </c>
      <c r="C29" s="123"/>
      <c r="D29" s="123"/>
      <c r="E29" s="123"/>
      <c r="F29" s="123"/>
      <c r="G29" s="123"/>
      <c r="H29" s="123"/>
      <c r="I29" s="123"/>
      <c r="J29" s="123"/>
      <c r="K29" s="123"/>
      <c r="L29" s="256"/>
      <c r="M29" s="256"/>
      <c r="N29" s="256"/>
      <c r="O29" s="256"/>
      <c r="P29" s="256"/>
      <c r="Q29" s="256"/>
      <c r="R29" s="256"/>
      <c r="S29" s="256"/>
      <c r="T29" s="256"/>
      <c r="U29" s="260" t="str">
        <f t="shared" si="28"/>
        <v xml:space="preserve"> </v>
      </c>
      <c r="V29" s="260" t="str">
        <f t="shared" si="29"/>
        <v xml:space="preserve"> </v>
      </c>
      <c r="W29" s="260" t="str">
        <f t="shared" si="30"/>
        <v xml:space="preserve"> </v>
      </c>
      <c r="X29" s="260" t="str">
        <f t="shared" si="31"/>
        <v xml:space="preserve"> </v>
      </c>
      <c r="Y29" s="260" t="str">
        <f t="shared" si="32"/>
        <v xml:space="preserve"> </v>
      </c>
      <c r="Z29" s="260" t="str">
        <f t="shared" si="33"/>
        <v xml:space="preserve"> </v>
      </c>
      <c r="AA29" s="260" t="str">
        <f t="shared" si="34"/>
        <v xml:space="preserve"> </v>
      </c>
      <c r="AB29" s="260" t="str">
        <f t="shared" si="35"/>
        <v xml:space="preserve"> </v>
      </c>
      <c r="AC29" s="260" t="str">
        <f t="shared" si="36"/>
        <v xml:space="preserve"> </v>
      </c>
      <c r="AD29" s="547"/>
      <c r="AE29" s="547"/>
      <c r="AF29" s="547"/>
      <c r="AG29" s="547"/>
      <c r="AH29" s="547"/>
      <c r="AI29" s="547"/>
      <c r="AJ29" s="547"/>
      <c r="AK29" s="547"/>
      <c r="AL29" s="547"/>
      <c r="AM29" s="565"/>
      <c r="AN29" s="565"/>
      <c r="AO29" s="565"/>
      <c r="AP29" s="565"/>
      <c r="AQ29" s="565"/>
      <c r="AR29" s="565"/>
      <c r="AS29" s="565"/>
      <c r="AT29" s="565"/>
      <c r="AU29" s="565"/>
      <c r="AV29" s="549" t="str">
        <f t="shared" si="37"/>
        <v xml:space="preserve"> </v>
      </c>
      <c r="AW29" s="291" t="str">
        <f t="shared" si="38"/>
        <v xml:space="preserve">  </v>
      </c>
      <c r="AX29" s="50" t="str">
        <f t="shared" si="39"/>
        <v xml:space="preserve"> </v>
      </c>
      <c r="AY29" s="282"/>
      <c r="AZ29" s="51"/>
      <c r="BA29" s="46" t="str">
        <f t="shared" si="40"/>
        <v xml:space="preserve"> </v>
      </c>
      <c r="BB29" s="46" t="str">
        <f t="shared" si="41"/>
        <v xml:space="preserve"> </v>
      </c>
      <c r="BC29" s="46" t="str">
        <f t="shared" si="42"/>
        <v xml:space="preserve"> </v>
      </c>
      <c r="BD29" s="46" t="str">
        <f t="shared" si="43"/>
        <v xml:space="preserve"> </v>
      </c>
      <c r="BE29" s="46" t="str">
        <f t="shared" si="44"/>
        <v xml:space="preserve"> </v>
      </c>
      <c r="BF29" s="46" t="str">
        <f t="shared" si="45"/>
        <v xml:space="preserve"> </v>
      </c>
      <c r="BG29" s="46" t="str">
        <f t="shared" si="46"/>
        <v xml:space="preserve"> </v>
      </c>
      <c r="BH29" s="46" t="str">
        <f t="shared" si="47"/>
        <v xml:space="preserve"> </v>
      </c>
      <c r="BI29" s="46" t="str">
        <f t="shared" si="48"/>
        <v xml:space="preserve"> </v>
      </c>
      <c r="BJ29" s="46"/>
      <c r="BK29" s="52" t="e">
        <f>[2]uts!#REF!</f>
        <v>#REF!</v>
      </c>
      <c r="BL29" s="51"/>
      <c r="BM29" s="53" t="str">
        <f t="shared" si="49"/>
        <v xml:space="preserve">  </v>
      </c>
      <c r="BN29" s="53" t="str">
        <f t="shared" si="50"/>
        <v xml:space="preserve">  </v>
      </c>
      <c r="BO29" s="53" t="str">
        <f t="shared" si="51"/>
        <v xml:space="preserve">  </v>
      </c>
      <c r="BP29" s="53" t="str">
        <f t="shared" si="52"/>
        <v xml:space="preserve">  </v>
      </c>
      <c r="BQ29" s="53" t="str">
        <f t="shared" si="53"/>
        <v xml:space="preserve">  </v>
      </c>
      <c r="BR29" s="53" t="str">
        <f t="shared" si="54"/>
        <v xml:space="preserve">  </v>
      </c>
      <c r="BS29" s="53" t="str">
        <f t="shared" si="55"/>
        <v xml:space="preserve">  </v>
      </c>
      <c r="BT29" s="53" t="str">
        <f t="shared" si="56"/>
        <v xml:space="preserve">  </v>
      </c>
      <c r="BU29" s="53" t="str">
        <f t="shared" si="57"/>
        <v xml:space="preserve">  </v>
      </c>
      <c r="BV29" s="53"/>
      <c r="BW29" s="54" t="str">
        <f t="shared" si="58"/>
        <v xml:space="preserve"> </v>
      </c>
      <c r="BX29" s="55">
        <f t="shared" si="59"/>
        <v>0</v>
      </c>
      <c r="BY29" s="55">
        <f t="shared" si="60"/>
        <v>0</v>
      </c>
      <c r="BZ29" s="51">
        <f>SISWA!E27</f>
        <v>0</v>
      </c>
      <c r="CA29" s="51" t="str">
        <f t="shared" si="61"/>
        <v/>
      </c>
      <c r="CB29" s="56" t="str">
        <f t="shared" si="62"/>
        <v/>
      </c>
      <c r="CC29" s="56" t="str">
        <f t="shared" si="63"/>
        <v/>
      </c>
      <c r="CD29" s="56" t="str">
        <f t="shared" si="64"/>
        <v/>
      </c>
      <c r="CE29" s="56" t="str">
        <f t="shared" si="65"/>
        <v/>
      </c>
      <c r="CF29" s="56" t="str">
        <f t="shared" si="66"/>
        <v/>
      </c>
      <c r="CG29" s="56" t="str">
        <f t="shared" si="67"/>
        <v/>
      </c>
      <c r="CH29" s="56" t="str">
        <f t="shared" si="68"/>
        <v/>
      </c>
      <c r="CI29" s="56" t="str">
        <f t="shared" si="69"/>
        <v/>
      </c>
      <c r="CJ29" s="56" t="str">
        <f t="shared" si="70"/>
        <v/>
      </c>
      <c r="CK29" s="57"/>
      <c r="CL29" s="58">
        <f t="shared" si="71"/>
        <v>0</v>
      </c>
      <c r="CM29" s="55" t="e">
        <f t="shared" si="72"/>
        <v>#N/A</v>
      </c>
      <c r="CN29" s="58"/>
      <c r="CO29" s="59" t="e">
        <f>IF(BX29&gt;100,"",IF(BX29&gt;AW$1,"sangat baik dalam "&amp;CM29,IF(BX29&gt;=AW$2,"baik dalam "&amp;CM29,IF(BX29&gt;=AW$3,"cukup dalam "&amp;CM29,IF(BX29&lt;AW$3,"dengan bimbingan dapat meningkatkan dalam "&amp;CM29,IF(BX29&lt;1," ",””))))))</f>
        <v>#N/A</v>
      </c>
      <c r="CP29" s="58"/>
      <c r="CQ29" s="57" t="str">
        <f t="shared" si="73"/>
        <v/>
      </c>
      <c r="CR29" s="57" t="str">
        <f t="shared" si="74"/>
        <v/>
      </c>
      <c r="CS29" s="57" t="str">
        <f t="shared" si="75"/>
        <v/>
      </c>
      <c r="CT29" s="57" t="str">
        <f t="shared" si="76"/>
        <v/>
      </c>
      <c r="CU29" s="57" t="str">
        <f t="shared" si="77"/>
        <v/>
      </c>
      <c r="CV29" s="57" t="str">
        <f t="shared" si="78"/>
        <v/>
      </c>
      <c r="CW29" s="57" t="str">
        <f t="shared" si="79"/>
        <v/>
      </c>
      <c r="CX29" s="57" t="str">
        <f t="shared" si="80"/>
        <v/>
      </c>
      <c r="CY29" s="57" t="str">
        <f t="shared" si="81"/>
        <v/>
      </c>
      <c r="CZ29" s="57"/>
      <c r="DA29" s="59" t="e">
        <f t="shared" si="82"/>
        <v>#N/A</v>
      </c>
      <c r="DB29" s="59" t="e">
        <f>IF(BY29&gt;100,"",IF(BY29&gt;AW$1,"sangat baik dalam "&amp;DA29,IF(BY29&gt;=AW$2,"baik dalam "&amp;DA29,IF(BY29&gt;=AW$3,"cukup dalam "&amp;DA29,IF(BY29&lt;AW$3,"dengan bimbingan dapat meningkatkan  dalam "&amp;DA29,IF(BY29&lt;1," ",””))))))</f>
        <v>#N/A</v>
      </c>
      <c r="DC29" s="61"/>
      <c r="DD29" s="62" t="e">
        <f t="shared" si="83"/>
        <v>#N/A</v>
      </c>
      <c r="DE29" s="57" t="str">
        <f t="shared" si="84"/>
        <v/>
      </c>
      <c r="DF29" s="57" t="str">
        <f t="shared" si="85"/>
        <v/>
      </c>
      <c r="DG29" s="57" t="str">
        <f t="shared" si="86"/>
        <v/>
      </c>
      <c r="DH29" s="57"/>
      <c r="DI29" s="57"/>
      <c r="DJ29" s="57"/>
      <c r="DK29" s="59">
        <f t="shared" si="27"/>
        <v>0</v>
      </c>
      <c r="DL29" s="60"/>
      <c r="DM29" s="61"/>
      <c r="DN29" s="62" t="str">
        <f t="shared" si="87"/>
        <v>, 0</v>
      </c>
    </row>
    <row r="30" spans="1:119">
      <c r="A30" s="39">
        <v>23</v>
      </c>
      <c r="B30" s="283">
        <f>SISWA!B28</f>
        <v>0</v>
      </c>
      <c r="C30" s="123"/>
      <c r="D30" s="123"/>
      <c r="E30" s="123"/>
      <c r="F30" s="123"/>
      <c r="G30" s="123"/>
      <c r="H30" s="123"/>
      <c r="I30" s="123"/>
      <c r="J30" s="123"/>
      <c r="K30" s="123"/>
      <c r="L30" s="256"/>
      <c r="M30" s="256"/>
      <c r="N30" s="256"/>
      <c r="O30" s="256"/>
      <c r="P30" s="256"/>
      <c r="Q30" s="256"/>
      <c r="R30" s="256"/>
      <c r="S30" s="256"/>
      <c r="T30" s="256"/>
      <c r="U30" s="260" t="str">
        <f t="shared" si="28"/>
        <v xml:space="preserve"> </v>
      </c>
      <c r="V30" s="260" t="str">
        <f t="shared" si="29"/>
        <v xml:space="preserve"> </v>
      </c>
      <c r="W30" s="260" t="str">
        <f t="shared" si="30"/>
        <v xml:space="preserve"> </v>
      </c>
      <c r="X30" s="260" t="str">
        <f t="shared" si="31"/>
        <v xml:space="preserve"> </v>
      </c>
      <c r="Y30" s="260" t="str">
        <f t="shared" si="32"/>
        <v xml:space="preserve"> </v>
      </c>
      <c r="Z30" s="260" t="str">
        <f t="shared" si="33"/>
        <v xml:space="preserve"> </v>
      </c>
      <c r="AA30" s="260" t="str">
        <f t="shared" si="34"/>
        <v xml:space="preserve"> </v>
      </c>
      <c r="AB30" s="260" t="str">
        <f t="shared" si="35"/>
        <v xml:space="preserve"> </v>
      </c>
      <c r="AC30" s="260" t="str">
        <f t="shared" si="36"/>
        <v xml:space="preserve"> </v>
      </c>
      <c r="AD30" s="547"/>
      <c r="AE30" s="547"/>
      <c r="AF30" s="547"/>
      <c r="AG30" s="547"/>
      <c r="AH30" s="547"/>
      <c r="AI30" s="547"/>
      <c r="AJ30" s="547"/>
      <c r="AK30" s="547"/>
      <c r="AL30" s="547"/>
      <c r="AM30" s="565"/>
      <c r="AN30" s="565"/>
      <c r="AO30" s="565"/>
      <c r="AP30" s="565"/>
      <c r="AQ30" s="565"/>
      <c r="AR30" s="565"/>
      <c r="AS30" s="565"/>
      <c r="AT30" s="565"/>
      <c r="AU30" s="565"/>
      <c r="AV30" s="549" t="str">
        <f t="shared" si="37"/>
        <v xml:space="preserve"> </v>
      </c>
      <c r="AW30" s="291" t="str">
        <f t="shared" si="38"/>
        <v xml:space="preserve">  </v>
      </c>
      <c r="AX30" s="50" t="str">
        <f t="shared" si="39"/>
        <v xml:space="preserve"> </v>
      </c>
      <c r="AY30" s="282"/>
      <c r="AZ30" s="51"/>
      <c r="BA30" s="46" t="str">
        <f t="shared" si="40"/>
        <v xml:space="preserve"> </v>
      </c>
      <c r="BB30" s="46" t="str">
        <f t="shared" si="41"/>
        <v xml:space="preserve"> </v>
      </c>
      <c r="BC30" s="46" t="str">
        <f t="shared" si="42"/>
        <v xml:space="preserve"> </v>
      </c>
      <c r="BD30" s="46" t="str">
        <f t="shared" si="43"/>
        <v xml:space="preserve"> </v>
      </c>
      <c r="BE30" s="46" t="str">
        <f t="shared" si="44"/>
        <v xml:space="preserve"> </v>
      </c>
      <c r="BF30" s="46" t="str">
        <f t="shared" si="45"/>
        <v xml:space="preserve"> </v>
      </c>
      <c r="BG30" s="46" t="str">
        <f t="shared" si="46"/>
        <v xml:space="preserve"> </v>
      </c>
      <c r="BH30" s="46" t="str">
        <f t="shared" si="47"/>
        <v xml:space="preserve"> </v>
      </c>
      <c r="BI30" s="46" t="str">
        <f t="shared" si="48"/>
        <v xml:space="preserve"> </v>
      </c>
      <c r="BJ30" s="46"/>
      <c r="BK30" s="52" t="e">
        <f>[2]uts!#REF!</f>
        <v>#REF!</v>
      </c>
      <c r="BL30" s="51"/>
      <c r="BM30" s="53" t="str">
        <f t="shared" si="49"/>
        <v xml:space="preserve">  </v>
      </c>
      <c r="BN30" s="53" t="str">
        <f t="shared" si="50"/>
        <v xml:space="preserve">  </v>
      </c>
      <c r="BO30" s="53" t="str">
        <f t="shared" si="51"/>
        <v xml:space="preserve">  </v>
      </c>
      <c r="BP30" s="53" t="str">
        <f t="shared" si="52"/>
        <v xml:space="preserve">  </v>
      </c>
      <c r="BQ30" s="53" t="str">
        <f t="shared" si="53"/>
        <v xml:space="preserve">  </v>
      </c>
      <c r="BR30" s="53" t="str">
        <f t="shared" si="54"/>
        <v xml:space="preserve">  </v>
      </c>
      <c r="BS30" s="53" t="str">
        <f t="shared" si="55"/>
        <v xml:space="preserve">  </v>
      </c>
      <c r="BT30" s="53" t="str">
        <f t="shared" si="56"/>
        <v xml:space="preserve">  </v>
      </c>
      <c r="BU30" s="53" t="str">
        <f t="shared" si="57"/>
        <v xml:space="preserve">  </v>
      </c>
      <c r="BV30" s="53"/>
      <c r="BW30" s="54" t="str">
        <f t="shared" si="58"/>
        <v xml:space="preserve"> </v>
      </c>
      <c r="BX30" s="55">
        <f t="shared" si="59"/>
        <v>0</v>
      </c>
      <c r="BY30" s="55">
        <f t="shared" si="60"/>
        <v>0</v>
      </c>
      <c r="BZ30" s="51">
        <f>SISWA!E28</f>
        <v>0</v>
      </c>
      <c r="CA30" s="51" t="str">
        <f t="shared" si="61"/>
        <v/>
      </c>
      <c r="CB30" s="56" t="str">
        <f t="shared" si="62"/>
        <v/>
      </c>
      <c r="CC30" s="56" t="str">
        <f t="shared" si="63"/>
        <v/>
      </c>
      <c r="CD30" s="56" t="str">
        <f t="shared" si="64"/>
        <v/>
      </c>
      <c r="CE30" s="56" t="str">
        <f t="shared" si="65"/>
        <v/>
      </c>
      <c r="CF30" s="56" t="str">
        <f t="shared" si="66"/>
        <v/>
      </c>
      <c r="CG30" s="56" t="str">
        <f t="shared" si="67"/>
        <v/>
      </c>
      <c r="CH30" s="56" t="str">
        <f t="shared" si="68"/>
        <v/>
      </c>
      <c r="CI30" s="56" t="str">
        <f t="shared" si="69"/>
        <v/>
      </c>
      <c r="CJ30" s="56" t="str">
        <f t="shared" si="70"/>
        <v/>
      </c>
      <c r="CK30" s="57"/>
      <c r="CL30" s="58">
        <f t="shared" si="71"/>
        <v>0</v>
      </c>
      <c r="CM30" s="55" t="e">
        <f t="shared" si="72"/>
        <v>#N/A</v>
      </c>
      <c r="CN30" s="58"/>
      <c r="CO30" s="59" t="e">
        <f>IF(BX30&gt;100,"",IF(BX30&gt;AW$1,"sangat baik dalam "&amp;CM30,IF(BX30&gt;=AW$2,"baik dalam "&amp;CM30,IF(BX30&gt;=AW$3,"cukup dalam "&amp;CM30,IF(BX30&lt;AW$3,"dengan bimbingan dapat meningkatkan dalam "&amp;CM30,IF(BX30&lt;1," ",””))))))</f>
        <v>#N/A</v>
      </c>
      <c r="CP30" s="58"/>
      <c r="CQ30" s="57" t="str">
        <f t="shared" si="73"/>
        <v/>
      </c>
      <c r="CR30" s="57" t="str">
        <f t="shared" si="74"/>
        <v/>
      </c>
      <c r="CS30" s="57" t="str">
        <f t="shared" si="75"/>
        <v/>
      </c>
      <c r="CT30" s="57" t="str">
        <f t="shared" si="76"/>
        <v/>
      </c>
      <c r="CU30" s="57" t="str">
        <f t="shared" si="77"/>
        <v/>
      </c>
      <c r="CV30" s="57" t="str">
        <f t="shared" si="78"/>
        <v/>
      </c>
      <c r="CW30" s="57" t="str">
        <f t="shared" si="79"/>
        <v/>
      </c>
      <c r="CX30" s="57" t="str">
        <f t="shared" si="80"/>
        <v/>
      </c>
      <c r="CY30" s="57" t="str">
        <f t="shared" si="81"/>
        <v/>
      </c>
      <c r="CZ30" s="57"/>
      <c r="DA30" s="59" t="e">
        <f t="shared" si="82"/>
        <v>#N/A</v>
      </c>
      <c r="DB30" s="59" t="e">
        <f>IF(BY30&gt;100,"",IF(BY30&gt;AW$1,"sangat baik dalam "&amp;DA30,IF(BY30&gt;=AW$2,"baik dalam "&amp;DA30,IF(BY30&gt;=AW$3,"cukup dalam "&amp;DA30,IF(BY30&lt;AW$3,"dengan bimbingan dapat meningkatkan  dalam "&amp;DA30,IF(BY30&lt;1," ",””))))))</f>
        <v>#N/A</v>
      </c>
      <c r="DC30" s="61"/>
      <c r="DD30" s="62" t="e">
        <f t="shared" si="83"/>
        <v>#N/A</v>
      </c>
      <c r="DE30" s="57" t="str">
        <f t="shared" si="84"/>
        <v/>
      </c>
      <c r="DF30" s="57" t="str">
        <f t="shared" si="85"/>
        <v/>
      </c>
      <c r="DG30" s="57" t="str">
        <f t="shared" si="86"/>
        <v/>
      </c>
      <c r="DH30" s="57"/>
      <c r="DI30" s="57"/>
      <c r="DJ30" s="57"/>
      <c r="DK30" s="59">
        <f t="shared" si="27"/>
        <v>0</v>
      </c>
      <c r="DL30" s="60"/>
      <c r="DM30" s="61"/>
      <c r="DN30" s="62" t="str">
        <f t="shared" si="87"/>
        <v>, 0</v>
      </c>
    </row>
    <row r="31" spans="1:119">
      <c r="A31" s="39">
        <v>24</v>
      </c>
      <c r="B31" s="283">
        <f>SISWA!B29</f>
        <v>0</v>
      </c>
      <c r="C31" s="123"/>
      <c r="D31" s="123"/>
      <c r="E31" s="123"/>
      <c r="F31" s="123"/>
      <c r="G31" s="123"/>
      <c r="H31" s="123"/>
      <c r="I31" s="123"/>
      <c r="J31" s="123"/>
      <c r="K31" s="123"/>
      <c r="L31" s="256"/>
      <c r="M31" s="256"/>
      <c r="N31" s="256"/>
      <c r="O31" s="256"/>
      <c r="P31" s="256"/>
      <c r="Q31" s="256"/>
      <c r="R31" s="256"/>
      <c r="S31" s="256"/>
      <c r="T31" s="256"/>
      <c r="U31" s="260" t="str">
        <f t="shared" si="28"/>
        <v xml:space="preserve"> </v>
      </c>
      <c r="V31" s="260" t="str">
        <f t="shared" si="29"/>
        <v xml:space="preserve"> </v>
      </c>
      <c r="W31" s="260" t="str">
        <f t="shared" si="30"/>
        <v xml:space="preserve"> </v>
      </c>
      <c r="X31" s="260" t="str">
        <f t="shared" si="31"/>
        <v xml:space="preserve"> </v>
      </c>
      <c r="Y31" s="260" t="str">
        <f t="shared" si="32"/>
        <v xml:space="preserve"> </v>
      </c>
      <c r="Z31" s="260" t="str">
        <f t="shared" si="33"/>
        <v xml:space="preserve"> </v>
      </c>
      <c r="AA31" s="260" t="str">
        <f t="shared" si="34"/>
        <v xml:space="preserve"> </v>
      </c>
      <c r="AB31" s="260" t="str">
        <f t="shared" si="35"/>
        <v xml:space="preserve"> </v>
      </c>
      <c r="AC31" s="260" t="str">
        <f t="shared" si="36"/>
        <v xml:space="preserve"> </v>
      </c>
      <c r="AD31" s="547"/>
      <c r="AE31" s="547"/>
      <c r="AF31" s="547"/>
      <c r="AG31" s="547"/>
      <c r="AH31" s="547"/>
      <c r="AI31" s="547"/>
      <c r="AJ31" s="547"/>
      <c r="AK31" s="547"/>
      <c r="AL31" s="547"/>
      <c r="AM31" s="565"/>
      <c r="AN31" s="565"/>
      <c r="AO31" s="565"/>
      <c r="AP31" s="565"/>
      <c r="AQ31" s="565"/>
      <c r="AR31" s="565"/>
      <c r="AS31" s="565"/>
      <c r="AT31" s="565"/>
      <c r="AU31" s="565"/>
      <c r="AV31" s="549" t="str">
        <f t="shared" si="37"/>
        <v xml:space="preserve"> </v>
      </c>
      <c r="AW31" s="291" t="str">
        <f t="shared" si="38"/>
        <v xml:space="preserve">  </v>
      </c>
      <c r="AX31" s="50" t="str">
        <f t="shared" si="39"/>
        <v xml:space="preserve"> </v>
      </c>
      <c r="AY31" s="282"/>
      <c r="AZ31" s="51"/>
      <c r="BA31" s="46" t="str">
        <f t="shared" si="40"/>
        <v xml:space="preserve"> </v>
      </c>
      <c r="BB31" s="46" t="str">
        <f t="shared" si="41"/>
        <v xml:space="preserve"> </v>
      </c>
      <c r="BC31" s="46" t="str">
        <f t="shared" si="42"/>
        <v xml:space="preserve"> </v>
      </c>
      <c r="BD31" s="46" t="str">
        <f t="shared" si="43"/>
        <v xml:space="preserve"> </v>
      </c>
      <c r="BE31" s="46" t="str">
        <f t="shared" si="44"/>
        <v xml:space="preserve"> </v>
      </c>
      <c r="BF31" s="46" t="str">
        <f t="shared" si="45"/>
        <v xml:space="preserve"> </v>
      </c>
      <c r="BG31" s="46" t="str">
        <f t="shared" si="46"/>
        <v xml:space="preserve"> </v>
      </c>
      <c r="BH31" s="46" t="str">
        <f t="shared" si="47"/>
        <v xml:space="preserve"> </v>
      </c>
      <c r="BI31" s="46" t="str">
        <f t="shared" si="48"/>
        <v xml:space="preserve"> </v>
      </c>
      <c r="BJ31" s="46"/>
      <c r="BK31" s="52" t="e">
        <f>[2]uts!#REF!</f>
        <v>#REF!</v>
      </c>
      <c r="BL31" s="51"/>
      <c r="BM31" s="53" t="str">
        <f t="shared" si="49"/>
        <v xml:space="preserve">  </v>
      </c>
      <c r="BN31" s="53" t="str">
        <f t="shared" si="50"/>
        <v xml:space="preserve">  </v>
      </c>
      <c r="BO31" s="53" t="str">
        <f t="shared" si="51"/>
        <v xml:space="preserve">  </v>
      </c>
      <c r="BP31" s="53" t="str">
        <f t="shared" si="52"/>
        <v xml:space="preserve">  </v>
      </c>
      <c r="BQ31" s="53" t="str">
        <f t="shared" si="53"/>
        <v xml:space="preserve">  </v>
      </c>
      <c r="BR31" s="53" t="str">
        <f t="shared" si="54"/>
        <v xml:space="preserve">  </v>
      </c>
      <c r="BS31" s="53" t="str">
        <f t="shared" si="55"/>
        <v xml:space="preserve">  </v>
      </c>
      <c r="BT31" s="53" t="str">
        <f t="shared" si="56"/>
        <v xml:space="preserve">  </v>
      </c>
      <c r="BU31" s="53" t="str">
        <f t="shared" si="57"/>
        <v xml:space="preserve">  </v>
      </c>
      <c r="BV31" s="53"/>
      <c r="BW31" s="54" t="str">
        <f t="shared" si="58"/>
        <v xml:space="preserve"> </v>
      </c>
      <c r="BX31" s="55">
        <f t="shared" si="59"/>
        <v>0</v>
      </c>
      <c r="BY31" s="55">
        <f t="shared" si="60"/>
        <v>0</v>
      </c>
      <c r="BZ31" s="51">
        <f>SISWA!E29</f>
        <v>0</v>
      </c>
      <c r="CA31" s="51" t="str">
        <f t="shared" si="61"/>
        <v/>
      </c>
      <c r="CB31" s="56" t="str">
        <f t="shared" si="62"/>
        <v/>
      </c>
      <c r="CC31" s="56" t="str">
        <f t="shared" si="63"/>
        <v/>
      </c>
      <c r="CD31" s="56" t="str">
        <f t="shared" si="64"/>
        <v/>
      </c>
      <c r="CE31" s="56" t="str">
        <f t="shared" si="65"/>
        <v/>
      </c>
      <c r="CF31" s="56" t="str">
        <f t="shared" si="66"/>
        <v/>
      </c>
      <c r="CG31" s="56" t="str">
        <f t="shared" si="67"/>
        <v/>
      </c>
      <c r="CH31" s="56" t="str">
        <f t="shared" si="68"/>
        <v/>
      </c>
      <c r="CI31" s="56" t="str">
        <f t="shared" si="69"/>
        <v/>
      </c>
      <c r="CJ31" s="56" t="str">
        <f t="shared" si="70"/>
        <v/>
      </c>
      <c r="CK31" s="57"/>
      <c r="CL31" s="58">
        <f t="shared" si="71"/>
        <v>0</v>
      </c>
      <c r="CM31" s="55" t="e">
        <f t="shared" si="72"/>
        <v>#N/A</v>
      </c>
      <c r="CN31" s="58"/>
      <c r="CO31" s="59" t="e">
        <f>IF(BX31&gt;100,"",IF(BX31&gt;AW$1,"sangat baik dalam "&amp;CM31,IF(BX31&gt;=AW$2,"baik dalam "&amp;CM31,IF(BX31&gt;=AW$3,"cukup dalam "&amp;CM31,IF(BX31&lt;AW$3,"dengan bimbingan dapat meningkatkan dalam "&amp;CM31,IF(BX31&lt;1," ",””))))))</f>
        <v>#N/A</v>
      </c>
      <c r="CP31" s="58"/>
      <c r="CQ31" s="57" t="str">
        <f t="shared" si="73"/>
        <v/>
      </c>
      <c r="CR31" s="57" t="str">
        <f t="shared" si="74"/>
        <v/>
      </c>
      <c r="CS31" s="57" t="str">
        <f t="shared" si="75"/>
        <v/>
      </c>
      <c r="CT31" s="57" t="str">
        <f t="shared" si="76"/>
        <v/>
      </c>
      <c r="CU31" s="57" t="str">
        <f t="shared" si="77"/>
        <v/>
      </c>
      <c r="CV31" s="57" t="str">
        <f t="shared" si="78"/>
        <v/>
      </c>
      <c r="CW31" s="57" t="str">
        <f t="shared" si="79"/>
        <v/>
      </c>
      <c r="CX31" s="57" t="str">
        <f t="shared" si="80"/>
        <v/>
      </c>
      <c r="CY31" s="57" t="str">
        <f t="shared" si="81"/>
        <v/>
      </c>
      <c r="CZ31" s="57"/>
      <c r="DA31" s="59" t="e">
        <f t="shared" si="82"/>
        <v>#N/A</v>
      </c>
      <c r="DB31" s="59" t="e">
        <f>IF(BY31&gt;100,"",IF(BY31&gt;AW$1,"sangat baik dalam "&amp;DA31,IF(BY31&gt;=AW$2,"baik dalam "&amp;DA31,IF(BY31&gt;=AW$3,"cukup dalam "&amp;DA31,IF(BY31&lt;AW$3,"dengan bimbingan dapat meningkatkan  dalam "&amp;DA31,IF(BY31&lt;1," ",””))))))</f>
        <v>#N/A</v>
      </c>
      <c r="DC31" s="61"/>
      <c r="DD31" s="62" t="e">
        <f t="shared" si="83"/>
        <v>#N/A</v>
      </c>
      <c r="DE31" s="57" t="str">
        <f t="shared" si="84"/>
        <v/>
      </c>
      <c r="DF31" s="57" t="str">
        <f t="shared" si="85"/>
        <v/>
      </c>
      <c r="DG31" s="57" t="str">
        <f t="shared" si="86"/>
        <v/>
      </c>
      <c r="DH31" s="57"/>
      <c r="DI31" s="57"/>
      <c r="DJ31" s="57"/>
      <c r="DK31" s="59">
        <f t="shared" si="27"/>
        <v>0</v>
      </c>
      <c r="DL31" s="60"/>
      <c r="DM31" s="61"/>
      <c r="DN31" s="62" t="str">
        <f t="shared" si="87"/>
        <v>, 0</v>
      </c>
    </row>
    <row r="32" spans="1:119">
      <c r="A32" s="39">
        <v>25</v>
      </c>
      <c r="B32" s="283">
        <f>SISWA!B30</f>
        <v>0</v>
      </c>
      <c r="C32" s="123"/>
      <c r="D32" s="123"/>
      <c r="E32" s="123"/>
      <c r="F32" s="123"/>
      <c r="G32" s="123"/>
      <c r="H32" s="123"/>
      <c r="I32" s="123"/>
      <c r="J32" s="123"/>
      <c r="K32" s="123"/>
      <c r="L32" s="256"/>
      <c r="M32" s="256"/>
      <c r="N32" s="256"/>
      <c r="O32" s="256"/>
      <c r="P32" s="256"/>
      <c r="Q32" s="256"/>
      <c r="R32" s="256"/>
      <c r="S32" s="256"/>
      <c r="T32" s="256"/>
      <c r="U32" s="260" t="str">
        <f t="shared" si="28"/>
        <v xml:space="preserve"> </v>
      </c>
      <c r="V32" s="260" t="str">
        <f t="shared" si="29"/>
        <v xml:space="preserve"> </v>
      </c>
      <c r="W32" s="260" t="str">
        <f t="shared" si="30"/>
        <v xml:space="preserve"> </v>
      </c>
      <c r="X32" s="260" t="str">
        <f t="shared" si="31"/>
        <v xml:space="preserve"> </v>
      </c>
      <c r="Y32" s="260" t="str">
        <f t="shared" si="32"/>
        <v xml:space="preserve"> </v>
      </c>
      <c r="Z32" s="260" t="str">
        <f t="shared" si="33"/>
        <v xml:space="preserve"> </v>
      </c>
      <c r="AA32" s="260" t="str">
        <f t="shared" si="34"/>
        <v xml:space="preserve"> </v>
      </c>
      <c r="AB32" s="260" t="str">
        <f t="shared" si="35"/>
        <v xml:space="preserve"> </v>
      </c>
      <c r="AC32" s="260" t="str">
        <f t="shared" si="36"/>
        <v xml:space="preserve"> </v>
      </c>
      <c r="AD32" s="547"/>
      <c r="AE32" s="547"/>
      <c r="AF32" s="547"/>
      <c r="AG32" s="547"/>
      <c r="AH32" s="547"/>
      <c r="AI32" s="547"/>
      <c r="AJ32" s="547"/>
      <c r="AK32" s="547"/>
      <c r="AL32" s="547"/>
      <c r="AM32" s="565"/>
      <c r="AN32" s="565"/>
      <c r="AO32" s="565"/>
      <c r="AP32" s="565"/>
      <c r="AQ32" s="565"/>
      <c r="AR32" s="565"/>
      <c r="AS32" s="565"/>
      <c r="AT32" s="565"/>
      <c r="AU32" s="565"/>
      <c r="AV32" s="549" t="str">
        <f t="shared" si="37"/>
        <v xml:space="preserve"> </v>
      </c>
      <c r="AW32" s="291" t="str">
        <f t="shared" si="38"/>
        <v xml:space="preserve">  </v>
      </c>
      <c r="AX32" s="50" t="str">
        <f t="shared" si="39"/>
        <v xml:space="preserve"> </v>
      </c>
      <c r="AY32" s="282"/>
      <c r="AZ32" s="51"/>
      <c r="BA32" s="46" t="str">
        <f t="shared" si="40"/>
        <v xml:space="preserve"> </v>
      </c>
      <c r="BB32" s="46" t="str">
        <f t="shared" si="41"/>
        <v xml:space="preserve"> </v>
      </c>
      <c r="BC32" s="46" t="str">
        <f t="shared" si="42"/>
        <v xml:space="preserve"> </v>
      </c>
      <c r="BD32" s="46" t="str">
        <f t="shared" si="43"/>
        <v xml:space="preserve"> </v>
      </c>
      <c r="BE32" s="46" t="str">
        <f t="shared" si="44"/>
        <v xml:space="preserve"> </v>
      </c>
      <c r="BF32" s="46" t="str">
        <f t="shared" si="45"/>
        <v xml:space="preserve"> </v>
      </c>
      <c r="BG32" s="46" t="str">
        <f t="shared" si="46"/>
        <v xml:space="preserve"> </v>
      </c>
      <c r="BH32" s="46" t="str">
        <f t="shared" si="47"/>
        <v xml:space="preserve"> </v>
      </c>
      <c r="BI32" s="46" t="str">
        <f t="shared" si="48"/>
        <v xml:space="preserve"> </v>
      </c>
      <c r="BJ32" s="46"/>
      <c r="BK32" s="52" t="e">
        <f>[2]uts!#REF!</f>
        <v>#REF!</v>
      </c>
      <c r="BL32" s="51"/>
      <c r="BM32" s="53" t="str">
        <f t="shared" si="49"/>
        <v xml:space="preserve">  </v>
      </c>
      <c r="BN32" s="53" t="str">
        <f t="shared" si="50"/>
        <v xml:space="preserve">  </v>
      </c>
      <c r="BO32" s="53" t="str">
        <f t="shared" si="51"/>
        <v xml:space="preserve">  </v>
      </c>
      <c r="BP32" s="53" t="str">
        <f t="shared" si="52"/>
        <v xml:space="preserve">  </v>
      </c>
      <c r="BQ32" s="53" t="str">
        <f t="shared" si="53"/>
        <v xml:space="preserve">  </v>
      </c>
      <c r="BR32" s="53" t="str">
        <f t="shared" si="54"/>
        <v xml:space="preserve">  </v>
      </c>
      <c r="BS32" s="53" t="str">
        <f t="shared" si="55"/>
        <v xml:space="preserve">  </v>
      </c>
      <c r="BT32" s="53" t="str">
        <f t="shared" si="56"/>
        <v xml:space="preserve">  </v>
      </c>
      <c r="BU32" s="53" t="str">
        <f t="shared" si="57"/>
        <v xml:space="preserve">  </v>
      </c>
      <c r="BV32" s="53"/>
      <c r="BW32" s="54" t="str">
        <f t="shared" si="58"/>
        <v xml:space="preserve"> </v>
      </c>
      <c r="BX32" s="55">
        <f t="shared" si="59"/>
        <v>0</v>
      </c>
      <c r="BY32" s="55">
        <f t="shared" si="60"/>
        <v>0</v>
      </c>
      <c r="BZ32" s="51">
        <f>SISWA!E30</f>
        <v>0</v>
      </c>
      <c r="CA32" s="51" t="str">
        <f t="shared" si="61"/>
        <v/>
      </c>
      <c r="CB32" s="56" t="str">
        <f t="shared" si="62"/>
        <v/>
      </c>
      <c r="CC32" s="56" t="str">
        <f t="shared" si="63"/>
        <v/>
      </c>
      <c r="CD32" s="56" t="str">
        <f t="shared" si="64"/>
        <v/>
      </c>
      <c r="CE32" s="56" t="str">
        <f t="shared" si="65"/>
        <v/>
      </c>
      <c r="CF32" s="56" t="str">
        <f t="shared" si="66"/>
        <v/>
      </c>
      <c r="CG32" s="56" t="str">
        <f t="shared" si="67"/>
        <v/>
      </c>
      <c r="CH32" s="56" t="str">
        <f t="shared" si="68"/>
        <v/>
      </c>
      <c r="CI32" s="56" t="str">
        <f t="shared" si="69"/>
        <v/>
      </c>
      <c r="CJ32" s="56" t="str">
        <f t="shared" si="70"/>
        <v/>
      </c>
      <c r="CK32" s="57"/>
      <c r="CL32" s="58">
        <f t="shared" si="71"/>
        <v>0</v>
      </c>
      <c r="CM32" s="55" t="e">
        <f t="shared" si="72"/>
        <v>#N/A</v>
      </c>
      <c r="CN32" s="58"/>
      <c r="CO32" s="59" t="e">
        <f>IF(BX32&gt;100,"",IF(BX32&gt;AW$1,"sangat baik dalam "&amp;CM32,IF(BX32&gt;=AW$2,"baik dalam "&amp;CM32,IF(BX32&gt;=AW$3,"cukup dalam "&amp;CM32,IF(BX32&lt;AW$3,"dengan bimbingan dapat meningkatkan dalam "&amp;CM32,IF(BX32&lt;1," ",””))))))</f>
        <v>#N/A</v>
      </c>
      <c r="CP32" s="58"/>
      <c r="CQ32" s="57" t="str">
        <f t="shared" si="73"/>
        <v/>
      </c>
      <c r="CR32" s="57" t="str">
        <f t="shared" si="74"/>
        <v/>
      </c>
      <c r="CS32" s="57" t="str">
        <f t="shared" si="75"/>
        <v/>
      </c>
      <c r="CT32" s="57" t="str">
        <f t="shared" si="76"/>
        <v/>
      </c>
      <c r="CU32" s="57" t="str">
        <f t="shared" si="77"/>
        <v/>
      </c>
      <c r="CV32" s="57" t="str">
        <f t="shared" si="78"/>
        <v/>
      </c>
      <c r="CW32" s="57" t="str">
        <f t="shared" si="79"/>
        <v/>
      </c>
      <c r="CX32" s="57" t="str">
        <f t="shared" si="80"/>
        <v/>
      </c>
      <c r="CY32" s="57" t="str">
        <f t="shared" si="81"/>
        <v/>
      </c>
      <c r="CZ32" s="57"/>
      <c r="DA32" s="59" t="e">
        <f t="shared" si="82"/>
        <v>#N/A</v>
      </c>
      <c r="DB32" s="59" t="e">
        <f>IF(BY32&gt;100,"",IF(BY32&gt;AW$1,"sangat baik dalam "&amp;DA32,IF(BY32&gt;=AW$2,"baik dalam "&amp;DA32,IF(BY32&gt;=AW$3,"cukup dalam "&amp;DA32,IF(BY32&lt;AW$3,"dengan bimbingan dapat meningkatkan  dalam "&amp;DA32,IF(BY32&lt;1," ",””))))))</f>
        <v>#N/A</v>
      </c>
      <c r="DC32" s="61"/>
      <c r="DD32" s="62" t="e">
        <f t="shared" si="83"/>
        <v>#N/A</v>
      </c>
      <c r="DE32" s="57" t="str">
        <f t="shared" si="84"/>
        <v/>
      </c>
      <c r="DF32" s="57" t="str">
        <f t="shared" si="85"/>
        <v/>
      </c>
      <c r="DG32" s="57" t="str">
        <f t="shared" si="86"/>
        <v/>
      </c>
      <c r="DH32" s="57"/>
      <c r="DI32" s="57"/>
      <c r="DJ32" s="57"/>
      <c r="DK32" s="59">
        <f t="shared" si="27"/>
        <v>0</v>
      </c>
      <c r="DL32" s="60"/>
      <c r="DM32" s="61"/>
      <c r="DN32" s="62" t="str">
        <f t="shared" si="87"/>
        <v>, 0</v>
      </c>
    </row>
    <row r="33" spans="1:118">
      <c r="A33" s="39">
        <v>26</v>
      </c>
      <c r="B33" s="283">
        <f>SISWA!B31</f>
        <v>0</v>
      </c>
      <c r="C33" s="123"/>
      <c r="D33" s="123"/>
      <c r="E33" s="123"/>
      <c r="F33" s="123"/>
      <c r="G33" s="123"/>
      <c r="H33" s="123"/>
      <c r="I33" s="123"/>
      <c r="J33" s="123"/>
      <c r="K33" s="123"/>
      <c r="L33" s="256"/>
      <c r="M33" s="256"/>
      <c r="N33" s="256"/>
      <c r="O33" s="256"/>
      <c r="P33" s="256"/>
      <c r="Q33" s="256"/>
      <c r="R33" s="256"/>
      <c r="S33" s="256"/>
      <c r="T33" s="256"/>
      <c r="U33" s="260" t="str">
        <f t="shared" si="28"/>
        <v xml:space="preserve"> </v>
      </c>
      <c r="V33" s="260" t="str">
        <f t="shared" si="29"/>
        <v xml:space="preserve"> </v>
      </c>
      <c r="W33" s="260" t="str">
        <f t="shared" si="30"/>
        <v xml:space="preserve"> </v>
      </c>
      <c r="X33" s="260" t="str">
        <f t="shared" si="31"/>
        <v xml:space="preserve"> </v>
      </c>
      <c r="Y33" s="260" t="str">
        <f t="shared" si="32"/>
        <v xml:space="preserve"> </v>
      </c>
      <c r="Z33" s="260" t="str">
        <f t="shared" si="33"/>
        <v xml:space="preserve"> </v>
      </c>
      <c r="AA33" s="260" t="str">
        <f t="shared" si="34"/>
        <v xml:space="preserve"> </v>
      </c>
      <c r="AB33" s="260" t="str">
        <f t="shared" si="35"/>
        <v xml:space="preserve"> </v>
      </c>
      <c r="AC33" s="260" t="str">
        <f t="shared" si="36"/>
        <v xml:space="preserve"> </v>
      </c>
      <c r="AD33" s="547"/>
      <c r="AE33" s="547"/>
      <c r="AF33" s="547"/>
      <c r="AG33" s="547"/>
      <c r="AH33" s="547"/>
      <c r="AI33" s="547"/>
      <c r="AJ33" s="547"/>
      <c r="AK33" s="547"/>
      <c r="AL33" s="547"/>
      <c r="AM33" s="565"/>
      <c r="AN33" s="565"/>
      <c r="AO33" s="565"/>
      <c r="AP33" s="565"/>
      <c r="AQ33" s="565"/>
      <c r="AR33" s="565"/>
      <c r="AS33" s="565"/>
      <c r="AT33" s="565"/>
      <c r="AU33" s="565"/>
      <c r="AV33" s="549" t="str">
        <f t="shared" si="37"/>
        <v xml:space="preserve"> </v>
      </c>
      <c r="AW33" s="291" t="str">
        <f t="shared" si="38"/>
        <v xml:space="preserve">  </v>
      </c>
      <c r="AX33" s="50" t="str">
        <f t="shared" si="39"/>
        <v xml:space="preserve"> </v>
      </c>
      <c r="AY33" s="282"/>
      <c r="AZ33" s="51"/>
      <c r="BA33" s="46" t="str">
        <f t="shared" si="40"/>
        <v xml:space="preserve"> </v>
      </c>
      <c r="BB33" s="46" t="str">
        <f t="shared" si="41"/>
        <v xml:space="preserve"> </v>
      </c>
      <c r="BC33" s="46" t="str">
        <f t="shared" si="42"/>
        <v xml:space="preserve"> </v>
      </c>
      <c r="BD33" s="46" t="str">
        <f t="shared" si="43"/>
        <v xml:space="preserve"> </v>
      </c>
      <c r="BE33" s="46" t="str">
        <f t="shared" si="44"/>
        <v xml:space="preserve"> </v>
      </c>
      <c r="BF33" s="46" t="str">
        <f t="shared" si="45"/>
        <v xml:space="preserve"> </v>
      </c>
      <c r="BG33" s="46" t="str">
        <f t="shared" si="46"/>
        <v xml:space="preserve"> </v>
      </c>
      <c r="BH33" s="46" t="str">
        <f t="shared" si="47"/>
        <v xml:space="preserve"> </v>
      </c>
      <c r="BI33" s="46" t="str">
        <f t="shared" si="48"/>
        <v xml:space="preserve"> </v>
      </c>
      <c r="BJ33" s="46"/>
      <c r="BK33" s="52" t="e">
        <f>[2]uts!#REF!</f>
        <v>#REF!</v>
      </c>
      <c r="BL33" s="51"/>
      <c r="BM33" s="53" t="str">
        <f t="shared" si="49"/>
        <v xml:space="preserve">  </v>
      </c>
      <c r="BN33" s="53" t="str">
        <f t="shared" si="50"/>
        <v xml:space="preserve">  </v>
      </c>
      <c r="BO33" s="53" t="str">
        <f t="shared" si="51"/>
        <v xml:space="preserve">  </v>
      </c>
      <c r="BP33" s="53" t="str">
        <f t="shared" si="52"/>
        <v xml:space="preserve">  </v>
      </c>
      <c r="BQ33" s="53" t="str">
        <f t="shared" si="53"/>
        <v xml:space="preserve">  </v>
      </c>
      <c r="BR33" s="53" t="str">
        <f t="shared" si="54"/>
        <v xml:space="preserve">  </v>
      </c>
      <c r="BS33" s="53" t="str">
        <f t="shared" si="55"/>
        <v xml:space="preserve">  </v>
      </c>
      <c r="BT33" s="53" t="str">
        <f t="shared" si="56"/>
        <v xml:space="preserve">  </v>
      </c>
      <c r="BU33" s="53" t="str">
        <f t="shared" si="57"/>
        <v xml:space="preserve">  </v>
      </c>
      <c r="BV33" s="53"/>
      <c r="BW33" s="54" t="str">
        <f t="shared" si="58"/>
        <v xml:space="preserve"> </v>
      </c>
      <c r="BX33" s="55">
        <f t="shared" si="59"/>
        <v>0</v>
      </c>
      <c r="BY33" s="55">
        <f t="shared" si="60"/>
        <v>0</v>
      </c>
      <c r="BZ33" s="51">
        <f>SISWA!E31</f>
        <v>0</v>
      </c>
      <c r="CA33" s="51" t="str">
        <f t="shared" si="61"/>
        <v/>
      </c>
      <c r="CB33" s="56" t="str">
        <f t="shared" si="62"/>
        <v/>
      </c>
      <c r="CC33" s="56" t="str">
        <f t="shared" si="63"/>
        <v/>
      </c>
      <c r="CD33" s="56" t="str">
        <f t="shared" si="64"/>
        <v/>
      </c>
      <c r="CE33" s="56" t="str">
        <f t="shared" si="65"/>
        <v/>
      </c>
      <c r="CF33" s="56" t="str">
        <f t="shared" si="66"/>
        <v/>
      </c>
      <c r="CG33" s="56" t="str">
        <f t="shared" si="67"/>
        <v/>
      </c>
      <c r="CH33" s="56" t="str">
        <f t="shared" si="68"/>
        <v/>
      </c>
      <c r="CI33" s="56" t="str">
        <f t="shared" si="69"/>
        <v/>
      </c>
      <c r="CJ33" s="56" t="str">
        <f t="shared" si="70"/>
        <v/>
      </c>
      <c r="CK33" s="57"/>
      <c r="CL33" s="58">
        <f t="shared" si="71"/>
        <v>0</v>
      </c>
      <c r="CM33" s="55" t="e">
        <f t="shared" si="72"/>
        <v>#N/A</v>
      </c>
      <c r="CN33" s="58"/>
      <c r="CO33" s="59" t="e">
        <f>IF(BX33&gt;100,"",IF(BX33&gt;AW$1,"sangat baik dalam "&amp;CM33,IF(BX33&gt;=AW$2,"baik dalam "&amp;CM33,IF(BX33&gt;=AW$3,"cukup dalam "&amp;CM33,IF(BX33&lt;AW$3,"dengan bimbingan dapat meningkatkan dalam "&amp;CM33,IF(BX33&lt;1," ",””))))))</f>
        <v>#N/A</v>
      </c>
      <c r="CP33" s="58"/>
      <c r="CQ33" s="57" t="str">
        <f t="shared" si="73"/>
        <v/>
      </c>
      <c r="CR33" s="57" t="str">
        <f t="shared" si="74"/>
        <v/>
      </c>
      <c r="CS33" s="57" t="str">
        <f t="shared" si="75"/>
        <v/>
      </c>
      <c r="CT33" s="57" t="str">
        <f t="shared" si="76"/>
        <v/>
      </c>
      <c r="CU33" s="57" t="str">
        <f t="shared" si="77"/>
        <v/>
      </c>
      <c r="CV33" s="57" t="str">
        <f t="shared" si="78"/>
        <v/>
      </c>
      <c r="CW33" s="57" t="str">
        <f t="shared" si="79"/>
        <v/>
      </c>
      <c r="CX33" s="57" t="str">
        <f t="shared" si="80"/>
        <v/>
      </c>
      <c r="CY33" s="57" t="str">
        <f t="shared" si="81"/>
        <v/>
      </c>
      <c r="CZ33" s="57"/>
      <c r="DA33" s="59" t="e">
        <f t="shared" si="82"/>
        <v>#N/A</v>
      </c>
      <c r="DB33" s="59" t="e">
        <f>IF(BY33&gt;100,"",IF(BY33&gt;AW$1,"sangat baik dalam "&amp;DA33,IF(BY33&gt;=AW$2,"baik dalam "&amp;DA33,IF(BY33&gt;=AW$3,"cukup dalam "&amp;DA33,IF(BY33&lt;AW$3,"dengan bimbingan dapat meningkatkan  dalam "&amp;DA33,IF(BY33&lt;1," ",””))))))</f>
        <v>#N/A</v>
      </c>
      <c r="DC33" s="61"/>
      <c r="DD33" s="62" t="e">
        <f t="shared" si="83"/>
        <v>#N/A</v>
      </c>
      <c r="DE33" s="57" t="str">
        <f t="shared" si="84"/>
        <v/>
      </c>
      <c r="DF33" s="57" t="str">
        <f t="shared" si="85"/>
        <v/>
      </c>
      <c r="DG33" s="57" t="str">
        <f t="shared" si="86"/>
        <v/>
      </c>
      <c r="DH33" s="57"/>
      <c r="DI33" s="57"/>
      <c r="DJ33" s="57"/>
      <c r="DK33" s="59">
        <f t="shared" si="27"/>
        <v>0</v>
      </c>
      <c r="DL33" s="60"/>
      <c r="DM33" s="61"/>
      <c r="DN33" s="62" t="str">
        <f t="shared" si="87"/>
        <v>, 0</v>
      </c>
    </row>
    <row r="34" spans="1:118">
      <c r="A34" s="39">
        <v>27</v>
      </c>
      <c r="B34" s="283">
        <f>SISWA!B32</f>
        <v>0</v>
      </c>
      <c r="C34" s="123"/>
      <c r="D34" s="123"/>
      <c r="E34" s="123"/>
      <c r="F34" s="123"/>
      <c r="G34" s="123"/>
      <c r="H34" s="123"/>
      <c r="I34" s="123"/>
      <c r="J34" s="123"/>
      <c r="K34" s="123"/>
      <c r="L34" s="256"/>
      <c r="M34" s="256"/>
      <c r="N34" s="256"/>
      <c r="O34" s="256"/>
      <c r="P34" s="256"/>
      <c r="Q34" s="256"/>
      <c r="R34" s="256"/>
      <c r="S34" s="256"/>
      <c r="T34" s="256"/>
      <c r="U34" s="260" t="str">
        <f t="shared" si="28"/>
        <v xml:space="preserve"> </v>
      </c>
      <c r="V34" s="260" t="str">
        <f t="shared" si="29"/>
        <v xml:space="preserve"> </v>
      </c>
      <c r="W34" s="260" t="str">
        <f t="shared" si="30"/>
        <v xml:space="preserve"> </v>
      </c>
      <c r="X34" s="260" t="str">
        <f t="shared" si="31"/>
        <v xml:space="preserve"> </v>
      </c>
      <c r="Y34" s="260" t="str">
        <f t="shared" si="32"/>
        <v xml:space="preserve"> </v>
      </c>
      <c r="Z34" s="260" t="str">
        <f t="shared" si="33"/>
        <v xml:space="preserve"> </v>
      </c>
      <c r="AA34" s="260" t="str">
        <f t="shared" si="34"/>
        <v xml:space="preserve"> </v>
      </c>
      <c r="AB34" s="260" t="str">
        <f t="shared" si="35"/>
        <v xml:space="preserve"> </v>
      </c>
      <c r="AC34" s="260" t="str">
        <f t="shared" si="36"/>
        <v xml:space="preserve"> </v>
      </c>
      <c r="AD34" s="547"/>
      <c r="AE34" s="547"/>
      <c r="AF34" s="547"/>
      <c r="AG34" s="547"/>
      <c r="AH34" s="547"/>
      <c r="AI34" s="547"/>
      <c r="AJ34" s="547"/>
      <c r="AK34" s="547"/>
      <c r="AL34" s="547"/>
      <c r="AM34" s="565"/>
      <c r="AN34" s="565"/>
      <c r="AO34" s="565"/>
      <c r="AP34" s="565"/>
      <c r="AQ34" s="565"/>
      <c r="AR34" s="565"/>
      <c r="AS34" s="565"/>
      <c r="AT34" s="565"/>
      <c r="AU34" s="565"/>
      <c r="AV34" s="549" t="str">
        <f t="shared" si="37"/>
        <v xml:space="preserve"> </v>
      </c>
      <c r="AW34" s="291" t="str">
        <f t="shared" si="38"/>
        <v xml:space="preserve">  </v>
      </c>
      <c r="AX34" s="50" t="str">
        <f t="shared" si="39"/>
        <v xml:space="preserve"> </v>
      </c>
      <c r="AY34" s="282"/>
      <c r="AZ34" s="51"/>
      <c r="BA34" s="46" t="str">
        <f t="shared" si="40"/>
        <v xml:space="preserve"> </v>
      </c>
      <c r="BB34" s="46" t="str">
        <f t="shared" si="41"/>
        <v xml:space="preserve"> </v>
      </c>
      <c r="BC34" s="46" t="str">
        <f t="shared" si="42"/>
        <v xml:space="preserve"> </v>
      </c>
      <c r="BD34" s="46" t="str">
        <f t="shared" si="43"/>
        <v xml:space="preserve"> </v>
      </c>
      <c r="BE34" s="46" t="str">
        <f t="shared" si="44"/>
        <v xml:space="preserve"> </v>
      </c>
      <c r="BF34" s="46" t="str">
        <f t="shared" si="45"/>
        <v xml:space="preserve"> </v>
      </c>
      <c r="BG34" s="46" t="str">
        <f t="shared" si="46"/>
        <v xml:space="preserve"> </v>
      </c>
      <c r="BH34" s="46" t="str">
        <f t="shared" si="47"/>
        <v xml:space="preserve"> </v>
      </c>
      <c r="BI34" s="46" t="str">
        <f t="shared" si="48"/>
        <v xml:space="preserve"> </v>
      </c>
      <c r="BJ34" s="46"/>
      <c r="BK34" s="52" t="e">
        <f>[2]uts!#REF!</f>
        <v>#REF!</v>
      </c>
      <c r="BL34" s="51"/>
      <c r="BM34" s="53" t="str">
        <f t="shared" si="49"/>
        <v xml:space="preserve">  </v>
      </c>
      <c r="BN34" s="53" t="str">
        <f t="shared" si="50"/>
        <v xml:space="preserve">  </v>
      </c>
      <c r="BO34" s="53" t="str">
        <f t="shared" si="51"/>
        <v xml:space="preserve">  </v>
      </c>
      <c r="BP34" s="53" t="str">
        <f t="shared" si="52"/>
        <v xml:space="preserve">  </v>
      </c>
      <c r="BQ34" s="53" t="str">
        <f t="shared" si="53"/>
        <v xml:space="preserve">  </v>
      </c>
      <c r="BR34" s="53" t="str">
        <f t="shared" si="54"/>
        <v xml:space="preserve">  </v>
      </c>
      <c r="BS34" s="53" t="str">
        <f t="shared" si="55"/>
        <v xml:space="preserve">  </v>
      </c>
      <c r="BT34" s="53" t="str">
        <f t="shared" si="56"/>
        <v xml:space="preserve">  </v>
      </c>
      <c r="BU34" s="53" t="str">
        <f t="shared" si="57"/>
        <v xml:space="preserve">  </v>
      </c>
      <c r="BV34" s="53"/>
      <c r="BW34" s="54" t="str">
        <f t="shared" si="58"/>
        <v xml:space="preserve"> </v>
      </c>
      <c r="BX34" s="55">
        <f t="shared" si="59"/>
        <v>0</v>
      </c>
      <c r="BY34" s="55">
        <f t="shared" si="60"/>
        <v>0</v>
      </c>
      <c r="BZ34" s="51">
        <f>SISWA!E32</f>
        <v>0</v>
      </c>
      <c r="CA34" s="51" t="str">
        <f t="shared" si="61"/>
        <v/>
      </c>
      <c r="CB34" s="56" t="str">
        <f t="shared" si="62"/>
        <v/>
      </c>
      <c r="CC34" s="56" t="str">
        <f t="shared" si="63"/>
        <v/>
      </c>
      <c r="CD34" s="56" t="str">
        <f t="shared" si="64"/>
        <v/>
      </c>
      <c r="CE34" s="56" t="str">
        <f t="shared" si="65"/>
        <v/>
      </c>
      <c r="CF34" s="56" t="str">
        <f t="shared" si="66"/>
        <v/>
      </c>
      <c r="CG34" s="56" t="str">
        <f t="shared" si="67"/>
        <v/>
      </c>
      <c r="CH34" s="56" t="str">
        <f t="shared" si="68"/>
        <v/>
      </c>
      <c r="CI34" s="56" t="str">
        <f t="shared" si="69"/>
        <v/>
      </c>
      <c r="CJ34" s="56" t="str">
        <f t="shared" si="70"/>
        <v/>
      </c>
      <c r="CK34" s="57"/>
      <c r="CL34" s="58">
        <f t="shared" si="71"/>
        <v>0</v>
      </c>
      <c r="CM34" s="55" t="e">
        <f t="shared" si="72"/>
        <v>#N/A</v>
      </c>
      <c r="CN34" s="58"/>
      <c r="CO34" s="59" t="e">
        <f>IF(BX34&gt;100,"",IF(BX34&gt;AW$1,"sangat baik dalam "&amp;CM34,IF(BX34&gt;=AW$2,"baik dalam "&amp;CM34,IF(BX34&gt;=AW$3,"cukup dalam "&amp;CM34,IF(BX34&lt;AW$3,"dengan bimbingan dapat meningkatkan dalam "&amp;CM34,IF(BX34&lt;1," ",””))))))</f>
        <v>#N/A</v>
      </c>
      <c r="CP34" s="58"/>
      <c r="CQ34" s="57" t="str">
        <f t="shared" si="73"/>
        <v/>
      </c>
      <c r="CR34" s="57" t="str">
        <f t="shared" si="74"/>
        <v/>
      </c>
      <c r="CS34" s="57" t="str">
        <f t="shared" si="75"/>
        <v/>
      </c>
      <c r="CT34" s="57" t="str">
        <f t="shared" si="76"/>
        <v/>
      </c>
      <c r="CU34" s="57" t="str">
        <f t="shared" si="77"/>
        <v/>
      </c>
      <c r="CV34" s="57" t="str">
        <f t="shared" si="78"/>
        <v/>
      </c>
      <c r="CW34" s="57" t="str">
        <f t="shared" si="79"/>
        <v/>
      </c>
      <c r="CX34" s="57" t="str">
        <f t="shared" si="80"/>
        <v/>
      </c>
      <c r="CY34" s="57" t="str">
        <f t="shared" si="81"/>
        <v/>
      </c>
      <c r="CZ34" s="57"/>
      <c r="DA34" s="59" t="e">
        <f t="shared" si="82"/>
        <v>#N/A</v>
      </c>
      <c r="DB34" s="59" t="e">
        <f>IF(BY34&gt;100,"",IF(BY34&gt;AW$1,"sangat baik dalam "&amp;DA34,IF(BY34&gt;=AW$2,"baik dalam "&amp;DA34,IF(BY34&gt;=AW$3,"cukup dalam "&amp;DA34,IF(BY34&lt;AW$3,"dengan bimbingan dapat meningkatkan  dalam "&amp;DA34,IF(BY34&lt;1," ",””))))))</f>
        <v>#N/A</v>
      </c>
      <c r="DC34" s="61"/>
      <c r="DD34" s="62" t="e">
        <f t="shared" si="83"/>
        <v>#N/A</v>
      </c>
      <c r="DE34" s="57" t="str">
        <f t="shared" si="84"/>
        <v/>
      </c>
      <c r="DF34" s="57" t="str">
        <f t="shared" si="85"/>
        <v/>
      </c>
      <c r="DG34" s="57" t="str">
        <f t="shared" si="86"/>
        <v/>
      </c>
      <c r="DH34" s="57"/>
      <c r="DI34" s="57"/>
      <c r="DJ34" s="57"/>
      <c r="DK34" s="59">
        <f t="shared" si="27"/>
        <v>0</v>
      </c>
      <c r="DL34" s="60"/>
      <c r="DM34" s="61"/>
      <c r="DN34" s="62" t="str">
        <f t="shared" si="87"/>
        <v>, 0</v>
      </c>
    </row>
    <row r="35" spans="1:118">
      <c r="A35" s="39">
        <v>28</v>
      </c>
      <c r="B35" s="283">
        <f>SISWA!B33</f>
        <v>0</v>
      </c>
      <c r="C35" s="123"/>
      <c r="D35" s="123"/>
      <c r="E35" s="123"/>
      <c r="F35" s="123"/>
      <c r="G35" s="123"/>
      <c r="H35" s="123"/>
      <c r="I35" s="123"/>
      <c r="J35" s="123"/>
      <c r="K35" s="123"/>
      <c r="L35" s="256"/>
      <c r="M35" s="256"/>
      <c r="N35" s="256"/>
      <c r="O35" s="256"/>
      <c r="P35" s="256"/>
      <c r="Q35" s="256"/>
      <c r="R35" s="256"/>
      <c r="S35" s="256"/>
      <c r="T35" s="256"/>
      <c r="U35" s="260" t="str">
        <f t="shared" si="28"/>
        <v xml:space="preserve"> </v>
      </c>
      <c r="V35" s="260" t="str">
        <f t="shared" si="29"/>
        <v xml:space="preserve"> </v>
      </c>
      <c r="W35" s="260" t="str">
        <f t="shared" si="30"/>
        <v xml:space="preserve"> </v>
      </c>
      <c r="X35" s="260" t="str">
        <f t="shared" si="31"/>
        <v xml:space="preserve"> </v>
      </c>
      <c r="Y35" s="260" t="str">
        <f t="shared" si="32"/>
        <v xml:space="preserve"> </v>
      </c>
      <c r="Z35" s="260" t="str">
        <f t="shared" si="33"/>
        <v xml:space="preserve"> </v>
      </c>
      <c r="AA35" s="260" t="str">
        <f t="shared" si="34"/>
        <v xml:space="preserve"> </v>
      </c>
      <c r="AB35" s="260" t="str">
        <f t="shared" si="35"/>
        <v xml:space="preserve"> </v>
      </c>
      <c r="AC35" s="260" t="str">
        <f t="shared" si="36"/>
        <v xml:space="preserve"> </v>
      </c>
      <c r="AD35" s="547"/>
      <c r="AE35" s="547"/>
      <c r="AF35" s="547"/>
      <c r="AG35" s="547"/>
      <c r="AH35" s="547"/>
      <c r="AI35" s="547"/>
      <c r="AJ35" s="547"/>
      <c r="AK35" s="547"/>
      <c r="AL35" s="547"/>
      <c r="AM35" s="565"/>
      <c r="AN35" s="565"/>
      <c r="AO35" s="565"/>
      <c r="AP35" s="565"/>
      <c r="AQ35" s="565"/>
      <c r="AR35" s="565"/>
      <c r="AS35" s="565"/>
      <c r="AT35" s="565"/>
      <c r="AU35" s="565"/>
      <c r="AV35" s="549" t="str">
        <f t="shared" si="37"/>
        <v xml:space="preserve"> </v>
      </c>
      <c r="AW35" s="291" t="str">
        <f t="shared" si="38"/>
        <v xml:space="preserve">  </v>
      </c>
      <c r="AX35" s="50" t="str">
        <f t="shared" si="39"/>
        <v xml:space="preserve"> </v>
      </c>
      <c r="AY35" s="282"/>
      <c r="AZ35" s="51"/>
      <c r="BA35" s="46" t="str">
        <f t="shared" si="40"/>
        <v xml:space="preserve"> </v>
      </c>
      <c r="BB35" s="46" t="str">
        <f t="shared" si="41"/>
        <v xml:space="preserve"> </v>
      </c>
      <c r="BC35" s="46" t="str">
        <f t="shared" si="42"/>
        <v xml:space="preserve"> </v>
      </c>
      <c r="BD35" s="46" t="str">
        <f t="shared" si="43"/>
        <v xml:space="preserve"> </v>
      </c>
      <c r="BE35" s="46" t="str">
        <f t="shared" si="44"/>
        <v xml:space="preserve"> </v>
      </c>
      <c r="BF35" s="46" t="str">
        <f t="shared" si="45"/>
        <v xml:space="preserve"> </v>
      </c>
      <c r="BG35" s="46" t="str">
        <f t="shared" si="46"/>
        <v xml:space="preserve"> </v>
      </c>
      <c r="BH35" s="46" t="str">
        <f t="shared" si="47"/>
        <v xml:space="preserve"> </v>
      </c>
      <c r="BI35" s="46" t="str">
        <f t="shared" si="48"/>
        <v xml:space="preserve"> </v>
      </c>
      <c r="BJ35" s="46"/>
      <c r="BK35" s="52" t="e">
        <f>[2]uts!#REF!</f>
        <v>#REF!</v>
      </c>
      <c r="BL35" s="51"/>
      <c r="BM35" s="53" t="str">
        <f t="shared" si="49"/>
        <v xml:space="preserve">  </v>
      </c>
      <c r="BN35" s="53" t="str">
        <f t="shared" si="50"/>
        <v xml:space="preserve">  </v>
      </c>
      <c r="BO35" s="53" t="str">
        <f t="shared" si="51"/>
        <v xml:space="preserve">  </v>
      </c>
      <c r="BP35" s="53" t="str">
        <f t="shared" si="52"/>
        <v xml:space="preserve">  </v>
      </c>
      <c r="BQ35" s="53" t="str">
        <f t="shared" si="53"/>
        <v xml:space="preserve">  </v>
      </c>
      <c r="BR35" s="53" t="str">
        <f t="shared" si="54"/>
        <v xml:space="preserve">  </v>
      </c>
      <c r="BS35" s="53" t="str">
        <f t="shared" si="55"/>
        <v xml:space="preserve">  </v>
      </c>
      <c r="BT35" s="53" t="str">
        <f t="shared" si="56"/>
        <v xml:space="preserve">  </v>
      </c>
      <c r="BU35" s="53" t="str">
        <f t="shared" si="57"/>
        <v xml:space="preserve">  </v>
      </c>
      <c r="BV35" s="53"/>
      <c r="BW35" s="54" t="str">
        <f t="shared" si="58"/>
        <v xml:space="preserve"> </v>
      </c>
      <c r="BX35" s="55">
        <f t="shared" si="59"/>
        <v>0</v>
      </c>
      <c r="BY35" s="55">
        <f t="shared" si="60"/>
        <v>0</v>
      </c>
      <c r="BZ35" s="51">
        <f>SISWA!E33</f>
        <v>0</v>
      </c>
      <c r="CA35" s="51" t="str">
        <f t="shared" si="61"/>
        <v/>
      </c>
      <c r="CB35" s="56" t="str">
        <f t="shared" si="62"/>
        <v/>
      </c>
      <c r="CC35" s="56" t="str">
        <f t="shared" si="63"/>
        <v/>
      </c>
      <c r="CD35" s="56" t="str">
        <f t="shared" si="64"/>
        <v/>
      </c>
      <c r="CE35" s="56" t="str">
        <f t="shared" si="65"/>
        <v/>
      </c>
      <c r="CF35" s="56" t="str">
        <f t="shared" si="66"/>
        <v/>
      </c>
      <c r="CG35" s="56" t="str">
        <f t="shared" si="67"/>
        <v/>
      </c>
      <c r="CH35" s="56" t="str">
        <f t="shared" si="68"/>
        <v/>
      </c>
      <c r="CI35" s="56" t="str">
        <f t="shared" si="69"/>
        <v/>
      </c>
      <c r="CJ35" s="56" t="str">
        <f t="shared" si="70"/>
        <v/>
      </c>
      <c r="CK35" s="57"/>
      <c r="CL35" s="58">
        <f t="shared" si="71"/>
        <v>0</v>
      </c>
      <c r="CM35" s="55" t="e">
        <f t="shared" si="72"/>
        <v>#N/A</v>
      </c>
      <c r="CN35" s="58"/>
      <c r="CO35" s="59" t="e">
        <f>IF(BX35&gt;100,"",IF(BX35&gt;AW$1,"sangat baik dalam "&amp;CM35,IF(BX35&gt;=AW$2,"baik dalam "&amp;CM35,IF(BX35&gt;=AW$3,"cukup dalam "&amp;CM35,IF(BX35&lt;AW$3,"dengan bimbingan dapat meningkatkan dalam "&amp;CM35,IF(BX35&lt;1," ",””))))))</f>
        <v>#N/A</v>
      </c>
      <c r="CP35" s="58"/>
      <c r="CQ35" s="57" t="str">
        <f t="shared" si="73"/>
        <v/>
      </c>
      <c r="CR35" s="57" t="str">
        <f t="shared" si="74"/>
        <v/>
      </c>
      <c r="CS35" s="57" t="str">
        <f t="shared" si="75"/>
        <v/>
      </c>
      <c r="CT35" s="57" t="str">
        <f t="shared" si="76"/>
        <v/>
      </c>
      <c r="CU35" s="57" t="str">
        <f t="shared" si="77"/>
        <v/>
      </c>
      <c r="CV35" s="57" t="str">
        <f t="shared" si="78"/>
        <v/>
      </c>
      <c r="CW35" s="57" t="str">
        <f t="shared" si="79"/>
        <v/>
      </c>
      <c r="CX35" s="57" t="str">
        <f t="shared" si="80"/>
        <v/>
      </c>
      <c r="CY35" s="57" t="str">
        <f t="shared" si="81"/>
        <v/>
      </c>
      <c r="CZ35" s="57"/>
      <c r="DA35" s="59" t="e">
        <f t="shared" si="82"/>
        <v>#N/A</v>
      </c>
      <c r="DB35" s="59" t="e">
        <f>IF(BY35&gt;100,"",IF(BY35&gt;AW$1,"sangat baik dalam "&amp;DA35,IF(BY35&gt;=AW$2,"baik dalam "&amp;DA35,IF(BY35&gt;=AW$3,"cukup dalam "&amp;DA35,IF(BY35&lt;AW$3,"dengan bimbingan dapat meningkatkan  dalam "&amp;DA35,IF(BY35&lt;1," ",””))))))</f>
        <v>#N/A</v>
      </c>
      <c r="DC35" s="61"/>
      <c r="DD35" s="62" t="e">
        <f t="shared" si="83"/>
        <v>#N/A</v>
      </c>
      <c r="DE35" s="57" t="str">
        <f t="shared" si="84"/>
        <v/>
      </c>
      <c r="DF35" s="57" t="str">
        <f t="shared" si="85"/>
        <v/>
      </c>
      <c r="DG35" s="57" t="str">
        <f t="shared" si="86"/>
        <v/>
      </c>
      <c r="DH35" s="57"/>
      <c r="DI35" s="57"/>
      <c r="DJ35" s="57"/>
      <c r="DK35" s="59">
        <f t="shared" si="27"/>
        <v>0</v>
      </c>
      <c r="DL35" s="60"/>
      <c r="DM35" s="61"/>
      <c r="DN35" s="62" t="str">
        <f t="shared" si="87"/>
        <v>, 0</v>
      </c>
    </row>
    <row r="36" spans="1:118">
      <c r="A36" s="39">
        <v>29</v>
      </c>
      <c r="B36" s="283">
        <f>SISWA!B34</f>
        <v>0</v>
      </c>
      <c r="C36" s="123"/>
      <c r="D36" s="123"/>
      <c r="E36" s="123"/>
      <c r="F36" s="123"/>
      <c r="G36" s="123"/>
      <c r="H36" s="123"/>
      <c r="I36" s="123"/>
      <c r="J36" s="123"/>
      <c r="K36" s="123"/>
      <c r="L36" s="256"/>
      <c r="M36" s="256"/>
      <c r="N36" s="256"/>
      <c r="O36" s="256"/>
      <c r="P36" s="256"/>
      <c r="Q36" s="256"/>
      <c r="R36" s="256"/>
      <c r="S36" s="256"/>
      <c r="T36" s="256"/>
      <c r="U36" s="260" t="str">
        <f t="shared" si="28"/>
        <v xml:space="preserve"> </v>
      </c>
      <c r="V36" s="260" t="str">
        <f t="shared" si="29"/>
        <v xml:space="preserve"> </v>
      </c>
      <c r="W36" s="260" t="str">
        <f t="shared" si="30"/>
        <v xml:space="preserve"> </v>
      </c>
      <c r="X36" s="260" t="str">
        <f t="shared" si="31"/>
        <v xml:space="preserve"> </v>
      </c>
      <c r="Y36" s="260" t="str">
        <f t="shared" si="32"/>
        <v xml:space="preserve"> </v>
      </c>
      <c r="Z36" s="260" t="str">
        <f t="shared" si="33"/>
        <v xml:space="preserve"> </v>
      </c>
      <c r="AA36" s="260" t="str">
        <f t="shared" si="34"/>
        <v xml:space="preserve"> </v>
      </c>
      <c r="AB36" s="260" t="str">
        <f t="shared" si="35"/>
        <v xml:space="preserve"> </v>
      </c>
      <c r="AC36" s="260" t="str">
        <f t="shared" si="36"/>
        <v xml:space="preserve"> </v>
      </c>
      <c r="AD36" s="547"/>
      <c r="AE36" s="547"/>
      <c r="AF36" s="547"/>
      <c r="AG36" s="547"/>
      <c r="AH36" s="547"/>
      <c r="AI36" s="547"/>
      <c r="AJ36" s="547"/>
      <c r="AK36" s="547"/>
      <c r="AL36" s="547"/>
      <c r="AM36" s="565"/>
      <c r="AN36" s="565"/>
      <c r="AO36" s="565"/>
      <c r="AP36" s="565"/>
      <c r="AQ36" s="565"/>
      <c r="AR36" s="565"/>
      <c r="AS36" s="565"/>
      <c r="AT36" s="565"/>
      <c r="AU36" s="565"/>
      <c r="AV36" s="549" t="str">
        <f t="shared" si="37"/>
        <v xml:space="preserve"> </v>
      </c>
      <c r="AW36" s="291" t="str">
        <f t="shared" si="38"/>
        <v xml:space="preserve">  </v>
      </c>
      <c r="AX36" s="50" t="str">
        <f t="shared" si="39"/>
        <v xml:space="preserve"> </v>
      </c>
      <c r="AY36" s="282"/>
      <c r="AZ36" s="51"/>
      <c r="BA36" s="46" t="str">
        <f t="shared" si="40"/>
        <v xml:space="preserve"> </v>
      </c>
      <c r="BB36" s="46" t="str">
        <f t="shared" si="41"/>
        <v xml:space="preserve"> </v>
      </c>
      <c r="BC36" s="46" t="str">
        <f t="shared" si="42"/>
        <v xml:space="preserve"> </v>
      </c>
      <c r="BD36" s="46" t="str">
        <f t="shared" si="43"/>
        <v xml:space="preserve"> </v>
      </c>
      <c r="BE36" s="46" t="str">
        <f t="shared" si="44"/>
        <v xml:space="preserve"> </v>
      </c>
      <c r="BF36" s="46" t="str">
        <f t="shared" si="45"/>
        <v xml:space="preserve"> </v>
      </c>
      <c r="BG36" s="46" t="str">
        <f t="shared" si="46"/>
        <v xml:space="preserve"> </v>
      </c>
      <c r="BH36" s="46" t="str">
        <f t="shared" si="47"/>
        <v xml:space="preserve"> </v>
      </c>
      <c r="BI36" s="46" t="str">
        <f t="shared" si="48"/>
        <v xml:space="preserve"> </v>
      </c>
      <c r="BJ36" s="46"/>
      <c r="BK36" s="52" t="e">
        <f>[2]uts!#REF!</f>
        <v>#REF!</v>
      </c>
      <c r="BL36" s="51"/>
      <c r="BM36" s="53" t="str">
        <f t="shared" si="49"/>
        <v xml:space="preserve">  </v>
      </c>
      <c r="BN36" s="53" t="str">
        <f t="shared" si="50"/>
        <v xml:space="preserve">  </v>
      </c>
      <c r="BO36" s="53" t="str">
        <f t="shared" si="51"/>
        <v xml:space="preserve">  </v>
      </c>
      <c r="BP36" s="53" t="str">
        <f t="shared" si="52"/>
        <v xml:space="preserve">  </v>
      </c>
      <c r="BQ36" s="53" t="str">
        <f t="shared" si="53"/>
        <v xml:space="preserve">  </v>
      </c>
      <c r="BR36" s="53" t="str">
        <f t="shared" si="54"/>
        <v xml:space="preserve">  </v>
      </c>
      <c r="BS36" s="53" t="str">
        <f t="shared" si="55"/>
        <v xml:space="preserve">  </v>
      </c>
      <c r="BT36" s="53" t="str">
        <f t="shared" si="56"/>
        <v xml:space="preserve">  </v>
      </c>
      <c r="BU36" s="53" t="str">
        <f t="shared" si="57"/>
        <v xml:space="preserve">  </v>
      </c>
      <c r="BV36" s="53"/>
      <c r="BW36" s="54" t="str">
        <f t="shared" si="58"/>
        <v xml:space="preserve"> </v>
      </c>
      <c r="BX36" s="55">
        <f t="shared" si="59"/>
        <v>0</v>
      </c>
      <c r="BY36" s="55">
        <f t="shared" si="60"/>
        <v>0</v>
      </c>
      <c r="BZ36" s="51">
        <f>SISWA!E34</f>
        <v>0</v>
      </c>
      <c r="CA36" s="51" t="str">
        <f t="shared" si="61"/>
        <v/>
      </c>
      <c r="CB36" s="56" t="str">
        <f t="shared" si="62"/>
        <v/>
      </c>
      <c r="CC36" s="56" t="str">
        <f t="shared" si="63"/>
        <v/>
      </c>
      <c r="CD36" s="56" t="str">
        <f t="shared" si="64"/>
        <v/>
      </c>
      <c r="CE36" s="56" t="str">
        <f t="shared" si="65"/>
        <v/>
      </c>
      <c r="CF36" s="56" t="str">
        <f t="shared" si="66"/>
        <v/>
      </c>
      <c r="CG36" s="56" t="str">
        <f t="shared" si="67"/>
        <v/>
      </c>
      <c r="CH36" s="56" t="str">
        <f t="shared" si="68"/>
        <v/>
      </c>
      <c r="CI36" s="56" t="str">
        <f t="shared" si="69"/>
        <v/>
      </c>
      <c r="CJ36" s="56" t="str">
        <f t="shared" si="70"/>
        <v/>
      </c>
      <c r="CK36" s="57"/>
      <c r="CL36" s="58">
        <f t="shared" si="71"/>
        <v>0</v>
      </c>
      <c r="CM36" s="55" t="e">
        <f t="shared" si="72"/>
        <v>#N/A</v>
      </c>
      <c r="CN36" s="58"/>
      <c r="CO36" s="59" t="e">
        <f>IF(BX36&gt;100,"",IF(BX36&gt;AW$1,"sangat baik dalam "&amp;CM36,IF(BX36&gt;=AW$2,"baik dalam "&amp;CM36,IF(BX36&gt;=AW$3,"cukup dalam "&amp;CM36,IF(BX36&lt;AW$3,"dengan bimbingan dapat meningkatkan dalam "&amp;CM36,IF(BX36&lt;1," ",””))))))</f>
        <v>#N/A</v>
      </c>
      <c r="CP36" s="58"/>
      <c r="CQ36" s="57" t="str">
        <f t="shared" si="73"/>
        <v/>
      </c>
      <c r="CR36" s="57" t="str">
        <f t="shared" si="74"/>
        <v/>
      </c>
      <c r="CS36" s="57" t="str">
        <f t="shared" si="75"/>
        <v/>
      </c>
      <c r="CT36" s="57" t="str">
        <f t="shared" si="76"/>
        <v/>
      </c>
      <c r="CU36" s="57" t="str">
        <f t="shared" si="77"/>
        <v/>
      </c>
      <c r="CV36" s="57" t="str">
        <f t="shared" si="78"/>
        <v/>
      </c>
      <c r="CW36" s="57" t="str">
        <f t="shared" si="79"/>
        <v/>
      </c>
      <c r="CX36" s="57" t="str">
        <f t="shared" si="80"/>
        <v/>
      </c>
      <c r="CY36" s="57" t="str">
        <f t="shared" si="81"/>
        <v/>
      </c>
      <c r="CZ36" s="57"/>
      <c r="DA36" s="59" t="e">
        <f t="shared" si="82"/>
        <v>#N/A</v>
      </c>
      <c r="DB36" s="59" t="e">
        <f>IF(BY36&gt;100,"",IF(BY36&gt;AW$1,"sangat baik dalam "&amp;DA36,IF(BY36&gt;=AW$2,"baik dalam "&amp;DA36,IF(BY36&gt;=AW$3,"cukup dalam "&amp;DA36,IF(BY36&lt;AW$3,"dengan bimbingan dapat meningkatkan  dalam "&amp;DA36,IF(BY36&lt;1," ",””))))))</f>
        <v>#N/A</v>
      </c>
      <c r="DC36" s="61"/>
      <c r="DD36" s="62" t="e">
        <f t="shared" si="83"/>
        <v>#N/A</v>
      </c>
      <c r="DE36" s="57" t="str">
        <f t="shared" si="84"/>
        <v/>
      </c>
      <c r="DF36" s="57" t="str">
        <f t="shared" si="85"/>
        <v/>
      </c>
      <c r="DG36" s="57" t="str">
        <f t="shared" si="86"/>
        <v/>
      </c>
      <c r="DH36" s="57"/>
      <c r="DI36" s="57"/>
      <c r="DJ36" s="57"/>
      <c r="DK36" s="59">
        <f t="shared" si="27"/>
        <v>0</v>
      </c>
      <c r="DL36" s="60"/>
      <c r="DM36" s="61"/>
      <c r="DN36" s="62" t="str">
        <f t="shared" si="87"/>
        <v>, 0</v>
      </c>
    </row>
    <row r="37" spans="1:118">
      <c r="A37" s="39">
        <v>30</v>
      </c>
      <c r="B37" s="283">
        <f>SISWA!B35</f>
        <v>0</v>
      </c>
      <c r="C37" s="123"/>
      <c r="D37" s="123"/>
      <c r="E37" s="123"/>
      <c r="F37" s="123"/>
      <c r="G37" s="123"/>
      <c r="H37" s="123"/>
      <c r="I37" s="123"/>
      <c r="J37" s="123"/>
      <c r="K37" s="123"/>
      <c r="L37" s="256"/>
      <c r="M37" s="256"/>
      <c r="N37" s="256"/>
      <c r="O37" s="256"/>
      <c r="P37" s="256"/>
      <c r="Q37" s="256"/>
      <c r="R37" s="256"/>
      <c r="S37" s="256"/>
      <c r="T37" s="256"/>
      <c r="U37" s="260" t="str">
        <f t="shared" si="28"/>
        <v xml:space="preserve"> </v>
      </c>
      <c r="V37" s="260" t="str">
        <f t="shared" si="29"/>
        <v xml:space="preserve"> </v>
      </c>
      <c r="W37" s="260" t="str">
        <f t="shared" si="30"/>
        <v xml:space="preserve"> </v>
      </c>
      <c r="X37" s="260" t="str">
        <f t="shared" si="31"/>
        <v xml:space="preserve"> </v>
      </c>
      <c r="Y37" s="260" t="str">
        <f t="shared" si="32"/>
        <v xml:space="preserve"> </v>
      </c>
      <c r="Z37" s="260" t="str">
        <f t="shared" si="33"/>
        <v xml:space="preserve"> </v>
      </c>
      <c r="AA37" s="260" t="str">
        <f t="shared" si="34"/>
        <v xml:space="preserve"> </v>
      </c>
      <c r="AB37" s="260" t="str">
        <f t="shared" si="35"/>
        <v xml:space="preserve"> </v>
      </c>
      <c r="AC37" s="260" t="str">
        <f t="shared" si="36"/>
        <v xml:space="preserve"> </v>
      </c>
      <c r="AD37" s="547"/>
      <c r="AE37" s="547"/>
      <c r="AF37" s="547"/>
      <c r="AG37" s="547"/>
      <c r="AH37" s="547"/>
      <c r="AI37" s="547"/>
      <c r="AJ37" s="547"/>
      <c r="AK37" s="547"/>
      <c r="AL37" s="547"/>
      <c r="AM37" s="565"/>
      <c r="AN37" s="565"/>
      <c r="AO37" s="565"/>
      <c r="AP37" s="565"/>
      <c r="AQ37" s="565"/>
      <c r="AR37" s="565"/>
      <c r="AS37" s="565"/>
      <c r="AT37" s="565"/>
      <c r="AU37" s="565"/>
      <c r="AV37" s="549" t="str">
        <f t="shared" si="37"/>
        <v xml:space="preserve"> </v>
      </c>
      <c r="AW37" s="291" t="str">
        <f t="shared" si="38"/>
        <v xml:space="preserve">  </v>
      </c>
      <c r="AX37" s="50" t="str">
        <f t="shared" si="39"/>
        <v xml:space="preserve"> </v>
      </c>
      <c r="AY37" s="282"/>
      <c r="AZ37" s="51"/>
      <c r="BA37" s="46" t="str">
        <f t="shared" si="40"/>
        <v xml:space="preserve"> </v>
      </c>
      <c r="BB37" s="46" t="str">
        <f t="shared" si="41"/>
        <v xml:space="preserve"> </v>
      </c>
      <c r="BC37" s="46" t="str">
        <f t="shared" si="42"/>
        <v xml:space="preserve"> </v>
      </c>
      <c r="BD37" s="46" t="str">
        <f t="shared" si="43"/>
        <v xml:space="preserve"> </v>
      </c>
      <c r="BE37" s="46" t="str">
        <f t="shared" si="44"/>
        <v xml:space="preserve"> </v>
      </c>
      <c r="BF37" s="46" t="str">
        <f t="shared" si="45"/>
        <v xml:space="preserve"> </v>
      </c>
      <c r="BG37" s="46" t="str">
        <f t="shared" si="46"/>
        <v xml:space="preserve"> </v>
      </c>
      <c r="BH37" s="46" t="str">
        <f t="shared" si="47"/>
        <v xml:space="preserve"> </v>
      </c>
      <c r="BI37" s="46" t="str">
        <f t="shared" si="48"/>
        <v xml:space="preserve"> </v>
      </c>
      <c r="BJ37" s="46"/>
      <c r="BK37" s="52" t="e">
        <f>[2]uts!#REF!</f>
        <v>#REF!</v>
      </c>
      <c r="BL37" s="51"/>
      <c r="BM37" s="53" t="str">
        <f t="shared" si="49"/>
        <v xml:space="preserve">  </v>
      </c>
      <c r="BN37" s="53" t="str">
        <f t="shared" si="50"/>
        <v xml:space="preserve">  </v>
      </c>
      <c r="BO37" s="53" t="str">
        <f t="shared" si="51"/>
        <v xml:space="preserve">  </v>
      </c>
      <c r="BP37" s="53" t="str">
        <f t="shared" si="52"/>
        <v xml:space="preserve">  </v>
      </c>
      <c r="BQ37" s="53" t="str">
        <f t="shared" si="53"/>
        <v xml:space="preserve">  </v>
      </c>
      <c r="BR37" s="53" t="str">
        <f t="shared" si="54"/>
        <v xml:space="preserve">  </v>
      </c>
      <c r="BS37" s="53" t="str">
        <f t="shared" si="55"/>
        <v xml:space="preserve">  </v>
      </c>
      <c r="BT37" s="53" t="str">
        <f t="shared" si="56"/>
        <v xml:space="preserve">  </v>
      </c>
      <c r="BU37" s="53" t="str">
        <f t="shared" si="57"/>
        <v xml:space="preserve">  </v>
      </c>
      <c r="BV37" s="53"/>
      <c r="BW37" s="54" t="str">
        <f t="shared" si="58"/>
        <v xml:space="preserve"> </v>
      </c>
      <c r="BX37" s="55">
        <f t="shared" si="59"/>
        <v>0</v>
      </c>
      <c r="BY37" s="55">
        <f t="shared" si="60"/>
        <v>0</v>
      </c>
      <c r="BZ37" s="51">
        <f>SISWA!E35</f>
        <v>0</v>
      </c>
      <c r="CA37" s="51" t="str">
        <f t="shared" si="61"/>
        <v/>
      </c>
      <c r="CB37" s="56" t="str">
        <f t="shared" si="62"/>
        <v/>
      </c>
      <c r="CC37" s="56" t="str">
        <f t="shared" si="63"/>
        <v/>
      </c>
      <c r="CD37" s="56" t="str">
        <f t="shared" si="64"/>
        <v/>
      </c>
      <c r="CE37" s="56" t="str">
        <f t="shared" si="65"/>
        <v/>
      </c>
      <c r="CF37" s="56" t="str">
        <f t="shared" si="66"/>
        <v/>
      </c>
      <c r="CG37" s="56" t="str">
        <f t="shared" si="67"/>
        <v/>
      </c>
      <c r="CH37" s="56" t="str">
        <f t="shared" si="68"/>
        <v/>
      </c>
      <c r="CI37" s="56" t="str">
        <f t="shared" si="69"/>
        <v/>
      </c>
      <c r="CJ37" s="56" t="str">
        <f t="shared" si="70"/>
        <v/>
      </c>
      <c r="CK37" s="57"/>
      <c r="CL37" s="58">
        <f t="shared" si="71"/>
        <v>0</v>
      </c>
      <c r="CM37" s="55" t="e">
        <f t="shared" si="72"/>
        <v>#N/A</v>
      </c>
      <c r="CN37" s="58"/>
      <c r="CO37" s="59" t="e">
        <f>IF(BX37&gt;100,"",IF(BX37&gt;AW$1,"sangat baik dalam "&amp;CM37,IF(BX37&gt;=AW$2,"baik dalam "&amp;CM37,IF(BX37&gt;=AW$3,"cukup dalam "&amp;CM37,IF(BX37&lt;AW$3,"dengan bimbingan dapat meningkatkan dalam "&amp;CM37,IF(BX37&lt;1," ",””))))))</f>
        <v>#N/A</v>
      </c>
      <c r="CP37" s="58"/>
      <c r="CQ37" s="57" t="str">
        <f t="shared" si="73"/>
        <v/>
      </c>
      <c r="CR37" s="57" t="str">
        <f t="shared" si="74"/>
        <v/>
      </c>
      <c r="CS37" s="57" t="str">
        <f t="shared" si="75"/>
        <v/>
      </c>
      <c r="CT37" s="57" t="str">
        <f t="shared" si="76"/>
        <v/>
      </c>
      <c r="CU37" s="57" t="str">
        <f t="shared" si="77"/>
        <v/>
      </c>
      <c r="CV37" s="57" t="str">
        <f t="shared" si="78"/>
        <v/>
      </c>
      <c r="CW37" s="57" t="str">
        <f t="shared" si="79"/>
        <v/>
      </c>
      <c r="CX37" s="57" t="str">
        <f t="shared" si="80"/>
        <v/>
      </c>
      <c r="CY37" s="57" t="str">
        <f t="shared" si="81"/>
        <v/>
      </c>
      <c r="CZ37" s="57"/>
      <c r="DA37" s="59" t="e">
        <f t="shared" si="82"/>
        <v>#N/A</v>
      </c>
      <c r="DB37" s="59" t="e">
        <f>IF(BY37&gt;100,"",IF(BY37&gt;AW$1,"sangat baik dalam "&amp;DA37,IF(BY37&gt;=AW$2,"baik dalam "&amp;DA37,IF(BY37&gt;=AW$3,"cukup dalam "&amp;DA37,IF(BY37&lt;AW$3,"dengan bimbingan dapat meningkatkan  dalam "&amp;DA37,IF(BY37&lt;1," ",””))))))</f>
        <v>#N/A</v>
      </c>
      <c r="DC37" s="61"/>
      <c r="DD37" s="62" t="e">
        <f t="shared" si="83"/>
        <v>#N/A</v>
      </c>
      <c r="DE37" s="57" t="str">
        <f t="shared" si="84"/>
        <v/>
      </c>
      <c r="DF37" s="57" t="str">
        <f t="shared" si="85"/>
        <v/>
      </c>
      <c r="DG37" s="57" t="str">
        <f t="shared" si="86"/>
        <v/>
      </c>
      <c r="DH37" s="57"/>
      <c r="DI37" s="57"/>
      <c r="DJ37" s="57"/>
      <c r="DK37" s="59">
        <f t="shared" si="27"/>
        <v>0</v>
      </c>
      <c r="DL37" s="60"/>
      <c r="DM37" s="61"/>
      <c r="DN37" s="62" t="str">
        <f t="shared" si="87"/>
        <v>, 0</v>
      </c>
    </row>
    <row r="38" spans="1:118">
      <c r="A38" s="39">
        <v>31</v>
      </c>
      <c r="B38" s="283">
        <f>SISWA!B36</f>
        <v>0</v>
      </c>
      <c r="C38" s="123"/>
      <c r="D38" s="123"/>
      <c r="E38" s="123"/>
      <c r="F38" s="123"/>
      <c r="G38" s="123"/>
      <c r="H38" s="123"/>
      <c r="I38" s="123"/>
      <c r="J38" s="123"/>
      <c r="K38" s="123"/>
      <c r="L38" s="256"/>
      <c r="M38" s="256"/>
      <c r="N38" s="256"/>
      <c r="O38" s="256"/>
      <c r="P38" s="256"/>
      <c r="Q38" s="256"/>
      <c r="R38" s="256"/>
      <c r="S38" s="256"/>
      <c r="T38" s="256"/>
      <c r="U38" s="260" t="str">
        <f t="shared" si="28"/>
        <v xml:space="preserve"> </v>
      </c>
      <c r="V38" s="260" t="str">
        <f t="shared" si="29"/>
        <v xml:space="preserve"> </v>
      </c>
      <c r="W38" s="260" t="str">
        <f t="shared" si="30"/>
        <v xml:space="preserve"> </v>
      </c>
      <c r="X38" s="260" t="str">
        <f t="shared" si="31"/>
        <v xml:space="preserve"> </v>
      </c>
      <c r="Y38" s="260" t="str">
        <f t="shared" si="32"/>
        <v xml:space="preserve"> </v>
      </c>
      <c r="Z38" s="260" t="str">
        <f t="shared" si="33"/>
        <v xml:space="preserve"> </v>
      </c>
      <c r="AA38" s="260" t="str">
        <f t="shared" si="34"/>
        <v xml:space="preserve"> </v>
      </c>
      <c r="AB38" s="260" t="str">
        <f t="shared" si="35"/>
        <v xml:space="preserve"> </v>
      </c>
      <c r="AC38" s="260" t="str">
        <f t="shared" si="36"/>
        <v xml:space="preserve"> </v>
      </c>
      <c r="AD38" s="547"/>
      <c r="AE38" s="547"/>
      <c r="AF38" s="547"/>
      <c r="AG38" s="547"/>
      <c r="AH38" s="547"/>
      <c r="AI38" s="547"/>
      <c r="AJ38" s="547"/>
      <c r="AK38" s="547"/>
      <c r="AL38" s="547"/>
      <c r="AM38" s="565"/>
      <c r="AN38" s="565"/>
      <c r="AO38" s="565"/>
      <c r="AP38" s="565"/>
      <c r="AQ38" s="565"/>
      <c r="AR38" s="565"/>
      <c r="AS38" s="565"/>
      <c r="AT38" s="565"/>
      <c r="AU38" s="565"/>
      <c r="AV38" s="549" t="str">
        <f t="shared" si="37"/>
        <v xml:space="preserve"> </v>
      </c>
      <c r="AW38" s="291" t="str">
        <f t="shared" si="38"/>
        <v xml:space="preserve">  </v>
      </c>
      <c r="AX38" s="50" t="str">
        <f t="shared" si="39"/>
        <v xml:space="preserve"> </v>
      </c>
      <c r="AY38" s="282"/>
      <c r="AZ38" s="51"/>
      <c r="BA38" s="46" t="str">
        <f t="shared" si="40"/>
        <v xml:space="preserve"> </v>
      </c>
      <c r="BB38" s="46" t="str">
        <f t="shared" si="41"/>
        <v xml:space="preserve"> </v>
      </c>
      <c r="BC38" s="46" t="str">
        <f t="shared" si="42"/>
        <v xml:space="preserve"> </v>
      </c>
      <c r="BD38" s="46" t="str">
        <f t="shared" si="43"/>
        <v xml:space="preserve"> </v>
      </c>
      <c r="BE38" s="46" t="str">
        <f t="shared" si="44"/>
        <v xml:space="preserve"> </v>
      </c>
      <c r="BF38" s="46" t="str">
        <f t="shared" si="45"/>
        <v xml:space="preserve"> </v>
      </c>
      <c r="BG38" s="46" t="str">
        <f t="shared" si="46"/>
        <v xml:space="preserve"> </v>
      </c>
      <c r="BH38" s="46" t="str">
        <f t="shared" si="47"/>
        <v xml:space="preserve"> </v>
      </c>
      <c r="BI38" s="46" t="str">
        <f t="shared" si="48"/>
        <v xml:space="preserve"> </v>
      </c>
      <c r="BJ38" s="46"/>
      <c r="BK38" s="52" t="e">
        <f>[2]uts!#REF!</f>
        <v>#REF!</v>
      </c>
      <c r="BL38" s="51"/>
      <c r="BM38" s="53" t="str">
        <f t="shared" si="49"/>
        <v xml:space="preserve">  </v>
      </c>
      <c r="BN38" s="53" t="str">
        <f t="shared" si="50"/>
        <v xml:space="preserve">  </v>
      </c>
      <c r="BO38" s="53" t="str">
        <f t="shared" si="51"/>
        <v xml:space="preserve">  </v>
      </c>
      <c r="BP38" s="53" t="str">
        <f t="shared" si="52"/>
        <v xml:space="preserve">  </v>
      </c>
      <c r="BQ38" s="53" t="str">
        <f t="shared" si="53"/>
        <v xml:space="preserve">  </v>
      </c>
      <c r="BR38" s="53" t="str">
        <f t="shared" si="54"/>
        <v xml:space="preserve">  </v>
      </c>
      <c r="BS38" s="53" t="str">
        <f t="shared" si="55"/>
        <v xml:space="preserve">  </v>
      </c>
      <c r="BT38" s="53" t="str">
        <f t="shared" si="56"/>
        <v xml:space="preserve">  </v>
      </c>
      <c r="BU38" s="53" t="str">
        <f t="shared" si="57"/>
        <v xml:space="preserve">  </v>
      </c>
      <c r="BV38" s="53"/>
      <c r="BW38" s="54" t="str">
        <f t="shared" si="58"/>
        <v xml:space="preserve"> </v>
      </c>
      <c r="BX38" s="55">
        <f t="shared" si="59"/>
        <v>0</v>
      </c>
      <c r="BY38" s="55">
        <f t="shared" si="60"/>
        <v>0</v>
      </c>
      <c r="BZ38" s="51">
        <f>SISWA!E36</f>
        <v>0</v>
      </c>
      <c r="CA38" s="51" t="str">
        <f t="shared" si="61"/>
        <v/>
      </c>
      <c r="CB38" s="56" t="str">
        <f t="shared" si="62"/>
        <v/>
      </c>
      <c r="CC38" s="56" t="str">
        <f t="shared" si="63"/>
        <v/>
      </c>
      <c r="CD38" s="56" t="str">
        <f t="shared" si="64"/>
        <v/>
      </c>
      <c r="CE38" s="56" t="str">
        <f t="shared" si="65"/>
        <v/>
      </c>
      <c r="CF38" s="56" t="str">
        <f t="shared" si="66"/>
        <v/>
      </c>
      <c r="CG38" s="56" t="str">
        <f t="shared" si="67"/>
        <v/>
      </c>
      <c r="CH38" s="56" t="str">
        <f t="shared" si="68"/>
        <v/>
      </c>
      <c r="CI38" s="56" t="str">
        <f t="shared" si="69"/>
        <v/>
      </c>
      <c r="CJ38" s="56" t="str">
        <f t="shared" si="70"/>
        <v/>
      </c>
      <c r="CK38" s="57"/>
      <c r="CL38" s="58">
        <f t="shared" si="71"/>
        <v>0</v>
      </c>
      <c r="CM38" s="55" t="e">
        <f t="shared" si="72"/>
        <v>#N/A</v>
      </c>
      <c r="CN38" s="58"/>
      <c r="CO38" s="59" t="e">
        <f>IF(BX38&gt;100,"",IF(BX38&gt;AW$1,"sangat baik dalam "&amp;CM38,IF(BX38&gt;=AW$2,"baik dalam "&amp;CM38,IF(BX38&gt;=AW$3,"cukup dalam "&amp;CM38,IF(BX38&lt;AW$3,"dengan bimbingan dapat meningkatkan dalam "&amp;CM38,IF(BX38&lt;1," ",””))))))</f>
        <v>#N/A</v>
      </c>
      <c r="CP38" s="58"/>
      <c r="CQ38" s="57" t="str">
        <f t="shared" si="73"/>
        <v/>
      </c>
      <c r="CR38" s="57" t="str">
        <f t="shared" si="74"/>
        <v/>
      </c>
      <c r="CS38" s="57" t="str">
        <f t="shared" si="75"/>
        <v/>
      </c>
      <c r="CT38" s="57" t="str">
        <f t="shared" si="76"/>
        <v/>
      </c>
      <c r="CU38" s="57" t="str">
        <f t="shared" si="77"/>
        <v/>
      </c>
      <c r="CV38" s="57" t="str">
        <f t="shared" si="78"/>
        <v/>
      </c>
      <c r="CW38" s="57" t="str">
        <f t="shared" si="79"/>
        <v/>
      </c>
      <c r="CX38" s="57" t="str">
        <f t="shared" si="80"/>
        <v/>
      </c>
      <c r="CY38" s="57" t="str">
        <f t="shared" si="81"/>
        <v/>
      </c>
      <c r="CZ38" s="57"/>
      <c r="DA38" s="59" t="e">
        <f t="shared" si="82"/>
        <v>#N/A</v>
      </c>
      <c r="DB38" s="59" t="e">
        <f>IF(BY38&gt;100,"",IF(BY38&gt;AW$1,"sangat baik dalam "&amp;DA38,IF(BY38&gt;=AW$2,"baik dalam "&amp;DA38,IF(BY38&gt;=AW$3,"cukup dalam "&amp;DA38,IF(BY38&lt;AW$3,"dengan bimbingan dapat meningkatkan  dalam "&amp;DA38,IF(BY38&lt;1," ",””))))))</f>
        <v>#N/A</v>
      </c>
      <c r="DC38" s="61"/>
      <c r="DD38" s="62" t="e">
        <f t="shared" si="83"/>
        <v>#N/A</v>
      </c>
      <c r="DE38" s="57" t="str">
        <f t="shared" si="84"/>
        <v/>
      </c>
      <c r="DF38" s="57" t="str">
        <f t="shared" si="85"/>
        <v/>
      </c>
      <c r="DG38" s="57" t="str">
        <f t="shared" si="86"/>
        <v/>
      </c>
      <c r="DH38" s="57"/>
      <c r="DI38" s="57"/>
      <c r="DJ38" s="57"/>
      <c r="DK38" s="59">
        <f t="shared" si="27"/>
        <v>0</v>
      </c>
      <c r="DL38" s="60"/>
      <c r="DM38" s="61"/>
      <c r="DN38" s="62" t="str">
        <f t="shared" si="87"/>
        <v>, 0</v>
      </c>
    </row>
    <row r="39" spans="1:118">
      <c r="A39" s="39">
        <v>32</v>
      </c>
      <c r="B39" s="283">
        <f>SISWA!B37</f>
        <v>0</v>
      </c>
      <c r="C39" s="123"/>
      <c r="D39" s="123"/>
      <c r="E39" s="123"/>
      <c r="F39" s="123"/>
      <c r="G39" s="123"/>
      <c r="H39" s="123"/>
      <c r="I39" s="123"/>
      <c r="J39" s="123"/>
      <c r="K39" s="123"/>
      <c r="L39" s="256"/>
      <c r="M39" s="256"/>
      <c r="N39" s="256"/>
      <c r="O39" s="256"/>
      <c r="P39" s="256"/>
      <c r="Q39" s="256"/>
      <c r="R39" s="256"/>
      <c r="S39" s="256"/>
      <c r="T39" s="256"/>
      <c r="U39" s="260" t="str">
        <f t="shared" si="28"/>
        <v xml:space="preserve"> </v>
      </c>
      <c r="V39" s="260" t="str">
        <f t="shared" si="29"/>
        <v xml:space="preserve"> </v>
      </c>
      <c r="W39" s="260" t="str">
        <f t="shared" si="30"/>
        <v xml:space="preserve"> </v>
      </c>
      <c r="X39" s="260" t="str">
        <f t="shared" si="31"/>
        <v xml:space="preserve"> </v>
      </c>
      <c r="Y39" s="260" t="str">
        <f t="shared" si="32"/>
        <v xml:space="preserve"> </v>
      </c>
      <c r="Z39" s="260" t="str">
        <f t="shared" si="33"/>
        <v xml:space="preserve"> </v>
      </c>
      <c r="AA39" s="260" t="str">
        <f t="shared" si="34"/>
        <v xml:space="preserve"> </v>
      </c>
      <c r="AB39" s="260" t="str">
        <f t="shared" si="35"/>
        <v xml:space="preserve"> </v>
      </c>
      <c r="AC39" s="260" t="str">
        <f t="shared" si="36"/>
        <v xml:space="preserve"> </v>
      </c>
      <c r="AD39" s="547"/>
      <c r="AE39" s="547"/>
      <c r="AF39" s="547"/>
      <c r="AG39" s="547"/>
      <c r="AH39" s="547"/>
      <c r="AI39" s="547"/>
      <c r="AJ39" s="547"/>
      <c r="AK39" s="547"/>
      <c r="AL39" s="547"/>
      <c r="AM39" s="565"/>
      <c r="AN39" s="565"/>
      <c r="AO39" s="565"/>
      <c r="AP39" s="565"/>
      <c r="AQ39" s="565"/>
      <c r="AR39" s="565"/>
      <c r="AS39" s="565"/>
      <c r="AT39" s="565"/>
      <c r="AU39" s="565"/>
      <c r="AV39" s="549" t="str">
        <f t="shared" si="37"/>
        <v xml:space="preserve"> </v>
      </c>
      <c r="AW39" s="291" t="str">
        <f t="shared" si="38"/>
        <v xml:space="preserve">  </v>
      </c>
      <c r="AX39" s="50" t="str">
        <f t="shared" si="39"/>
        <v xml:space="preserve"> </v>
      </c>
      <c r="AY39" s="282"/>
      <c r="AZ39" s="51"/>
      <c r="BA39" s="46" t="str">
        <f t="shared" si="40"/>
        <v xml:space="preserve"> </v>
      </c>
      <c r="BB39" s="46" t="str">
        <f t="shared" si="41"/>
        <v xml:space="preserve"> </v>
      </c>
      <c r="BC39" s="46" t="str">
        <f t="shared" si="42"/>
        <v xml:space="preserve"> </v>
      </c>
      <c r="BD39" s="46" t="str">
        <f t="shared" si="43"/>
        <v xml:space="preserve"> </v>
      </c>
      <c r="BE39" s="46" t="str">
        <f t="shared" si="44"/>
        <v xml:space="preserve"> </v>
      </c>
      <c r="BF39" s="46" t="str">
        <f t="shared" si="45"/>
        <v xml:space="preserve"> </v>
      </c>
      <c r="BG39" s="46" t="str">
        <f t="shared" si="46"/>
        <v xml:space="preserve"> </v>
      </c>
      <c r="BH39" s="46" t="str">
        <f t="shared" si="47"/>
        <v xml:space="preserve"> </v>
      </c>
      <c r="BI39" s="46" t="str">
        <f t="shared" si="48"/>
        <v xml:space="preserve"> </v>
      </c>
      <c r="BJ39" s="46"/>
      <c r="BK39" s="52" t="e">
        <f>[2]uts!#REF!</f>
        <v>#REF!</v>
      </c>
      <c r="BL39" s="51"/>
      <c r="BM39" s="53" t="str">
        <f t="shared" si="49"/>
        <v xml:space="preserve">  </v>
      </c>
      <c r="BN39" s="53" t="str">
        <f t="shared" si="50"/>
        <v xml:space="preserve">  </v>
      </c>
      <c r="BO39" s="53" t="str">
        <f t="shared" si="51"/>
        <v xml:space="preserve">  </v>
      </c>
      <c r="BP39" s="53" t="str">
        <f t="shared" si="52"/>
        <v xml:space="preserve">  </v>
      </c>
      <c r="BQ39" s="53" t="str">
        <f t="shared" si="53"/>
        <v xml:space="preserve">  </v>
      </c>
      <c r="BR39" s="53" t="str">
        <f t="shared" si="54"/>
        <v xml:space="preserve">  </v>
      </c>
      <c r="BS39" s="53" t="str">
        <f t="shared" si="55"/>
        <v xml:space="preserve">  </v>
      </c>
      <c r="BT39" s="53" t="str">
        <f t="shared" si="56"/>
        <v xml:space="preserve">  </v>
      </c>
      <c r="BU39" s="53" t="str">
        <f t="shared" si="57"/>
        <v xml:space="preserve">  </v>
      </c>
      <c r="BV39" s="53"/>
      <c r="BW39" s="54" t="str">
        <f t="shared" si="58"/>
        <v xml:space="preserve"> </v>
      </c>
      <c r="BX39" s="55">
        <f t="shared" si="59"/>
        <v>0</v>
      </c>
      <c r="BY39" s="55">
        <f t="shared" si="60"/>
        <v>0</v>
      </c>
      <c r="BZ39" s="51">
        <f>SISWA!E37</f>
        <v>0</v>
      </c>
      <c r="CA39" s="51" t="str">
        <f t="shared" si="61"/>
        <v/>
      </c>
      <c r="CB39" s="56" t="str">
        <f t="shared" si="62"/>
        <v/>
      </c>
      <c r="CC39" s="56" t="str">
        <f t="shared" si="63"/>
        <v/>
      </c>
      <c r="CD39" s="56" t="str">
        <f t="shared" si="64"/>
        <v/>
      </c>
      <c r="CE39" s="56" t="str">
        <f t="shared" si="65"/>
        <v/>
      </c>
      <c r="CF39" s="56" t="str">
        <f t="shared" si="66"/>
        <v/>
      </c>
      <c r="CG39" s="56" t="str">
        <f t="shared" si="67"/>
        <v/>
      </c>
      <c r="CH39" s="56" t="str">
        <f t="shared" si="68"/>
        <v/>
      </c>
      <c r="CI39" s="56" t="str">
        <f t="shared" si="69"/>
        <v/>
      </c>
      <c r="CJ39" s="56" t="str">
        <f t="shared" si="70"/>
        <v/>
      </c>
      <c r="CK39" s="57"/>
      <c r="CL39" s="58">
        <f t="shared" si="71"/>
        <v>0</v>
      </c>
      <c r="CM39" s="55" t="e">
        <f t="shared" si="72"/>
        <v>#N/A</v>
      </c>
      <c r="CN39" s="58"/>
      <c r="CO39" s="59" t="e">
        <f>IF(BX39&gt;100,"",IF(BX39&gt;AW$1,"sangat baik dalam "&amp;CM39,IF(BX39&gt;=AW$2,"baik dalam "&amp;CM39,IF(BX39&gt;=AW$3,"cukup dalam "&amp;CM39,IF(BX39&lt;AW$3,"dengan bimbingan dapat meningkatkan dalam "&amp;CM39,IF(BX39&lt;1," ",””))))))</f>
        <v>#N/A</v>
      </c>
      <c r="CP39" s="58"/>
      <c r="CQ39" s="57" t="str">
        <f t="shared" si="73"/>
        <v/>
      </c>
      <c r="CR39" s="57" t="str">
        <f t="shared" si="74"/>
        <v/>
      </c>
      <c r="CS39" s="57" t="str">
        <f t="shared" si="75"/>
        <v/>
      </c>
      <c r="CT39" s="57" t="str">
        <f t="shared" si="76"/>
        <v/>
      </c>
      <c r="CU39" s="57" t="str">
        <f t="shared" si="77"/>
        <v/>
      </c>
      <c r="CV39" s="57" t="str">
        <f t="shared" si="78"/>
        <v/>
      </c>
      <c r="CW39" s="57" t="str">
        <f t="shared" si="79"/>
        <v/>
      </c>
      <c r="CX39" s="57" t="str">
        <f t="shared" si="80"/>
        <v/>
      </c>
      <c r="CY39" s="57" t="str">
        <f t="shared" si="81"/>
        <v/>
      </c>
      <c r="CZ39" s="57"/>
      <c r="DA39" s="59" t="e">
        <f t="shared" si="82"/>
        <v>#N/A</v>
      </c>
      <c r="DB39" s="59" t="e">
        <f>IF(BY39&gt;100,"",IF(BY39&gt;AW$1,"sangat baik dalam "&amp;DA39,IF(BY39&gt;=AW$2,"baik dalam "&amp;DA39,IF(BY39&gt;=AW$3,"cukup dalam "&amp;DA39,IF(BY39&lt;AW$3,"dengan bimbingan dapat meningkatkan  dalam "&amp;DA39,IF(BY39&lt;1," ",””))))))</f>
        <v>#N/A</v>
      </c>
      <c r="DC39" s="61"/>
      <c r="DD39" s="62" t="e">
        <f t="shared" si="83"/>
        <v>#N/A</v>
      </c>
      <c r="DE39" s="57" t="str">
        <f t="shared" si="84"/>
        <v/>
      </c>
      <c r="DF39" s="57" t="str">
        <f t="shared" si="85"/>
        <v/>
      </c>
      <c r="DG39" s="57" t="str">
        <f t="shared" si="86"/>
        <v/>
      </c>
      <c r="DH39" s="57"/>
      <c r="DI39" s="57"/>
      <c r="DJ39" s="57"/>
      <c r="DK39" s="59">
        <f t="shared" si="27"/>
        <v>0</v>
      </c>
      <c r="DL39" s="60"/>
      <c r="DM39" s="61"/>
      <c r="DN39" s="62" t="str">
        <f t="shared" si="87"/>
        <v>, 0</v>
      </c>
    </row>
    <row r="40" spans="1:118">
      <c r="A40" s="39">
        <v>33</v>
      </c>
      <c r="B40" s="283">
        <f>SISWA!B38</f>
        <v>0</v>
      </c>
      <c r="C40" s="123"/>
      <c r="D40" s="123"/>
      <c r="E40" s="123"/>
      <c r="F40" s="123"/>
      <c r="G40" s="123"/>
      <c r="H40" s="123"/>
      <c r="I40" s="123"/>
      <c r="J40" s="123"/>
      <c r="K40" s="123"/>
      <c r="L40" s="256"/>
      <c r="M40" s="256"/>
      <c r="N40" s="256"/>
      <c r="O40" s="256"/>
      <c r="P40" s="256"/>
      <c r="Q40" s="256"/>
      <c r="R40" s="256"/>
      <c r="S40" s="256"/>
      <c r="T40" s="256"/>
      <c r="U40" s="260" t="str">
        <f t="shared" si="28"/>
        <v xml:space="preserve"> </v>
      </c>
      <c r="V40" s="260" t="str">
        <f t="shared" si="29"/>
        <v xml:space="preserve"> </v>
      </c>
      <c r="W40" s="260" t="str">
        <f t="shared" si="30"/>
        <v xml:space="preserve"> </v>
      </c>
      <c r="X40" s="260" t="str">
        <f t="shared" si="31"/>
        <v xml:space="preserve"> </v>
      </c>
      <c r="Y40" s="260" t="str">
        <f t="shared" si="32"/>
        <v xml:space="preserve"> </v>
      </c>
      <c r="Z40" s="260" t="str">
        <f t="shared" si="33"/>
        <v xml:space="preserve"> </v>
      </c>
      <c r="AA40" s="260" t="str">
        <f t="shared" si="34"/>
        <v xml:space="preserve"> </v>
      </c>
      <c r="AB40" s="260" t="str">
        <f t="shared" si="35"/>
        <v xml:space="preserve"> </v>
      </c>
      <c r="AC40" s="260" t="str">
        <f t="shared" si="36"/>
        <v xml:space="preserve"> </v>
      </c>
      <c r="AD40" s="547"/>
      <c r="AE40" s="547"/>
      <c r="AF40" s="547"/>
      <c r="AG40" s="547"/>
      <c r="AH40" s="547"/>
      <c r="AI40" s="547"/>
      <c r="AJ40" s="547"/>
      <c r="AK40" s="547"/>
      <c r="AL40" s="547"/>
      <c r="AM40" s="565"/>
      <c r="AN40" s="565"/>
      <c r="AO40" s="565"/>
      <c r="AP40" s="565"/>
      <c r="AQ40" s="565"/>
      <c r="AR40" s="565"/>
      <c r="AS40" s="565"/>
      <c r="AT40" s="565"/>
      <c r="AU40" s="565"/>
      <c r="AV40" s="549" t="str">
        <f t="shared" si="37"/>
        <v xml:space="preserve"> </v>
      </c>
      <c r="AW40" s="291" t="str">
        <f t="shared" si="38"/>
        <v xml:space="preserve">  </v>
      </c>
      <c r="AX40" s="50" t="str">
        <f t="shared" si="39"/>
        <v xml:space="preserve"> </v>
      </c>
      <c r="AY40" s="282"/>
      <c r="AZ40" s="51"/>
      <c r="BA40" s="46" t="str">
        <f t="shared" si="40"/>
        <v xml:space="preserve"> </v>
      </c>
      <c r="BB40" s="46" t="str">
        <f t="shared" si="41"/>
        <v xml:space="preserve"> </v>
      </c>
      <c r="BC40" s="46" t="str">
        <f t="shared" si="42"/>
        <v xml:space="preserve"> </v>
      </c>
      <c r="BD40" s="46" t="str">
        <f t="shared" si="43"/>
        <v xml:space="preserve"> </v>
      </c>
      <c r="BE40" s="46" t="str">
        <f t="shared" si="44"/>
        <v xml:space="preserve"> </v>
      </c>
      <c r="BF40" s="46" t="str">
        <f t="shared" si="45"/>
        <v xml:space="preserve"> </v>
      </c>
      <c r="BG40" s="46" t="str">
        <f t="shared" si="46"/>
        <v xml:space="preserve"> </v>
      </c>
      <c r="BH40" s="46" t="str">
        <f t="shared" si="47"/>
        <v xml:space="preserve"> </v>
      </c>
      <c r="BI40" s="46" t="str">
        <f t="shared" si="48"/>
        <v xml:space="preserve"> </v>
      </c>
      <c r="BJ40" s="46"/>
      <c r="BK40" s="52" t="e">
        <f>[2]uts!#REF!</f>
        <v>#REF!</v>
      </c>
      <c r="BL40" s="51"/>
      <c r="BM40" s="53" t="str">
        <f t="shared" si="49"/>
        <v xml:space="preserve">  </v>
      </c>
      <c r="BN40" s="53" t="str">
        <f t="shared" si="50"/>
        <v xml:space="preserve">  </v>
      </c>
      <c r="BO40" s="53" t="str">
        <f t="shared" si="51"/>
        <v xml:space="preserve">  </v>
      </c>
      <c r="BP40" s="53" t="str">
        <f t="shared" si="52"/>
        <v xml:space="preserve">  </v>
      </c>
      <c r="BQ40" s="53" t="str">
        <f t="shared" si="53"/>
        <v xml:space="preserve">  </v>
      </c>
      <c r="BR40" s="53" t="str">
        <f t="shared" si="54"/>
        <v xml:space="preserve">  </v>
      </c>
      <c r="BS40" s="53" t="str">
        <f t="shared" si="55"/>
        <v xml:space="preserve">  </v>
      </c>
      <c r="BT40" s="53" t="str">
        <f t="shared" si="56"/>
        <v xml:space="preserve">  </v>
      </c>
      <c r="BU40" s="53" t="str">
        <f t="shared" si="57"/>
        <v xml:space="preserve">  </v>
      </c>
      <c r="BV40" s="53"/>
      <c r="BW40" s="54" t="str">
        <f t="shared" si="58"/>
        <v xml:space="preserve"> </v>
      </c>
      <c r="BX40" s="55">
        <f t="shared" si="59"/>
        <v>0</v>
      </c>
      <c r="BY40" s="55">
        <f t="shared" si="60"/>
        <v>0</v>
      </c>
      <c r="BZ40" s="51">
        <f>SISWA!E38</f>
        <v>0</v>
      </c>
      <c r="CA40" s="51" t="str">
        <f t="shared" si="61"/>
        <v/>
      </c>
      <c r="CB40" s="56" t="str">
        <f t="shared" si="62"/>
        <v/>
      </c>
      <c r="CC40" s="56" t="str">
        <f t="shared" si="63"/>
        <v/>
      </c>
      <c r="CD40" s="56" t="str">
        <f t="shared" si="64"/>
        <v/>
      </c>
      <c r="CE40" s="56" t="str">
        <f t="shared" si="65"/>
        <v/>
      </c>
      <c r="CF40" s="56" t="str">
        <f t="shared" si="66"/>
        <v/>
      </c>
      <c r="CG40" s="56" t="str">
        <f t="shared" si="67"/>
        <v/>
      </c>
      <c r="CH40" s="56" t="str">
        <f t="shared" si="68"/>
        <v/>
      </c>
      <c r="CI40" s="56" t="str">
        <f t="shared" si="69"/>
        <v/>
      </c>
      <c r="CJ40" s="56" t="str">
        <f t="shared" si="70"/>
        <v/>
      </c>
      <c r="CK40" s="57"/>
      <c r="CL40" s="58">
        <f t="shared" si="71"/>
        <v>0</v>
      </c>
      <c r="CM40" s="55" t="e">
        <f t="shared" si="72"/>
        <v>#N/A</v>
      </c>
      <c r="CN40" s="58"/>
      <c r="CO40" s="59" t="e">
        <f>IF(BX40&gt;100,"",IF(BX40&gt;AW$1,"sangat baik dalam "&amp;CM40,IF(BX40&gt;=AW$2,"baik dalam "&amp;CM40,IF(BX40&gt;=AW$3,"cukup dalam "&amp;CM40,IF(BX40&lt;AW$3,"dengan bimbingan dapat meningkatkan dalam "&amp;CM40,IF(BX40&lt;1," ",””))))))</f>
        <v>#N/A</v>
      </c>
      <c r="CP40" s="58"/>
      <c r="CQ40" s="57" t="str">
        <f t="shared" si="73"/>
        <v/>
      </c>
      <c r="CR40" s="57" t="str">
        <f t="shared" si="74"/>
        <v/>
      </c>
      <c r="CS40" s="57" t="str">
        <f t="shared" si="75"/>
        <v/>
      </c>
      <c r="CT40" s="57" t="str">
        <f t="shared" si="76"/>
        <v/>
      </c>
      <c r="CU40" s="57" t="str">
        <f t="shared" si="77"/>
        <v/>
      </c>
      <c r="CV40" s="57" t="str">
        <f t="shared" si="78"/>
        <v/>
      </c>
      <c r="CW40" s="57" t="str">
        <f t="shared" si="79"/>
        <v/>
      </c>
      <c r="CX40" s="57" t="str">
        <f t="shared" si="80"/>
        <v/>
      </c>
      <c r="CY40" s="57" t="str">
        <f t="shared" si="81"/>
        <v/>
      </c>
      <c r="CZ40" s="57"/>
      <c r="DA40" s="59" t="e">
        <f t="shared" si="82"/>
        <v>#N/A</v>
      </c>
      <c r="DB40" s="59" t="e">
        <f>IF(BY40&gt;100,"",IF(BY40&gt;AW$1,"sangat baik dalam "&amp;DA40,IF(BY40&gt;=AW$2,"baik dalam "&amp;DA40,IF(BY40&gt;=AW$3,"cukup dalam "&amp;DA40,IF(BY40&lt;AW$3,"dengan bimbingan dapat meningkatkan  dalam "&amp;DA40,IF(BY40&lt;1," ",””))))))</f>
        <v>#N/A</v>
      </c>
      <c r="DC40" s="61"/>
      <c r="DD40" s="62" t="e">
        <f t="shared" si="83"/>
        <v>#N/A</v>
      </c>
      <c r="DE40" s="57" t="str">
        <f t="shared" si="84"/>
        <v/>
      </c>
      <c r="DF40" s="57" t="str">
        <f t="shared" si="85"/>
        <v/>
      </c>
      <c r="DG40" s="57" t="str">
        <f t="shared" si="86"/>
        <v/>
      </c>
      <c r="DH40" s="57"/>
      <c r="DI40" s="57"/>
      <c r="DJ40" s="57"/>
      <c r="DK40" s="59">
        <f t="shared" si="27"/>
        <v>0</v>
      </c>
      <c r="DL40" s="60"/>
      <c r="DM40" s="61"/>
      <c r="DN40" s="62" t="str">
        <f t="shared" si="87"/>
        <v>, 0</v>
      </c>
    </row>
    <row r="41" spans="1:118">
      <c r="A41" s="39">
        <v>34</v>
      </c>
      <c r="B41" s="283">
        <f>SISWA!B39</f>
        <v>0</v>
      </c>
      <c r="C41" s="123"/>
      <c r="D41" s="123"/>
      <c r="E41" s="123"/>
      <c r="F41" s="123"/>
      <c r="G41" s="123"/>
      <c r="H41" s="123"/>
      <c r="I41" s="123"/>
      <c r="J41" s="123"/>
      <c r="K41" s="123"/>
      <c r="L41" s="256"/>
      <c r="M41" s="256"/>
      <c r="N41" s="256"/>
      <c r="O41" s="256"/>
      <c r="P41" s="256"/>
      <c r="Q41" s="256"/>
      <c r="R41" s="256"/>
      <c r="S41" s="256"/>
      <c r="T41" s="256"/>
      <c r="U41" s="260" t="str">
        <f t="shared" si="28"/>
        <v xml:space="preserve"> </v>
      </c>
      <c r="V41" s="260" t="str">
        <f t="shared" si="29"/>
        <v xml:space="preserve"> </v>
      </c>
      <c r="W41" s="260" t="str">
        <f t="shared" si="30"/>
        <v xml:space="preserve"> </v>
      </c>
      <c r="X41" s="260" t="str">
        <f t="shared" si="31"/>
        <v xml:space="preserve"> </v>
      </c>
      <c r="Y41" s="260" t="str">
        <f t="shared" si="32"/>
        <v xml:space="preserve"> </v>
      </c>
      <c r="Z41" s="260" t="str">
        <f t="shared" si="33"/>
        <v xml:space="preserve"> </v>
      </c>
      <c r="AA41" s="260" t="str">
        <f t="shared" si="34"/>
        <v xml:space="preserve"> </v>
      </c>
      <c r="AB41" s="260" t="str">
        <f t="shared" si="35"/>
        <v xml:space="preserve"> </v>
      </c>
      <c r="AC41" s="260" t="str">
        <f t="shared" si="36"/>
        <v xml:space="preserve"> </v>
      </c>
      <c r="AD41" s="547"/>
      <c r="AE41" s="547"/>
      <c r="AF41" s="547"/>
      <c r="AG41" s="547"/>
      <c r="AH41" s="547"/>
      <c r="AI41" s="547"/>
      <c r="AJ41" s="547"/>
      <c r="AK41" s="547"/>
      <c r="AL41" s="547"/>
      <c r="AM41" s="565"/>
      <c r="AN41" s="565"/>
      <c r="AO41" s="565"/>
      <c r="AP41" s="565"/>
      <c r="AQ41" s="565"/>
      <c r="AR41" s="565"/>
      <c r="AS41" s="565"/>
      <c r="AT41" s="565"/>
      <c r="AU41" s="565"/>
      <c r="AV41" s="549" t="str">
        <f t="shared" si="37"/>
        <v xml:space="preserve"> </v>
      </c>
      <c r="AW41" s="291" t="str">
        <f t="shared" si="38"/>
        <v xml:space="preserve">  </v>
      </c>
      <c r="AX41" s="50" t="str">
        <f t="shared" si="39"/>
        <v xml:space="preserve"> </v>
      </c>
      <c r="AY41" s="282"/>
      <c r="AZ41" s="51"/>
      <c r="BA41" s="46" t="str">
        <f t="shared" si="40"/>
        <v xml:space="preserve"> </v>
      </c>
      <c r="BB41" s="46" t="str">
        <f t="shared" si="41"/>
        <v xml:space="preserve"> </v>
      </c>
      <c r="BC41" s="46" t="str">
        <f t="shared" si="42"/>
        <v xml:space="preserve"> </v>
      </c>
      <c r="BD41" s="46" t="str">
        <f t="shared" si="43"/>
        <v xml:space="preserve"> </v>
      </c>
      <c r="BE41" s="46" t="str">
        <f t="shared" si="44"/>
        <v xml:space="preserve"> </v>
      </c>
      <c r="BF41" s="46" t="str">
        <f t="shared" si="45"/>
        <v xml:space="preserve"> </v>
      </c>
      <c r="BG41" s="46" t="str">
        <f t="shared" si="46"/>
        <v xml:space="preserve"> </v>
      </c>
      <c r="BH41" s="46" t="str">
        <f t="shared" si="47"/>
        <v xml:space="preserve"> </v>
      </c>
      <c r="BI41" s="46" t="str">
        <f t="shared" si="48"/>
        <v xml:space="preserve"> </v>
      </c>
      <c r="BJ41" s="46"/>
      <c r="BK41" s="52" t="e">
        <f>[2]uts!#REF!</f>
        <v>#REF!</v>
      </c>
      <c r="BL41" s="51"/>
      <c r="BM41" s="53" t="str">
        <f t="shared" si="49"/>
        <v xml:space="preserve">  </v>
      </c>
      <c r="BN41" s="53" t="str">
        <f t="shared" si="50"/>
        <v xml:space="preserve">  </v>
      </c>
      <c r="BO41" s="53" t="str">
        <f t="shared" si="51"/>
        <v xml:space="preserve">  </v>
      </c>
      <c r="BP41" s="53" t="str">
        <f t="shared" si="52"/>
        <v xml:space="preserve">  </v>
      </c>
      <c r="BQ41" s="53" t="str">
        <f t="shared" si="53"/>
        <v xml:space="preserve">  </v>
      </c>
      <c r="BR41" s="53" t="str">
        <f t="shared" si="54"/>
        <v xml:space="preserve">  </v>
      </c>
      <c r="BS41" s="53" t="str">
        <f t="shared" si="55"/>
        <v xml:space="preserve">  </v>
      </c>
      <c r="BT41" s="53" t="str">
        <f t="shared" si="56"/>
        <v xml:space="preserve">  </v>
      </c>
      <c r="BU41" s="53" t="str">
        <f t="shared" si="57"/>
        <v xml:space="preserve">  </v>
      </c>
      <c r="BV41" s="53"/>
      <c r="BW41" s="54" t="str">
        <f t="shared" si="58"/>
        <v xml:space="preserve"> </v>
      </c>
      <c r="BX41" s="55">
        <f t="shared" si="59"/>
        <v>0</v>
      </c>
      <c r="BY41" s="55">
        <f t="shared" si="60"/>
        <v>0</v>
      </c>
      <c r="BZ41" s="51">
        <f>SISWA!E39</f>
        <v>0</v>
      </c>
      <c r="CA41" s="51" t="str">
        <f t="shared" si="61"/>
        <v/>
      </c>
      <c r="CB41" s="56" t="str">
        <f t="shared" si="62"/>
        <v/>
      </c>
      <c r="CC41" s="56" t="str">
        <f t="shared" si="63"/>
        <v/>
      </c>
      <c r="CD41" s="56" t="str">
        <f t="shared" si="64"/>
        <v/>
      </c>
      <c r="CE41" s="56" t="str">
        <f t="shared" si="65"/>
        <v/>
      </c>
      <c r="CF41" s="56" t="str">
        <f t="shared" si="66"/>
        <v/>
      </c>
      <c r="CG41" s="56" t="str">
        <f t="shared" si="67"/>
        <v/>
      </c>
      <c r="CH41" s="56" t="str">
        <f t="shared" si="68"/>
        <v/>
      </c>
      <c r="CI41" s="56" t="str">
        <f t="shared" si="69"/>
        <v/>
      </c>
      <c r="CJ41" s="56" t="str">
        <f t="shared" si="70"/>
        <v/>
      </c>
      <c r="CK41" s="57"/>
      <c r="CL41" s="58">
        <f t="shared" si="71"/>
        <v>0</v>
      </c>
      <c r="CM41" s="55" t="e">
        <f t="shared" si="72"/>
        <v>#N/A</v>
      </c>
      <c r="CN41" s="58"/>
      <c r="CO41" s="59" t="e">
        <f>IF(BX41&gt;100,"",IF(BX41&gt;AW$1,"sangat baik dalam "&amp;CM41,IF(BX41&gt;=AW$2,"baik dalam "&amp;CM41,IF(BX41&gt;=AW$3,"cukup dalam "&amp;CM41,IF(BX41&lt;AW$3,"dengan bimbingan dapat meningkatkan dalam "&amp;CM41,IF(BX41&lt;1," ",””))))))</f>
        <v>#N/A</v>
      </c>
      <c r="CP41" s="58"/>
      <c r="CQ41" s="57" t="str">
        <f t="shared" si="73"/>
        <v/>
      </c>
      <c r="CR41" s="57" t="str">
        <f t="shared" si="74"/>
        <v/>
      </c>
      <c r="CS41" s="57" t="str">
        <f t="shared" si="75"/>
        <v/>
      </c>
      <c r="CT41" s="57" t="str">
        <f t="shared" si="76"/>
        <v/>
      </c>
      <c r="CU41" s="57" t="str">
        <f t="shared" si="77"/>
        <v/>
      </c>
      <c r="CV41" s="57" t="str">
        <f t="shared" si="78"/>
        <v/>
      </c>
      <c r="CW41" s="57" t="str">
        <f t="shared" si="79"/>
        <v/>
      </c>
      <c r="CX41" s="57" t="str">
        <f t="shared" si="80"/>
        <v/>
      </c>
      <c r="CY41" s="57" t="str">
        <f t="shared" si="81"/>
        <v/>
      </c>
      <c r="CZ41" s="57"/>
      <c r="DA41" s="59" t="e">
        <f t="shared" si="82"/>
        <v>#N/A</v>
      </c>
      <c r="DB41" s="59" t="e">
        <f>IF(BY41&gt;100,"",IF(BY41&gt;AW$1,"sangat baik dalam "&amp;DA41,IF(BY41&gt;=AW$2,"baik dalam "&amp;DA41,IF(BY41&gt;=AW$3,"cukup dalam "&amp;DA41,IF(BY41&lt;AW$3,"dengan bimbingan dapat meningkatkan  dalam "&amp;DA41,IF(BY41&lt;1," ",””))))))</f>
        <v>#N/A</v>
      </c>
      <c r="DC41" s="61"/>
      <c r="DD41" s="62" t="e">
        <f t="shared" si="83"/>
        <v>#N/A</v>
      </c>
      <c r="DE41" s="57" t="str">
        <f t="shared" si="84"/>
        <v/>
      </c>
      <c r="DF41" s="57" t="str">
        <f t="shared" si="85"/>
        <v/>
      </c>
      <c r="DG41" s="57" t="str">
        <f t="shared" si="86"/>
        <v/>
      </c>
      <c r="DH41" s="57"/>
      <c r="DI41" s="57"/>
      <c r="DJ41" s="57"/>
      <c r="DK41" s="59">
        <f t="shared" si="27"/>
        <v>0</v>
      </c>
      <c r="DL41" s="60"/>
      <c r="DM41" s="61"/>
      <c r="DN41" s="62" t="str">
        <f t="shared" si="87"/>
        <v>, 0</v>
      </c>
    </row>
    <row r="42" spans="1:118">
      <c r="A42" s="39">
        <v>35</v>
      </c>
      <c r="B42" s="283">
        <f>SISWA!B40</f>
        <v>0</v>
      </c>
      <c r="C42" s="123"/>
      <c r="D42" s="123"/>
      <c r="E42" s="123"/>
      <c r="F42" s="123"/>
      <c r="G42" s="123"/>
      <c r="H42" s="123"/>
      <c r="I42" s="123"/>
      <c r="J42" s="123"/>
      <c r="K42" s="123"/>
      <c r="L42" s="256"/>
      <c r="M42" s="256"/>
      <c r="N42" s="256"/>
      <c r="O42" s="256"/>
      <c r="P42" s="256"/>
      <c r="Q42" s="256"/>
      <c r="R42" s="256"/>
      <c r="S42" s="256"/>
      <c r="T42" s="256"/>
      <c r="U42" s="260" t="str">
        <f t="shared" si="28"/>
        <v xml:space="preserve"> </v>
      </c>
      <c r="V42" s="260" t="str">
        <f t="shared" si="29"/>
        <v xml:space="preserve"> </v>
      </c>
      <c r="W42" s="260" t="str">
        <f t="shared" si="30"/>
        <v xml:space="preserve"> </v>
      </c>
      <c r="X42" s="260" t="str">
        <f t="shared" si="31"/>
        <v xml:space="preserve"> </v>
      </c>
      <c r="Y42" s="260" t="str">
        <f t="shared" si="32"/>
        <v xml:space="preserve"> </v>
      </c>
      <c r="Z42" s="260" t="str">
        <f t="shared" si="33"/>
        <v xml:space="preserve"> </v>
      </c>
      <c r="AA42" s="260" t="str">
        <f t="shared" si="34"/>
        <v xml:space="preserve"> </v>
      </c>
      <c r="AB42" s="260" t="str">
        <f t="shared" si="35"/>
        <v xml:space="preserve"> </v>
      </c>
      <c r="AC42" s="260" t="str">
        <f t="shared" si="36"/>
        <v xml:space="preserve"> </v>
      </c>
      <c r="AD42" s="547"/>
      <c r="AE42" s="547"/>
      <c r="AF42" s="547"/>
      <c r="AG42" s="547"/>
      <c r="AH42" s="547"/>
      <c r="AI42" s="547"/>
      <c r="AJ42" s="547"/>
      <c r="AK42" s="547"/>
      <c r="AL42" s="547"/>
      <c r="AM42" s="565"/>
      <c r="AN42" s="565"/>
      <c r="AO42" s="565"/>
      <c r="AP42" s="565"/>
      <c r="AQ42" s="565"/>
      <c r="AR42" s="565"/>
      <c r="AS42" s="565"/>
      <c r="AT42" s="565"/>
      <c r="AU42" s="565"/>
      <c r="AV42" s="549" t="str">
        <f t="shared" si="37"/>
        <v xml:space="preserve"> </v>
      </c>
      <c r="AW42" s="291" t="str">
        <f t="shared" si="38"/>
        <v xml:space="preserve">  </v>
      </c>
      <c r="AX42" s="50" t="str">
        <f t="shared" si="39"/>
        <v xml:space="preserve"> </v>
      </c>
      <c r="AY42" s="282"/>
      <c r="AZ42" s="51"/>
      <c r="BA42" s="46" t="str">
        <f t="shared" si="40"/>
        <v xml:space="preserve"> </v>
      </c>
      <c r="BB42" s="46" t="str">
        <f t="shared" si="41"/>
        <v xml:space="preserve"> </v>
      </c>
      <c r="BC42" s="46" t="str">
        <f t="shared" si="42"/>
        <v xml:space="preserve"> </v>
      </c>
      <c r="BD42" s="46" t="str">
        <f t="shared" si="43"/>
        <v xml:space="preserve"> </v>
      </c>
      <c r="BE42" s="46" t="str">
        <f t="shared" si="44"/>
        <v xml:space="preserve"> </v>
      </c>
      <c r="BF42" s="46" t="str">
        <f t="shared" si="45"/>
        <v xml:space="preserve"> </v>
      </c>
      <c r="BG42" s="46" t="str">
        <f t="shared" si="46"/>
        <v xml:space="preserve"> </v>
      </c>
      <c r="BH42" s="46" t="str">
        <f t="shared" si="47"/>
        <v xml:space="preserve"> </v>
      </c>
      <c r="BI42" s="46" t="str">
        <f t="shared" si="48"/>
        <v xml:space="preserve"> </v>
      </c>
      <c r="BJ42" s="46"/>
      <c r="BK42" s="52" t="e">
        <f>[2]uts!#REF!</f>
        <v>#REF!</v>
      </c>
      <c r="BL42" s="51"/>
      <c r="BM42" s="53" t="str">
        <f t="shared" si="49"/>
        <v xml:space="preserve">  </v>
      </c>
      <c r="BN42" s="53" t="str">
        <f t="shared" si="50"/>
        <v xml:space="preserve">  </v>
      </c>
      <c r="BO42" s="53" t="str">
        <f t="shared" si="51"/>
        <v xml:space="preserve">  </v>
      </c>
      <c r="BP42" s="53" t="str">
        <f t="shared" si="52"/>
        <v xml:space="preserve">  </v>
      </c>
      <c r="BQ42" s="53" t="str">
        <f t="shared" si="53"/>
        <v xml:space="preserve">  </v>
      </c>
      <c r="BR42" s="53" t="str">
        <f t="shared" si="54"/>
        <v xml:space="preserve">  </v>
      </c>
      <c r="BS42" s="53" t="str">
        <f t="shared" si="55"/>
        <v xml:space="preserve">  </v>
      </c>
      <c r="BT42" s="53" t="str">
        <f t="shared" si="56"/>
        <v xml:space="preserve">  </v>
      </c>
      <c r="BU42" s="53" t="str">
        <f t="shared" si="57"/>
        <v xml:space="preserve">  </v>
      </c>
      <c r="BV42" s="53"/>
      <c r="BW42" s="54" t="str">
        <f t="shared" si="58"/>
        <v xml:space="preserve"> </v>
      </c>
      <c r="BX42" s="55">
        <f t="shared" si="59"/>
        <v>0</v>
      </c>
      <c r="BY42" s="55">
        <f t="shared" si="60"/>
        <v>0</v>
      </c>
      <c r="BZ42" s="51">
        <f>SISWA!E40</f>
        <v>0</v>
      </c>
      <c r="CA42" s="51" t="str">
        <f t="shared" si="61"/>
        <v/>
      </c>
      <c r="CB42" s="56" t="str">
        <f t="shared" si="62"/>
        <v/>
      </c>
      <c r="CC42" s="56" t="str">
        <f t="shared" si="63"/>
        <v/>
      </c>
      <c r="CD42" s="56" t="str">
        <f t="shared" si="64"/>
        <v/>
      </c>
      <c r="CE42" s="56" t="str">
        <f t="shared" si="65"/>
        <v/>
      </c>
      <c r="CF42" s="56" t="str">
        <f t="shared" si="66"/>
        <v/>
      </c>
      <c r="CG42" s="56" t="str">
        <f t="shared" si="67"/>
        <v/>
      </c>
      <c r="CH42" s="56" t="str">
        <f t="shared" si="68"/>
        <v/>
      </c>
      <c r="CI42" s="56" t="str">
        <f t="shared" si="69"/>
        <v/>
      </c>
      <c r="CJ42" s="56" t="str">
        <f t="shared" si="70"/>
        <v/>
      </c>
      <c r="CK42" s="57"/>
      <c r="CL42" s="58">
        <f t="shared" si="71"/>
        <v>0</v>
      </c>
      <c r="CM42" s="55" t="e">
        <f t="shared" si="72"/>
        <v>#N/A</v>
      </c>
      <c r="CN42" s="58"/>
      <c r="CO42" s="59" t="e">
        <f>IF(BX42&gt;100,"",IF(BX42&gt;AW$1,"sangat baik dalam "&amp;CM42,IF(BX42&gt;=AW$2,"baik dalam "&amp;CM42,IF(BX42&gt;=AW$3,"cukup dalam "&amp;CM42,IF(BX42&lt;AW$3,"dengan bimbingan dapat meningkatkan dalam "&amp;CM42,IF(BX42&lt;1," ",””))))))</f>
        <v>#N/A</v>
      </c>
      <c r="CP42" s="58"/>
      <c r="CQ42" s="57" t="str">
        <f t="shared" si="73"/>
        <v/>
      </c>
      <c r="CR42" s="57" t="str">
        <f t="shared" si="74"/>
        <v/>
      </c>
      <c r="CS42" s="57" t="str">
        <f t="shared" si="75"/>
        <v/>
      </c>
      <c r="CT42" s="57" t="str">
        <f t="shared" si="76"/>
        <v/>
      </c>
      <c r="CU42" s="57" t="str">
        <f t="shared" si="77"/>
        <v/>
      </c>
      <c r="CV42" s="57" t="str">
        <f t="shared" si="78"/>
        <v/>
      </c>
      <c r="CW42" s="57" t="str">
        <f t="shared" si="79"/>
        <v/>
      </c>
      <c r="CX42" s="57" t="str">
        <f t="shared" si="80"/>
        <v/>
      </c>
      <c r="CY42" s="57" t="str">
        <f t="shared" si="81"/>
        <v/>
      </c>
      <c r="CZ42" s="57"/>
      <c r="DA42" s="59" t="e">
        <f t="shared" si="82"/>
        <v>#N/A</v>
      </c>
      <c r="DB42" s="59" t="e">
        <f>IF(BY42&gt;100,"",IF(BY42&gt;AW$1,"sangat baik dalam "&amp;DA42,IF(BY42&gt;=AW$2,"baik dalam "&amp;DA42,IF(BY42&gt;=AW$3,"cukup dalam "&amp;DA42,IF(BY42&lt;AW$3,"dengan bimbingan dapat meningkatkan  dalam "&amp;DA42,IF(BY42&lt;1," ",””))))))</f>
        <v>#N/A</v>
      </c>
      <c r="DC42" s="61"/>
      <c r="DD42" s="62" t="e">
        <f t="shared" si="83"/>
        <v>#N/A</v>
      </c>
      <c r="DE42" s="57" t="str">
        <f t="shared" si="84"/>
        <v/>
      </c>
      <c r="DF42" s="57" t="str">
        <f t="shared" si="85"/>
        <v/>
      </c>
      <c r="DG42" s="57" t="str">
        <f t="shared" si="86"/>
        <v/>
      </c>
      <c r="DH42" s="57"/>
      <c r="DI42" s="57"/>
      <c r="DJ42" s="57"/>
      <c r="DK42" s="59">
        <f t="shared" si="27"/>
        <v>0</v>
      </c>
      <c r="DL42" s="60"/>
      <c r="DM42" s="61"/>
      <c r="DN42" s="62" t="str">
        <f t="shared" si="87"/>
        <v>, 0</v>
      </c>
    </row>
    <row r="43" spans="1:118"/>
    <row r="44" spans="1:118">
      <c r="B44" s="1010" t="str">
        <f>"Kompetensi Dasar "&amp;C2&amp;" :"</f>
        <v>Kompetensi Dasar BAHASA JAWA :</v>
      </c>
      <c r="C44" s="1011"/>
      <c r="D44" s="1011"/>
      <c r="E44" s="1011"/>
      <c r="F44" s="1011"/>
      <c r="G44" s="1011"/>
      <c r="H44" s="1011"/>
      <c r="I44" s="1011"/>
      <c r="J44" s="1011"/>
      <c r="K44" s="1011"/>
      <c r="L44" s="1011"/>
      <c r="M44" s="1011"/>
      <c r="N44" s="1011"/>
      <c r="O44" s="1011"/>
      <c r="P44" s="1011"/>
      <c r="Q44" s="1011"/>
      <c r="R44" s="1011"/>
      <c r="S44" s="1011"/>
      <c r="T44" s="1011"/>
    </row>
    <row r="45" spans="1:118">
      <c r="A45" s="69" t="str">
        <f>'KDKI-3'!A76</f>
        <v>3.1</v>
      </c>
      <c r="B45" s="69" t="str">
        <f>'KDKI-3'!B76</f>
        <v>memahami teks deskriptif tentang peristiwa alam dan adat istiadat.</v>
      </c>
      <c r="C45" s="70"/>
      <c r="D45" s="70"/>
      <c r="E45" s="70"/>
      <c r="F45" s="70"/>
      <c r="G45" s="70"/>
      <c r="H45" s="70"/>
      <c r="I45" s="70"/>
      <c r="J45" s="70"/>
      <c r="K45" s="70"/>
      <c r="L45" s="70"/>
      <c r="M45" s="70"/>
      <c r="N45" s="70"/>
      <c r="O45" s="70"/>
      <c r="P45" s="70"/>
      <c r="Q45" s="70"/>
      <c r="R45" s="70"/>
      <c r="S45" s="70"/>
      <c r="T45" s="70"/>
    </row>
    <row r="46" spans="1:118">
      <c r="A46" s="69" t="str">
        <f>'KDKI-3'!A77</f>
        <v>3.2</v>
      </c>
      <c r="B46" s="69" t="str">
        <f>'KDKI-3'!B77</f>
        <v>memahami tembang macapat Kinanthi, dan geguritan.</v>
      </c>
      <c r="C46" s="74"/>
      <c r="D46" s="74"/>
      <c r="E46" s="74"/>
      <c r="F46" s="74"/>
      <c r="G46" s="74"/>
      <c r="H46" s="74"/>
      <c r="I46" s="74"/>
      <c r="J46" s="74"/>
      <c r="K46" s="74"/>
      <c r="L46" s="74"/>
      <c r="M46" s="74"/>
      <c r="N46" s="74"/>
      <c r="O46" s="74"/>
      <c r="P46" s="74"/>
      <c r="Q46" s="74"/>
      <c r="R46" s="74"/>
      <c r="S46" s="74"/>
      <c r="T46" s="74"/>
    </row>
    <row r="47" spans="1:118">
      <c r="A47" s="69" t="str">
        <f>'KDKI-3'!A78</f>
        <v>3.3</v>
      </c>
      <c r="B47" s="69" t="str">
        <f>'KDKI-3'!B78</f>
        <v>memahami  wayang (Ramayana), pakaian tradisional, dan gamelan.</v>
      </c>
      <c r="C47" s="72"/>
      <c r="D47" s="72"/>
      <c r="E47" s="72"/>
      <c r="F47" s="72"/>
      <c r="G47" s="72"/>
      <c r="H47" s="72"/>
      <c r="I47" s="72"/>
      <c r="J47" s="72"/>
      <c r="K47" s="72"/>
      <c r="L47" s="72"/>
      <c r="M47" s="72"/>
      <c r="N47" s="72"/>
      <c r="O47" s="72"/>
      <c r="P47" s="72"/>
      <c r="Q47" s="72"/>
      <c r="R47" s="72"/>
      <c r="S47" s="72"/>
      <c r="T47" s="72"/>
    </row>
    <row r="48" spans="1:118">
      <c r="A48" s="69" t="str">
        <f>'KDKI-3'!A79</f>
        <v>3.4</v>
      </c>
      <c r="B48" s="69" t="str">
        <f>'KDKI-3'!B79</f>
        <v>memahami unggah-ungguh basa untuk tanya jawab dan menyampaikan ajakan kepada orang lain.</v>
      </c>
      <c r="C48" s="74"/>
      <c r="D48" s="74"/>
      <c r="E48" s="74"/>
      <c r="F48" s="74"/>
      <c r="G48" s="74"/>
      <c r="H48" s="74"/>
      <c r="I48" s="74"/>
      <c r="J48" s="74"/>
      <c r="K48" s="74"/>
      <c r="L48" s="74"/>
      <c r="M48" s="74"/>
      <c r="N48" s="74"/>
      <c r="O48" s="74"/>
      <c r="P48" s="74"/>
      <c r="Q48" s="74"/>
      <c r="R48" s="74"/>
      <c r="S48" s="74"/>
      <c r="T48" s="74"/>
    </row>
    <row r="49" spans="1:20">
      <c r="A49" s="69" t="str">
        <f>'KDKI-3'!A80</f>
        <v>3.5</v>
      </c>
      <c r="B49" s="73" t="str">
        <f>'KDKI-3'!B80</f>
        <v>memahami kata dan kalimat beraksara Jawa yang mengandung  pasangan.</v>
      </c>
      <c r="C49" s="74"/>
      <c r="D49" s="74"/>
      <c r="E49" s="74"/>
      <c r="F49" s="74"/>
      <c r="G49" s="74"/>
      <c r="H49" s="74"/>
      <c r="I49" s="74"/>
      <c r="J49" s="74"/>
      <c r="K49" s="74"/>
      <c r="L49" s="74"/>
      <c r="M49" s="74"/>
      <c r="N49" s="74"/>
      <c r="O49" s="74"/>
      <c r="P49" s="74"/>
      <c r="Q49" s="74"/>
      <c r="R49" s="74"/>
      <c r="S49" s="74"/>
      <c r="T49" s="74"/>
    </row>
    <row r="50" spans="1:20">
      <c r="A50" s="77"/>
      <c r="B50" s="78"/>
      <c r="C50" s="72"/>
      <c r="D50" s="72"/>
      <c r="E50" s="72"/>
      <c r="F50" s="72"/>
      <c r="G50" s="72"/>
      <c r="H50" s="72"/>
      <c r="I50" s="72"/>
      <c r="J50" s="72"/>
      <c r="K50" s="72"/>
      <c r="L50" s="72"/>
      <c r="M50" s="72"/>
      <c r="N50" s="72"/>
      <c r="O50" s="72"/>
      <c r="P50" s="72"/>
      <c r="Q50" s="72"/>
      <c r="R50" s="72"/>
      <c r="S50" s="72"/>
      <c r="T50" s="72"/>
    </row>
    <row r="51" spans="1:20">
      <c r="A51" s="77"/>
      <c r="B51" s="79"/>
      <c r="C51" s="74"/>
      <c r="D51" s="74"/>
      <c r="E51" s="74"/>
      <c r="F51" s="74"/>
      <c r="G51" s="74"/>
      <c r="H51" s="74"/>
      <c r="I51" s="74"/>
      <c r="J51" s="74"/>
      <c r="K51" s="74"/>
      <c r="L51" s="74"/>
      <c r="M51" s="74"/>
      <c r="N51" s="74"/>
      <c r="O51" s="74"/>
      <c r="P51" s="74"/>
      <c r="Q51" s="74"/>
      <c r="R51" s="74"/>
      <c r="S51" s="74"/>
      <c r="T51" s="74"/>
    </row>
    <row r="52" spans="1:20">
      <c r="A52" s="80"/>
      <c r="B52" s="81"/>
      <c r="C52" s="72"/>
      <c r="D52" s="72"/>
      <c r="E52" s="72"/>
      <c r="F52" s="72"/>
      <c r="G52" s="72"/>
      <c r="H52" s="72"/>
      <c r="I52" s="72"/>
      <c r="J52" s="72"/>
      <c r="K52" s="72"/>
      <c r="L52" s="72"/>
      <c r="M52" s="72"/>
      <c r="N52" s="72"/>
      <c r="O52" s="72"/>
      <c r="P52" s="72"/>
      <c r="Q52" s="72"/>
      <c r="R52" s="72"/>
      <c r="S52" s="72"/>
      <c r="T52" s="72"/>
    </row>
    <row r="53" spans="1:20">
      <c r="A53" s="80"/>
      <c r="B53" s="82"/>
      <c r="C53" s="74"/>
      <c r="D53" s="74"/>
      <c r="E53" s="74"/>
      <c r="F53" s="74"/>
      <c r="G53" s="74"/>
      <c r="H53" s="74"/>
      <c r="I53" s="74"/>
      <c r="J53" s="74"/>
      <c r="K53" s="74"/>
      <c r="L53" s="74"/>
      <c r="M53" s="74"/>
      <c r="N53" s="74"/>
      <c r="O53" s="74"/>
      <c r="P53" s="74"/>
      <c r="Q53" s="74"/>
      <c r="R53" s="74"/>
      <c r="S53" s="74"/>
      <c r="T53" s="74"/>
    </row>
    <row r="54" spans="1:20">
      <c r="A54" s="80"/>
      <c r="B54" s="83"/>
      <c r="C54" s="84"/>
      <c r="D54" s="84"/>
      <c r="E54" s="84"/>
      <c r="F54" s="84"/>
      <c r="G54" s="84"/>
      <c r="H54" s="84"/>
      <c r="I54" s="84"/>
      <c r="J54" s="84"/>
      <c r="K54" s="84"/>
      <c r="L54" s="84"/>
      <c r="M54" s="84"/>
      <c r="N54" s="84"/>
      <c r="O54" s="84"/>
      <c r="P54" s="84"/>
      <c r="Q54" s="84"/>
      <c r="R54" s="84"/>
      <c r="S54" s="84"/>
      <c r="T54" s="84"/>
    </row>
    <row r="55" spans="1:20"/>
    <row r="56" spans="1:20"/>
    <row r="57" spans="1:20"/>
    <row r="58" spans="1:20"/>
    <row r="59" spans="1:20"/>
    <row r="60" spans="1:20"/>
    <row r="61" spans="1:20"/>
  </sheetData>
  <sheetProtection password="CA9C" sheet="1" objects="1" scenarios="1" formatCells="0" formatRows="0"/>
  <mergeCells count="44">
    <mergeCell ref="B1:T1"/>
    <mergeCell ref="C2:L2"/>
    <mergeCell ref="A5:A7"/>
    <mergeCell ref="B5:B7"/>
    <mergeCell ref="C5:T5"/>
    <mergeCell ref="C6:K6"/>
    <mergeCell ref="L6:T6"/>
    <mergeCell ref="CX6:CX7"/>
    <mergeCell ref="CZ6:CZ7"/>
    <mergeCell ref="U5:AC5"/>
    <mergeCell ref="AM5:AU5"/>
    <mergeCell ref="AD5:AL5"/>
    <mergeCell ref="DI6:DI7"/>
    <mergeCell ref="DJ6:DJ7"/>
    <mergeCell ref="DK6:DK7"/>
    <mergeCell ref="B44:T44"/>
    <mergeCell ref="DA6:DA7"/>
    <mergeCell ref="DB6:DB7"/>
    <mergeCell ref="CM6:CM7"/>
    <mergeCell ref="CO6:CO7"/>
    <mergeCell ref="CQ6:CQ7"/>
    <mergeCell ref="AW5:AW7"/>
    <mergeCell ref="AX5:AX7"/>
    <mergeCell ref="BK5:BK7"/>
    <mergeCell ref="CR6:CR7"/>
    <mergeCell ref="CS6:CS7"/>
    <mergeCell ref="CT6:CT7"/>
    <mergeCell ref="CU6:CU7"/>
    <mergeCell ref="DD4:DD7"/>
    <mergeCell ref="BA5:BJ5"/>
    <mergeCell ref="BM5:BU5"/>
    <mergeCell ref="CB6:CB7"/>
    <mergeCell ref="CC6:CC7"/>
    <mergeCell ref="CD6:CD7"/>
    <mergeCell ref="CE6:CE7"/>
    <mergeCell ref="CF6:CF7"/>
    <mergeCell ref="CG6:CG7"/>
    <mergeCell ref="CH6:CH7"/>
    <mergeCell ref="CI6:CI7"/>
    <mergeCell ref="CJ6:CJ7"/>
    <mergeCell ref="CK6:CK7"/>
    <mergeCell ref="CV6:CV7"/>
    <mergeCell ref="CW6:CW7"/>
    <mergeCell ref="CY6:CY7"/>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FF0000"/>
  </sheetPr>
  <dimension ref="A1:G48"/>
  <sheetViews>
    <sheetView showRowColHeaders="0" showZeros="0" workbookViewId="0">
      <pane xSplit="2" ySplit="5" topLeftCell="C9" activePane="bottomRight" state="frozen"/>
      <selection pane="topRight" activeCell="C1" sqref="C1"/>
      <selection pane="bottomLeft" activeCell="A6" sqref="A6"/>
      <selection pane="bottomRight" activeCell="E21" sqref="E21"/>
    </sheetView>
  </sheetViews>
  <sheetFormatPr defaultColWidth="0" defaultRowHeight="15" zeroHeight="1"/>
  <cols>
    <col min="1" max="1" width="4.7109375" customWidth="1"/>
    <col min="2" max="2" width="31" customWidth="1"/>
    <col min="3" max="3" width="7.140625" customWidth="1"/>
    <col min="4" max="4" width="9.140625" customWidth="1"/>
    <col min="5" max="5" width="80.7109375" customWidth="1"/>
    <col min="6" max="6" width="9.140625" customWidth="1"/>
    <col min="7" max="7" width="0" hidden="1" customWidth="1"/>
    <col min="8" max="16384" width="9.140625" hidden="1"/>
  </cols>
  <sheetData>
    <row r="1" spans="1:5">
      <c r="B1" s="121" t="s">
        <v>212</v>
      </c>
    </row>
    <row r="2" spans="1:5">
      <c r="B2" s="121" t="s">
        <v>27</v>
      </c>
      <c r="C2" t="str">
        <f>MENU!N20</f>
        <v>V ( Lima )</v>
      </c>
    </row>
    <row r="3" spans="1:5">
      <c r="B3" s="121" t="s">
        <v>158</v>
      </c>
      <c r="C3" t="str">
        <f>MENU!N21</f>
        <v>1 ( satu )</v>
      </c>
    </row>
    <row r="4" spans="1:5">
      <c r="B4" s="121" t="s">
        <v>28</v>
      </c>
      <c r="C4" t="str">
        <f>MENU!N22</f>
        <v>2019/2020</v>
      </c>
    </row>
    <row r="5" spans="1:5">
      <c r="A5" s="418" t="s">
        <v>9</v>
      </c>
      <c r="B5" s="418" t="s">
        <v>10</v>
      </c>
      <c r="C5" s="288" t="s">
        <v>14</v>
      </c>
      <c r="D5" s="267" t="s">
        <v>15</v>
      </c>
      <c r="E5" s="393" t="s">
        <v>125</v>
      </c>
    </row>
    <row r="6" spans="1:5">
      <c r="A6" s="66">
        <v>1</v>
      </c>
      <c r="B6" s="235" t="str">
        <f>SISWA!B6</f>
        <v>Afif Rafiudin</v>
      </c>
      <c r="C6" s="64">
        <v>83</v>
      </c>
      <c r="D6" s="64" t="s">
        <v>2</v>
      </c>
      <c r="E6" s="64" t="s">
        <v>846</v>
      </c>
    </row>
    <row r="7" spans="1:5">
      <c r="A7" s="66">
        <v>2</v>
      </c>
      <c r="B7" s="235" t="str">
        <f>SISWA!B7</f>
        <v>Ahmad Faiq Athaya</v>
      </c>
      <c r="C7" s="64">
        <v>84</v>
      </c>
      <c r="D7" s="64" t="s">
        <v>2</v>
      </c>
      <c r="E7" s="64" t="s">
        <v>847</v>
      </c>
    </row>
    <row r="8" spans="1:5">
      <c r="A8" s="66">
        <v>3</v>
      </c>
      <c r="B8" s="235" t="str">
        <f>SISWA!B8</f>
        <v>Amira Zerlinda</v>
      </c>
      <c r="C8" s="64">
        <v>83</v>
      </c>
      <c r="D8" s="64" t="s">
        <v>2</v>
      </c>
      <c r="E8" s="64" t="s">
        <v>848</v>
      </c>
    </row>
    <row r="9" spans="1:5">
      <c r="A9" s="66">
        <v>4</v>
      </c>
      <c r="B9" s="235" t="str">
        <f>SISWA!B9</f>
        <v>Andrian Putra Pangestu</v>
      </c>
      <c r="C9" s="64">
        <v>84</v>
      </c>
      <c r="D9" s="64" t="s">
        <v>2</v>
      </c>
      <c r="E9" s="64" t="s">
        <v>849</v>
      </c>
    </row>
    <row r="10" spans="1:5">
      <c r="A10" s="66">
        <v>5</v>
      </c>
      <c r="B10" s="235" t="str">
        <f>SISWA!B10</f>
        <v>Gresiya Suma Safitri</v>
      </c>
      <c r="C10" s="64">
        <v>83</v>
      </c>
      <c r="D10" s="64" t="s">
        <v>2</v>
      </c>
      <c r="E10" s="64" t="s">
        <v>850</v>
      </c>
    </row>
    <row r="11" spans="1:5">
      <c r="A11" s="66">
        <v>6</v>
      </c>
      <c r="B11" s="235" t="str">
        <f>SISWA!B11</f>
        <v>Hasna Fathitya Sabrina</v>
      </c>
      <c r="C11" s="64">
        <v>82</v>
      </c>
      <c r="D11" s="64" t="s">
        <v>2</v>
      </c>
      <c r="E11" s="64" t="s">
        <v>851</v>
      </c>
    </row>
    <row r="12" spans="1:5">
      <c r="A12" s="66">
        <v>7</v>
      </c>
      <c r="B12" s="235" t="str">
        <f>SISWA!B12</f>
        <v>Indah Fitria Ningrum</v>
      </c>
      <c r="C12" s="64">
        <v>83</v>
      </c>
      <c r="D12" s="64" t="s">
        <v>2</v>
      </c>
      <c r="E12" s="64" t="s">
        <v>852</v>
      </c>
    </row>
    <row r="13" spans="1:5">
      <c r="A13" s="66">
        <v>8</v>
      </c>
      <c r="B13" s="235" t="str">
        <f>SISWA!B13</f>
        <v>Muhammad Ilham Sarifuddin</v>
      </c>
      <c r="C13" s="64">
        <v>83</v>
      </c>
      <c r="D13" s="64" t="s">
        <v>2</v>
      </c>
      <c r="E13" s="64" t="s">
        <v>853</v>
      </c>
    </row>
    <row r="14" spans="1:5">
      <c r="A14" s="66">
        <v>9</v>
      </c>
      <c r="B14" s="235" t="str">
        <f>SISWA!B14</f>
        <v>Muhammad Raditya Ainul Yaqin</v>
      </c>
      <c r="C14" s="64">
        <v>83</v>
      </c>
      <c r="D14" s="64" t="s">
        <v>2</v>
      </c>
      <c r="E14" s="64" t="s">
        <v>854</v>
      </c>
    </row>
    <row r="15" spans="1:5">
      <c r="A15" s="66">
        <v>10</v>
      </c>
      <c r="B15" s="235" t="str">
        <f>SISWA!B15</f>
        <v>Muhammad Shulhan Al-farisi</v>
      </c>
      <c r="C15" s="64">
        <v>83</v>
      </c>
      <c r="D15" s="64" t="s">
        <v>2</v>
      </c>
      <c r="E15" s="64" t="s">
        <v>855</v>
      </c>
    </row>
    <row r="16" spans="1:5">
      <c r="A16" s="66">
        <v>11</v>
      </c>
      <c r="B16" s="235" t="str">
        <f>SISWA!B16</f>
        <v>Novaris Dwi Firmansyah</v>
      </c>
      <c r="C16" s="64">
        <v>83</v>
      </c>
      <c r="D16" s="64" t="s">
        <v>2</v>
      </c>
      <c r="E16" s="64" t="s">
        <v>856</v>
      </c>
    </row>
    <row r="17" spans="1:5">
      <c r="A17" s="66">
        <v>12</v>
      </c>
      <c r="B17" s="235" t="str">
        <f>SISWA!B17</f>
        <v>Oktafiya Duwi Safitri</v>
      </c>
      <c r="C17" s="64">
        <v>82</v>
      </c>
      <c r="D17" s="64" t="s">
        <v>2</v>
      </c>
      <c r="E17" s="64" t="s">
        <v>857</v>
      </c>
    </row>
    <row r="18" spans="1:5">
      <c r="A18" s="66">
        <v>13</v>
      </c>
      <c r="B18" s="235" t="str">
        <f>SISWA!B18</f>
        <v>Prastika Guntur Firmansyah</v>
      </c>
      <c r="C18" s="64">
        <v>83</v>
      </c>
      <c r="D18" s="64" t="s">
        <v>2</v>
      </c>
      <c r="E18" s="64" t="s">
        <v>858</v>
      </c>
    </row>
    <row r="19" spans="1:5">
      <c r="A19" s="66">
        <v>14</v>
      </c>
      <c r="B19" s="235" t="str">
        <f>SISWA!B19</f>
        <v>Siti Musyafiani</v>
      </c>
      <c r="C19" s="64">
        <v>83</v>
      </c>
      <c r="D19" s="64" t="s">
        <v>2</v>
      </c>
      <c r="E19" s="64" t="s">
        <v>859</v>
      </c>
    </row>
    <row r="20" spans="1:5">
      <c r="A20" s="66">
        <v>15</v>
      </c>
      <c r="B20" s="235" t="str">
        <f>SISWA!B20</f>
        <v>Tegar Arya Pangestu</v>
      </c>
      <c r="C20" s="64">
        <v>83</v>
      </c>
      <c r="D20" s="64" t="s">
        <v>2</v>
      </c>
      <c r="E20" s="64" t="s">
        <v>860</v>
      </c>
    </row>
    <row r="21" spans="1:5">
      <c r="A21" s="66">
        <v>16</v>
      </c>
      <c r="B21" s="235">
        <f>SISWA!B21</f>
        <v>0</v>
      </c>
      <c r="C21" s="64"/>
      <c r="D21" s="64"/>
      <c r="E21" s="64"/>
    </row>
    <row r="22" spans="1:5">
      <c r="A22" s="66">
        <v>17</v>
      </c>
      <c r="B22" s="235">
        <f>SISWA!B22</f>
        <v>0</v>
      </c>
      <c r="C22" s="64"/>
      <c r="D22" s="64"/>
      <c r="E22" s="64"/>
    </row>
    <row r="23" spans="1:5">
      <c r="A23" s="66">
        <v>18</v>
      </c>
      <c r="B23" s="235">
        <f>SISWA!B23</f>
        <v>0</v>
      </c>
      <c r="C23" s="64"/>
      <c r="D23" s="64"/>
      <c r="E23" s="64"/>
    </row>
    <row r="24" spans="1:5">
      <c r="A24" s="66">
        <v>19</v>
      </c>
      <c r="B24" s="235">
        <f>SISWA!B24</f>
        <v>0</v>
      </c>
      <c r="C24" s="64"/>
      <c r="D24" s="64"/>
      <c r="E24" s="64"/>
    </row>
    <row r="25" spans="1:5">
      <c r="A25" s="66">
        <v>20</v>
      </c>
      <c r="B25" s="235">
        <f>SISWA!B25</f>
        <v>0</v>
      </c>
      <c r="C25" s="64"/>
      <c r="D25" s="64"/>
      <c r="E25" s="64"/>
    </row>
    <row r="26" spans="1:5">
      <c r="A26" s="66">
        <v>21</v>
      </c>
      <c r="B26" s="235">
        <f>SISWA!B26</f>
        <v>0</v>
      </c>
      <c r="C26" s="64"/>
      <c r="D26" s="64"/>
      <c r="E26" s="64"/>
    </row>
    <row r="27" spans="1:5">
      <c r="A27" s="66">
        <v>22</v>
      </c>
      <c r="B27" s="235">
        <f>SISWA!B27</f>
        <v>0</v>
      </c>
      <c r="C27" s="64"/>
      <c r="D27" s="64"/>
      <c r="E27" s="64"/>
    </row>
    <row r="28" spans="1:5">
      <c r="A28" s="66">
        <v>23</v>
      </c>
      <c r="B28" s="235">
        <f>SISWA!B28</f>
        <v>0</v>
      </c>
      <c r="C28" s="64"/>
      <c r="D28" s="64"/>
      <c r="E28" s="64"/>
    </row>
    <row r="29" spans="1:5">
      <c r="A29" s="66">
        <v>24</v>
      </c>
      <c r="B29" s="235">
        <f>SISWA!B29</f>
        <v>0</v>
      </c>
      <c r="C29" s="64"/>
      <c r="D29" s="64"/>
      <c r="E29" s="64"/>
    </row>
    <row r="30" spans="1:5">
      <c r="A30" s="66">
        <v>25</v>
      </c>
      <c r="B30" s="235">
        <f>SISWA!B30</f>
        <v>0</v>
      </c>
      <c r="C30" s="64"/>
      <c r="D30" s="64"/>
      <c r="E30" s="64"/>
    </row>
    <row r="31" spans="1:5">
      <c r="A31" s="66">
        <v>26</v>
      </c>
      <c r="B31" s="235">
        <f>SISWA!B31</f>
        <v>0</v>
      </c>
      <c r="C31" s="64"/>
      <c r="D31" s="64"/>
      <c r="E31" s="64"/>
    </row>
    <row r="32" spans="1:5">
      <c r="A32" s="66">
        <v>27</v>
      </c>
      <c r="B32" s="235">
        <f>SISWA!B32</f>
        <v>0</v>
      </c>
      <c r="C32" s="64"/>
      <c r="D32" s="64"/>
      <c r="E32" s="64"/>
    </row>
    <row r="33" spans="1:5">
      <c r="A33" s="66">
        <v>28</v>
      </c>
      <c r="B33" s="235">
        <f>SISWA!B33</f>
        <v>0</v>
      </c>
      <c r="C33" s="64"/>
      <c r="D33" s="64"/>
      <c r="E33" s="64"/>
    </row>
    <row r="34" spans="1:5">
      <c r="A34" s="66">
        <v>29</v>
      </c>
      <c r="B34" s="235">
        <f>SISWA!B34</f>
        <v>0</v>
      </c>
      <c r="C34" s="64"/>
      <c r="D34" s="64"/>
      <c r="E34" s="64"/>
    </row>
    <row r="35" spans="1:5">
      <c r="A35" s="66">
        <v>30</v>
      </c>
      <c r="B35" s="235">
        <f>SISWA!B35</f>
        <v>0</v>
      </c>
      <c r="C35" s="64"/>
      <c r="D35" s="64"/>
      <c r="E35" s="64"/>
    </row>
    <row r="36" spans="1:5">
      <c r="A36" s="66">
        <v>31</v>
      </c>
      <c r="B36" s="235">
        <f>SISWA!B36</f>
        <v>0</v>
      </c>
      <c r="C36" s="64"/>
      <c r="D36" s="64"/>
      <c r="E36" s="64"/>
    </row>
    <row r="37" spans="1:5">
      <c r="A37" s="66">
        <v>32</v>
      </c>
      <c r="B37" s="235">
        <f>SISWA!B37</f>
        <v>0</v>
      </c>
      <c r="C37" s="64"/>
      <c r="D37" s="64"/>
      <c r="E37" s="64"/>
    </row>
    <row r="38" spans="1:5">
      <c r="A38" s="66">
        <v>33</v>
      </c>
      <c r="B38" s="235">
        <f>SISWA!B38</f>
        <v>0</v>
      </c>
      <c r="C38" s="64"/>
      <c r="D38" s="64"/>
      <c r="E38" s="64"/>
    </row>
    <row r="39" spans="1:5">
      <c r="A39" s="66">
        <v>34</v>
      </c>
      <c r="B39" s="235">
        <f>SISWA!B39</f>
        <v>0</v>
      </c>
      <c r="C39" s="64"/>
      <c r="D39" s="64"/>
      <c r="E39" s="64"/>
    </row>
    <row r="40" spans="1:5">
      <c r="A40" s="66">
        <v>35</v>
      </c>
      <c r="B40" s="235">
        <f>SISWA!B40</f>
        <v>0</v>
      </c>
      <c r="C40" s="64"/>
      <c r="D40" s="64"/>
      <c r="E40" s="64"/>
    </row>
    <row r="41" spans="1:5">
      <c r="A41" s="66">
        <v>36</v>
      </c>
      <c r="B41" s="235" t="e">
        <f>SISWA!#REF!</f>
        <v>#REF!</v>
      </c>
      <c r="C41" s="64"/>
      <c r="D41" s="64"/>
      <c r="E41" s="64"/>
    </row>
    <row r="42" spans="1:5">
      <c r="A42" s="66">
        <v>37</v>
      </c>
      <c r="B42" s="235" t="e">
        <f>SISWA!#REF!</f>
        <v>#REF!</v>
      </c>
      <c r="C42" s="64"/>
      <c r="D42" s="64"/>
      <c r="E42" s="64"/>
    </row>
    <row r="43" spans="1:5">
      <c r="A43" s="66">
        <v>38</v>
      </c>
      <c r="B43" s="235" t="e">
        <f>SISWA!#REF!</f>
        <v>#REF!</v>
      </c>
      <c r="C43" s="64"/>
      <c r="D43" s="64"/>
      <c r="E43" s="64"/>
    </row>
    <row r="44" spans="1:5">
      <c r="A44" s="66">
        <v>39</v>
      </c>
      <c r="B44" s="235" t="e">
        <f>SISWA!#REF!</f>
        <v>#REF!</v>
      </c>
      <c r="C44" s="64"/>
      <c r="D44" s="64"/>
      <c r="E44" s="64"/>
    </row>
    <row r="45" spans="1:5">
      <c r="A45" s="66">
        <v>40</v>
      </c>
      <c r="B45" s="235" t="e">
        <f>SISWA!#REF!</f>
        <v>#REF!</v>
      </c>
      <c r="C45" s="64"/>
      <c r="D45" s="64"/>
      <c r="E45" s="64"/>
    </row>
    <row r="46" spans="1:5"/>
    <row r="47" spans="1:5"/>
    <row r="48" spans="1:5"/>
  </sheetData>
  <sheetProtection sheet="1" objects="1" scenarios="1" formatCells="0" formatColumns="0" formatRows="0"/>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FF0000"/>
  </sheetPr>
  <dimension ref="A1:JY62"/>
  <sheetViews>
    <sheetView showRowColHeaders="0" showZeros="0" tabSelected="1" workbookViewId="0">
      <pane xSplit="2" ySplit="7" topLeftCell="C8" activePane="bottomRight" state="frozen"/>
      <selection pane="topRight" activeCell="C1" sqref="C1"/>
      <selection pane="bottomLeft" activeCell="A9" sqref="A9"/>
      <selection pane="bottomRight"/>
    </sheetView>
  </sheetViews>
  <sheetFormatPr defaultColWidth="0" defaultRowHeight="15" zeroHeight="1"/>
  <cols>
    <col min="1" max="1" width="4.7109375" customWidth="1"/>
    <col min="2" max="2" width="31" customWidth="1"/>
    <col min="3" max="146" width="3.7109375" customWidth="1"/>
    <col min="147" max="147" width="4.7109375" customWidth="1"/>
    <col min="148" max="148" width="4.140625" customWidth="1"/>
    <col min="149" max="149" width="90.28515625" customWidth="1"/>
    <col min="150" max="150" width="3.7109375" customWidth="1"/>
    <col min="151" max="285" width="3.7109375" hidden="1" customWidth="1"/>
  </cols>
  <sheetData>
    <row r="1" spans="1:285">
      <c r="A1" s="170"/>
      <c r="B1" s="894" t="s">
        <v>176</v>
      </c>
      <c r="C1" s="894"/>
      <c r="D1" s="894"/>
      <c r="E1" s="894"/>
      <c r="F1" s="894"/>
      <c r="G1" s="894"/>
      <c r="H1" s="894"/>
      <c r="I1" s="894"/>
      <c r="J1" s="894"/>
      <c r="K1" s="894"/>
      <c r="L1" s="894"/>
      <c r="M1" s="894"/>
      <c r="N1" s="894"/>
      <c r="O1" s="894"/>
      <c r="P1" s="894"/>
      <c r="Q1" s="894"/>
      <c r="R1" s="894"/>
      <c r="S1" s="894"/>
      <c r="T1" s="894"/>
      <c r="U1" s="894"/>
      <c r="V1" s="894"/>
      <c r="W1" s="894"/>
      <c r="X1" s="894"/>
      <c r="Y1" s="894"/>
      <c r="Z1" s="894"/>
      <c r="AA1" s="894"/>
      <c r="AB1" s="894"/>
      <c r="AC1" s="894"/>
      <c r="AD1" s="894"/>
      <c r="AE1" s="894"/>
      <c r="AF1" s="894"/>
      <c r="AG1" s="894"/>
      <c r="AH1" s="894"/>
      <c r="AI1" s="894"/>
      <c r="AJ1" s="894"/>
      <c r="AK1" s="894"/>
      <c r="AL1" s="894"/>
      <c r="AM1" s="894"/>
      <c r="AN1" s="894"/>
      <c r="AO1" s="894"/>
      <c r="AP1" s="894"/>
      <c r="AQ1" s="894"/>
      <c r="AR1" s="894"/>
      <c r="AS1" s="894"/>
      <c r="AT1" s="894"/>
      <c r="AU1" s="894"/>
      <c r="AV1" s="894"/>
      <c r="AW1" s="894"/>
      <c r="AX1" s="894"/>
      <c r="EU1" t="s">
        <v>255</v>
      </c>
      <c r="EV1">
        <f>KKM!D29</f>
        <v>92</v>
      </c>
      <c r="EY1">
        <v>100</v>
      </c>
    </row>
    <row r="2" spans="1:285">
      <c r="A2" s="170"/>
      <c r="B2" s="7" t="s">
        <v>3</v>
      </c>
      <c r="C2" s="943" t="s">
        <v>190</v>
      </c>
      <c r="D2" s="943"/>
      <c r="E2" s="943"/>
      <c r="F2" s="943"/>
      <c r="G2" s="943"/>
      <c r="H2" s="943"/>
      <c r="I2" s="943"/>
      <c r="J2" s="943"/>
      <c r="K2" s="943"/>
      <c r="L2" s="943"/>
      <c r="M2" s="943"/>
      <c r="N2" s="943"/>
      <c r="O2" s="943"/>
      <c r="P2" s="943"/>
      <c r="Q2" s="943"/>
      <c r="R2" s="943"/>
      <c r="S2" s="943"/>
      <c r="T2" s="943"/>
      <c r="U2" s="943"/>
      <c r="V2" s="8"/>
      <c r="W2" s="9"/>
      <c r="X2" s="9"/>
      <c r="Y2" s="9"/>
      <c r="Z2" s="9"/>
      <c r="AA2" s="9"/>
      <c r="AB2" s="9"/>
      <c r="AC2" s="9"/>
      <c r="AD2" s="9"/>
      <c r="AE2" s="9"/>
      <c r="AF2" s="9"/>
      <c r="AG2" s="9"/>
      <c r="AH2" s="9"/>
      <c r="AI2" s="9"/>
      <c r="AJ2" s="9"/>
      <c r="AK2" s="9"/>
      <c r="AL2" s="9"/>
      <c r="AM2" s="9"/>
      <c r="AN2" s="9"/>
      <c r="AO2" s="10"/>
      <c r="AP2" s="10"/>
      <c r="AV2" s="9"/>
      <c r="AW2" s="11"/>
      <c r="AX2" s="12"/>
      <c r="EU2" t="s">
        <v>207</v>
      </c>
      <c r="EV2">
        <f>KKM!D30</f>
        <v>83</v>
      </c>
      <c r="EY2">
        <f>(EY1-EV2)/2</f>
        <v>8.5</v>
      </c>
    </row>
    <row r="3" spans="1:285">
      <c r="A3" s="170"/>
      <c r="B3" s="14" t="s">
        <v>213</v>
      </c>
      <c r="C3" s="236" t="str">
        <f>MENU!N20</f>
        <v>V ( Lima )</v>
      </c>
      <c r="D3" s="10"/>
      <c r="E3" s="10"/>
      <c r="F3" s="237" t="s">
        <v>67</v>
      </c>
      <c r="G3" s="231" t="s">
        <v>188</v>
      </c>
      <c r="H3" s="231" t="s">
        <v>35</v>
      </c>
      <c r="I3" s="237" t="str">
        <f>MENU!N21</f>
        <v>1 ( satu )</v>
      </c>
      <c r="J3" s="741"/>
      <c r="K3" s="741"/>
      <c r="L3" s="237"/>
      <c r="M3" s="231"/>
      <c r="N3" s="231"/>
      <c r="O3" s="231"/>
      <c r="P3" s="237" t="str">
        <f>MENU!N22</f>
        <v>2019/2020</v>
      </c>
      <c r="Q3" s="231"/>
      <c r="R3" s="231"/>
      <c r="S3" s="231"/>
      <c r="T3" s="231"/>
      <c r="U3" s="20"/>
      <c r="V3" s="20"/>
      <c r="W3" s="20"/>
      <c r="X3" s="20"/>
      <c r="AM3" s="9"/>
      <c r="AN3" s="8"/>
      <c r="AO3" s="21"/>
      <c r="AP3" s="8"/>
      <c r="AQ3" s="238"/>
      <c r="AR3" s="238"/>
      <c r="AS3" s="238"/>
      <c r="AT3" s="238"/>
      <c r="AU3" s="238"/>
      <c r="AV3" s="170"/>
      <c r="AW3" s="170"/>
      <c r="AX3" s="170"/>
      <c r="AY3" s="170"/>
      <c r="AZ3" s="170"/>
      <c r="BA3" s="170"/>
      <c r="BB3" s="170"/>
      <c r="BC3" s="737"/>
      <c r="BD3" s="737"/>
      <c r="BE3" s="170"/>
      <c r="BF3" s="170"/>
      <c r="BG3" s="170"/>
      <c r="BW3" s="8"/>
      <c r="BX3" s="23"/>
      <c r="EU3" t="s">
        <v>394</v>
      </c>
      <c r="EV3">
        <f>KKM!D31</f>
        <v>75</v>
      </c>
    </row>
    <row r="4" spans="1:285">
      <c r="A4" s="170"/>
      <c r="B4" s="14" t="s">
        <v>304</v>
      </c>
      <c r="C4" s="1207">
        <f>KKM!D19</f>
        <v>75</v>
      </c>
      <c r="D4" s="1207"/>
      <c r="E4" s="1207"/>
      <c r="F4" s="1207"/>
      <c r="G4" s="1207"/>
      <c r="H4" s="170"/>
      <c r="I4" s="170"/>
      <c r="J4" s="737"/>
      <c r="K4" s="737"/>
      <c r="L4" s="170"/>
      <c r="M4" s="170"/>
      <c r="N4" s="170"/>
      <c r="O4" s="170"/>
      <c r="P4" s="170"/>
      <c r="Q4" s="170"/>
      <c r="R4" s="170"/>
      <c r="S4" s="737"/>
      <c r="T4" s="737"/>
      <c r="U4" s="170"/>
      <c r="V4" s="170"/>
      <c r="W4" s="170"/>
      <c r="X4" s="170"/>
      <c r="Y4" s="170"/>
      <c r="Z4" s="170"/>
      <c r="AA4" s="170"/>
      <c r="AB4" s="737"/>
      <c r="AC4" s="737"/>
      <c r="AD4" s="170"/>
      <c r="AE4" s="170"/>
      <c r="AF4" s="170"/>
      <c r="AG4" s="170"/>
      <c r="AH4" s="170"/>
      <c r="AI4" s="170"/>
      <c r="AJ4" s="170"/>
      <c r="AK4" s="737"/>
      <c r="AL4" s="737"/>
      <c r="AM4" s="170"/>
      <c r="AN4" s="170"/>
      <c r="AO4" s="170"/>
      <c r="AP4" s="170"/>
      <c r="AQ4" s="170"/>
      <c r="AR4" s="170"/>
      <c r="AS4" s="170"/>
      <c r="AT4" s="737"/>
      <c r="AU4" s="737"/>
      <c r="AV4" s="170"/>
      <c r="AW4" s="170"/>
      <c r="AX4" s="170"/>
      <c r="ES4" s="46"/>
      <c r="EU4" t="s">
        <v>395</v>
      </c>
      <c r="EV4">
        <f>KKM!D32</f>
        <v>75</v>
      </c>
    </row>
    <row r="5" spans="1:285" ht="15" customHeight="1">
      <c r="A5" s="900" t="s">
        <v>9</v>
      </c>
      <c r="B5" s="900" t="s">
        <v>10</v>
      </c>
      <c r="C5" s="962" t="s">
        <v>269</v>
      </c>
      <c r="D5" s="963"/>
      <c r="E5" s="963"/>
      <c r="F5" s="963"/>
      <c r="G5" s="963"/>
      <c r="H5" s="963"/>
      <c r="I5" s="963"/>
      <c r="J5" s="963"/>
      <c r="K5" s="963"/>
      <c r="L5" s="963"/>
      <c r="M5" s="963"/>
      <c r="N5" s="963"/>
      <c r="O5" s="963"/>
      <c r="P5" s="963"/>
      <c r="Q5" s="963"/>
      <c r="R5" s="963"/>
      <c r="S5" s="963"/>
      <c r="T5" s="963"/>
      <c r="U5" s="963"/>
      <c r="V5" s="963"/>
      <c r="W5" s="963"/>
      <c r="X5" s="963"/>
      <c r="Y5" s="963"/>
      <c r="Z5" s="963"/>
      <c r="AA5" s="963"/>
      <c r="AB5" s="731"/>
      <c r="AC5" s="731"/>
      <c r="AD5" s="964" t="s">
        <v>270</v>
      </c>
      <c r="AE5" s="965"/>
      <c r="AF5" s="965"/>
      <c r="AG5" s="965"/>
      <c r="AH5" s="965"/>
      <c r="AI5" s="965"/>
      <c r="AJ5" s="965"/>
      <c r="AK5" s="965"/>
      <c r="AL5" s="965"/>
      <c r="AM5" s="965"/>
      <c r="AN5" s="965"/>
      <c r="AO5" s="965"/>
      <c r="AP5" s="965"/>
      <c r="AQ5" s="965"/>
      <c r="AR5" s="965"/>
      <c r="AS5" s="965"/>
      <c r="AT5" s="965"/>
      <c r="AU5" s="965"/>
      <c r="AV5" s="965"/>
      <c r="AW5" s="965"/>
      <c r="AX5" s="965"/>
      <c r="AY5" s="965"/>
      <c r="AZ5" s="965"/>
      <c r="BA5" s="965"/>
      <c r="BB5" s="965"/>
      <c r="BC5" s="732"/>
      <c r="BD5" s="732"/>
      <c r="BE5" s="952" t="s">
        <v>271</v>
      </c>
      <c r="BF5" s="953"/>
      <c r="BG5" s="953"/>
      <c r="BH5" s="953"/>
      <c r="BI5" s="953"/>
      <c r="BJ5" s="953"/>
      <c r="BK5" s="953"/>
      <c r="BL5" s="953"/>
      <c r="BM5" s="953"/>
      <c r="BN5" s="953"/>
      <c r="BO5" s="953"/>
      <c r="BP5" s="953"/>
      <c r="BQ5" s="953"/>
      <c r="BR5" s="953"/>
      <c r="BS5" s="953"/>
      <c r="BT5" s="953"/>
      <c r="BU5" s="953"/>
      <c r="BV5" s="953"/>
      <c r="BW5" s="953"/>
      <c r="BX5" s="953"/>
      <c r="BY5" s="953"/>
      <c r="BZ5" s="953"/>
      <c r="CA5" s="953"/>
      <c r="CB5" s="953"/>
      <c r="CC5" s="953"/>
      <c r="CD5" s="729"/>
      <c r="CE5" s="729"/>
      <c r="CF5" s="954" t="s">
        <v>272</v>
      </c>
      <c r="CG5" s="955"/>
      <c r="CH5" s="955"/>
      <c r="CI5" s="955"/>
      <c r="CJ5" s="955"/>
      <c r="CK5" s="955"/>
      <c r="CL5" s="955"/>
      <c r="CM5" s="955"/>
      <c r="CN5" s="955"/>
      <c r="CO5" s="955"/>
      <c r="CP5" s="955"/>
      <c r="CQ5" s="955"/>
      <c r="CR5" s="955"/>
      <c r="CS5" s="955"/>
      <c r="CT5" s="955"/>
      <c r="CU5" s="955"/>
      <c r="CV5" s="955"/>
      <c r="CW5" s="955"/>
      <c r="CX5" s="955"/>
      <c r="CY5" s="955"/>
      <c r="CZ5" s="955"/>
      <c r="DA5" s="955"/>
      <c r="DB5" s="955"/>
      <c r="DC5" s="955"/>
      <c r="DD5" s="955"/>
      <c r="DE5" s="730"/>
      <c r="DF5" s="730"/>
      <c r="DG5" s="965" t="s">
        <v>273</v>
      </c>
      <c r="DH5" s="965"/>
      <c r="DI5" s="965"/>
      <c r="DJ5" s="965"/>
      <c r="DK5" s="965"/>
      <c r="DL5" s="965"/>
      <c r="DM5" s="965"/>
      <c r="DN5" s="965"/>
      <c r="DO5" s="965"/>
      <c r="DP5" s="965"/>
      <c r="DQ5" s="965"/>
      <c r="DR5" s="965"/>
      <c r="DS5" s="965"/>
      <c r="DT5" s="965"/>
      <c r="DU5" s="965"/>
      <c r="DV5" s="965"/>
      <c r="DW5" s="965"/>
      <c r="DX5" s="965"/>
      <c r="DY5" s="965"/>
      <c r="DZ5" s="965"/>
      <c r="EA5" s="965"/>
      <c r="EB5" s="965"/>
      <c r="EC5" s="965"/>
      <c r="ED5" s="965"/>
      <c r="EE5" s="965"/>
      <c r="EF5" s="965"/>
      <c r="EG5" s="970"/>
      <c r="EH5" s="956" t="s">
        <v>13</v>
      </c>
      <c r="EI5" s="957"/>
      <c r="EJ5" s="957"/>
      <c r="EK5" s="957"/>
      <c r="EL5" s="957"/>
      <c r="EM5" s="957"/>
      <c r="EN5" s="1206"/>
      <c r="EO5" s="764"/>
      <c r="EP5" s="764"/>
      <c r="EQ5" s="968" t="s">
        <v>179</v>
      </c>
      <c r="ER5" s="966" t="s">
        <v>15</v>
      </c>
      <c r="ES5" s="944" t="s">
        <v>180</v>
      </c>
      <c r="FG5" t="s">
        <v>398</v>
      </c>
    </row>
    <row r="6" spans="1:285" ht="15" customHeight="1">
      <c r="A6" s="900"/>
      <c r="B6" s="900"/>
      <c r="C6" s="931" t="s">
        <v>181</v>
      </c>
      <c r="D6" s="932"/>
      <c r="E6" s="932"/>
      <c r="F6" s="932"/>
      <c r="G6" s="932"/>
      <c r="H6" s="932"/>
      <c r="I6" s="932"/>
      <c r="J6" s="932"/>
      <c r="K6" s="933"/>
      <c r="L6" s="946" t="s">
        <v>532</v>
      </c>
      <c r="M6" s="947"/>
      <c r="N6" s="947"/>
      <c r="O6" s="947"/>
      <c r="P6" s="947"/>
      <c r="Q6" s="947"/>
      <c r="R6" s="947"/>
      <c r="S6" s="947"/>
      <c r="T6" s="948"/>
      <c r="U6" s="949" t="s">
        <v>182</v>
      </c>
      <c r="V6" s="950"/>
      <c r="W6" s="950"/>
      <c r="X6" s="950"/>
      <c r="Y6" s="950"/>
      <c r="Z6" s="950"/>
      <c r="AA6" s="950"/>
      <c r="AB6" s="950"/>
      <c r="AC6" s="951"/>
      <c r="AD6" s="931" t="s">
        <v>181</v>
      </c>
      <c r="AE6" s="932"/>
      <c r="AF6" s="932"/>
      <c r="AG6" s="932"/>
      <c r="AH6" s="932"/>
      <c r="AI6" s="932"/>
      <c r="AJ6" s="932"/>
      <c r="AK6" s="932"/>
      <c r="AL6" s="933"/>
      <c r="AM6" s="946" t="s">
        <v>532</v>
      </c>
      <c r="AN6" s="947"/>
      <c r="AO6" s="947"/>
      <c r="AP6" s="947"/>
      <c r="AQ6" s="947"/>
      <c r="AR6" s="947"/>
      <c r="AS6" s="947"/>
      <c r="AT6" s="947"/>
      <c r="AU6" s="948"/>
      <c r="AV6" s="949" t="s">
        <v>182</v>
      </c>
      <c r="AW6" s="950"/>
      <c r="AX6" s="950"/>
      <c r="AY6" s="950"/>
      <c r="AZ6" s="950"/>
      <c r="BA6" s="950"/>
      <c r="BB6" s="950"/>
      <c r="BC6" s="950"/>
      <c r="BD6" s="951"/>
      <c r="BE6" s="931" t="s">
        <v>181</v>
      </c>
      <c r="BF6" s="932"/>
      <c r="BG6" s="932"/>
      <c r="BH6" s="932"/>
      <c r="BI6" s="932"/>
      <c r="BJ6" s="932"/>
      <c r="BK6" s="932"/>
      <c r="BL6" s="932"/>
      <c r="BM6" s="933"/>
      <c r="BN6" s="946" t="s">
        <v>532</v>
      </c>
      <c r="BO6" s="947"/>
      <c r="BP6" s="947"/>
      <c r="BQ6" s="947"/>
      <c r="BR6" s="947"/>
      <c r="BS6" s="947"/>
      <c r="BT6" s="947"/>
      <c r="BU6" s="947"/>
      <c r="BV6" s="948"/>
      <c r="BW6" s="949" t="s">
        <v>182</v>
      </c>
      <c r="BX6" s="950"/>
      <c r="BY6" s="950"/>
      <c r="BZ6" s="950"/>
      <c r="CA6" s="950"/>
      <c r="CB6" s="950"/>
      <c r="CC6" s="950"/>
      <c r="CD6" s="950"/>
      <c r="CE6" s="951"/>
      <c r="CF6" s="931" t="s">
        <v>181</v>
      </c>
      <c r="CG6" s="932"/>
      <c r="CH6" s="932"/>
      <c r="CI6" s="932"/>
      <c r="CJ6" s="932"/>
      <c r="CK6" s="932"/>
      <c r="CL6" s="932"/>
      <c r="CM6" s="932"/>
      <c r="CN6" s="933"/>
      <c r="CO6" s="946" t="s">
        <v>532</v>
      </c>
      <c r="CP6" s="947"/>
      <c r="CQ6" s="947"/>
      <c r="CR6" s="947"/>
      <c r="CS6" s="947"/>
      <c r="CT6" s="947"/>
      <c r="CU6" s="947"/>
      <c r="CV6" s="947"/>
      <c r="CW6" s="948"/>
      <c r="CX6" s="949" t="s">
        <v>182</v>
      </c>
      <c r="CY6" s="950"/>
      <c r="CZ6" s="950"/>
      <c r="DA6" s="950"/>
      <c r="DB6" s="950"/>
      <c r="DC6" s="950"/>
      <c r="DD6" s="950"/>
      <c r="DE6" s="950"/>
      <c r="DF6" s="951"/>
      <c r="DG6" s="931" t="s">
        <v>181</v>
      </c>
      <c r="DH6" s="932"/>
      <c r="DI6" s="932"/>
      <c r="DJ6" s="932"/>
      <c r="DK6" s="932"/>
      <c r="DL6" s="932"/>
      <c r="DM6" s="932"/>
      <c r="DN6" s="932"/>
      <c r="DO6" s="933"/>
      <c r="DP6" s="946" t="s">
        <v>532</v>
      </c>
      <c r="DQ6" s="947"/>
      <c r="DR6" s="947"/>
      <c r="DS6" s="947"/>
      <c r="DT6" s="947"/>
      <c r="DU6" s="947"/>
      <c r="DV6" s="947"/>
      <c r="DW6" s="947"/>
      <c r="DX6" s="948"/>
      <c r="DY6" s="949" t="s">
        <v>182</v>
      </c>
      <c r="DZ6" s="950"/>
      <c r="EA6" s="950"/>
      <c r="EB6" s="950"/>
      <c r="EC6" s="950"/>
      <c r="ED6" s="950"/>
      <c r="EE6" s="950"/>
      <c r="EF6" s="950"/>
      <c r="EG6" s="951"/>
      <c r="EH6" s="239" t="s">
        <v>19</v>
      </c>
      <c r="EI6" s="239" t="s">
        <v>19</v>
      </c>
      <c r="EJ6" s="239" t="s">
        <v>19</v>
      </c>
      <c r="EK6" s="239" t="s">
        <v>19</v>
      </c>
      <c r="EL6" s="239" t="s">
        <v>19</v>
      </c>
      <c r="EM6" s="239" t="s">
        <v>19</v>
      </c>
      <c r="EN6" s="36" t="s">
        <v>19</v>
      </c>
      <c r="EO6" s="36" t="s">
        <v>19</v>
      </c>
      <c r="EP6" s="36" t="s">
        <v>19</v>
      </c>
      <c r="EQ6" s="969"/>
      <c r="ER6" s="967"/>
      <c r="ES6" s="944"/>
      <c r="EV6" s="931" t="s">
        <v>279</v>
      </c>
      <c r="EW6" s="932"/>
      <c r="EX6" s="932"/>
      <c r="EY6" s="932"/>
      <c r="EZ6" s="932"/>
      <c r="FA6" s="932"/>
      <c r="FB6" s="932"/>
      <c r="FC6" s="932"/>
      <c r="FD6" s="932"/>
      <c r="FE6" s="933"/>
      <c r="FF6" s="937" t="s">
        <v>399</v>
      </c>
      <c r="FG6" s="934" t="s">
        <v>280</v>
      </c>
      <c r="FH6" s="935"/>
      <c r="FI6" s="935"/>
      <c r="FJ6" s="935"/>
      <c r="FK6" s="935"/>
      <c r="FL6" s="935"/>
      <c r="FM6" s="935"/>
      <c r="FN6" s="935"/>
      <c r="FO6" s="935"/>
      <c r="FP6" s="936"/>
      <c r="FQ6" s="937" t="s">
        <v>399</v>
      </c>
      <c r="FR6" s="939" t="s">
        <v>400</v>
      </c>
      <c r="FS6" s="940"/>
      <c r="FT6" s="940"/>
      <c r="FU6" s="940"/>
      <c r="FV6" s="940"/>
      <c r="FW6" s="940"/>
      <c r="FX6" s="940"/>
      <c r="FY6" s="940"/>
      <c r="FZ6" s="940"/>
      <c r="GA6" s="941"/>
      <c r="GB6" s="971" t="s">
        <v>399</v>
      </c>
      <c r="GC6" s="972">
        <v>1</v>
      </c>
      <c r="GD6" s="973"/>
      <c r="GE6" s="973"/>
      <c r="GF6" s="976"/>
      <c r="GG6" s="976"/>
      <c r="GH6" s="976"/>
      <c r="GI6" s="972">
        <v>2</v>
      </c>
      <c r="GJ6" s="973"/>
      <c r="GK6" s="973"/>
      <c r="GL6" s="976"/>
      <c r="GM6" s="976"/>
      <c r="GN6" s="976"/>
      <c r="GO6" s="972">
        <v>3</v>
      </c>
      <c r="GP6" s="973"/>
      <c r="GQ6" s="973"/>
      <c r="GR6" s="976"/>
      <c r="GS6" s="976"/>
      <c r="GT6" s="976"/>
      <c r="GU6" s="972">
        <v>4</v>
      </c>
      <c r="GV6" s="973"/>
      <c r="GW6" s="973"/>
      <c r="GX6" s="976"/>
      <c r="GY6" s="976"/>
      <c r="GZ6" s="976"/>
      <c r="HA6" s="972">
        <v>5</v>
      </c>
      <c r="HB6" s="973"/>
      <c r="HC6" s="973"/>
      <c r="HD6" s="976"/>
      <c r="HE6" s="976"/>
      <c r="HF6" s="976"/>
      <c r="HG6" s="972">
        <v>6</v>
      </c>
      <c r="HH6" s="973"/>
      <c r="HI6" s="973"/>
      <c r="HJ6" s="976"/>
      <c r="HK6" s="976"/>
      <c r="HL6" s="976"/>
      <c r="HM6" s="972">
        <v>7</v>
      </c>
      <c r="HN6" s="973"/>
      <c r="HO6" s="973"/>
      <c r="HP6" s="976"/>
      <c r="HQ6" s="976"/>
      <c r="HR6" s="976"/>
      <c r="HS6" s="972">
        <v>8</v>
      </c>
      <c r="HT6" s="973"/>
      <c r="HU6" s="973"/>
      <c r="HV6" s="976"/>
      <c r="HW6" s="976"/>
      <c r="HX6" s="976"/>
      <c r="HY6" s="972">
        <v>9</v>
      </c>
      <c r="HZ6" s="973"/>
      <c r="IA6" s="973"/>
      <c r="IB6" s="976"/>
      <c r="IC6" s="976"/>
      <c r="ID6" s="976"/>
      <c r="IE6" s="573"/>
      <c r="IF6" s="573"/>
      <c r="IS6" s="68" t="s">
        <v>184</v>
      </c>
      <c r="IT6" s="68" t="s">
        <v>185</v>
      </c>
      <c r="IU6" s="978"/>
      <c r="IV6" s="734"/>
      <c r="IW6" s="979" t="str">
        <f>B45</f>
        <v>menyajikan hasil identifikasi pokok pikiran dalam teks tulis dan lisan secara lisan, tulis, dan visual</v>
      </c>
      <c r="IX6" s="979" t="str">
        <f>B46</f>
        <v xml:space="preserve">menyajikan hasil klasifikasi informasi yang didapat dari buku yang dikelompokkan dalam aspek: apa, di mana, kapan, siapa, mengapa, dan bagaimana </v>
      </c>
      <c r="IY6" s="979" t="str">
        <f>B47</f>
        <v>menyajikan ringkasan teks penjelasan (eksplanasi) dari media cetak atau elektronik dengan menggunakan kosakata baku dan kalimat efektif secara lisan, tulis, dan visual</v>
      </c>
      <c r="IZ6" s="979" t="str">
        <f>B48</f>
        <v>memeragakan kembali informasi yang disampaikan paparan iklan dari media cetak atau elektronik dengan bantuan lisan, tulis, dan visual</v>
      </c>
      <c r="JA6" s="979" t="str">
        <f>B49</f>
        <v>memaparkan informasi penting dari teks narasi sejarah menggunakan aspek: apa, di mana, kapan, siapa, mengapa, dan bagaimana serta kosakata baku dan kalimat efektif</v>
      </c>
      <c r="JB6" s="979" t="str">
        <f>B50</f>
        <v>melisankan pantun hasil karya pribadi dengan lafal, intonasi, dan ekspresi yang tepat sebagai bentuk ungkapan diri</v>
      </c>
      <c r="JC6" s="979" t="str">
        <f>B51</f>
        <v>menyajikan konsep-konsep yang saling berkaitan pada teks nonfiksi ke dalam tulisan dengan bahasa sendiri</v>
      </c>
      <c r="JD6" s="979" t="str">
        <f>B52</f>
        <v>menyajikan kembali peristiwa atau tindakan dengan memperhatikan latar cerita yang terdapat pada teks fiksi</v>
      </c>
      <c r="JE6" s="979" t="str">
        <f>B53</f>
        <v>membuat surat undangan (ulang tahun, kegiatan sekolah, kenaikan kelas, dll.) dengan kalimat efektif dan memperhati-kan penggunaan ejaan</v>
      </c>
      <c r="JF6" s="979"/>
      <c r="JG6" s="979"/>
      <c r="JH6" s="981"/>
      <c r="JI6" s="981" t="s">
        <v>186</v>
      </c>
      <c r="JJ6" s="981" t="s">
        <v>187</v>
      </c>
      <c r="JL6" s="983" t="str">
        <f>IW6</f>
        <v>menyajikan hasil identifikasi pokok pikiran dalam teks tulis dan lisan secara lisan, tulis, dan visual</v>
      </c>
      <c r="JM6" s="983" t="str">
        <f t="shared" ref="JM6:JU6" si="0">IX6</f>
        <v xml:space="preserve">menyajikan hasil klasifikasi informasi yang didapat dari buku yang dikelompokkan dalam aspek: apa, di mana, kapan, siapa, mengapa, dan bagaimana </v>
      </c>
      <c r="JN6" s="983" t="str">
        <f t="shared" si="0"/>
        <v>menyajikan ringkasan teks penjelasan (eksplanasi) dari media cetak atau elektronik dengan menggunakan kosakata baku dan kalimat efektif secara lisan, tulis, dan visual</v>
      </c>
      <c r="JO6" s="983" t="str">
        <f t="shared" si="0"/>
        <v>memeragakan kembali informasi yang disampaikan paparan iklan dari media cetak atau elektronik dengan bantuan lisan, tulis, dan visual</v>
      </c>
      <c r="JP6" s="983" t="str">
        <f t="shared" si="0"/>
        <v>memaparkan informasi penting dari teks narasi sejarah menggunakan aspek: apa, di mana, kapan, siapa, mengapa, dan bagaimana serta kosakata baku dan kalimat efektif</v>
      </c>
      <c r="JQ6" s="983" t="str">
        <f t="shared" si="0"/>
        <v>melisankan pantun hasil karya pribadi dengan lafal, intonasi, dan ekspresi yang tepat sebagai bentuk ungkapan diri</v>
      </c>
      <c r="JR6" s="983" t="str">
        <f t="shared" si="0"/>
        <v>menyajikan konsep-konsep yang saling berkaitan pada teks nonfiksi ke dalam tulisan dengan bahasa sendiri</v>
      </c>
      <c r="JS6" s="983" t="str">
        <f t="shared" si="0"/>
        <v>menyajikan kembali peristiwa atau tindakan dengan memperhatikan latar cerita yang terdapat pada teks fiksi</v>
      </c>
      <c r="JT6" s="983" t="str">
        <f t="shared" si="0"/>
        <v>membuat surat undangan (ulang tahun, kegiatan sekolah, kenaikan kelas, dll.) dengan kalimat efektif dan memperhati-kan penggunaan ejaan</v>
      </c>
      <c r="JU6" s="983">
        <f t="shared" si="0"/>
        <v>0</v>
      </c>
      <c r="JW6" s="978" t="s">
        <v>401</v>
      </c>
      <c r="JY6" s="985" t="s">
        <v>402</v>
      </c>
    </row>
    <row r="7" spans="1:285" ht="21" customHeight="1">
      <c r="A7" s="900"/>
      <c r="B7" s="961"/>
      <c r="C7" s="240" t="str">
        <f>A45</f>
        <v>4.1</v>
      </c>
      <c r="D7" s="240" t="str">
        <f>A46</f>
        <v>4.2</v>
      </c>
      <c r="E7" s="240" t="str">
        <f>A47</f>
        <v>4.3</v>
      </c>
      <c r="F7" s="240" t="str">
        <f>A48</f>
        <v>4.4</v>
      </c>
      <c r="G7" s="240" t="str">
        <f>A49</f>
        <v>4.5</v>
      </c>
      <c r="H7" s="240" t="str">
        <f>A50</f>
        <v>4.6</v>
      </c>
      <c r="I7" s="240" t="str">
        <f>A51</f>
        <v>4.7</v>
      </c>
      <c r="J7" s="240" t="str">
        <f>A52</f>
        <v>4.8</v>
      </c>
      <c r="K7" s="240" t="str">
        <f>A53</f>
        <v>4.9</v>
      </c>
      <c r="L7" s="240" t="str">
        <f t="shared" ref="L7:R7" si="1">C7</f>
        <v>4.1</v>
      </c>
      <c r="M7" s="240" t="str">
        <f t="shared" si="1"/>
        <v>4.2</v>
      </c>
      <c r="N7" s="240" t="str">
        <f t="shared" si="1"/>
        <v>4.3</v>
      </c>
      <c r="O7" s="240" t="str">
        <f t="shared" si="1"/>
        <v>4.4</v>
      </c>
      <c r="P7" s="240" t="str">
        <f t="shared" si="1"/>
        <v>4.5</v>
      </c>
      <c r="Q7" s="240" t="str">
        <f t="shared" si="1"/>
        <v>4.6</v>
      </c>
      <c r="R7" s="240" t="str">
        <f t="shared" si="1"/>
        <v>4.7</v>
      </c>
      <c r="S7" s="240" t="str">
        <f t="shared" ref="S7:T7" si="2">J7</f>
        <v>4.8</v>
      </c>
      <c r="T7" s="240" t="str">
        <f t="shared" si="2"/>
        <v>4.9</v>
      </c>
      <c r="U7" s="240" t="str">
        <f t="shared" ref="U7:AA7" si="3">L7</f>
        <v>4.1</v>
      </c>
      <c r="V7" s="240" t="str">
        <f t="shared" si="3"/>
        <v>4.2</v>
      </c>
      <c r="W7" s="240" t="str">
        <f t="shared" si="3"/>
        <v>4.3</v>
      </c>
      <c r="X7" s="240" t="str">
        <f t="shared" si="3"/>
        <v>4.4</v>
      </c>
      <c r="Y7" s="240" t="str">
        <f t="shared" si="3"/>
        <v>4.5</v>
      </c>
      <c r="Z7" s="240" t="str">
        <f t="shared" si="3"/>
        <v>4.6</v>
      </c>
      <c r="AA7" s="240" t="str">
        <f t="shared" si="3"/>
        <v>4.7</v>
      </c>
      <c r="AB7" s="240" t="str">
        <f t="shared" ref="AB7:AC7" si="4">S7</f>
        <v>4.8</v>
      </c>
      <c r="AC7" s="240" t="str">
        <f t="shared" si="4"/>
        <v>4.9</v>
      </c>
      <c r="AD7" s="240" t="str">
        <f t="shared" ref="AD7:AJ7" si="5">U7</f>
        <v>4.1</v>
      </c>
      <c r="AE7" s="240" t="str">
        <f t="shared" si="5"/>
        <v>4.2</v>
      </c>
      <c r="AF7" s="240" t="str">
        <f t="shared" si="5"/>
        <v>4.3</v>
      </c>
      <c r="AG7" s="240" t="str">
        <f t="shared" si="5"/>
        <v>4.4</v>
      </c>
      <c r="AH7" s="240" t="str">
        <f t="shared" si="5"/>
        <v>4.5</v>
      </c>
      <c r="AI7" s="240" t="str">
        <f t="shared" si="5"/>
        <v>4.6</v>
      </c>
      <c r="AJ7" s="240" t="str">
        <f t="shared" si="5"/>
        <v>4.7</v>
      </c>
      <c r="AK7" s="240" t="str">
        <f t="shared" ref="AK7" si="6">AB7</f>
        <v>4.8</v>
      </c>
      <c r="AL7" s="240" t="str">
        <f t="shared" ref="AL7" si="7">AC7</f>
        <v>4.9</v>
      </c>
      <c r="AM7" s="240" t="str">
        <f t="shared" ref="AM7:AS7" si="8">AD7</f>
        <v>4.1</v>
      </c>
      <c r="AN7" s="240" t="str">
        <f t="shared" si="8"/>
        <v>4.2</v>
      </c>
      <c r="AO7" s="240" t="str">
        <f t="shared" si="8"/>
        <v>4.3</v>
      </c>
      <c r="AP7" s="240" t="str">
        <f t="shared" si="8"/>
        <v>4.4</v>
      </c>
      <c r="AQ7" s="240" t="str">
        <f t="shared" si="8"/>
        <v>4.5</v>
      </c>
      <c r="AR7" s="240" t="str">
        <f t="shared" si="8"/>
        <v>4.6</v>
      </c>
      <c r="AS7" s="240" t="str">
        <f t="shared" si="8"/>
        <v>4.7</v>
      </c>
      <c r="AT7" s="240" t="str">
        <f t="shared" ref="AT7" si="9">AK7</f>
        <v>4.8</v>
      </c>
      <c r="AU7" s="240" t="str">
        <f t="shared" ref="AU7" si="10">AL7</f>
        <v>4.9</v>
      </c>
      <c r="AV7" s="240" t="str">
        <f t="shared" ref="AV7:BB7" si="11">AM7</f>
        <v>4.1</v>
      </c>
      <c r="AW7" s="240" t="str">
        <f t="shared" si="11"/>
        <v>4.2</v>
      </c>
      <c r="AX7" s="240" t="str">
        <f t="shared" si="11"/>
        <v>4.3</v>
      </c>
      <c r="AY7" s="240" t="str">
        <f t="shared" si="11"/>
        <v>4.4</v>
      </c>
      <c r="AZ7" s="240" t="str">
        <f t="shared" si="11"/>
        <v>4.5</v>
      </c>
      <c r="BA7" s="240" t="str">
        <f t="shared" si="11"/>
        <v>4.6</v>
      </c>
      <c r="BB7" s="240" t="str">
        <f t="shared" si="11"/>
        <v>4.7</v>
      </c>
      <c r="BC7" s="240" t="str">
        <f t="shared" ref="BC7" si="12">AT7</f>
        <v>4.8</v>
      </c>
      <c r="BD7" s="240" t="str">
        <f t="shared" ref="BD7" si="13">AU7</f>
        <v>4.9</v>
      </c>
      <c r="BE7" s="240" t="str">
        <f t="shared" ref="BE7:BK7" si="14">AV7</f>
        <v>4.1</v>
      </c>
      <c r="BF7" s="240" t="str">
        <f t="shared" si="14"/>
        <v>4.2</v>
      </c>
      <c r="BG7" s="240" t="str">
        <f t="shared" si="14"/>
        <v>4.3</v>
      </c>
      <c r="BH7" s="240" t="str">
        <f t="shared" si="14"/>
        <v>4.4</v>
      </c>
      <c r="BI7" s="240" t="str">
        <f t="shared" si="14"/>
        <v>4.5</v>
      </c>
      <c r="BJ7" s="240" t="str">
        <f t="shared" si="14"/>
        <v>4.6</v>
      </c>
      <c r="BK7" s="240" t="str">
        <f t="shared" si="14"/>
        <v>4.7</v>
      </c>
      <c r="BL7" s="240" t="str">
        <f t="shared" ref="BL7" si="15">BC7</f>
        <v>4.8</v>
      </c>
      <c r="BM7" s="240" t="str">
        <f t="shared" ref="BM7" si="16">BD7</f>
        <v>4.9</v>
      </c>
      <c r="BN7" s="240" t="str">
        <f t="shared" ref="BN7:BT7" si="17">BE7</f>
        <v>4.1</v>
      </c>
      <c r="BO7" s="240" t="str">
        <f t="shared" si="17"/>
        <v>4.2</v>
      </c>
      <c r="BP7" s="240" t="str">
        <f t="shared" si="17"/>
        <v>4.3</v>
      </c>
      <c r="BQ7" s="240" t="str">
        <f t="shared" si="17"/>
        <v>4.4</v>
      </c>
      <c r="BR7" s="240" t="str">
        <f t="shared" si="17"/>
        <v>4.5</v>
      </c>
      <c r="BS7" s="240" t="str">
        <f t="shared" si="17"/>
        <v>4.6</v>
      </c>
      <c r="BT7" s="240" t="str">
        <f t="shared" si="17"/>
        <v>4.7</v>
      </c>
      <c r="BU7" s="240" t="str">
        <f t="shared" ref="BU7" si="18">BL7</f>
        <v>4.8</v>
      </c>
      <c r="BV7" s="240" t="str">
        <f t="shared" ref="BV7" si="19">BM7</f>
        <v>4.9</v>
      </c>
      <c r="BW7" s="240" t="str">
        <f t="shared" ref="BW7:CC7" si="20">BN7</f>
        <v>4.1</v>
      </c>
      <c r="BX7" s="240" t="str">
        <f t="shared" si="20"/>
        <v>4.2</v>
      </c>
      <c r="BY7" s="240" t="str">
        <f t="shared" si="20"/>
        <v>4.3</v>
      </c>
      <c r="BZ7" s="240" t="str">
        <f t="shared" si="20"/>
        <v>4.4</v>
      </c>
      <c r="CA7" s="240" t="str">
        <f t="shared" si="20"/>
        <v>4.5</v>
      </c>
      <c r="CB7" s="240" t="str">
        <f t="shared" si="20"/>
        <v>4.6</v>
      </c>
      <c r="CC7" s="240" t="str">
        <f t="shared" si="20"/>
        <v>4.7</v>
      </c>
      <c r="CD7" s="240" t="str">
        <f t="shared" ref="CD7" si="21">BU7</f>
        <v>4.8</v>
      </c>
      <c r="CE7" s="240" t="str">
        <f t="shared" ref="CE7" si="22">BV7</f>
        <v>4.9</v>
      </c>
      <c r="CF7" s="240" t="str">
        <f t="shared" ref="CF7:CL7" si="23">BW7</f>
        <v>4.1</v>
      </c>
      <c r="CG7" s="240" t="str">
        <f t="shared" si="23"/>
        <v>4.2</v>
      </c>
      <c r="CH7" s="240" t="str">
        <f t="shared" si="23"/>
        <v>4.3</v>
      </c>
      <c r="CI7" s="240" t="str">
        <f t="shared" si="23"/>
        <v>4.4</v>
      </c>
      <c r="CJ7" s="240" t="str">
        <f t="shared" si="23"/>
        <v>4.5</v>
      </c>
      <c r="CK7" s="240" t="str">
        <f t="shared" si="23"/>
        <v>4.6</v>
      </c>
      <c r="CL7" s="240" t="str">
        <f t="shared" si="23"/>
        <v>4.7</v>
      </c>
      <c r="CM7" s="240" t="str">
        <f t="shared" ref="CM7" si="24">CD7</f>
        <v>4.8</v>
      </c>
      <c r="CN7" s="240" t="str">
        <f t="shared" ref="CN7" si="25">CE7</f>
        <v>4.9</v>
      </c>
      <c r="CO7" s="240" t="str">
        <f t="shared" ref="CO7:CU7" si="26">CF7</f>
        <v>4.1</v>
      </c>
      <c r="CP7" s="240" t="str">
        <f t="shared" si="26"/>
        <v>4.2</v>
      </c>
      <c r="CQ7" s="240" t="str">
        <f t="shared" si="26"/>
        <v>4.3</v>
      </c>
      <c r="CR7" s="240" t="str">
        <f t="shared" si="26"/>
        <v>4.4</v>
      </c>
      <c r="CS7" s="240" t="str">
        <f t="shared" si="26"/>
        <v>4.5</v>
      </c>
      <c r="CT7" s="240" t="str">
        <f t="shared" si="26"/>
        <v>4.6</v>
      </c>
      <c r="CU7" s="240" t="str">
        <f t="shared" si="26"/>
        <v>4.7</v>
      </c>
      <c r="CV7" s="240" t="str">
        <f t="shared" ref="CV7" si="27">CM7</f>
        <v>4.8</v>
      </c>
      <c r="CW7" s="240" t="str">
        <f t="shared" ref="CW7" si="28">CN7</f>
        <v>4.9</v>
      </c>
      <c r="CX7" s="240" t="str">
        <f t="shared" ref="CX7:DD7" si="29">CO7</f>
        <v>4.1</v>
      </c>
      <c r="CY7" s="240" t="str">
        <f t="shared" si="29"/>
        <v>4.2</v>
      </c>
      <c r="CZ7" s="240" t="str">
        <f t="shared" si="29"/>
        <v>4.3</v>
      </c>
      <c r="DA7" s="240" t="str">
        <f t="shared" si="29"/>
        <v>4.4</v>
      </c>
      <c r="DB7" s="240" t="str">
        <f t="shared" si="29"/>
        <v>4.5</v>
      </c>
      <c r="DC7" s="240" t="str">
        <f t="shared" si="29"/>
        <v>4.6</v>
      </c>
      <c r="DD7" s="240" t="str">
        <f t="shared" si="29"/>
        <v>4.7</v>
      </c>
      <c r="DE7" s="240" t="str">
        <f t="shared" ref="DE7" si="30">CV7</f>
        <v>4.8</v>
      </c>
      <c r="DF7" s="240" t="str">
        <f t="shared" ref="DF7" si="31">CW7</f>
        <v>4.9</v>
      </c>
      <c r="DG7" s="240" t="str">
        <f t="shared" ref="DG7:DM7" si="32">CX7</f>
        <v>4.1</v>
      </c>
      <c r="DH7" s="240" t="str">
        <f t="shared" si="32"/>
        <v>4.2</v>
      </c>
      <c r="DI7" s="240" t="str">
        <f t="shared" si="32"/>
        <v>4.3</v>
      </c>
      <c r="DJ7" s="240" t="str">
        <f t="shared" si="32"/>
        <v>4.4</v>
      </c>
      <c r="DK7" s="240" t="str">
        <f t="shared" si="32"/>
        <v>4.5</v>
      </c>
      <c r="DL7" s="240" t="str">
        <f t="shared" si="32"/>
        <v>4.6</v>
      </c>
      <c r="DM7" s="240" t="str">
        <f t="shared" si="32"/>
        <v>4.7</v>
      </c>
      <c r="DN7" s="240" t="str">
        <f t="shared" ref="DN7" si="33">DE7</f>
        <v>4.8</v>
      </c>
      <c r="DO7" s="240" t="str">
        <f t="shared" ref="DO7" si="34">DF7</f>
        <v>4.9</v>
      </c>
      <c r="DP7" s="240" t="str">
        <f t="shared" ref="DP7:DV7" si="35">DG7</f>
        <v>4.1</v>
      </c>
      <c r="DQ7" s="240" t="str">
        <f t="shared" si="35"/>
        <v>4.2</v>
      </c>
      <c r="DR7" s="240" t="str">
        <f t="shared" si="35"/>
        <v>4.3</v>
      </c>
      <c r="DS7" s="240" t="str">
        <f t="shared" si="35"/>
        <v>4.4</v>
      </c>
      <c r="DT7" s="240" t="str">
        <f t="shared" si="35"/>
        <v>4.5</v>
      </c>
      <c r="DU7" s="240" t="str">
        <f t="shared" si="35"/>
        <v>4.6</v>
      </c>
      <c r="DV7" s="240" t="str">
        <f t="shared" si="35"/>
        <v>4.7</v>
      </c>
      <c r="DW7" s="240" t="str">
        <f t="shared" ref="DW7" si="36">DN7</f>
        <v>4.8</v>
      </c>
      <c r="DX7" s="240" t="str">
        <f t="shared" ref="DX7" si="37">DO7</f>
        <v>4.9</v>
      </c>
      <c r="DY7" s="240" t="str">
        <f t="shared" ref="DY7:EE7" si="38">DP7</f>
        <v>4.1</v>
      </c>
      <c r="DZ7" s="240" t="str">
        <f t="shared" si="38"/>
        <v>4.2</v>
      </c>
      <c r="EA7" s="240" t="str">
        <f t="shared" si="38"/>
        <v>4.3</v>
      </c>
      <c r="EB7" s="240" t="str">
        <f t="shared" si="38"/>
        <v>4.4</v>
      </c>
      <c r="EC7" s="240" t="str">
        <f t="shared" si="38"/>
        <v>4.5</v>
      </c>
      <c r="ED7" s="240" t="str">
        <f t="shared" si="38"/>
        <v>4.6</v>
      </c>
      <c r="EE7" s="240" t="str">
        <f t="shared" si="38"/>
        <v>4.7</v>
      </c>
      <c r="EF7" s="240" t="str">
        <f t="shared" ref="EF7" si="39">DW7</f>
        <v>4.8</v>
      </c>
      <c r="EG7" s="240" t="str">
        <f t="shared" ref="EG7" si="40">DX7</f>
        <v>4.9</v>
      </c>
      <c r="EH7" s="241" t="str">
        <f>CX7</f>
        <v>4.1</v>
      </c>
      <c r="EI7" s="241" t="str">
        <f t="shared" ref="EI7:EN7" si="41">CY7</f>
        <v>4.2</v>
      </c>
      <c r="EJ7" s="241" t="str">
        <f t="shared" si="41"/>
        <v>4.3</v>
      </c>
      <c r="EK7" s="241" t="str">
        <f t="shared" si="41"/>
        <v>4.4</v>
      </c>
      <c r="EL7" s="241" t="str">
        <f t="shared" si="41"/>
        <v>4.5</v>
      </c>
      <c r="EM7" s="241" t="str">
        <f t="shared" si="41"/>
        <v>4.6</v>
      </c>
      <c r="EN7" s="241" t="str">
        <f t="shared" si="41"/>
        <v>4.7</v>
      </c>
      <c r="EO7" s="241" t="str">
        <f t="shared" ref="EO7" si="42">DE7</f>
        <v>4.8</v>
      </c>
      <c r="EP7" s="241" t="str">
        <f t="shared" ref="EP7" si="43">DF7</f>
        <v>4.9</v>
      </c>
      <c r="EQ7" s="969"/>
      <c r="ER7" s="967"/>
      <c r="ES7" s="945"/>
      <c r="EV7" s="39">
        <v>1</v>
      </c>
      <c r="EW7" s="39">
        <v>2</v>
      </c>
      <c r="EX7" s="39">
        <v>3</v>
      </c>
      <c r="EY7" s="39">
        <v>4</v>
      </c>
      <c r="EZ7" s="39">
        <v>5</v>
      </c>
      <c r="FA7" s="39">
        <v>6</v>
      </c>
      <c r="FB7" s="39">
        <v>7</v>
      </c>
      <c r="FC7" s="39">
        <v>8</v>
      </c>
      <c r="FD7" s="39">
        <v>9</v>
      </c>
      <c r="FE7" s="39">
        <v>10</v>
      </c>
      <c r="FF7" s="938"/>
      <c r="FG7" s="39">
        <v>1</v>
      </c>
      <c r="FH7" s="39">
        <v>2</v>
      </c>
      <c r="FI7" s="39">
        <v>3</v>
      </c>
      <c r="FJ7" s="39">
        <v>4</v>
      </c>
      <c r="FK7" s="39">
        <v>5</v>
      </c>
      <c r="FL7" s="39">
        <v>6</v>
      </c>
      <c r="FM7" s="39">
        <v>7</v>
      </c>
      <c r="FN7" s="39">
        <v>8</v>
      </c>
      <c r="FO7" s="39">
        <v>9</v>
      </c>
      <c r="FP7" s="39">
        <v>10</v>
      </c>
      <c r="FQ7" s="938"/>
      <c r="FR7" s="39">
        <v>1</v>
      </c>
      <c r="FS7" s="39">
        <v>2</v>
      </c>
      <c r="FT7" s="39">
        <v>3</v>
      </c>
      <c r="FU7" s="39">
        <v>4</v>
      </c>
      <c r="FV7" s="39">
        <v>5</v>
      </c>
      <c r="FW7" s="39">
        <v>6</v>
      </c>
      <c r="FX7" s="39">
        <v>7</v>
      </c>
      <c r="FY7" s="39">
        <v>8</v>
      </c>
      <c r="FZ7" s="39">
        <v>9</v>
      </c>
      <c r="GA7" s="39">
        <v>10</v>
      </c>
      <c r="GB7" s="971"/>
      <c r="GC7" s="974"/>
      <c r="GD7" s="975"/>
      <c r="GE7" s="975"/>
      <c r="GF7" s="977"/>
      <c r="GG7" s="977"/>
      <c r="GH7" s="977"/>
      <c r="GI7" s="974"/>
      <c r="GJ7" s="975"/>
      <c r="GK7" s="975"/>
      <c r="GL7" s="977"/>
      <c r="GM7" s="977"/>
      <c r="GN7" s="977"/>
      <c r="GO7" s="974"/>
      <c r="GP7" s="975"/>
      <c r="GQ7" s="975"/>
      <c r="GR7" s="977"/>
      <c r="GS7" s="977"/>
      <c r="GT7" s="977"/>
      <c r="GU7" s="974"/>
      <c r="GV7" s="975"/>
      <c r="GW7" s="975"/>
      <c r="GX7" s="977"/>
      <c r="GY7" s="977"/>
      <c r="GZ7" s="977"/>
      <c r="HA7" s="974"/>
      <c r="HB7" s="975"/>
      <c r="HC7" s="975"/>
      <c r="HD7" s="977"/>
      <c r="HE7" s="977"/>
      <c r="HF7" s="977"/>
      <c r="HG7" s="974"/>
      <c r="HH7" s="975"/>
      <c r="HI7" s="975"/>
      <c r="HJ7" s="977"/>
      <c r="HK7" s="977"/>
      <c r="HL7" s="977"/>
      <c r="HM7" s="974"/>
      <c r="HN7" s="975"/>
      <c r="HO7" s="975"/>
      <c r="HP7" s="977"/>
      <c r="HQ7" s="977"/>
      <c r="HR7" s="977"/>
      <c r="HS7" s="974"/>
      <c r="HT7" s="975"/>
      <c r="HU7" s="975"/>
      <c r="HV7" s="977"/>
      <c r="HW7" s="977"/>
      <c r="HX7" s="977"/>
      <c r="HY7" s="974"/>
      <c r="HZ7" s="975"/>
      <c r="IA7" s="975"/>
      <c r="IB7" s="977"/>
      <c r="IC7" s="977"/>
      <c r="ID7" s="977"/>
      <c r="IE7" s="573"/>
      <c r="IF7" s="573"/>
      <c r="IG7" s="578"/>
      <c r="IH7" s="581">
        <v>1</v>
      </c>
      <c r="II7" s="581">
        <v>2</v>
      </c>
      <c r="IJ7" s="581">
        <v>3</v>
      </c>
      <c r="IK7" s="581">
        <v>4</v>
      </c>
      <c r="IL7" s="581">
        <v>5</v>
      </c>
      <c r="IM7" s="581">
        <v>6</v>
      </c>
      <c r="IN7" s="581">
        <v>7</v>
      </c>
      <c r="IO7" s="581"/>
      <c r="IP7" s="581"/>
      <c r="IQ7" s="581"/>
      <c r="IR7" s="578"/>
      <c r="IS7" s="242"/>
      <c r="IT7" s="242"/>
      <c r="IU7" s="978"/>
      <c r="IV7" s="734"/>
      <c r="IW7" s="980"/>
      <c r="IX7" s="980"/>
      <c r="IY7" s="980"/>
      <c r="IZ7" s="980"/>
      <c r="JA7" s="980"/>
      <c r="JB7" s="980"/>
      <c r="JC7" s="980"/>
      <c r="JD7" s="980"/>
      <c r="JE7" s="980"/>
      <c r="JF7" s="980"/>
      <c r="JG7" s="980"/>
      <c r="JH7" s="982"/>
      <c r="JI7" s="982"/>
      <c r="JJ7" s="982"/>
      <c r="JL7" s="984"/>
      <c r="JM7" s="984"/>
      <c r="JN7" s="984"/>
      <c r="JO7" s="984"/>
      <c r="JP7" s="984"/>
      <c r="JQ7" s="984"/>
      <c r="JR7" s="984"/>
      <c r="JS7" s="984"/>
      <c r="JT7" s="984"/>
      <c r="JU7" s="984"/>
      <c r="JW7" s="978"/>
      <c r="JY7" s="986"/>
    </row>
    <row r="8" spans="1:285" ht="30" customHeight="1">
      <c r="A8" s="223">
        <v>1</v>
      </c>
      <c r="B8" s="223" t="str">
        <f>SISWA!B6</f>
        <v>Afif Rafiudin</v>
      </c>
      <c r="C8" s="123">
        <v>80</v>
      </c>
      <c r="D8" s="123"/>
      <c r="E8" s="123"/>
      <c r="F8" s="123"/>
      <c r="G8" s="123"/>
      <c r="H8" s="123"/>
      <c r="I8" s="123"/>
      <c r="J8" s="123"/>
      <c r="K8" s="123"/>
      <c r="L8" s="255">
        <v>90</v>
      </c>
      <c r="M8" s="255"/>
      <c r="N8" s="255"/>
      <c r="O8" s="255"/>
      <c r="P8" s="255"/>
      <c r="Q8" s="255"/>
      <c r="R8" s="255"/>
      <c r="S8" s="255"/>
      <c r="T8" s="255"/>
      <c r="U8" s="256">
        <v>90</v>
      </c>
      <c r="V8" s="256"/>
      <c r="W8" s="256"/>
      <c r="X8" s="256"/>
      <c r="Y8" s="256"/>
      <c r="Z8" s="256"/>
      <c r="AA8" s="256"/>
      <c r="AB8" s="256"/>
      <c r="AC8" s="256"/>
      <c r="AD8" s="123"/>
      <c r="AE8" s="123">
        <v>75</v>
      </c>
      <c r="AF8" s="123"/>
      <c r="AG8" s="123"/>
      <c r="AH8" s="123"/>
      <c r="AI8" s="123"/>
      <c r="AJ8" s="123"/>
      <c r="AK8" s="123"/>
      <c r="AL8" s="123"/>
      <c r="AM8" s="255"/>
      <c r="AN8" s="255">
        <v>85</v>
      </c>
      <c r="AO8" s="255"/>
      <c r="AP8" s="255"/>
      <c r="AQ8" s="255"/>
      <c r="AR8" s="255"/>
      <c r="AS8" s="255"/>
      <c r="AT8" s="255"/>
      <c r="AU8" s="255"/>
      <c r="AV8" s="256"/>
      <c r="AW8" s="256">
        <v>85</v>
      </c>
      <c r="AX8" s="256"/>
      <c r="AY8" s="256"/>
      <c r="AZ8" s="256"/>
      <c r="BA8" s="256"/>
      <c r="BB8" s="256"/>
      <c r="BC8" s="256"/>
      <c r="BD8" s="256"/>
      <c r="BE8" s="123"/>
      <c r="BF8" s="123"/>
      <c r="BG8" s="123"/>
      <c r="BH8" s="123">
        <v>75</v>
      </c>
      <c r="BI8" s="123"/>
      <c r="BJ8" s="123"/>
      <c r="BK8" s="123"/>
      <c r="BL8" s="123"/>
      <c r="BM8" s="123"/>
      <c r="BN8" s="255"/>
      <c r="BO8" s="255"/>
      <c r="BP8" s="255"/>
      <c r="BQ8" s="255">
        <v>75</v>
      </c>
      <c r="BR8" s="255"/>
      <c r="BS8" s="255"/>
      <c r="BT8" s="255"/>
      <c r="BU8" s="255"/>
      <c r="BV8" s="255"/>
      <c r="BW8" s="256"/>
      <c r="BX8" s="256"/>
      <c r="BY8" s="256"/>
      <c r="BZ8" s="256">
        <v>75</v>
      </c>
      <c r="CA8" s="256"/>
      <c r="CB8" s="256"/>
      <c r="CC8" s="256"/>
      <c r="CD8" s="256"/>
      <c r="CE8" s="256"/>
      <c r="CF8" s="123"/>
      <c r="CG8" s="123"/>
      <c r="CH8" s="123"/>
      <c r="CI8" s="123"/>
      <c r="CJ8" s="123"/>
      <c r="CK8" s="123">
        <v>85</v>
      </c>
      <c r="CL8" s="123"/>
      <c r="CM8" s="123"/>
      <c r="CN8" s="123"/>
      <c r="CO8" s="255"/>
      <c r="CP8" s="255"/>
      <c r="CQ8" s="255"/>
      <c r="CR8" s="255"/>
      <c r="CS8" s="255"/>
      <c r="CT8" s="255">
        <v>85</v>
      </c>
      <c r="CU8" s="255"/>
      <c r="CV8" s="255"/>
      <c r="CW8" s="255"/>
      <c r="CX8" s="256"/>
      <c r="CY8" s="256"/>
      <c r="CZ8" s="256"/>
      <c r="DA8" s="256"/>
      <c r="DB8" s="256"/>
      <c r="DC8" s="256">
        <v>90</v>
      </c>
      <c r="DD8" s="256"/>
      <c r="DE8" s="256"/>
      <c r="DF8" s="256"/>
      <c r="DG8" s="458"/>
      <c r="DH8" s="458"/>
      <c r="DI8" s="458"/>
      <c r="DJ8" s="458"/>
      <c r="DK8" s="458"/>
      <c r="DL8" s="458"/>
      <c r="DM8" s="458">
        <v>75</v>
      </c>
      <c r="DN8" s="458"/>
      <c r="DO8" s="458"/>
      <c r="DP8" s="457"/>
      <c r="DQ8" s="457"/>
      <c r="DR8" s="457"/>
      <c r="DS8" s="457"/>
      <c r="DT8" s="457"/>
      <c r="DU8" s="457"/>
      <c r="DV8" s="457">
        <v>85</v>
      </c>
      <c r="DW8" s="457"/>
      <c r="DX8" s="457"/>
      <c r="DY8" s="256"/>
      <c r="DZ8" s="256"/>
      <c r="EA8" s="256"/>
      <c r="EB8" s="256"/>
      <c r="EC8" s="256"/>
      <c r="ED8" s="256"/>
      <c r="EE8" s="256">
        <v>80</v>
      </c>
      <c r="EF8" s="256"/>
      <c r="EG8" s="256"/>
      <c r="EH8" s="257">
        <f>IFERROR(IH8," ")</f>
        <v>86.666666666666671</v>
      </c>
      <c r="EI8" s="257">
        <f t="shared" ref="EI8:EN8" si="44">IFERROR(II8," ")</f>
        <v>81.666666666666671</v>
      </c>
      <c r="EJ8" s="257" t="str">
        <f t="shared" si="44"/>
        <v/>
      </c>
      <c r="EK8" s="257">
        <f t="shared" si="44"/>
        <v>75</v>
      </c>
      <c r="EL8" s="257" t="str">
        <f t="shared" si="44"/>
        <v/>
      </c>
      <c r="EM8" s="257">
        <f t="shared" si="44"/>
        <v>86.666666666666671</v>
      </c>
      <c r="EN8" s="257">
        <f t="shared" si="44"/>
        <v>80</v>
      </c>
      <c r="EO8" s="257" t="str">
        <f t="shared" ref="EO8" si="45">IFERROR(IO8," ")</f>
        <v/>
      </c>
      <c r="EP8" s="257" t="str">
        <f t="shared" ref="EP8" si="46">IFERROR(IP8," ")</f>
        <v/>
      </c>
      <c r="EQ8" s="579">
        <f>IFERROR(IR8," ")</f>
        <v>82</v>
      </c>
      <c r="ER8" s="291" t="str">
        <f>IF(EQ8&gt;100,"  ",IF(EQ8&gt;=EV$1,"A",IF(EQ8&gt;=EV$2,"B",IF(EQ8&gt;=EV$3,"C",IF(EQ8&gt;=1,"D","")))))</f>
        <v>C</v>
      </c>
      <c r="ES8" s="243" t="str">
        <f>IFERROR(JY8," ")</f>
        <v>Ananda Afif baik dalam melisankan pantun hasil karya pribadi dengan lafal, intonasi, dan ekspresi yang tepat sebagai bentuk ungkapan diri, cukup dalam memeragakan kembali informasi yang disampaikan paparan iklan dari media cetak atau elektronik dengan bantuan lisan, tulis, dan visual.</v>
      </c>
      <c r="ET8" s="39"/>
      <c r="EU8" s="39"/>
      <c r="EV8" s="257">
        <f t="shared" ref="EV8:FB8" si="47">IFERROR(MAX(C8,AD8,BE8,CF8,DG8)," ")</f>
        <v>80</v>
      </c>
      <c r="EW8" s="257">
        <f t="shared" si="47"/>
        <v>75</v>
      </c>
      <c r="EX8" s="257">
        <f t="shared" si="47"/>
        <v>0</v>
      </c>
      <c r="EY8" s="257">
        <f t="shared" si="47"/>
        <v>75</v>
      </c>
      <c r="EZ8" s="257">
        <f t="shared" si="47"/>
        <v>0</v>
      </c>
      <c r="FA8" s="257">
        <f t="shared" si="47"/>
        <v>85</v>
      </c>
      <c r="FB8" s="257">
        <f t="shared" si="47"/>
        <v>75</v>
      </c>
      <c r="FC8" s="257">
        <f t="shared" ref="FC8:FD8" si="48">IFERROR(MAX(J8,AK8,BL8,CM8,DN8)," ")</f>
        <v>0</v>
      </c>
      <c r="FD8" s="257">
        <f t="shared" si="48"/>
        <v>0</v>
      </c>
      <c r="FE8" s="257"/>
      <c r="FF8" s="289">
        <f>MAX(EV8:FE8)</f>
        <v>85</v>
      </c>
      <c r="FG8" s="575">
        <f t="shared" ref="FG8:FM8" si="49">IFERROR(MAX(L8,AM8,BN8,CO8,DP8)," ")</f>
        <v>90</v>
      </c>
      <c r="FH8" s="575">
        <f t="shared" si="49"/>
        <v>85</v>
      </c>
      <c r="FI8" s="575">
        <f t="shared" si="49"/>
        <v>0</v>
      </c>
      <c r="FJ8" s="575">
        <f t="shared" si="49"/>
        <v>75</v>
      </c>
      <c r="FK8" s="575">
        <f t="shared" si="49"/>
        <v>0</v>
      </c>
      <c r="FL8" s="575">
        <f t="shared" si="49"/>
        <v>85</v>
      </c>
      <c r="FM8" s="575">
        <f t="shared" si="49"/>
        <v>85</v>
      </c>
      <c r="FN8" s="575">
        <f t="shared" ref="FN8:FO8" si="50">IFERROR(MAX(S8,AT8,BU8,CV8,DW8)," ")</f>
        <v>0</v>
      </c>
      <c r="FO8" s="575">
        <f t="shared" si="50"/>
        <v>0</v>
      </c>
      <c r="FP8" s="258"/>
      <c r="FQ8" s="289">
        <f>MAX(FG8:FP8)</f>
        <v>90</v>
      </c>
      <c r="FR8" s="765">
        <f t="shared" ref="FR8:FX8" si="51">IFERROR(MAX(U8,AV8,BW8,CX8,DY8)," ")</f>
        <v>90</v>
      </c>
      <c r="FS8" s="765">
        <f t="shared" si="51"/>
        <v>85</v>
      </c>
      <c r="FT8" s="765">
        <f t="shared" si="51"/>
        <v>0</v>
      </c>
      <c r="FU8" s="765">
        <f t="shared" si="51"/>
        <v>75</v>
      </c>
      <c r="FV8" s="765">
        <f t="shared" si="51"/>
        <v>0</v>
      </c>
      <c r="FW8" s="765">
        <f t="shared" si="51"/>
        <v>90</v>
      </c>
      <c r="FX8" s="765">
        <f t="shared" si="51"/>
        <v>80</v>
      </c>
      <c r="FY8" s="765">
        <f t="shared" ref="FY8:FZ8" si="52">IFERROR(MAX(AB8,BC8,CD8,DE8,EF8)," ")</f>
        <v>0</v>
      </c>
      <c r="FZ8" s="765">
        <f t="shared" si="52"/>
        <v>0</v>
      </c>
      <c r="GA8" s="766"/>
      <c r="GB8" s="289">
        <f>MAX(FR8:GA8)</f>
        <v>90</v>
      </c>
      <c r="GC8" s="257">
        <f>EV8</f>
        <v>80</v>
      </c>
      <c r="GD8" s="257">
        <f>FG8</f>
        <v>90</v>
      </c>
      <c r="GE8" s="257">
        <f>FR8</f>
        <v>90</v>
      </c>
      <c r="GF8" s="575">
        <f>COUNTIF(GC8:GE8,)</f>
        <v>0</v>
      </c>
      <c r="GG8" s="506">
        <f>3-GF8</f>
        <v>3</v>
      </c>
      <c r="GH8" s="39">
        <f>IFERROR(SUM(GC8:GE8)/GG8,"")</f>
        <v>86.666666666666671</v>
      </c>
      <c r="GI8" s="257">
        <f>EW8</f>
        <v>75</v>
      </c>
      <c r="GJ8" s="257">
        <f>FH8</f>
        <v>85</v>
      </c>
      <c r="GK8" s="257">
        <f>FS8</f>
        <v>85</v>
      </c>
      <c r="GL8" s="575">
        <f>COUNTIF(GI8:GK8,)</f>
        <v>0</v>
      </c>
      <c r="GM8" s="506">
        <f>3-GL8</f>
        <v>3</v>
      </c>
      <c r="GN8" s="39">
        <f>IFERROR(SUM(GI8:GK8)/GM8,"")</f>
        <v>81.666666666666671</v>
      </c>
      <c r="GO8" s="257">
        <f>EX8</f>
        <v>0</v>
      </c>
      <c r="GP8" s="257">
        <f>FI8</f>
        <v>0</v>
      </c>
      <c r="GQ8" s="257">
        <f>FT8</f>
        <v>0</v>
      </c>
      <c r="GR8" s="575">
        <f>COUNTIF(GO8:GQ8,)</f>
        <v>3</v>
      </c>
      <c r="GS8" s="506">
        <f>3-GR8</f>
        <v>0</v>
      </c>
      <c r="GT8" s="39" t="str">
        <f>IFERROR(SUM(GO8:GQ8)/GS8,"")</f>
        <v/>
      </c>
      <c r="GU8" s="257">
        <f>EY8</f>
        <v>75</v>
      </c>
      <c r="GV8" s="257">
        <f>FJ8</f>
        <v>75</v>
      </c>
      <c r="GW8" s="257">
        <f>FU8</f>
        <v>75</v>
      </c>
      <c r="GX8" s="575">
        <f>COUNTIF(GU8:GW8,)</f>
        <v>0</v>
      </c>
      <c r="GY8" s="506">
        <f>3-GX8</f>
        <v>3</v>
      </c>
      <c r="GZ8" s="39">
        <f>IFERROR(SUM(GU8:GW8)/GY8,"")</f>
        <v>75</v>
      </c>
      <c r="HA8" s="257">
        <f>EZ8</f>
        <v>0</v>
      </c>
      <c r="HB8" s="257">
        <f>FK8</f>
        <v>0</v>
      </c>
      <c r="HC8" s="257">
        <f>FV8</f>
        <v>0</v>
      </c>
      <c r="HD8" s="575">
        <f>COUNTIF(HA8:HC8,)</f>
        <v>3</v>
      </c>
      <c r="HE8" s="506">
        <f>3-HD8</f>
        <v>0</v>
      </c>
      <c r="HF8" s="39" t="str">
        <f>IFERROR(SUM(HA8:HC8)/HE8,"")</f>
        <v/>
      </c>
      <c r="HG8" s="257">
        <f>FA8</f>
        <v>85</v>
      </c>
      <c r="HH8" s="257">
        <f>FL8</f>
        <v>85</v>
      </c>
      <c r="HI8" s="257">
        <f>FW8</f>
        <v>90</v>
      </c>
      <c r="HJ8" s="575">
        <f>COUNTIF(HG8:HI8,)</f>
        <v>0</v>
      </c>
      <c r="HK8" s="506">
        <f>3-HJ8</f>
        <v>3</v>
      </c>
      <c r="HL8" s="39">
        <f>IFERROR(SUM(HG8:HI8)/HK8,"")</f>
        <v>86.666666666666671</v>
      </c>
      <c r="HM8" s="257">
        <f>FB8</f>
        <v>75</v>
      </c>
      <c r="HN8" s="257">
        <f>FM8</f>
        <v>85</v>
      </c>
      <c r="HO8" s="257">
        <f>FX8</f>
        <v>80</v>
      </c>
      <c r="HP8" s="575">
        <f>COUNTIF(HM8:HO8,)</f>
        <v>0</v>
      </c>
      <c r="HQ8" s="506">
        <f>3-HP8</f>
        <v>3</v>
      </c>
      <c r="HR8" s="39">
        <f>IFERROR(SUM(HM8:HO8)/HQ8,"")</f>
        <v>80</v>
      </c>
      <c r="HS8" s="257">
        <f>FC8</f>
        <v>0</v>
      </c>
      <c r="HT8" s="257">
        <f>FN8</f>
        <v>0</v>
      </c>
      <c r="HU8" s="257">
        <f>FY8</f>
        <v>0</v>
      </c>
      <c r="HV8" s="575">
        <f>COUNTIF(HS8:HU8,)</f>
        <v>3</v>
      </c>
      <c r="HW8" s="506">
        <f>3-HV8</f>
        <v>0</v>
      </c>
      <c r="HX8" s="39" t="str">
        <f>IFERROR(SUM(HS8:HU8)/HW8,"")</f>
        <v/>
      </c>
      <c r="HY8" s="257">
        <f>FD8</f>
        <v>0</v>
      </c>
      <c r="HZ8" s="257">
        <f>FO8</f>
        <v>0</v>
      </c>
      <c r="IA8" s="257">
        <f>FZ8</f>
        <v>0</v>
      </c>
      <c r="IB8" s="575">
        <f>COUNTIF(HY8:IA8,)</f>
        <v>3</v>
      </c>
      <c r="IC8" s="506">
        <f>3-IB8</f>
        <v>0</v>
      </c>
      <c r="ID8" s="39" t="str">
        <f>IFERROR(SUM(HY8:IA8)/IC8,"")</f>
        <v/>
      </c>
      <c r="IE8" s="39"/>
      <c r="IF8" s="39"/>
      <c r="IG8" s="39"/>
      <c r="IH8" s="39">
        <f>GH8</f>
        <v>86.666666666666671</v>
      </c>
      <c r="II8" s="39">
        <f>GN8</f>
        <v>81.666666666666671</v>
      </c>
      <c r="IJ8" s="39" t="str">
        <f>GT8</f>
        <v/>
      </c>
      <c r="IK8" s="39">
        <f>GZ8</f>
        <v>75</v>
      </c>
      <c r="IL8" s="39" t="str">
        <f>HF8</f>
        <v/>
      </c>
      <c r="IM8" s="767">
        <f>HL8</f>
        <v>86.666666666666671</v>
      </c>
      <c r="IN8" s="579">
        <f>HR8</f>
        <v>80</v>
      </c>
      <c r="IO8" s="579" t="str">
        <f>HX8</f>
        <v/>
      </c>
      <c r="IP8" s="579" t="str">
        <f>ID8</f>
        <v/>
      </c>
      <c r="IQ8" s="579"/>
      <c r="IR8" s="579">
        <f>IFERROR(ROUND(AVERAGE(IH8:IP8),0),"")</f>
        <v>82</v>
      </c>
      <c r="IS8" s="289">
        <f>MAX(IH8:IP8)</f>
        <v>86.666666666666671</v>
      </c>
      <c r="IT8" s="289">
        <f>MIN(IH8:IP8)</f>
        <v>75</v>
      </c>
      <c r="IU8" s="223" t="str">
        <f>SISWA!E6</f>
        <v>Afif</v>
      </c>
      <c r="IV8" s="223" t="str">
        <f>IF(JH8&gt;1,"Ananda "&amp;IU8&amp;" ","")</f>
        <v xml:space="preserve">Ananda Afif </v>
      </c>
      <c r="IW8" s="580">
        <f t="shared" ref="IW8:JE8" si="53">IF(IH8=$IS8,$IS8,"")</f>
        <v>86.666666666666671</v>
      </c>
      <c r="IX8" s="580" t="str">
        <f t="shared" si="53"/>
        <v/>
      </c>
      <c r="IY8" s="580" t="str">
        <f t="shared" si="53"/>
        <v/>
      </c>
      <c r="IZ8" s="580" t="str">
        <f t="shared" si="53"/>
        <v/>
      </c>
      <c r="JA8" s="580" t="str">
        <f t="shared" si="53"/>
        <v/>
      </c>
      <c r="JB8" s="580">
        <f t="shared" si="53"/>
        <v>86.666666666666671</v>
      </c>
      <c r="JC8" s="580" t="str">
        <f t="shared" si="53"/>
        <v/>
      </c>
      <c r="JD8" s="580" t="str">
        <f t="shared" si="53"/>
        <v/>
      </c>
      <c r="JE8" s="580" t="str">
        <f t="shared" si="53"/>
        <v/>
      </c>
      <c r="JF8" s="580"/>
      <c r="JG8" s="580"/>
      <c r="JH8" s="223">
        <f>SUM(IW8:JG8)</f>
        <v>173.33333333333334</v>
      </c>
      <c r="JI8" s="289" t="str">
        <f>LOOKUP(IS8,(IW8:JF8),($IW$6:$JF$6))</f>
        <v>melisankan pantun hasil karya pribadi dengan lafal, intonasi, dan ekspresi yang tepat sebagai bentuk ungkapan diri</v>
      </c>
      <c r="JJ8" s="576" t="str">
        <f>IF(IS8&gt;100,"",IF(IS8&gt;EV$1,"sangat baik dalam "&amp;JI8,IF(IS8&gt;=EV$2,"baik dalam "&amp;JI8,IF(IS8&gt;=EV$3,"cukup dalam "&amp;JI8,IF(IS8&lt;EV$3,"dengan bimbingan dapat meningkatkan dalam "&amp;JI8,IF(IS8&lt;1," ",””))))))</f>
        <v>baik dalam melisankan pantun hasil karya pribadi dengan lafal, intonasi, dan ekspresi yang tepat sebagai bentuk ungkapan diri</v>
      </c>
      <c r="JK8" s="223"/>
      <c r="JL8" s="223" t="str">
        <f t="shared" ref="JL8:JT8" si="54">IF(IH8=$IT8,$IT8,"")</f>
        <v/>
      </c>
      <c r="JM8" s="223" t="str">
        <f t="shared" si="54"/>
        <v/>
      </c>
      <c r="JN8" s="223" t="str">
        <f t="shared" si="54"/>
        <v/>
      </c>
      <c r="JO8" s="223">
        <f t="shared" si="54"/>
        <v>75</v>
      </c>
      <c r="JP8" s="223" t="str">
        <f t="shared" si="54"/>
        <v/>
      </c>
      <c r="JQ8" s="223" t="str">
        <f t="shared" si="54"/>
        <v/>
      </c>
      <c r="JR8" s="223" t="str">
        <f t="shared" si="54"/>
        <v/>
      </c>
      <c r="JS8" s="223" t="str">
        <f t="shared" si="54"/>
        <v/>
      </c>
      <c r="JT8" s="223" t="str">
        <f t="shared" si="54"/>
        <v/>
      </c>
      <c r="JU8" s="223"/>
      <c r="JV8" s="223"/>
      <c r="JW8" s="223" t="str">
        <f>LOOKUP(IT8,(JL8:JU8),($JL$6:$JU$6))</f>
        <v>memeragakan kembali informasi yang disampaikan paparan iklan dari media cetak atau elektronik dengan bantuan lisan, tulis, dan visual</v>
      </c>
      <c r="JX8" s="577" t="str">
        <f>IF(IT8&gt;100,"",IF(IT8&gt;=EV$1,"sangat baik dalam "&amp;JW8,IF(IT8&gt;=EV$2,"baik dalam "&amp;JW8,IF(IT8&gt;=EV$3,"cukup dalam "&amp;JW8,IF(IT8&lt;EV$3,"dengan bimbingan dapat meningkatkan dalam "&amp;JW8,IF(IT8&lt;1," ",””))))))</f>
        <v>cukup dalam memeragakan kembali informasi yang disampaikan paparan iklan dari media cetak atau elektronik dengan bantuan lisan, tulis, dan visual</v>
      </c>
      <c r="JY8" s="223" t="str">
        <f>CONCATENATE(IV8&amp;JJ8&amp;", "&amp;JX8&amp;".")</f>
        <v>Ananda Afif baik dalam melisankan pantun hasil karya pribadi dengan lafal, intonasi, dan ekspresi yang tepat sebagai bentuk ungkapan diri, cukup dalam memeragakan kembali informasi yang disampaikan paparan iklan dari media cetak atau elektronik dengan bantuan lisan, tulis, dan visual.</v>
      </c>
    </row>
    <row r="9" spans="1:285" ht="60">
      <c r="A9" s="39">
        <v>2</v>
      </c>
      <c r="B9" s="223" t="str">
        <f>SISWA!B7</f>
        <v>Ahmad Faiq Athaya</v>
      </c>
      <c r="C9" s="123">
        <v>90</v>
      </c>
      <c r="D9" s="123"/>
      <c r="E9" s="123"/>
      <c r="F9" s="123"/>
      <c r="G9" s="123"/>
      <c r="H9" s="123"/>
      <c r="I9" s="123"/>
      <c r="J9" s="123"/>
      <c r="K9" s="123"/>
      <c r="L9" s="255">
        <v>80</v>
      </c>
      <c r="M9" s="255"/>
      <c r="N9" s="255"/>
      <c r="O9" s="255"/>
      <c r="P9" s="255"/>
      <c r="Q9" s="255"/>
      <c r="R9" s="255"/>
      <c r="S9" s="255"/>
      <c r="T9" s="255"/>
      <c r="U9" s="256">
        <v>85</v>
      </c>
      <c r="V9" s="256"/>
      <c r="W9" s="256"/>
      <c r="X9" s="256"/>
      <c r="Y9" s="256"/>
      <c r="Z9" s="256"/>
      <c r="AA9" s="256"/>
      <c r="AB9" s="256"/>
      <c r="AC9" s="256"/>
      <c r="AD9" s="123"/>
      <c r="AE9" s="123">
        <v>90</v>
      </c>
      <c r="AF9" s="123"/>
      <c r="AG9" s="123"/>
      <c r="AH9" s="123"/>
      <c r="AI9" s="123"/>
      <c r="AJ9" s="123"/>
      <c r="AK9" s="123"/>
      <c r="AL9" s="123"/>
      <c r="AM9" s="255"/>
      <c r="AN9" s="255">
        <v>90</v>
      </c>
      <c r="AO9" s="255"/>
      <c r="AP9" s="255"/>
      <c r="AQ9" s="255"/>
      <c r="AR9" s="255"/>
      <c r="AS9" s="255"/>
      <c r="AT9" s="255"/>
      <c r="AU9" s="255"/>
      <c r="AV9" s="256"/>
      <c r="AW9" s="256">
        <v>90</v>
      </c>
      <c r="AX9" s="256"/>
      <c r="AY9" s="256"/>
      <c r="AZ9" s="256"/>
      <c r="BA9" s="256"/>
      <c r="BB9" s="256"/>
      <c r="BC9" s="256"/>
      <c r="BD9" s="256"/>
      <c r="BE9" s="123"/>
      <c r="BF9" s="123"/>
      <c r="BG9" s="123"/>
      <c r="BH9" s="123">
        <v>85</v>
      </c>
      <c r="BI9" s="123"/>
      <c r="BJ9" s="123"/>
      <c r="BK9" s="123"/>
      <c r="BL9" s="123"/>
      <c r="BM9" s="123"/>
      <c r="BN9" s="255"/>
      <c r="BO9" s="255"/>
      <c r="BP9" s="255"/>
      <c r="BQ9" s="255">
        <v>90</v>
      </c>
      <c r="BR9" s="255"/>
      <c r="BS9" s="255"/>
      <c r="BT9" s="255"/>
      <c r="BU9" s="255"/>
      <c r="BV9" s="255"/>
      <c r="BW9" s="256"/>
      <c r="BX9" s="256"/>
      <c r="BY9" s="256"/>
      <c r="BZ9" s="256">
        <v>80</v>
      </c>
      <c r="CA9" s="256"/>
      <c r="CB9" s="256"/>
      <c r="CC9" s="256"/>
      <c r="CD9" s="256"/>
      <c r="CE9" s="256"/>
      <c r="CF9" s="123"/>
      <c r="CG9" s="123"/>
      <c r="CH9" s="123"/>
      <c r="CI9" s="123"/>
      <c r="CJ9" s="123"/>
      <c r="CK9" s="123">
        <v>85</v>
      </c>
      <c r="CL9" s="123"/>
      <c r="CM9" s="123"/>
      <c r="CN9" s="123"/>
      <c r="CO9" s="255"/>
      <c r="CP9" s="255"/>
      <c r="CQ9" s="255"/>
      <c r="CR9" s="255"/>
      <c r="CS9" s="255"/>
      <c r="CT9" s="255">
        <v>90</v>
      </c>
      <c r="CU9" s="255"/>
      <c r="CV9" s="255"/>
      <c r="CW9" s="255"/>
      <c r="CX9" s="256"/>
      <c r="CY9" s="256"/>
      <c r="CZ9" s="256"/>
      <c r="DA9" s="256"/>
      <c r="DB9" s="256"/>
      <c r="DC9" s="256">
        <v>75</v>
      </c>
      <c r="DD9" s="256"/>
      <c r="DE9" s="256"/>
      <c r="DF9" s="256"/>
      <c r="DG9" s="458"/>
      <c r="DH9" s="458"/>
      <c r="DI9" s="458"/>
      <c r="DJ9" s="458"/>
      <c r="DK9" s="458"/>
      <c r="DL9" s="458"/>
      <c r="DM9" s="458">
        <v>90</v>
      </c>
      <c r="DN9" s="458"/>
      <c r="DO9" s="458"/>
      <c r="DP9" s="457"/>
      <c r="DQ9" s="457"/>
      <c r="DR9" s="457"/>
      <c r="DS9" s="457"/>
      <c r="DT9" s="457"/>
      <c r="DU9" s="457"/>
      <c r="DV9" s="457">
        <v>80</v>
      </c>
      <c r="DW9" s="457"/>
      <c r="DX9" s="457"/>
      <c r="DY9" s="256"/>
      <c r="DZ9" s="256"/>
      <c r="EA9" s="256"/>
      <c r="EB9" s="256"/>
      <c r="EC9" s="256"/>
      <c r="ED9" s="256"/>
      <c r="EE9" s="256">
        <v>85</v>
      </c>
      <c r="EF9" s="256"/>
      <c r="EG9" s="256"/>
      <c r="EH9" s="257">
        <f t="shared" ref="EH9:EH41" si="55">IFERROR(IH9," ")</f>
        <v>85</v>
      </c>
      <c r="EI9" s="257">
        <f t="shared" ref="EI9:EI41" si="56">IFERROR(II9," ")</f>
        <v>90</v>
      </c>
      <c r="EJ9" s="257" t="str">
        <f t="shared" ref="EJ9:EJ41" si="57">IFERROR(IJ9," ")</f>
        <v/>
      </c>
      <c r="EK9" s="257">
        <f t="shared" ref="EK9:EK41" si="58">IFERROR(IK9," ")</f>
        <v>85</v>
      </c>
      <c r="EL9" s="257" t="str">
        <f t="shared" ref="EL9:EL41" si="59">IFERROR(IL9," ")</f>
        <v/>
      </c>
      <c r="EM9" s="257">
        <f t="shared" ref="EM9:EM41" si="60">IFERROR(IM9," ")</f>
        <v>83.333333333333329</v>
      </c>
      <c r="EN9" s="257">
        <f t="shared" ref="EN9:EN41" si="61">IFERROR(IN9," ")</f>
        <v>85</v>
      </c>
      <c r="EO9" s="257" t="str">
        <f t="shared" ref="EO9:EO42" si="62">IFERROR(IO9," ")</f>
        <v/>
      </c>
      <c r="EP9" s="257" t="str">
        <f t="shared" ref="EP9:EP42" si="63">IFERROR(IP9," ")</f>
        <v/>
      </c>
      <c r="EQ9" s="579">
        <f t="shared" ref="EQ9:EQ42" si="64">IFERROR(IR9," ")</f>
        <v>86</v>
      </c>
      <c r="ER9" s="291" t="str">
        <f t="shared" ref="ER9:ER41" si="65">IF(EQ9&gt;100,"  ",IF(EQ9&gt;=EV$1,"A",IF(EQ9&gt;=EV$2,"B",IF(EQ9&gt;=EV$3,"C",IF(EQ9&gt;=1,"D","")))))</f>
        <v>B</v>
      </c>
      <c r="ES9" s="243" t="str">
        <f t="shared" ref="ES9:ES42" si="66">IFERROR(JY9," ")</f>
        <v>Ananda Athaya baik dalam menyajikan hasil klasifikasi informasi yang didapat dari buku yang dikelompokkan dalam aspek: apa, di mana, kapan, siapa, mengapa, dan bagaimana , baik dalam melisankan pantun hasil karya pribadi dengan lafal, intonasi, dan ekspresi yang tepat sebagai bentuk ungkapan diri.</v>
      </c>
      <c r="ET9" s="39"/>
      <c r="EU9" s="39"/>
      <c r="EV9" s="257">
        <f t="shared" ref="EV9:EV42" si="67">IFERROR(MAX(C9,AD9,BE9,CF9,DG9)," ")</f>
        <v>90</v>
      </c>
      <c r="EW9" s="257">
        <f t="shared" ref="EW9:EW42" si="68">IFERROR(MAX(D9,AE9,BF9,CG9,DH9)," ")</f>
        <v>90</v>
      </c>
      <c r="EX9" s="257">
        <f t="shared" ref="EX9:EX42" si="69">IFERROR(MAX(E9,AF9,BG9,CH9,DI9)," ")</f>
        <v>0</v>
      </c>
      <c r="EY9" s="257">
        <f t="shared" ref="EY9:EY42" si="70">IFERROR(MAX(F9,AG9,BH9,CI9,DJ9)," ")</f>
        <v>85</v>
      </c>
      <c r="EZ9" s="257">
        <f t="shared" ref="EZ9:EZ42" si="71">IFERROR(MAX(G9,AH9,BI9,CJ9,DK9)," ")</f>
        <v>0</v>
      </c>
      <c r="FA9" s="257">
        <f t="shared" ref="FA9:FA42" si="72">IFERROR(MAX(H9,AI9,BJ9,CK9,DL9)," ")</f>
        <v>85</v>
      </c>
      <c r="FB9" s="257">
        <f t="shared" ref="FB9:FB42" si="73">IFERROR(MAX(I9,AJ9,BK9,CL9,DM9)," ")</f>
        <v>90</v>
      </c>
      <c r="FC9" s="257">
        <f t="shared" ref="FC9:FC42" si="74">IFERROR(MAX(J9,AK9,BL9,CM9,DN9)," ")</f>
        <v>0</v>
      </c>
      <c r="FD9" s="257">
        <f t="shared" ref="FD9:FD42" si="75">IFERROR(MAX(K9,AL9,BM9,CN9,DO9)," ")</f>
        <v>0</v>
      </c>
      <c r="FE9" s="257"/>
      <c r="FF9" s="289">
        <f t="shared" ref="FF9:FF42" si="76">MAX(EV9:FE9)</f>
        <v>90</v>
      </c>
      <c r="FG9" s="575">
        <f t="shared" ref="FG9:FG42" si="77">IFERROR(MAX(L9,AM9,BN9,CO9,DP9)," ")</f>
        <v>80</v>
      </c>
      <c r="FH9" s="575">
        <f t="shared" ref="FH9:FH42" si="78">IFERROR(MAX(M9,AN9,BO9,CP9,DQ9)," ")</f>
        <v>90</v>
      </c>
      <c r="FI9" s="575">
        <f t="shared" ref="FI9:FI42" si="79">IFERROR(MAX(N9,AO9,BP9,CQ9,DR9)," ")</f>
        <v>0</v>
      </c>
      <c r="FJ9" s="575">
        <f t="shared" ref="FJ9:FJ42" si="80">IFERROR(MAX(O9,AP9,BQ9,CR9,DS9)," ")</f>
        <v>90</v>
      </c>
      <c r="FK9" s="575">
        <f t="shared" ref="FK9:FK42" si="81">IFERROR(MAX(P9,AQ9,BR9,CS9,DT9)," ")</f>
        <v>0</v>
      </c>
      <c r="FL9" s="575">
        <f t="shared" ref="FL9:FL42" si="82">IFERROR(MAX(Q9,AR9,BS9,CT9,DU9)," ")</f>
        <v>90</v>
      </c>
      <c r="FM9" s="575">
        <f t="shared" ref="FM9:FM42" si="83">IFERROR(MAX(R9,AS9,BT9,CU9,DV9)," ")</f>
        <v>80</v>
      </c>
      <c r="FN9" s="575">
        <f t="shared" ref="FN9:FN42" si="84">IFERROR(MAX(S9,AT9,BU9,CV9,DW9)," ")</f>
        <v>0</v>
      </c>
      <c r="FO9" s="575">
        <f t="shared" ref="FO9:FO42" si="85">IFERROR(MAX(T9,AU9,BV9,CW9,DX9)," ")</f>
        <v>0</v>
      </c>
      <c r="FP9" s="258"/>
      <c r="FQ9" s="289">
        <f t="shared" ref="FQ9:FQ42" si="86">MAX(FG9:FP9)</f>
        <v>90</v>
      </c>
      <c r="FR9" s="765">
        <f t="shared" ref="FR9:FR42" si="87">IFERROR(MAX(U9,AV9,BW9,CX9,DY9)," ")</f>
        <v>85</v>
      </c>
      <c r="FS9" s="765">
        <f t="shared" ref="FS9:FS42" si="88">IFERROR(MAX(V9,AW9,BX9,CY9,DZ9)," ")</f>
        <v>90</v>
      </c>
      <c r="FT9" s="765">
        <f t="shared" ref="FT9:FT42" si="89">IFERROR(MAX(W9,AX9,BY9,CZ9,EA9)," ")</f>
        <v>0</v>
      </c>
      <c r="FU9" s="765">
        <f t="shared" ref="FU9:FU42" si="90">IFERROR(MAX(X9,AY9,BZ9,DA9,EB9)," ")</f>
        <v>80</v>
      </c>
      <c r="FV9" s="765">
        <f t="shared" ref="FV9:FV42" si="91">IFERROR(MAX(Y9,AZ9,CA9,DB9,EC9)," ")</f>
        <v>0</v>
      </c>
      <c r="FW9" s="765">
        <f t="shared" ref="FW9:FW42" si="92">IFERROR(MAX(Z9,BA9,CB9,DC9,ED9)," ")</f>
        <v>75</v>
      </c>
      <c r="FX9" s="765">
        <f t="shared" ref="FX9:FX42" si="93">IFERROR(MAX(AA9,BB9,CC9,DD9,EE9)," ")</f>
        <v>85</v>
      </c>
      <c r="FY9" s="765">
        <f t="shared" ref="FY9:FY42" si="94">IFERROR(MAX(AB9,BC9,CD9,DE9,EF9)," ")</f>
        <v>0</v>
      </c>
      <c r="FZ9" s="765">
        <f t="shared" ref="FZ9:FZ42" si="95">IFERROR(MAX(AC9,BD9,CE9,DF9,EG9)," ")</f>
        <v>0</v>
      </c>
      <c r="GA9" s="766"/>
      <c r="GB9" s="289">
        <f t="shared" ref="GB9:GB41" si="96">MAX(FR9:GA9)</f>
        <v>90</v>
      </c>
      <c r="GC9" s="257">
        <f t="shared" ref="GC9:GC41" si="97">EV9</f>
        <v>90</v>
      </c>
      <c r="GD9" s="257">
        <f t="shared" ref="GD9:GD41" si="98">FG9</f>
        <v>80</v>
      </c>
      <c r="GE9" s="257">
        <f t="shared" ref="GE9:GE41" si="99">FR9</f>
        <v>85</v>
      </c>
      <c r="GF9" s="575">
        <f t="shared" ref="GF9:GF41" si="100">COUNTIF(GC9:GE9,)</f>
        <v>0</v>
      </c>
      <c r="GG9" s="506">
        <f t="shared" ref="GG9:GG41" si="101">3-GF9</f>
        <v>3</v>
      </c>
      <c r="GH9" s="39">
        <f t="shared" ref="GH9:GH41" si="102">IFERROR(SUM(GC9:GE9)/GG9,"")</f>
        <v>85</v>
      </c>
      <c r="GI9" s="257">
        <f t="shared" ref="GI9:GI41" si="103">EW9</f>
        <v>90</v>
      </c>
      <c r="GJ9" s="257">
        <f t="shared" ref="GJ9:GJ41" si="104">FH9</f>
        <v>90</v>
      </c>
      <c r="GK9" s="257">
        <f t="shared" ref="GK9:GK41" si="105">FS9</f>
        <v>90</v>
      </c>
      <c r="GL9" s="575">
        <f t="shared" ref="GL9:GL41" si="106">COUNTIF(GI9:GK9,)</f>
        <v>0</v>
      </c>
      <c r="GM9" s="506">
        <f t="shared" ref="GM9:GM41" si="107">3-GL9</f>
        <v>3</v>
      </c>
      <c r="GN9" s="39">
        <f t="shared" ref="GN9:GN41" si="108">IFERROR(SUM(GI9:GK9)/GM9,"")</f>
        <v>90</v>
      </c>
      <c r="GO9" s="257">
        <f t="shared" ref="GO9:GO41" si="109">EX9</f>
        <v>0</v>
      </c>
      <c r="GP9" s="257">
        <f t="shared" ref="GP9:GP41" si="110">FI9</f>
        <v>0</v>
      </c>
      <c r="GQ9" s="257">
        <f t="shared" ref="GQ9:GQ41" si="111">FT9</f>
        <v>0</v>
      </c>
      <c r="GR9" s="575">
        <f t="shared" ref="GR9:GR41" si="112">COUNTIF(GO9:GQ9,)</f>
        <v>3</v>
      </c>
      <c r="GS9" s="506">
        <f t="shared" ref="GS9:GS41" si="113">3-GR9</f>
        <v>0</v>
      </c>
      <c r="GT9" s="39" t="str">
        <f t="shared" ref="GT9:GT41" si="114">IFERROR(SUM(GO9:GQ9)/GS9,"")</f>
        <v/>
      </c>
      <c r="GU9" s="257">
        <f t="shared" ref="GU9:GU41" si="115">EY9</f>
        <v>85</v>
      </c>
      <c r="GV9" s="257">
        <f t="shared" ref="GV9:GV41" si="116">FJ9</f>
        <v>90</v>
      </c>
      <c r="GW9" s="257">
        <f t="shared" ref="GW9:GW41" si="117">FU9</f>
        <v>80</v>
      </c>
      <c r="GX9" s="575">
        <f t="shared" ref="GX9:GX41" si="118">COUNTIF(GU9:GW9,)</f>
        <v>0</v>
      </c>
      <c r="GY9" s="506">
        <f t="shared" ref="GY9:GY41" si="119">3-GX9</f>
        <v>3</v>
      </c>
      <c r="GZ9" s="39">
        <f t="shared" ref="GZ9:GZ41" si="120">IFERROR(SUM(GU9:GW9)/GY9,"")</f>
        <v>85</v>
      </c>
      <c r="HA9" s="257">
        <f t="shared" ref="HA9:HA41" si="121">EZ9</f>
        <v>0</v>
      </c>
      <c r="HB9" s="257">
        <f t="shared" ref="HB9:HB41" si="122">FK9</f>
        <v>0</v>
      </c>
      <c r="HC9" s="257">
        <f t="shared" ref="HC9:HC41" si="123">FV9</f>
        <v>0</v>
      </c>
      <c r="HD9" s="575">
        <f t="shared" ref="HD9:HD41" si="124">COUNTIF(HA9:HC9,)</f>
        <v>3</v>
      </c>
      <c r="HE9" s="506">
        <f t="shared" ref="HE9:HE41" si="125">3-HD9</f>
        <v>0</v>
      </c>
      <c r="HF9" s="39" t="str">
        <f t="shared" ref="HF9:HF41" si="126">IFERROR(SUM(HA9:HC9)/HE9,"")</f>
        <v/>
      </c>
      <c r="HG9" s="257">
        <f t="shared" ref="HG9:HG41" si="127">FA9</f>
        <v>85</v>
      </c>
      <c r="HH9" s="257">
        <f t="shared" ref="HH9:HH41" si="128">FL9</f>
        <v>90</v>
      </c>
      <c r="HI9" s="257">
        <f t="shared" ref="HI9:HI41" si="129">FW9</f>
        <v>75</v>
      </c>
      <c r="HJ9" s="575">
        <f t="shared" ref="HJ9:HJ41" si="130">COUNTIF(HG9:HI9,)</f>
        <v>0</v>
      </c>
      <c r="HK9" s="506">
        <f t="shared" ref="HK9:HK41" si="131">3-HJ9</f>
        <v>3</v>
      </c>
      <c r="HL9" s="39">
        <f t="shared" ref="HL9:HL41" si="132">IFERROR(SUM(HG9:HI9)/HK9,"")</f>
        <v>83.333333333333329</v>
      </c>
      <c r="HM9" s="257">
        <f t="shared" ref="HM9:HM41" si="133">FB9</f>
        <v>90</v>
      </c>
      <c r="HN9" s="257">
        <f t="shared" ref="HN9:HN41" si="134">FM9</f>
        <v>80</v>
      </c>
      <c r="HO9" s="257">
        <f t="shared" ref="HO9:HO41" si="135">FX9</f>
        <v>85</v>
      </c>
      <c r="HP9" s="575">
        <f t="shared" ref="HP9:HP41" si="136">COUNTIF(HM9:HO9,)</f>
        <v>0</v>
      </c>
      <c r="HQ9" s="506">
        <f t="shared" ref="HQ9:HQ41" si="137">3-HP9</f>
        <v>3</v>
      </c>
      <c r="HR9" s="39">
        <f t="shared" ref="HR9:HR41" si="138">IFERROR(SUM(HM9:HO9)/HQ9,"")</f>
        <v>85</v>
      </c>
      <c r="HS9" s="257">
        <f t="shared" ref="HS9:HS41" si="139">FC9</f>
        <v>0</v>
      </c>
      <c r="HT9" s="257">
        <f t="shared" ref="HT9:HT41" si="140">FN9</f>
        <v>0</v>
      </c>
      <c r="HU9" s="257">
        <f t="shared" ref="HU9:HU41" si="141">FY9</f>
        <v>0</v>
      </c>
      <c r="HV9" s="575">
        <f t="shared" ref="HV9:HV41" si="142">COUNTIF(HS9:HU9,)</f>
        <v>3</v>
      </c>
      <c r="HW9" s="506">
        <f t="shared" ref="HW9:HW41" si="143">3-HV9</f>
        <v>0</v>
      </c>
      <c r="HX9" s="39" t="str">
        <f t="shared" ref="HX9:HX41" si="144">IFERROR(SUM(HS9:HU9)/HW9,"")</f>
        <v/>
      </c>
      <c r="HY9" s="257">
        <f t="shared" ref="HY9:HY41" si="145">FD9</f>
        <v>0</v>
      </c>
      <c r="HZ9" s="257">
        <f t="shared" ref="HZ9:HZ41" si="146">FO9</f>
        <v>0</v>
      </c>
      <c r="IA9" s="257">
        <f t="shared" ref="IA9:IA41" si="147">FZ9</f>
        <v>0</v>
      </c>
      <c r="IB9" s="575">
        <f t="shared" ref="IB9:IB41" si="148">COUNTIF(HY9:IA9,)</f>
        <v>3</v>
      </c>
      <c r="IC9" s="506">
        <f t="shared" ref="IC9:IC41" si="149">3-IB9</f>
        <v>0</v>
      </c>
      <c r="ID9" s="39" t="str">
        <f t="shared" ref="ID9:ID41" si="150">IFERROR(SUM(HY9:IA9)/IC9,"")</f>
        <v/>
      </c>
      <c r="IE9" s="39"/>
      <c r="IF9" s="39"/>
      <c r="IG9" s="39"/>
      <c r="IH9" s="39">
        <f t="shared" ref="IH9:IH41" si="151">GH9</f>
        <v>85</v>
      </c>
      <c r="II9" s="39">
        <f t="shared" ref="II9:II41" si="152">GN9</f>
        <v>90</v>
      </c>
      <c r="IJ9" s="39" t="str">
        <f t="shared" ref="IJ9:IJ41" si="153">GT9</f>
        <v/>
      </c>
      <c r="IK9" s="39">
        <f t="shared" ref="IK9:IK41" si="154">GZ9</f>
        <v>85</v>
      </c>
      <c r="IL9" s="39" t="str">
        <f t="shared" ref="IL9:IL41" si="155">HF9</f>
        <v/>
      </c>
      <c r="IM9" s="767">
        <f t="shared" ref="IM9:IM41" si="156">HL9</f>
        <v>83.333333333333329</v>
      </c>
      <c r="IN9" s="579">
        <f t="shared" ref="IN9:IN41" si="157">HR9</f>
        <v>85</v>
      </c>
      <c r="IO9" s="579" t="str">
        <f t="shared" ref="IO9:IO41" si="158">HX9</f>
        <v/>
      </c>
      <c r="IP9" s="579" t="str">
        <f t="shared" ref="IP9:IP41" si="159">ID9</f>
        <v/>
      </c>
      <c r="IQ9" s="579"/>
      <c r="IR9" s="579">
        <f t="shared" ref="IR9:IR41" si="160">IFERROR(ROUND(AVERAGE(IH9:IP9),0),"")</f>
        <v>86</v>
      </c>
      <c r="IS9" s="289">
        <f t="shared" ref="IS9:IS41" si="161">MAX(IH9:IP9)</f>
        <v>90</v>
      </c>
      <c r="IT9" s="289">
        <f t="shared" ref="IT9:IT41" si="162">MIN(IH9:IP9)</f>
        <v>83.333333333333329</v>
      </c>
      <c r="IU9" s="223" t="str">
        <f>SISWA!E7</f>
        <v>Athaya</v>
      </c>
      <c r="IV9" s="223" t="str">
        <f t="shared" ref="IV9:IV41" si="163">IF(JH9&gt;1,"Ananda "&amp;IU9&amp;" ","")</f>
        <v xml:space="preserve">Ananda Athaya </v>
      </c>
      <c r="IW9" s="580" t="str">
        <f t="shared" ref="IW9:IW41" si="164">IF(IH9=$IS9,$IS9,"")</f>
        <v/>
      </c>
      <c r="IX9" s="580">
        <f t="shared" ref="IX9:IX41" si="165">IF(II9=$IS9,$IS9,"")</f>
        <v>90</v>
      </c>
      <c r="IY9" s="580" t="str">
        <f t="shared" ref="IY9:IY41" si="166">IF(IJ9=$IS9,$IS9,"")</f>
        <v/>
      </c>
      <c r="IZ9" s="580" t="str">
        <f t="shared" ref="IZ9:IZ41" si="167">IF(IK9=$IS9,$IS9,"")</f>
        <v/>
      </c>
      <c r="JA9" s="580" t="str">
        <f t="shared" ref="JA9:JA41" si="168">IF(IL9=$IS9,$IS9,"")</f>
        <v/>
      </c>
      <c r="JB9" s="580" t="str">
        <f t="shared" ref="JB9:JB41" si="169">IF(IM9=$IS9,$IS9,"")</f>
        <v/>
      </c>
      <c r="JC9" s="580" t="str">
        <f t="shared" ref="JC9:JC41" si="170">IF(IN9=$IS9,$IS9,"")</f>
        <v/>
      </c>
      <c r="JD9" s="580" t="str">
        <f t="shared" ref="JD9:JD41" si="171">IF(IO9=$IS9,$IS9,"")</f>
        <v/>
      </c>
      <c r="JE9" s="580" t="str">
        <f t="shared" ref="JE9:JE41" si="172">IF(IP9=$IS9,$IS9,"")</f>
        <v/>
      </c>
      <c r="JF9" s="580"/>
      <c r="JG9" s="580"/>
      <c r="JH9" s="223">
        <f t="shared" ref="JH9:JH41" si="173">SUM(IW9:JG9)</f>
        <v>90</v>
      </c>
      <c r="JI9" s="289" t="str">
        <f t="shared" ref="JI9:JI41" si="174">LOOKUP(IS9,(IW9:JF9),($IW$6:$JF$6))</f>
        <v xml:space="preserve">menyajikan hasil klasifikasi informasi yang didapat dari buku yang dikelompokkan dalam aspek: apa, di mana, kapan, siapa, mengapa, dan bagaimana </v>
      </c>
      <c r="JJ9" s="576" t="str">
        <f>IF(IS9&gt;100,"",IF(IS9&gt;EV$1,"sangat baik dalam "&amp;JI9,IF(IS9&gt;=EV$2,"baik dalam "&amp;JI9,IF(IS9&gt;=EV$3,"cukup dalam "&amp;JI9,IF(IS9&lt;EV$3,"dengan bimbingan dapat meningkatkan dalam "&amp;JI9,IF(IS9&lt;1," ",””))))))</f>
        <v xml:space="preserve">baik dalam menyajikan hasil klasifikasi informasi yang didapat dari buku yang dikelompokkan dalam aspek: apa, di mana, kapan, siapa, mengapa, dan bagaimana </v>
      </c>
      <c r="JK9" s="223"/>
      <c r="JL9" s="223" t="str">
        <f t="shared" ref="JL9:JL41" si="175">IF(IH9=$IT9,$IT9,"")</f>
        <v/>
      </c>
      <c r="JM9" s="223" t="str">
        <f t="shared" ref="JM9:JM41" si="176">IF(II9=$IT9,$IT9,"")</f>
        <v/>
      </c>
      <c r="JN9" s="223" t="str">
        <f t="shared" ref="JN9:JN41" si="177">IF(IJ9=$IT9,$IT9,"")</f>
        <v/>
      </c>
      <c r="JO9" s="223" t="str">
        <f t="shared" ref="JO9:JO41" si="178">IF(IK9=$IT9,$IT9,"")</f>
        <v/>
      </c>
      <c r="JP9" s="223" t="str">
        <f t="shared" ref="JP9:JP41" si="179">IF(IL9=$IT9,$IT9,"")</f>
        <v/>
      </c>
      <c r="JQ9" s="223">
        <f t="shared" ref="JQ9:JQ41" si="180">IF(IM9=$IT9,$IT9,"")</f>
        <v>83.333333333333329</v>
      </c>
      <c r="JR9" s="223" t="str">
        <f t="shared" ref="JR9:JR41" si="181">IF(IN9=$IT9,$IT9,"")</f>
        <v/>
      </c>
      <c r="JS9" s="223" t="str">
        <f t="shared" ref="JS9:JS41" si="182">IF(IO9=$IT9,$IT9,"")</f>
        <v/>
      </c>
      <c r="JT9" s="223" t="str">
        <f t="shared" ref="JT9:JT41" si="183">IF(IP9=$IT9,$IT9,"")</f>
        <v/>
      </c>
      <c r="JU9" s="223"/>
      <c r="JV9" s="223"/>
      <c r="JW9" s="223" t="str">
        <f t="shared" ref="JW9:JW41" si="184">LOOKUP(IT9,(JL9:JU9),($JL$6:$JU$6))</f>
        <v>melisankan pantun hasil karya pribadi dengan lafal, intonasi, dan ekspresi yang tepat sebagai bentuk ungkapan diri</v>
      </c>
      <c r="JX9" s="577" t="str">
        <f>IF(IT9&gt;100,"",IF(IT9&gt;=EV$1,"sangat baik dalam "&amp;JW9,IF(IT9&gt;=EV$2,"baik dalam "&amp;JW9,IF(IT9&gt;=EV$3,"cukup dalam "&amp;JW9,IF(IT9&lt;EV$3,"dengan bimbingan dapat meningkatkan dalam "&amp;JW9,IF(IT9&lt;1," ",””))))))</f>
        <v>baik dalam melisankan pantun hasil karya pribadi dengan lafal, intonasi, dan ekspresi yang tepat sebagai bentuk ungkapan diri</v>
      </c>
      <c r="JY9" s="223" t="str">
        <f t="shared" ref="JY9:JY41" si="185">CONCATENATE(IV9&amp;JJ9&amp;", "&amp;JX9&amp;".")</f>
        <v>Ananda Athaya baik dalam menyajikan hasil klasifikasi informasi yang didapat dari buku yang dikelompokkan dalam aspek: apa, di mana, kapan, siapa, mengapa, dan bagaimana , baik dalam melisankan pantun hasil karya pribadi dengan lafal, intonasi, dan ekspresi yang tepat sebagai bentuk ungkapan diri.</v>
      </c>
    </row>
    <row r="10" spans="1:285" ht="60">
      <c r="A10" s="39">
        <v>3</v>
      </c>
      <c r="B10" s="223" t="str">
        <f>SISWA!B8</f>
        <v>Amira Zerlinda</v>
      </c>
      <c r="C10" s="123">
        <v>80</v>
      </c>
      <c r="D10" s="123"/>
      <c r="E10" s="123"/>
      <c r="F10" s="123"/>
      <c r="G10" s="123"/>
      <c r="H10" s="123"/>
      <c r="I10" s="123"/>
      <c r="J10" s="123"/>
      <c r="K10" s="123"/>
      <c r="L10" s="255">
        <v>90</v>
      </c>
      <c r="M10" s="255"/>
      <c r="N10" s="255"/>
      <c r="O10" s="255"/>
      <c r="P10" s="255"/>
      <c r="Q10" s="255"/>
      <c r="R10" s="255"/>
      <c r="S10" s="255"/>
      <c r="T10" s="255"/>
      <c r="U10" s="256">
        <v>90</v>
      </c>
      <c r="V10" s="256"/>
      <c r="W10" s="256"/>
      <c r="X10" s="256"/>
      <c r="Y10" s="256"/>
      <c r="Z10" s="256"/>
      <c r="AA10" s="256"/>
      <c r="AB10" s="256"/>
      <c r="AC10" s="256"/>
      <c r="AD10" s="123"/>
      <c r="AE10" s="123">
        <v>80</v>
      </c>
      <c r="AF10" s="123"/>
      <c r="AG10" s="123"/>
      <c r="AH10" s="123"/>
      <c r="AI10" s="123"/>
      <c r="AJ10" s="123"/>
      <c r="AK10" s="123"/>
      <c r="AL10" s="123"/>
      <c r="AM10" s="255"/>
      <c r="AN10" s="255">
        <v>85</v>
      </c>
      <c r="AO10" s="255"/>
      <c r="AP10" s="255"/>
      <c r="AQ10" s="255"/>
      <c r="AR10" s="255"/>
      <c r="AS10" s="255"/>
      <c r="AT10" s="255"/>
      <c r="AU10" s="255"/>
      <c r="AV10" s="256"/>
      <c r="AW10" s="256">
        <v>80</v>
      </c>
      <c r="AX10" s="256"/>
      <c r="AY10" s="256"/>
      <c r="AZ10" s="256"/>
      <c r="BA10" s="256"/>
      <c r="BB10" s="256"/>
      <c r="BC10" s="256"/>
      <c r="BD10" s="256"/>
      <c r="BE10" s="123"/>
      <c r="BF10" s="123"/>
      <c r="BG10" s="123"/>
      <c r="BH10" s="123">
        <v>90</v>
      </c>
      <c r="BI10" s="123"/>
      <c r="BJ10" s="123"/>
      <c r="BK10" s="123"/>
      <c r="BL10" s="123"/>
      <c r="BM10" s="123"/>
      <c r="BN10" s="255"/>
      <c r="BO10" s="255"/>
      <c r="BP10" s="255"/>
      <c r="BQ10" s="255">
        <v>90</v>
      </c>
      <c r="BR10" s="255"/>
      <c r="BS10" s="255"/>
      <c r="BT10" s="255"/>
      <c r="BU10" s="255"/>
      <c r="BV10" s="255"/>
      <c r="BW10" s="256"/>
      <c r="BX10" s="256"/>
      <c r="BY10" s="256"/>
      <c r="BZ10" s="256">
        <v>90</v>
      </c>
      <c r="CA10" s="256"/>
      <c r="CB10" s="256"/>
      <c r="CC10" s="256"/>
      <c r="CD10" s="256"/>
      <c r="CE10" s="256"/>
      <c r="CF10" s="123"/>
      <c r="CG10" s="123"/>
      <c r="CH10" s="123"/>
      <c r="CI10" s="123"/>
      <c r="CJ10" s="123"/>
      <c r="CK10" s="123">
        <v>90</v>
      </c>
      <c r="CL10" s="123"/>
      <c r="CM10" s="123"/>
      <c r="CN10" s="123"/>
      <c r="CO10" s="255"/>
      <c r="CP10" s="255"/>
      <c r="CQ10" s="255"/>
      <c r="CR10" s="255"/>
      <c r="CS10" s="255"/>
      <c r="CT10" s="255">
        <v>90</v>
      </c>
      <c r="CU10" s="255"/>
      <c r="CV10" s="255"/>
      <c r="CW10" s="255"/>
      <c r="CX10" s="256"/>
      <c r="CY10" s="256"/>
      <c r="CZ10" s="256"/>
      <c r="DA10" s="256"/>
      <c r="DB10" s="256"/>
      <c r="DC10" s="256">
        <v>90</v>
      </c>
      <c r="DD10" s="256"/>
      <c r="DE10" s="256"/>
      <c r="DF10" s="256"/>
      <c r="DG10" s="458"/>
      <c r="DH10" s="458"/>
      <c r="DI10" s="458"/>
      <c r="DJ10" s="458"/>
      <c r="DK10" s="458"/>
      <c r="DL10" s="458"/>
      <c r="DM10" s="458">
        <v>90</v>
      </c>
      <c r="DN10" s="458"/>
      <c r="DO10" s="458"/>
      <c r="DP10" s="457"/>
      <c r="DQ10" s="457"/>
      <c r="DR10" s="457"/>
      <c r="DS10" s="457"/>
      <c r="DT10" s="457"/>
      <c r="DU10" s="457"/>
      <c r="DV10" s="457">
        <v>85</v>
      </c>
      <c r="DW10" s="457"/>
      <c r="DX10" s="457"/>
      <c r="DY10" s="256"/>
      <c r="DZ10" s="256"/>
      <c r="EA10" s="256"/>
      <c r="EB10" s="256"/>
      <c r="EC10" s="256"/>
      <c r="ED10" s="256"/>
      <c r="EE10" s="256">
        <v>80</v>
      </c>
      <c r="EF10" s="256"/>
      <c r="EG10" s="256"/>
      <c r="EH10" s="257">
        <f t="shared" si="55"/>
        <v>86.666666666666671</v>
      </c>
      <c r="EI10" s="257">
        <f t="shared" si="56"/>
        <v>81.666666666666671</v>
      </c>
      <c r="EJ10" s="257" t="str">
        <f t="shared" si="57"/>
        <v/>
      </c>
      <c r="EK10" s="257">
        <f t="shared" si="58"/>
        <v>90</v>
      </c>
      <c r="EL10" s="257" t="str">
        <f t="shared" si="59"/>
        <v/>
      </c>
      <c r="EM10" s="257">
        <f t="shared" si="60"/>
        <v>90</v>
      </c>
      <c r="EN10" s="257">
        <f t="shared" si="61"/>
        <v>85</v>
      </c>
      <c r="EO10" s="257" t="str">
        <f t="shared" si="62"/>
        <v/>
      </c>
      <c r="EP10" s="257" t="str">
        <f t="shared" si="63"/>
        <v/>
      </c>
      <c r="EQ10" s="579">
        <f t="shared" si="64"/>
        <v>87</v>
      </c>
      <c r="ER10" s="291" t="str">
        <f t="shared" si="65"/>
        <v>B</v>
      </c>
      <c r="ES10" s="243" t="str">
        <f t="shared" si="66"/>
        <v>Ananda Amira baik dalam melisankan pantun hasil karya pribadi dengan lafal, intonasi, dan ekspresi yang tepat sebagai bentuk ungkapan diri, cukup dalam menyajikan hasil klasifikasi informasi yang didapat dari buku yang dikelompokkan dalam aspek: apa, di mana, kapan, siapa, mengapa, dan bagaimana .</v>
      </c>
      <c r="ET10" s="39"/>
      <c r="EU10" s="39"/>
      <c r="EV10" s="257">
        <f t="shared" si="67"/>
        <v>80</v>
      </c>
      <c r="EW10" s="257">
        <f t="shared" si="68"/>
        <v>80</v>
      </c>
      <c r="EX10" s="257">
        <f t="shared" si="69"/>
        <v>0</v>
      </c>
      <c r="EY10" s="257">
        <f t="shared" si="70"/>
        <v>90</v>
      </c>
      <c r="EZ10" s="257">
        <f t="shared" si="71"/>
        <v>0</v>
      </c>
      <c r="FA10" s="257">
        <f t="shared" si="72"/>
        <v>90</v>
      </c>
      <c r="FB10" s="257">
        <f t="shared" si="73"/>
        <v>90</v>
      </c>
      <c r="FC10" s="257">
        <f t="shared" si="74"/>
        <v>0</v>
      </c>
      <c r="FD10" s="257">
        <f t="shared" si="75"/>
        <v>0</v>
      </c>
      <c r="FE10" s="257"/>
      <c r="FF10" s="289">
        <f t="shared" si="76"/>
        <v>90</v>
      </c>
      <c r="FG10" s="575">
        <f t="shared" si="77"/>
        <v>90</v>
      </c>
      <c r="FH10" s="575">
        <f t="shared" si="78"/>
        <v>85</v>
      </c>
      <c r="FI10" s="575">
        <f t="shared" si="79"/>
        <v>0</v>
      </c>
      <c r="FJ10" s="575">
        <f t="shared" si="80"/>
        <v>90</v>
      </c>
      <c r="FK10" s="575">
        <f t="shared" si="81"/>
        <v>0</v>
      </c>
      <c r="FL10" s="575">
        <f t="shared" si="82"/>
        <v>90</v>
      </c>
      <c r="FM10" s="575">
        <f t="shared" si="83"/>
        <v>85</v>
      </c>
      <c r="FN10" s="575">
        <f t="shared" si="84"/>
        <v>0</v>
      </c>
      <c r="FO10" s="575">
        <f t="shared" si="85"/>
        <v>0</v>
      </c>
      <c r="FP10" s="258"/>
      <c r="FQ10" s="289">
        <f t="shared" si="86"/>
        <v>90</v>
      </c>
      <c r="FR10" s="765">
        <f t="shared" si="87"/>
        <v>90</v>
      </c>
      <c r="FS10" s="765">
        <f t="shared" si="88"/>
        <v>80</v>
      </c>
      <c r="FT10" s="765">
        <f t="shared" si="89"/>
        <v>0</v>
      </c>
      <c r="FU10" s="765">
        <f t="shared" si="90"/>
        <v>90</v>
      </c>
      <c r="FV10" s="765">
        <f t="shared" si="91"/>
        <v>0</v>
      </c>
      <c r="FW10" s="765">
        <f t="shared" si="92"/>
        <v>90</v>
      </c>
      <c r="FX10" s="765">
        <f t="shared" si="93"/>
        <v>80</v>
      </c>
      <c r="FY10" s="765">
        <f t="shared" si="94"/>
        <v>0</v>
      </c>
      <c r="FZ10" s="765">
        <f t="shared" si="95"/>
        <v>0</v>
      </c>
      <c r="GA10" s="766"/>
      <c r="GB10" s="289">
        <f t="shared" si="96"/>
        <v>90</v>
      </c>
      <c r="GC10" s="257">
        <f t="shared" si="97"/>
        <v>80</v>
      </c>
      <c r="GD10" s="257">
        <f t="shared" si="98"/>
        <v>90</v>
      </c>
      <c r="GE10" s="257">
        <f t="shared" si="99"/>
        <v>90</v>
      </c>
      <c r="GF10" s="575">
        <f t="shared" si="100"/>
        <v>0</v>
      </c>
      <c r="GG10" s="506">
        <f t="shared" si="101"/>
        <v>3</v>
      </c>
      <c r="GH10" s="39">
        <f t="shared" si="102"/>
        <v>86.666666666666671</v>
      </c>
      <c r="GI10" s="257">
        <f t="shared" si="103"/>
        <v>80</v>
      </c>
      <c r="GJ10" s="257">
        <f t="shared" si="104"/>
        <v>85</v>
      </c>
      <c r="GK10" s="257">
        <f t="shared" si="105"/>
        <v>80</v>
      </c>
      <c r="GL10" s="575">
        <f t="shared" si="106"/>
        <v>0</v>
      </c>
      <c r="GM10" s="506">
        <f t="shared" si="107"/>
        <v>3</v>
      </c>
      <c r="GN10" s="39">
        <f t="shared" si="108"/>
        <v>81.666666666666671</v>
      </c>
      <c r="GO10" s="257">
        <f t="shared" si="109"/>
        <v>0</v>
      </c>
      <c r="GP10" s="257">
        <f t="shared" si="110"/>
        <v>0</v>
      </c>
      <c r="GQ10" s="257">
        <f t="shared" si="111"/>
        <v>0</v>
      </c>
      <c r="GR10" s="575">
        <f t="shared" si="112"/>
        <v>3</v>
      </c>
      <c r="GS10" s="506">
        <f t="shared" si="113"/>
        <v>0</v>
      </c>
      <c r="GT10" s="39" t="str">
        <f t="shared" si="114"/>
        <v/>
      </c>
      <c r="GU10" s="257">
        <f t="shared" si="115"/>
        <v>90</v>
      </c>
      <c r="GV10" s="257">
        <f t="shared" si="116"/>
        <v>90</v>
      </c>
      <c r="GW10" s="257">
        <f t="shared" si="117"/>
        <v>90</v>
      </c>
      <c r="GX10" s="575">
        <f t="shared" si="118"/>
        <v>0</v>
      </c>
      <c r="GY10" s="506">
        <f t="shared" si="119"/>
        <v>3</v>
      </c>
      <c r="GZ10" s="39">
        <f t="shared" si="120"/>
        <v>90</v>
      </c>
      <c r="HA10" s="257">
        <f t="shared" si="121"/>
        <v>0</v>
      </c>
      <c r="HB10" s="257">
        <f t="shared" si="122"/>
        <v>0</v>
      </c>
      <c r="HC10" s="257">
        <f t="shared" si="123"/>
        <v>0</v>
      </c>
      <c r="HD10" s="575">
        <f t="shared" si="124"/>
        <v>3</v>
      </c>
      <c r="HE10" s="506">
        <f t="shared" si="125"/>
        <v>0</v>
      </c>
      <c r="HF10" s="39" t="str">
        <f t="shared" si="126"/>
        <v/>
      </c>
      <c r="HG10" s="257">
        <f t="shared" si="127"/>
        <v>90</v>
      </c>
      <c r="HH10" s="257">
        <f t="shared" si="128"/>
        <v>90</v>
      </c>
      <c r="HI10" s="257">
        <f t="shared" si="129"/>
        <v>90</v>
      </c>
      <c r="HJ10" s="575">
        <f t="shared" si="130"/>
        <v>0</v>
      </c>
      <c r="HK10" s="506">
        <f t="shared" si="131"/>
        <v>3</v>
      </c>
      <c r="HL10" s="39">
        <f t="shared" si="132"/>
        <v>90</v>
      </c>
      <c r="HM10" s="257">
        <f t="shared" si="133"/>
        <v>90</v>
      </c>
      <c r="HN10" s="257">
        <f t="shared" si="134"/>
        <v>85</v>
      </c>
      <c r="HO10" s="257">
        <f t="shared" si="135"/>
        <v>80</v>
      </c>
      <c r="HP10" s="575">
        <f t="shared" si="136"/>
        <v>0</v>
      </c>
      <c r="HQ10" s="506">
        <f t="shared" si="137"/>
        <v>3</v>
      </c>
      <c r="HR10" s="39">
        <f t="shared" si="138"/>
        <v>85</v>
      </c>
      <c r="HS10" s="257">
        <f t="shared" si="139"/>
        <v>0</v>
      </c>
      <c r="HT10" s="257">
        <f t="shared" si="140"/>
        <v>0</v>
      </c>
      <c r="HU10" s="257">
        <f t="shared" si="141"/>
        <v>0</v>
      </c>
      <c r="HV10" s="575">
        <f t="shared" si="142"/>
        <v>3</v>
      </c>
      <c r="HW10" s="506">
        <f t="shared" si="143"/>
        <v>0</v>
      </c>
      <c r="HX10" s="39" t="str">
        <f t="shared" si="144"/>
        <v/>
      </c>
      <c r="HY10" s="257">
        <f t="shared" si="145"/>
        <v>0</v>
      </c>
      <c r="HZ10" s="257">
        <f t="shared" si="146"/>
        <v>0</v>
      </c>
      <c r="IA10" s="257">
        <f t="shared" si="147"/>
        <v>0</v>
      </c>
      <c r="IB10" s="575">
        <f t="shared" si="148"/>
        <v>3</v>
      </c>
      <c r="IC10" s="506">
        <f t="shared" si="149"/>
        <v>0</v>
      </c>
      <c r="ID10" s="39" t="str">
        <f t="shared" si="150"/>
        <v/>
      </c>
      <c r="IE10" s="39"/>
      <c r="IF10" s="39"/>
      <c r="IG10" s="39"/>
      <c r="IH10" s="39">
        <f t="shared" si="151"/>
        <v>86.666666666666671</v>
      </c>
      <c r="II10" s="39">
        <f t="shared" si="152"/>
        <v>81.666666666666671</v>
      </c>
      <c r="IJ10" s="39" t="str">
        <f t="shared" si="153"/>
        <v/>
      </c>
      <c r="IK10" s="39">
        <f t="shared" si="154"/>
        <v>90</v>
      </c>
      <c r="IL10" s="39" t="str">
        <f t="shared" si="155"/>
        <v/>
      </c>
      <c r="IM10" s="767">
        <f t="shared" si="156"/>
        <v>90</v>
      </c>
      <c r="IN10" s="579">
        <f t="shared" si="157"/>
        <v>85</v>
      </c>
      <c r="IO10" s="579" t="str">
        <f t="shared" si="158"/>
        <v/>
      </c>
      <c r="IP10" s="579" t="str">
        <f t="shared" si="159"/>
        <v/>
      </c>
      <c r="IQ10" s="579"/>
      <c r="IR10" s="579">
        <f t="shared" si="160"/>
        <v>87</v>
      </c>
      <c r="IS10" s="289">
        <f t="shared" si="161"/>
        <v>90</v>
      </c>
      <c r="IT10" s="289">
        <f t="shared" si="162"/>
        <v>81.666666666666671</v>
      </c>
      <c r="IU10" s="223" t="str">
        <f>SISWA!E8</f>
        <v>Amira</v>
      </c>
      <c r="IV10" s="223" t="str">
        <f t="shared" si="163"/>
        <v xml:space="preserve">Ananda Amira </v>
      </c>
      <c r="IW10" s="580" t="str">
        <f t="shared" si="164"/>
        <v/>
      </c>
      <c r="IX10" s="580" t="str">
        <f t="shared" si="165"/>
        <v/>
      </c>
      <c r="IY10" s="580" t="str">
        <f t="shared" si="166"/>
        <v/>
      </c>
      <c r="IZ10" s="580">
        <f t="shared" si="167"/>
        <v>90</v>
      </c>
      <c r="JA10" s="580" t="str">
        <f t="shared" si="168"/>
        <v/>
      </c>
      <c r="JB10" s="580">
        <f t="shared" si="169"/>
        <v>90</v>
      </c>
      <c r="JC10" s="580" t="str">
        <f t="shared" si="170"/>
        <v/>
      </c>
      <c r="JD10" s="580" t="str">
        <f t="shared" si="171"/>
        <v/>
      </c>
      <c r="JE10" s="580" t="str">
        <f t="shared" si="172"/>
        <v/>
      </c>
      <c r="JF10" s="580"/>
      <c r="JG10" s="580"/>
      <c r="JH10" s="223">
        <f t="shared" si="173"/>
        <v>180</v>
      </c>
      <c r="JI10" s="289" t="str">
        <f t="shared" si="174"/>
        <v>melisankan pantun hasil karya pribadi dengan lafal, intonasi, dan ekspresi yang tepat sebagai bentuk ungkapan diri</v>
      </c>
      <c r="JJ10" s="576" t="str">
        <f>IF(IS10&gt;100,"",IF(IS10&gt;EV$1,"sangat baik dalam "&amp;JI10,IF(IS10&gt;=EV$2,"baik dalam "&amp;JI10,IF(IS10&gt;=EV$3,"cukup dalam "&amp;JI10,IF(IS10&lt;EV$3,"dengan bimbingan dapat meningkatkan dalam "&amp;JI10,IF(IS10&lt;1," ",””))))))</f>
        <v>baik dalam melisankan pantun hasil karya pribadi dengan lafal, intonasi, dan ekspresi yang tepat sebagai bentuk ungkapan diri</v>
      </c>
      <c r="JK10" s="223"/>
      <c r="JL10" s="223" t="str">
        <f t="shared" si="175"/>
        <v/>
      </c>
      <c r="JM10" s="223">
        <f t="shared" si="176"/>
        <v>81.666666666666671</v>
      </c>
      <c r="JN10" s="223" t="str">
        <f t="shared" si="177"/>
        <v/>
      </c>
      <c r="JO10" s="223" t="str">
        <f t="shared" si="178"/>
        <v/>
      </c>
      <c r="JP10" s="223" t="str">
        <f t="shared" si="179"/>
        <v/>
      </c>
      <c r="JQ10" s="223" t="str">
        <f t="shared" si="180"/>
        <v/>
      </c>
      <c r="JR10" s="223" t="str">
        <f t="shared" si="181"/>
        <v/>
      </c>
      <c r="JS10" s="223" t="str">
        <f t="shared" si="182"/>
        <v/>
      </c>
      <c r="JT10" s="223" t="str">
        <f t="shared" si="183"/>
        <v/>
      </c>
      <c r="JU10" s="223"/>
      <c r="JV10" s="223"/>
      <c r="JW10" s="223" t="str">
        <f t="shared" si="184"/>
        <v xml:space="preserve">menyajikan hasil klasifikasi informasi yang didapat dari buku yang dikelompokkan dalam aspek: apa, di mana, kapan, siapa, mengapa, dan bagaimana </v>
      </c>
      <c r="JX10" s="577" t="str">
        <f>IF(IT10&gt;100,"",IF(IT10&gt;=EV$1,"sangat baik dalam "&amp;JW10,IF(IT10&gt;=EV$2,"baik dalam "&amp;JW10,IF(IT10&gt;=EV$3,"cukup dalam "&amp;JW10,IF(IT10&lt;EV$3,"dengan bimbingan dapat meningkatkan dalam "&amp;JW10,IF(IT10&lt;1," ",””))))))</f>
        <v xml:space="preserve">cukup dalam menyajikan hasil klasifikasi informasi yang didapat dari buku yang dikelompokkan dalam aspek: apa, di mana, kapan, siapa, mengapa, dan bagaimana </v>
      </c>
      <c r="JY10" s="223" t="str">
        <f t="shared" si="185"/>
        <v>Ananda Amira baik dalam melisankan pantun hasil karya pribadi dengan lafal, intonasi, dan ekspresi yang tepat sebagai bentuk ungkapan diri, cukup dalam menyajikan hasil klasifikasi informasi yang didapat dari buku yang dikelompokkan dalam aspek: apa, di mana, kapan, siapa, mengapa, dan bagaimana .</v>
      </c>
    </row>
    <row r="11" spans="1:285" ht="45">
      <c r="A11" s="39">
        <v>4</v>
      </c>
      <c r="B11" s="223" t="str">
        <f>SISWA!B9</f>
        <v>Andrian Putra Pangestu</v>
      </c>
      <c r="C11" s="123">
        <v>80</v>
      </c>
      <c r="D11" s="123"/>
      <c r="E11" s="123"/>
      <c r="F11" s="123"/>
      <c r="G11" s="123"/>
      <c r="H11" s="123"/>
      <c r="I11" s="123"/>
      <c r="J11" s="123"/>
      <c r="K11" s="123"/>
      <c r="L11" s="255">
        <v>75</v>
      </c>
      <c r="M11" s="255"/>
      <c r="N11" s="255"/>
      <c r="O11" s="255"/>
      <c r="P11" s="255"/>
      <c r="Q11" s="255"/>
      <c r="R11" s="255"/>
      <c r="S11" s="255"/>
      <c r="T11" s="255"/>
      <c r="U11" s="256">
        <v>75</v>
      </c>
      <c r="V11" s="256"/>
      <c r="W11" s="256"/>
      <c r="X11" s="256"/>
      <c r="Y11" s="256"/>
      <c r="Z11" s="256"/>
      <c r="AA11" s="256"/>
      <c r="AB11" s="256"/>
      <c r="AC11" s="256"/>
      <c r="AD11" s="123"/>
      <c r="AE11" s="123">
        <v>75</v>
      </c>
      <c r="AF11" s="123"/>
      <c r="AG11" s="123"/>
      <c r="AH11" s="123"/>
      <c r="AI11" s="123"/>
      <c r="AJ11" s="123"/>
      <c r="AK11" s="123"/>
      <c r="AL11" s="123"/>
      <c r="AM11" s="255"/>
      <c r="AN11" s="255">
        <v>75</v>
      </c>
      <c r="AO11" s="255"/>
      <c r="AP11" s="255"/>
      <c r="AQ11" s="255"/>
      <c r="AR11" s="255"/>
      <c r="AS11" s="255"/>
      <c r="AT11" s="255"/>
      <c r="AU11" s="255"/>
      <c r="AV11" s="256"/>
      <c r="AW11" s="256">
        <v>75</v>
      </c>
      <c r="AX11" s="256"/>
      <c r="AY11" s="256"/>
      <c r="AZ11" s="256"/>
      <c r="BA11" s="256"/>
      <c r="BB11" s="256"/>
      <c r="BC11" s="256"/>
      <c r="BD11" s="256"/>
      <c r="BE11" s="123"/>
      <c r="BF11" s="123"/>
      <c r="BG11" s="123"/>
      <c r="BH11" s="123">
        <v>75</v>
      </c>
      <c r="BI11" s="123"/>
      <c r="BJ11" s="123"/>
      <c r="BK11" s="123"/>
      <c r="BL11" s="123"/>
      <c r="BM11" s="123"/>
      <c r="BN11" s="255"/>
      <c r="BO11" s="255"/>
      <c r="BP11" s="255"/>
      <c r="BQ11" s="255">
        <v>75</v>
      </c>
      <c r="BR11" s="255"/>
      <c r="BS11" s="255"/>
      <c r="BT11" s="255"/>
      <c r="BU11" s="255"/>
      <c r="BV11" s="255"/>
      <c r="BW11" s="256"/>
      <c r="BX11" s="256"/>
      <c r="BY11" s="256"/>
      <c r="BZ11" s="256">
        <v>75</v>
      </c>
      <c r="CA11" s="256"/>
      <c r="CB11" s="256"/>
      <c r="CC11" s="256"/>
      <c r="CD11" s="256"/>
      <c r="CE11" s="256"/>
      <c r="CF11" s="123"/>
      <c r="CG11" s="123"/>
      <c r="CH11" s="123"/>
      <c r="CI11" s="123"/>
      <c r="CJ11" s="123"/>
      <c r="CK11" s="123">
        <v>75</v>
      </c>
      <c r="CL11" s="123"/>
      <c r="CM11" s="123"/>
      <c r="CN11" s="123"/>
      <c r="CO11" s="255"/>
      <c r="CP11" s="255"/>
      <c r="CQ11" s="255"/>
      <c r="CR11" s="255"/>
      <c r="CS11" s="255"/>
      <c r="CT11" s="255">
        <v>75</v>
      </c>
      <c r="CU11" s="255"/>
      <c r="CV11" s="255"/>
      <c r="CW11" s="255"/>
      <c r="CX11" s="256"/>
      <c r="CY11" s="256"/>
      <c r="CZ11" s="256"/>
      <c r="DA11" s="256"/>
      <c r="DB11" s="256"/>
      <c r="DC11" s="256">
        <v>75</v>
      </c>
      <c r="DD11" s="256"/>
      <c r="DE11" s="256"/>
      <c r="DF11" s="256"/>
      <c r="DG11" s="458"/>
      <c r="DH11" s="458"/>
      <c r="DI11" s="458"/>
      <c r="DJ11" s="458"/>
      <c r="DK11" s="458"/>
      <c r="DL11" s="458"/>
      <c r="DM11" s="458">
        <v>85</v>
      </c>
      <c r="DN11" s="458"/>
      <c r="DO11" s="458"/>
      <c r="DP11" s="457"/>
      <c r="DQ11" s="457"/>
      <c r="DR11" s="457"/>
      <c r="DS11" s="457"/>
      <c r="DT11" s="457"/>
      <c r="DU11" s="457"/>
      <c r="DV11" s="457">
        <v>75</v>
      </c>
      <c r="DW11" s="457"/>
      <c r="DX11" s="457"/>
      <c r="DY11" s="256"/>
      <c r="DZ11" s="256"/>
      <c r="EA11" s="256"/>
      <c r="EB11" s="256"/>
      <c r="EC11" s="256"/>
      <c r="ED11" s="256"/>
      <c r="EE11" s="256">
        <v>75</v>
      </c>
      <c r="EF11" s="256"/>
      <c r="EG11" s="256"/>
      <c r="EH11" s="257">
        <f t="shared" si="55"/>
        <v>76.666666666666671</v>
      </c>
      <c r="EI11" s="257">
        <f t="shared" si="56"/>
        <v>75</v>
      </c>
      <c r="EJ11" s="257" t="str">
        <f t="shared" si="57"/>
        <v/>
      </c>
      <c r="EK11" s="257">
        <f t="shared" si="58"/>
        <v>75</v>
      </c>
      <c r="EL11" s="257" t="str">
        <f t="shared" si="59"/>
        <v/>
      </c>
      <c r="EM11" s="257">
        <f t="shared" si="60"/>
        <v>75</v>
      </c>
      <c r="EN11" s="257">
        <f t="shared" si="61"/>
        <v>78.333333333333329</v>
      </c>
      <c r="EO11" s="257" t="str">
        <f t="shared" si="62"/>
        <v/>
      </c>
      <c r="EP11" s="257" t="str">
        <f t="shared" si="63"/>
        <v/>
      </c>
      <c r="EQ11" s="579">
        <f t="shared" si="64"/>
        <v>76</v>
      </c>
      <c r="ER11" s="291" t="str">
        <f t="shared" si="65"/>
        <v>C</v>
      </c>
      <c r="ES11" s="243" t="str">
        <f t="shared" si="66"/>
        <v>Ananda Andri cukup dalam menyajikan konsep-konsep yang saling berkaitan pada teks nonfiksi ke dalam tulisan dengan bahasa sendiri, cukup dalam melisankan pantun hasil karya pribadi dengan lafal, intonasi, dan ekspresi yang tepat sebagai bentuk ungkapan diri.</v>
      </c>
      <c r="ET11" s="39"/>
      <c r="EU11" s="39"/>
      <c r="EV11" s="257">
        <f t="shared" si="67"/>
        <v>80</v>
      </c>
      <c r="EW11" s="257">
        <f t="shared" si="68"/>
        <v>75</v>
      </c>
      <c r="EX11" s="257">
        <f t="shared" si="69"/>
        <v>0</v>
      </c>
      <c r="EY11" s="257">
        <f t="shared" si="70"/>
        <v>75</v>
      </c>
      <c r="EZ11" s="257">
        <f t="shared" si="71"/>
        <v>0</v>
      </c>
      <c r="FA11" s="257">
        <f t="shared" si="72"/>
        <v>75</v>
      </c>
      <c r="FB11" s="257">
        <f t="shared" si="73"/>
        <v>85</v>
      </c>
      <c r="FC11" s="257">
        <f t="shared" si="74"/>
        <v>0</v>
      </c>
      <c r="FD11" s="257">
        <f t="shared" si="75"/>
        <v>0</v>
      </c>
      <c r="FE11" s="257"/>
      <c r="FF11" s="289">
        <f t="shared" si="76"/>
        <v>85</v>
      </c>
      <c r="FG11" s="575">
        <f t="shared" si="77"/>
        <v>75</v>
      </c>
      <c r="FH11" s="575">
        <f t="shared" si="78"/>
        <v>75</v>
      </c>
      <c r="FI11" s="575">
        <f t="shared" si="79"/>
        <v>0</v>
      </c>
      <c r="FJ11" s="575">
        <f t="shared" si="80"/>
        <v>75</v>
      </c>
      <c r="FK11" s="575">
        <f t="shared" si="81"/>
        <v>0</v>
      </c>
      <c r="FL11" s="575">
        <f t="shared" si="82"/>
        <v>75</v>
      </c>
      <c r="FM11" s="575">
        <f t="shared" si="83"/>
        <v>75</v>
      </c>
      <c r="FN11" s="575">
        <f t="shared" si="84"/>
        <v>0</v>
      </c>
      <c r="FO11" s="575">
        <f t="shared" si="85"/>
        <v>0</v>
      </c>
      <c r="FP11" s="258"/>
      <c r="FQ11" s="289">
        <f t="shared" si="86"/>
        <v>75</v>
      </c>
      <c r="FR11" s="765">
        <f t="shared" si="87"/>
        <v>75</v>
      </c>
      <c r="FS11" s="765">
        <f t="shared" si="88"/>
        <v>75</v>
      </c>
      <c r="FT11" s="765">
        <f t="shared" si="89"/>
        <v>0</v>
      </c>
      <c r="FU11" s="765">
        <f t="shared" si="90"/>
        <v>75</v>
      </c>
      <c r="FV11" s="765">
        <f t="shared" si="91"/>
        <v>0</v>
      </c>
      <c r="FW11" s="765">
        <f t="shared" si="92"/>
        <v>75</v>
      </c>
      <c r="FX11" s="765">
        <f t="shared" si="93"/>
        <v>75</v>
      </c>
      <c r="FY11" s="765">
        <f t="shared" si="94"/>
        <v>0</v>
      </c>
      <c r="FZ11" s="765">
        <f t="shared" si="95"/>
        <v>0</v>
      </c>
      <c r="GA11" s="766"/>
      <c r="GB11" s="289">
        <f t="shared" si="96"/>
        <v>75</v>
      </c>
      <c r="GC11" s="257">
        <f t="shared" si="97"/>
        <v>80</v>
      </c>
      <c r="GD11" s="257">
        <f t="shared" si="98"/>
        <v>75</v>
      </c>
      <c r="GE11" s="257">
        <f t="shared" si="99"/>
        <v>75</v>
      </c>
      <c r="GF11" s="575">
        <f t="shared" si="100"/>
        <v>0</v>
      </c>
      <c r="GG11" s="506">
        <f t="shared" si="101"/>
        <v>3</v>
      </c>
      <c r="GH11" s="39">
        <f t="shared" si="102"/>
        <v>76.666666666666671</v>
      </c>
      <c r="GI11" s="257">
        <f t="shared" si="103"/>
        <v>75</v>
      </c>
      <c r="GJ11" s="257">
        <f t="shared" si="104"/>
        <v>75</v>
      </c>
      <c r="GK11" s="257">
        <f t="shared" si="105"/>
        <v>75</v>
      </c>
      <c r="GL11" s="575">
        <f t="shared" si="106"/>
        <v>0</v>
      </c>
      <c r="GM11" s="506">
        <f t="shared" si="107"/>
        <v>3</v>
      </c>
      <c r="GN11" s="39">
        <f t="shared" si="108"/>
        <v>75</v>
      </c>
      <c r="GO11" s="257">
        <f t="shared" si="109"/>
        <v>0</v>
      </c>
      <c r="GP11" s="257">
        <f t="shared" si="110"/>
        <v>0</v>
      </c>
      <c r="GQ11" s="257">
        <f t="shared" si="111"/>
        <v>0</v>
      </c>
      <c r="GR11" s="575">
        <f t="shared" si="112"/>
        <v>3</v>
      </c>
      <c r="GS11" s="506">
        <f t="shared" si="113"/>
        <v>0</v>
      </c>
      <c r="GT11" s="39" t="str">
        <f t="shared" si="114"/>
        <v/>
      </c>
      <c r="GU11" s="257">
        <f t="shared" si="115"/>
        <v>75</v>
      </c>
      <c r="GV11" s="257">
        <f t="shared" si="116"/>
        <v>75</v>
      </c>
      <c r="GW11" s="257">
        <f t="shared" si="117"/>
        <v>75</v>
      </c>
      <c r="GX11" s="575">
        <f t="shared" si="118"/>
        <v>0</v>
      </c>
      <c r="GY11" s="506">
        <f t="shared" si="119"/>
        <v>3</v>
      </c>
      <c r="GZ11" s="39">
        <f t="shared" si="120"/>
        <v>75</v>
      </c>
      <c r="HA11" s="257">
        <f t="shared" si="121"/>
        <v>0</v>
      </c>
      <c r="HB11" s="257">
        <f t="shared" si="122"/>
        <v>0</v>
      </c>
      <c r="HC11" s="257">
        <f t="shared" si="123"/>
        <v>0</v>
      </c>
      <c r="HD11" s="575">
        <f t="shared" si="124"/>
        <v>3</v>
      </c>
      <c r="HE11" s="506">
        <f t="shared" si="125"/>
        <v>0</v>
      </c>
      <c r="HF11" s="39" t="str">
        <f t="shared" si="126"/>
        <v/>
      </c>
      <c r="HG11" s="257">
        <f t="shared" si="127"/>
        <v>75</v>
      </c>
      <c r="HH11" s="257">
        <f t="shared" si="128"/>
        <v>75</v>
      </c>
      <c r="HI11" s="257">
        <f t="shared" si="129"/>
        <v>75</v>
      </c>
      <c r="HJ11" s="575">
        <f t="shared" si="130"/>
        <v>0</v>
      </c>
      <c r="HK11" s="506">
        <f t="shared" si="131"/>
        <v>3</v>
      </c>
      <c r="HL11" s="39">
        <f t="shared" si="132"/>
        <v>75</v>
      </c>
      <c r="HM11" s="257">
        <f t="shared" si="133"/>
        <v>85</v>
      </c>
      <c r="HN11" s="257">
        <f t="shared" si="134"/>
        <v>75</v>
      </c>
      <c r="HO11" s="257">
        <f t="shared" si="135"/>
        <v>75</v>
      </c>
      <c r="HP11" s="575">
        <f t="shared" si="136"/>
        <v>0</v>
      </c>
      <c r="HQ11" s="506">
        <f t="shared" si="137"/>
        <v>3</v>
      </c>
      <c r="HR11" s="39">
        <f t="shared" si="138"/>
        <v>78.333333333333329</v>
      </c>
      <c r="HS11" s="257">
        <f t="shared" si="139"/>
        <v>0</v>
      </c>
      <c r="HT11" s="257">
        <f t="shared" si="140"/>
        <v>0</v>
      </c>
      <c r="HU11" s="257">
        <f t="shared" si="141"/>
        <v>0</v>
      </c>
      <c r="HV11" s="575">
        <f t="shared" si="142"/>
        <v>3</v>
      </c>
      <c r="HW11" s="506">
        <f t="shared" si="143"/>
        <v>0</v>
      </c>
      <c r="HX11" s="39" t="str">
        <f t="shared" si="144"/>
        <v/>
      </c>
      <c r="HY11" s="257">
        <f t="shared" si="145"/>
        <v>0</v>
      </c>
      <c r="HZ11" s="257">
        <f t="shared" si="146"/>
        <v>0</v>
      </c>
      <c r="IA11" s="257">
        <f t="shared" si="147"/>
        <v>0</v>
      </c>
      <c r="IB11" s="575">
        <f t="shared" si="148"/>
        <v>3</v>
      </c>
      <c r="IC11" s="506">
        <f t="shared" si="149"/>
        <v>0</v>
      </c>
      <c r="ID11" s="39" t="str">
        <f t="shared" si="150"/>
        <v/>
      </c>
      <c r="IE11" s="39"/>
      <c r="IF11" s="39"/>
      <c r="IG11" s="39"/>
      <c r="IH11" s="39">
        <f t="shared" si="151"/>
        <v>76.666666666666671</v>
      </c>
      <c r="II11" s="39">
        <f t="shared" si="152"/>
        <v>75</v>
      </c>
      <c r="IJ11" s="39" t="str">
        <f t="shared" si="153"/>
        <v/>
      </c>
      <c r="IK11" s="39">
        <f t="shared" si="154"/>
        <v>75</v>
      </c>
      <c r="IL11" s="39" t="str">
        <f t="shared" si="155"/>
        <v/>
      </c>
      <c r="IM11" s="767">
        <f t="shared" si="156"/>
        <v>75</v>
      </c>
      <c r="IN11" s="579">
        <f t="shared" si="157"/>
        <v>78.333333333333329</v>
      </c>
      <c r="IO11" s="579" t="str">
        <f t="shared" si="158"/>
        <v/>
      </c>
      <c r="IP11" s="579" t="str">
        <f t="shared" si="159"/>
        <v/>
      </c>
      <c r="IQ11" s="579"/>
      <c r="IR11" s="579">
        <f t="shared" si="160"/>
        <v>76</v>
      </c>
      <c r="IS11" s="289">
        <f t="shared" si="161"/>
        <v>78.333333333333329</v>
      </c>
      <c r="IT11" s="289">
        <f t="shared" si="162"/>
        <v>75</v>
      </c>
      <c r="IU11" s="223" t="str">
        <f>SISWA!E9</f>
        <v>Andri</v>
      </c>
      <c r="IV11" s="223" t="str">
        <f t="shared" si="163"/>
        <v xml:space="preserve">Ananda Andri </v>
      </c>
      <c r="IW11" s="580" t="str">
        <f t="shared" si="164"/>
        <v/>
      </c>
      <c r="IX11" s="580" t="str">
        <f t="shared" si="165"/>
        <v/>
      </c>
      <c r="IY11" s="580" t="str">
        <f t="shared" si="166"/>
        <v/>
      </c>
      <c r="IZ11" s="580" t="str">
        <f t="shared" si="167"/>
        <v/>
      </c>
      <c r="JA11" s="580" t="str">
        <f t="shared" si="168"/>
        <v/>
      </c>
      <c r="JB11" s="580" t="str">
        <f t="shared" si="169"/>
        <v/>
      </c>
      <c r="JC11" s="580">
        <f t="shared" si="170"/>
        <v>78.333333333333329</v>
      </c>
      <c r="JD11" s="580" t="str">
        <f t="shared" si="171"/>
        <v/>
      </c>
      <c r="JE11" s="580" t="str">
        <f t="shared" si="172"/>
        <v/>
      </c>
      <c r="JF11" s="580"/>
      <c r="JG11" s="580"/>
      <c r="JH11" s="223">
        <f t="shared" si="173"/>
        <v>78.333333333333329</v>
      </c>
      <c r="JI11" s="289" t="str">
        <f t="shared" si="174"/>
        <v>menyajikan konsep-konsep yang saling berkaitan pada teks nonfiksi ke dalam tulisan dengan bahasa sendiri</v>
      </c>
      <c r="JJ11" s="576" t="str">
        <f>IF(IS11&gt;100,"",IF(IS11&gt;EV$1,"sangat baik dalam "&amp;JI11,IF(IS11&gt;=EV$2,"baik dalam "&amp;JI11,IF(IS11&gt;=EV$3,"cukup dalam "&amp;JI11,IF(IS11&lt;EV$3,"dengan bimbingan dapat meningkatkan dalam "&amp;JI11,IF(IS11&lt;1," ",””))))))</f>
        <v>cukup dalam menyajikan konsep-konsep yang saling berkaitan pada teks nonfiksi ke dalam tulisan dengan bahasa sendiri</v>
      </c>
      <c r="JK11" s="223"/>
      <c r="JL11" s="223" t="str">
        <f t="shared" si="175"/>
        <v/>
      </c>
      <c r="JM11" s="223">
        <f t="shared" si="176"/>
        <v>75</v>
      </c>
      <c r="JN11" s="223" t="str">
        <f t="shared" si="177"/>
        <v/>
      </c>
      <c r="JO11" s="223">
        <f t="shared" si="178"/>
        <v>75</v>
      </c>
      <c r="JP11" s="223" t="str">
        <f t="shared" si="179"/>
        <v/>
      </c>
      <c r="JQ11" s="223">
        <f t="shared" si="180"/>
        <v>75</v>
      </c>
      <c r="JR11" s="223" t="str">
        <f t="shared" si="181"/>
        <v/>
      </c>
      <c r="JS11" s="223" t="str">
        <f t="shared" si="182"/>
        <v/>
      </c>
      <c r="JT11" s="223" t="str">
        <f t="shared" si="183"/>
        <v/>
      </c>
      <c r="JU11" s="223"/>
      <c r="JV11" s="223"/>
      <c r="JW11" s="223" t="str">
        <f t="shared" si="184"/>
        <v>melisankan pantun hasil karya pribadi dengan lafal, intonasi, dan ekspresi yang tepat sebagai bentuk ungkapan diri</v>
      </c>
      <c r="JX11" s="577" t="str">
        <f>IF(IT11&gt;100,"",IF(IT11&gt;=EV$1,"sangat baik dalam "&amp;JW11,IF(IT11&gt;=EV$2,"baik dalam "&amp;JW11,IF(IT11&gt;=EV$3,"cukup dalam "&amp;JW11,IF(IT11&lt;EV$3,"dengan bimbingan dapat meningkatkan dalam "&amp;JW11,IF(IT11&lt;1," ",””))))))</f>
        <v>cukup dalam melisankan pantun hasil karya pribadi dengan lafal, intonasi, dan ekspresi yang tepat sebagai bentuk ungkapan diri</v>
      </c>
      <c r="JY11" s="223" t="str">
        <f t="shared" si="185"/>
        <v>Ananda Andri cukup dalam menyajikan konsep-konsep yang saling berkaitan pada teks nonfiksi ke dalam tulisan dengan bahasa sendiri, cukup dalam melisankan pantun hasil karya pribadi dengan lafal, intonasi, dan ekspresi yang tepat sebagai bentuk ungkapan diri.</v>
      </c>
    </row>
    <row r="12" spans="1:285" ht="60">
      <c r="A12" s="39">
        <v>5</v>
      </c>
      <c r="B12" s="223" t="str">
        <f>SISWA!B10</f>
        <v>Gresiya Suma Safitri</v>
      </c>
      <c r="C12" s="123">
        <v>90</v>
      </c>
      <c r="D12" s="123"/>
      <c r="E12" s="123"/>
      <c r="F12" s="123"/>
      <c r="G12" s="123"/>
      <c r="H12" s="123"/>
      <c r="I12" s="123"/>
      <c r="J12" s="123"/>
      <c r="K12" s="123"/>
      <c r="L12" s="255">
        <v>75</v>
      </c>
      <c r="M12" s="255"/>
      <c r="N12" s="255"/>
      <c r="O12" s="255"/>
      <c r="P12" s="255"/>
      <c r="Q12" s="255"/>
      <c r="R12" s="255"/>
      <c r="S12" s="255"/>
      <c r="T12" s="255"/>
      <c r="U12" s="256">
        <v>75</v>
      </c>
      <c r="V12" s="256"/>
      <c r="W12" s="256"/>
      <c r="X12" s="256"/>
      <c r="Y12" s="256"/>
      <c r="Z12" s="256"/>
      <c r="AA12" s="256"/>
      <c r="AB12" s="256"/>
      <c r="AC12" s="256"/>
      <c r="AD12" s="123"/>
      <c r="AE12" s="123">
        <v>75</v>
      </c>
      <c r="AF12" s="123"/>
      <c r="AG12" s="123"/>
      <c r="AH12" s="123"/>
      <c r="AI12" s="123"/>
      <c r="AJ12" s="123"/>
      <c r="AK12" s="123"/>
      <c r="AL12" s="123"/>
      <c r="AM12" s="255"/>
      <c r="AN12" s="255">
        <v>75</v>
      </c>
      <c r="AO12" s="255"/>
      <c r="AP12" s="255"/>
      <c r="AQ12" s="255"/>
      <c r="AR12" s="255"/>
      <c r="AS12" s="255"/>
      <c r="AT12" s="255"/>
      <c r="AU12" s="255"/>
      <c r="AV12" s="256"/>
      <c r="AW12" s="256">
        <v>85</v>
      </c>
      <c r="AX12" s="256"/>
      <c r="AY12" s="256"/>
      <c r="AZ12" s="256"/>
      <c r="BA12" s="256"/>
      <c r="BB12" s="256"/>
      <c r="BC12" s="256"/>
      <c r="BD12" s="256"/>
      <c r="BE12" s="123"/>
      <c r="BF12" s="123"/>
      <c r="BG12" s="123"/>
      <c r="BH12" s="123">
        <v>80</v>
      </c>
      <c r="BI12" s="123"/>
      <c r="BJ12" s="123"/>
      <c r="BK12" s="123"/>
      <c r="BL12" s="123"/>
      <c r="BM12" s="123"/>
      <c r="BN12" s="255"/>
      <c r="BO12" s="255"/>
      <c r="BP12" s="255"/>
      <c r="BQ12" s="255">
        <v>80</v>
      </c>
      <c r="BR12" s="255"/>
      <c r="BS12" s="255"/>
      <c r="BT12" s="255"/>
      <c r="BU12" s="255"/>
      <c r="BV12" s="255"/>
      <c r="BW12" s="256"/>
      <c r="BX12" s="256"/>
      <c r="BY12" s="256"/>
      <c r="BZ12" s="256">
        <v>75</v>
      </c>
      <c r="CA12" s="256"/>
      <c r="CB12" s="256"/>
      <c r="CC12" s="256"/>
      <c r="CD12" s="256"/>
      <c r="CE12" s="256"/>
      <c r="CF12" s="123"/>
      <c r="CG12" s="123"/>
      <c r="CH12" s="123"/>
      <c r="CI12" s="123"/>
      <c r="CJ12" s="123"/>
      <c r="CK12" s="123">
        <v>80</v>
      </c>
      <c r="CL12" s="123"/>
      <c r="CM12" s="123"/>
      <c r="CN12" s="123"/>
      <c r="CO12" s="255"/>
      <c r="CP12" s="255"/>
      <c r="CQ12" s="255"/>
      <c r="CR12" s="255"/>
      <c r="CS12" s="255"/>
      <c r="CT12" s="255">
        <v>90</v>
      </c>
      <c r="CU12" s="255"/>
      <c r="CV12" s="255"/>
      <c r="CW12" s="255"/>
      <c r="CX12" s="256"/>
      <c r="CY12" s="256"/>
      <c r="CZ12" s="256"/>
      <c r="DA12" s="256"/>
      <c r="DB12" s="256"/>
      <c r="DC12" s="256">
        <v>75</v>
      </c>
      <c r="DD12" s="256"/>
      <c r="DE12" s="256"/>
      <c r="DF12" s="256"/>
      <c r="DG12" s="458"/>
      <c r="DH12" s="458"/>
      <c r="DI12" s="458"/>
      <c r="DJ12" s="458"/>
      <c r="DK12" s="458"/>
      <c r="DL12" s="458"/>
      <c r="DM12" s="458">
        <v>90</v>
      </c>
      <c r="DN12" s="458"/>
      <c r="DO12" s="458"/>
      <c r="DP12" s="457"/>
      <c r="DQ12" s="457"/>
      <c r="DR12" s="457"/>
      <c r="DS12" s="457"/>
      <c r="DT12" s="457"/>
      <c r="DU12" s="457"/>
      <c r="DV12" s="457">
        <v>75</v>
      </c>
      <c r="DW12" s="457"/>
      <c r="DX12" s="457"/>
      <c r="DY12" s="256"/>
      <c r="DZ12" s="256"/>
      <c r="EA12" s="256"/>
      <c r="EB12" s="256"/>
      <c r="EC12" s="256"/>
      <c r="ED12" s="256"/>
      <c r="EE12" s="256">
        <v>80</v>
      </c>
      <c r="EF12" s="256"/>
      <c r="EG12" s="256"/>
      <c r="EH12" s="257">
        <f t="shared" si="55"/>
        <v>80</v>
      </c>
      <c r="EI12" s="257">
        <f t="shared" si="56"/>
        <v>78.333333333333329</v>
      </c>
      <c r="EJ12" s="257" t="str">
        <f t="shared" si="57"/>
        <v/>
      </c>
      <c r="EK12" s="257">
        <f t="shared" si="58"/>
        <v>78.333333333333329</v>
      </c>
      <c r="EL12" s="257" t="str">
        <f t="shared" si="59"/>
        <v/>
      </c>
      <c r="EM12" s="257">
        <f t="shared" si="60"/>
        <v>81.666666666666671</v>
      </c>
      <c r="EN12" s="257">
        <f t="shared" si="61"/>
        <v>81.666666666666671</v>
      </c>
      <c r="EO12" s="257" t="str">
        <f t="shared" si="62"/>
        <v/>
      </c>
      <c r="EP12" s="257" t="str">
        <f t="shared" si="63"/>
        <v/>
      </c>
      <c r="EQ12" s="579">
        <f t="shared" si="64"/>
        <v>80</v>
      </c>
      <c r="ER12" s="291" t="str">
        <f t="shared" si="65"/>
        <v>C</v>
      </c>
      <c r="ES12" s="243" t="str">
        <f t="shared" si="66"/>
        <v>Ananda Gresia cukup dalam menyajikan konsep-konsep yang saling berkaitan pada teks nonfiksi ke dalam tulisan dengan bahasa sendiri, cukup dalam menyajikan hasil klasifikasi informasi yang didapat dari buku yang dikelompokkan dalam aspek: apa, di mana, kapan, siapa, mengapa, dan bagaimana .</v>
      </c>
      <c r="ET12" s="39"/>
      <c r="EU12" s="39"/>
      <c r="EV12" s="257">
        <f t="shared" si="67"/>
        <v>90</v>
      </c>
      <c r="EW12" s="257">
        <f t="shared" si="68"/>
        <v>75</v>
      </c>
      <c r="EX12" s="257">
        <f t="shared" si="69"/>
        <v>0</v>
      </c>
      <c r="EY12" s="257">
        <f t="shared" si="70"/>
        <v>80</v>
      </c>
      <c r="EZ12" s="257">
        <f t="shared" si="71"/>
        <v>0</v>
      </c>
      <c r="FA12" s="257">
        <f t="shared" si="72"/>
        <v>80</v>
      </c>
      <c r="FB12" s="257">
        <f t="shared" si="73"/>
        <v>90</v>
      </c>
      <c r="FC12" s="257">
        <f t="shared" si="74"/>
        <v>0</v>
      </c>
      <c r="FD12" s="257">
        <f t="shared" si="75"/>
        <v>0</v>
      </c>
      <c r="FE12" s="257"/>
      <c r="FF12" s="289">
        <f t="shared" si="76"/>
        <v>90</v>
      </c>
      <c r="FG12" s="575">
        <f t="shared" si="77"/>
        <v>75</v>
      </c>
      <c r="FH12" s="575">
        <f t="shared" si="78"/>
        <v>75</v>
      </c>
      <c r="FI12" s="575">
        <f t="shared" si="79"/>
        <v>0</v>
      </c>
      <c r="FJ12" s="575">
        <f t="shared" si="80"/>
        <v>80</v>
      </c>
      <c r="FK12" s="575">
        <f t="shared" si="81"/>
        <v>0</v>
      </c>
      <c r="FL12" s="575">
        <f t="shared" si="82"/>
        <v>90</v>
      </c>
      <c r="FM12" s="575">
        <f t="shared" si="83"/>
        <v>75</v>
      </c>
      <c r="FN12" s="575">
        <f t="shared" si="84"/>
        <v>0</v>
      </c>
      <c r="FO12" s="575">
        <f t="shared" si="85"/>
        <v>0</v>
      </c>
      <c r="FP12" s="258"/>
      <c r="FQ12" s="289">
        <f t="shared" si="86"/>
        <v>90</v>
      </c>
      <c r="FR12" s="765">
        <f t="shared" si="87"/>
        <v>75</v>
      </c>
      <c r="FS12" s="765">
        <f t="shared" si="88"/>
        <v>85</v>
      </c>
      <c r="FT12" s="765">
        <f t="shared" si="89"/>
        <v>0</v>
      </c>
      <c r="FU12" s="765">
        <f t="shared" si="90"/>
        <v>75</v>
      </c>
      <c r="FV12" s="765">
        <f t="shared" si="91"/>
        <v>0</v>
      </c>
      <c r="FW12" s="765">
        <f t="shared" si="92"/>
        <v>75</v>
      </c>
      <c r="FX12" s="765">
        <f t="shared" si="93"/>
        <v>80</v>
      </c>
      <c r="FY12" s="765">
        <f t="shared" si="94"/>
        <v>0</v>
      </c>
      <c r="FZ12" s="765">
        <f t="shared" si="95"/>
        <v>0</v>
      </c>
      <c r="GA12" s="766"/>
      <c r="GB12" s="289">
        <f t="shared" si="96"/>
        <v>85</v>
      </c>
      <c r="GC12" s="257">
        <f t="shared" si="97"/>
        <v>90</v>
      </c>
      <c r="GD12" s="257">
        <f t="shared" si="98"/>
        <v>75</v>
      </c>
      <c r="GE12" s="257">
        <f t="shared" si="99"/>
        <v>75</v>
      </c>
      <c r="GF12" s="575">
        <f t="shared" si="100"/>
        <v>0</v>
      </c>
      <c r="GG12" s="506">
        <f t="shared" si="101"/>
        <v>3</v>
      </c>
      <c r="GH12" s="39">
        <f t="shared" si="102"/>
        <v>80</v>
      </c>
      <c r="GI12" s="257">
        <f t="shared" si="103"/>
        <v>75</v>
      </c>
      <c r="GJ12" s="257">
        <f t="shared" si="104"/>
        <v>75</v>
      </c>
      <c r="GK12" s="257">
        <f t="shared" si="105"/>
        <v>85</v>
      </c>
      <c r="GL12" s="575">
        <f t="shared" si="106"/>
        <v>0</v>
      </c>
      <c r="GM12" s="506">
        <f t="shared" si="107"/>
        <v>3</v>
      </c>
      <c r="GN12" s="39">
        <f t="shared" si="108"/>
        <v>78.333333333333329</v>
      </c>
      <c r="GO12" s="257">
        <f t="shared" si="109"/>
        <v>0</v>
      </c>
      <c r="GP12" s="257">
        <f t="shared" si="110"/>
        <v>0</v>
      </c>
      <c r="GQ12" s="257">
        <f t="shared" si="111"/>
        <v>0</v>
      </c>
      <c r="GR12" s="575">
        <f t="shared" si="112"/>
        <v>3</v>
      </c>
      <c r="GS12" s="506">
        <f t="shared" si="113"/>
        <v>0</v>
      </c>
      <c r="GT12" s="39" t="str">
        <f t="shared" si="114"/>
        <v/>
      </c>
      <c r="GU12" s="257">
        <f t="shared" si="115"/>
        <v>80</v>
      </c>
      <c r="GV12" s="257">
        <f t="shared" si="116"/>
        <v>80</v>
      </c>
      <c r="GW12" s="257">
        <f t="shared" si="117"/>
        <v>75</v>
      </c>
      <c r="GX12" s="575">
        <f t="shared" si="118"/>
        <v>0</v>
      </c>
      <c r="GY12" s="506">
        <f t="shared" si="119"/>
        <v>3</v>
      </c>
      <c r="GZ12" s="39">
        <f t="shared" si="120"/>
        <v>78.333333333333329</v>
      </c>
      <c r="HA12" s="257">
        <f t="shared" si="121"/>
        <v>0</v>
      </c>
      <c r="HB12" s="257">
        <f t="shared" si="122"/>
        <v>0</v>
      </c>
      <c r="HC12" s="257">
        <f t="shared" si="123"/>
        <v>0</v>
      </c>
      <c r="HD12" s="575">
        <f t="shared" si="124"/>
        <v>3</v>
      </c>
      <c r="HE12" s="506">
        <f t="shared" si="125"/>
        <v>0</v>
      </c>
      <c r="HF12" s="39" t="str">
        <f t="shared" si="126"/>
        <v/>
      </c>
      <c r="HG12" s="257">
        <f t="shared" si="127"/>
        <v>80</v>
      </c>
      <c r="HH12" s="257">
        <f t="shared" si="128"/>
        <v>90</v>
      </c>
      <c r="HI12" s="257">
        <f t="shared" si="129"/>
        <v>75</v>
      </c>
      <c r="HJ12" s="575">
        <f t="shared" si="130"/>
        <v>0</v>
      </c>
      <c r="HK12" s="506">
        <f t="shared" si="131"/>
        <v>3</v>
      </c>
      <c r="HL12" s="39">
        <f t="shared" si="132"/>
        <v>81.666666666666671</v>
      </c>
      <c r="HM12" s="257">
        <f t="shared" si="133"/>
        <v>90</v>
      </c>
      <c r="HN12" s="257">
        <f t="shared" si="134"/>
        <v>75</v>
      </c>
      <c r="HO12" s="257">
        <f t="shared" si="135"/>
        <v>80</v>
      </c>
      <c r="HP12" s="575">
        <f t="shared" si="136"/>
        <v>0</v>
      </c>
      <c r="HQ12" s="506">
        <f t="shared" si="137"/>
        <v>3</v>
      </c>
      <c r="HR12" s="39">
        <f t="shared" si="138"/>
        <v>81.666666666666671</v>
      </c>
      <c r="HS12" s="257">
        <f t="shared" si="139"/>
        <v>0</v>
      </c>
      <c r="HT12" s="257">
        <f t="shared" si="140"/>
        <v>0</v>
      </c>
      <c r="HU12" s="257">
        <f t="shared" si="141"/>
        <v>0</v>
      </c>
      <c r="HV12" s="575">
        <f t="shared" si="142"/>
        <v>3</v>
      </c>
      <c r="HW12" s="506">
        <f t="shared" si="143"/>
        <v>0</v>
      </c>
      <c r="HX12" s="39" t="str">
        <f t="shared" si="144"/>
        <v/>
      </c>
      <c r="HY12" s="257">
        <f t="shared" si="145"/>
        <v>0</v>
      </c>
      <c r="HZ12" s="257">
        <f t="shared" si="146"/>
        <v>0</v>
      </c>
      <c r="IA12" s="257">
        <f t="shared" si="147"/>
        <v>0</v>
      </c>
      <c r="IB12" s="575">
        <f t="shared" si="148"/>
        <v>3</v>
      </c>
      <c r="IC12" s="506">
        <f t="shared" si="149"/>
        <v>0</v>
      </c>
      <c r="ID12" s="39" t="str">
        <f t="shared" si="150"/>
        <v/>
      </c>
      <c r="IE12" s="39"/>
      <c r="IF12" s="39"/>
      <c r="IG12" s="39"/>
      <c r="IH12" s="39">
        <f t="shared" si="151"/>
        <v>80</v>
      </c>
      <c r="II12" s="39">
        <f t="shared" si="152"/>
        <v>78.333333333333329</v>
      </c>
      <c r="IJ12" s="39" t="str">
        <f t="shared" si="153"/>
        <v/>
      </c>
      <c r="IK12" s="39">
        <f t="shared" si="154"/>
        <v>78.333333333333329</v>
      </c>
      <c r="IL12" s="39" t="str">
        <f t="shared" si="155"/>
        <v/>
      </c>
      <c r="IM12" s="767">
        <f t="shared" si="156"/>
        <v>81.666666666666671</v>
      </c>
      <c r="IN12" s="579">
        <f t="shared" si="157"/>
        <v>81.666666666666671</v>
      </c>
      <c r="IO12" s="579" t="str">
        <f t="shared" si="158"/>
        <v/>
      </c>
      <c r="IP12" s="579" t="str">
        <f t="shared" si="159"/>
        <v/>
      </c>
      <c r="IQ12" s="579"/>
      <c r="IR12" s="579">
        <f t="shared" si="160"/>
        <v>80</v>
      </c>
      <c r="IS12" s="289">
        <f t="shared" si="161"/>
        <v>81.666666666666671</v>
      </c>
      <c r="IT12" s="289">
        <f t="shared" si="162"/>
        <v>78.333333333333329</v>
      </c>
      <c r="IU12" s="223" t="str">
        <f>SISWA!E10</f>
        <v>Gresia</v>
      </c>
      <c r="IV12" s="223" t="str">
        <f t="shared" si="163"/>
        <v xml:space="preserve">Ananda Gresia </v>
      </c>
      <c r="IW12" s="580" t="str">
        <f t="shared" si="164"/>
        <v/>
      </c>
      <c r="IX12" s="580" t="str">
        <f t="shared" si="165"/>
        <v/>
      </c>
      <c r="IY12" s="580" t="str">
        <f t="shared" si="166"/>
        <v/>
      </c>
      <c r="IZ12" s="580" t="str">
        <f t="shared" si="167"/>
        <v/>
      </c>
      <c r="JA12" s="580" t="str">
        <f t="shared" si="168"/>
        <v/>
      </c>
      <c r="JB12" s="580">
        <f t="shared" si="169"/>
        <v>81.666666666666671</v>
      </c>
      <c r="JC12" s="580">
        <f t="shared" si="170"/>
        <v>81.666666666666671</v>
      </c>
      <c r="JD12" s="580" t="str">
        <f t="shared" si="171"/>
        <v/>
      </c>
      <c r="JE12" s="580" t="str">
        <f t="shared" si="172"/>
        <v/>
      </c>
      <c r="JF12" s="580"/>
      <c r="JG12" s="580"/>
      <c r="JH12" s="223">
        <f t="shared" si="173"/>
        <v>163.33333333333334</v>
      </c>
      <c r="JI12" s="289" t="str">
        <f t="shared" si="174"/>
        <v>menyajikan konsep-konsep yang saling berkaitan pada teks nonfiksi ke dalam tulisan dengan bahasa sendiri</v>
      </c>
      <c r="JJ12" s="576" t="str">
        <f>IF(IS12&gt;100,"",IF(IS12&gt;EV$1,"sangat baik dalam "&amp;JI12,IF(IS12&gt;=EV$2,"baik dalam "&amp;JI12,IF(IS12&gt;=EV$3,"cukup dalam "&amp;JI12,IF(IS12&lt;EV$3,"dengan bimbingan dapat meningkatkan dalam "&amp;JI12,IF(IS12&lt;1," ",””))))))</f>
        <v>cukup dalam menyajikan konsep-konsep yang saling berkaitan pada teks nonfiksi ke dalam tulisan dengan bahasa sendiri</v>
      </c>
      <c r="JK12" s="223"/>
      <c r="JL12" s="223" t="str">
        <f t="shared" si="175"/>
        <v/>
      </c>
      <c r="JM12" s="223">
        <f t="shared" si="176"/>
        <v>78.333333333333329</v>
      </c>
      <c r="JN12" s="223" t="str">
        <f t="shared" si="177"/>
        <v/>
      </c>
      <c r="JO12" s="223">
        <f t="shared" si="178"/>
        <v>78.333333333333329</v>
      </c>
      <c r="JP12" s="223" t="str">
        <f t="shared" si="179"/>
        <v/>
      </c>
      <c r="JQ12" s="223" t="str">
        <f t="shared" si="180"/>
        <v/>
      </c>
      <c r="JR12" s="223" t="str">
        <f t="shared" si="181"/>
        <v/>
      </c>
      <c r="JS12" s="223" t="str">
        <f t="shared" si="182"/>
        <v/>
      </c>
      <c r="JT12" s="223" t="str">
        <f t="shared" si="183"/>
        <v/>
      </c>
      <c r="JU12" s="223"/>
      <c r="JV12" s="223"/>
      <c r="JW12" s="223" t="str">
        <f t="shared" si="184"/>
        <v xml:space="preserve">menyajikan hasil klasifikasi informasi yang didapat dari buku yang dikelompokkan dalam aspek: apa, di mana, kapan, siapa, mengapa, dan bagaimana </v>
      </c>
      <c r="JX12" s="577" t="str">
        <f>IF(IT12&gt;100,"",IF(IT12&gt;=EV$1,"sangat baik dalam "&amp;JW12,IF(IT12&gt;=EV$2,"baik dalam "&amp;JW12,IF(IT12&gt;=EV$3,"cukup dalam "&amp;JW12,IF(IT12&lt;EV$3,"dengan bimbingan dapat meningkatkan dalam "&amp;JW12,IF(IT12&lt;1," ",””))))))</f>
        <v xml:space="preserve">cukup dalam menyajikan hasil klasifikasi informasi yang didapat dari buku yang dikelompokkan dalam aspek: apa, di mana, kapan, siapa, mengapa, dan bagaimana </v>
      </c>
      <c r="JY12" s="223" t="str">
        <f t="shared" si="185"/>
        <v>Ananda Gresia cukup dalam menyajikan konsep-konsep yang saling berkaitan pada teks nonfiksi ke dalam tulisan dengan bahasa sendiri, cukup dalam menyajikan hasil klasifikasi informasi yang didapat dari buku yang dikelompokkan dalam aspek: apa, di mana, kapan, siapa, mengapa, dan bagaimana .</v>
      </c>
    </row>
    <row r="13" spans="1:285" ht="45">
      <c r="A13" s="39">
        <v>6</v>
      </c>
      <c r="B13" s="223" t="str">
        <f>SISWA!B11</f>
        <v>Hasna Fathitya Sabrina</v>
      </c>
      <c r="C13" s="123">
        <v>90</v>
      </c>
      <c r="D13" s="123"/>
      <c r="E13" s="123"/>
      <c r="F13" s="123"/>
      <c r="G13" s="123"/>
      <c r="H13" s="123"/>
      <c r="I13" s="123"/>
      <c r="J13" s="123"/>
      <c r="K13" s="123"/>
      <c r="L13" s="255">
        <v>90</v>
      </c>
      <c r="M13" s="255"/>
      <c r="N13" s="255"/>
      <c r="O13" s="255"/>
      <c r="P13" s="255"/>
      <c r="Q13" s="255"/>
      <c r="R13" s="255"/>
      <c r="S13" s="255"/>
      <c r="T13" s="255"/>
      <c r="U13" s="256">
        <v>90</v>
      </c>
      <c r="V13" s="256"/>
      <c r="W13" s="256"/>
      <c r="X13" s="256"/>
      <c r="Y13" s="256"/>
      <c r="Z13" s="256"/>
      <c r="AA13" s="256"/>
      <c r="AB13" s="256"/>
      <c r="AC13" s="256"/>
      <c r="AD13" s="123"/>
      <c r="AE13" s="123">
        <v>85</v>
      </c>
      <c r="AF13" s="123"/>
      <c r="AG13" s="123"/>
      <c r="AH13" s="123"/>
      <c r="AI13" s="123"/>
      <c r="AJ13" s="123"/>
      <c r="AK13" s="123"/>
      <c r="AL13" s="123"/>
      <c r="AM13" s="255"/>
      <c r="AN13" s="255">
        <v>90</v>
      </c>
      <c r="AO13" s="255"/>
      <c r="AP13" s="255"/>
      <c r="AQ13" s="255"/>
      <c r="AR13" s="255"/>
      <c r="AS13" s="255"/>
      <c r="AT13" s="255"/>
      <c r="AU13" s="255"/>
      <c r="AV13" s="256"/>
      <c r="AW13" s="256">
        <v>75</v>
      </c>
      <c r="AX13" s="256"/>
      <c r="AY13" s="256"/>
      <c r="AZ13" s="256"/>
      <c r="BA13" s="256"/>
      <c r="BB13" s="256"/>
      <c r="BC13" s="256"/>
      <c r="BD13" s="256"/>
      <c r="BE13" s="123"/>
      <c r="BF13" s="123"/>
      <c r="BG13" s="123"/>
      <c r="BH13" s="123">
        <v>80</v>
      </c>
      <c r="BI13" s="123"/>
      <c r="BJ13" s="123"/>
      <c r="BK13" s="123"/>
      <c r="BL13" s="123"/>
      <c r="BM13" s="123"/>
      <c r="BN13" s="255"/>
      <c r="BO13" s="255"/>
      <c r="BP13" s="255"/>
      <c r="BQ13" s="255">
        <v>85</v>
      </c>
      <c r="BR13" s="255"/>
      <c r="BS13" s="255"/>
      <c r="BT13" s="255"/>
      <c r="BU13" s="255"/>
      <c r="BV13" s="255"/>
      <c r="BW13" s="256"/>
      <c r="BX13" s="256"/>
      <c r="BY13" s="256"/>
      <c r="BZ13" s="256">
        <v>85</v>
      </c>
      <c r="CA13" s="256"/>
      <c r="CB13" s="256"/>
      <c r="CC13" s="256"/>
      <c r="CD13" s="256"/>
      <c r="CE13" s="256"/>
      <c r="CF13" s="123"/>
      <c r="CG13" s="123"/>
      <c r="CH13" s="123"/>
      <c r="CI13" s="123"/>
      <c r="CJ13" s="123"/>
      <c r="CK13" s="123">
        <v>75</v>
      </c>
      <c r="CL13" s="123"/>
      <c r="CM13" s="123"/>
      <c r="CN13" s="123"/>
      <c r="CO13" s="255"/>
      <c r="CP13" s="255"/>
      <c r="CQ13" s="255"/>
      <c r="CR13" s="255"/>
      <c r="CS13" s="255"/>
      <c r="CT13" s="255">
        <v>80</v>
      </c>
      <c r="CU13" s="255"/>
      <c r="CV13" s="255"/>
      <c r="CW13" s="255"/>
      <c r="CX13" s="256"/>
      <c r="CY13" s="256"/>
      <c r="CZ13" s="256"/>
      <c r="DA13" s="256"/>
      <c r="DB13" s="256"/>
      <c r="DC13" s="256">
        <v>90</v>
      </c>
      <c r="DD13" s="256"/>
      <c r="DE13" s="256"/>
      <c r="DF13" s="256"/>
      <c r="DG13" s="458"/>
      <c r="DH13" s="458"/>
      <c r="DI13" s="458"/>
      <c r="DJ13" s="458"/>
      <c r="DK13" s="458"/>
      <c r="DL13" s="458"/>
      <c r="DM13" s="458">
        <v>75</v>
      </c>
      <c r="DN13" s="458"/>
      <c r="DO13" s="458"/>
      <c r="DP13" s="457"/>
      <c r="DQ13" s="457"/>
      <c r="DR13" s="457"/>
      <c r="DS13" s="457"/>
      <c r="DT13" s="457"/>
      <c r="DU13" s="457"/>
      <c r="DV13" s="457">
        <v>85</v>
      </c>
      <c r="DW13" s="457"/>
      <c r="DX13" s="457"/>
      <c r="DY13" s="256"/>
      <c r="DZ13" s="256"/>
      <c r="EA13" s="256"/>
      <c r="EB13" s="256"/>
      <c r="EC13" s="256"/>
      <c r="ED13" s="256"/>
      <c r="EE13" s="256">
        <v>80</v>
      </c>
      <c r="EF13" s="256"/>
      <c r="EG13" s="256"/>
      <c r="EH13" s="257">
        <f t="shared" si="55"/>
        <v>90</v>
      </c>
      <c r="EI13" s="257">
        <f t="shared" si="56"/>
        <v>83.333333333333329</v>
      </c>
      <c r="EJ13" s="257" t="str">
        <f t="shared" si="57"/>
        <v/>
      </c>
      <c r="EK13" s="257">
        <f t="shared" si="58"/>
        <v>83.333333333333329</v>
      </c>
      <c r="EL13" s="257" t="str">
        <f t="shared" si="59"/>
        <v/>
      </c>
      <c r="EM13" s="257">
        <f t="shared" si="60"/>
        <v>81.666666666666671</v>
      </c>
      <c r="EN13" s="257">
        <f t="shared" si="61"/>
        <v>80</v>
      </c>
      <c r="EO13" s="257" t="str">
        <f t="shared" si="62"/>
        <v/>
      </c>
      <c r="EP13" s="257" t="str">
        <f t="shared" si="63"/>
        <v/>
      </c>
      <c r="EQ13" s="579">
        <f t="shared" si="64"/>
        <v>84</v>
      </c>
      <c r="ER13" s="291" t="str">
        <f t="shared" si="65"/>
        <v>B</v>
      </c>
      <c r="ES13" s="243" t="str">
        <f t="shared" si="66"/>
        <v>Ananda Hasna baik dalam menyajikan hasil identifikasi pokok pikiran dalam teks tulis dan lisan secara lisan, tulis, dan visual, cukup dalam menyajikan konsep-konsep yang saling berkaitan pada teks nonfiksi ke dalam tulisan dengan bahasa sendiri.</v>
      </c>
      <c r="ET13" s="39"/>
      <c r="EU13" s="39"/>
      <c r="EV13" s="257">
        <f t="shared" si="67"/>
        <v>90</v>
      </c>
      <c r="EW13" s="257">
        <f t="shared" si="68"/>
        <v>85</v>
      </c>
      <c r="EX13" s="257">
        <f t="shared" si="69"/>
        <v>0</v>
      </c>
      <c r="EY13" s="257">
        <f t="shared" si="70"/>
        <v>80</v>
      </c>
      <c r="EZ13" s="257">
        <f t="shared" si="71"/>
        <v>0</v>
      </c>
      <c r="FA13" s="257">
        <f t="shared" si="72"/>
        <v>75</v>
      </c>
      <c r="FB13" s="257">
        <f t="shared" si="73"/>
        <v>75</v>
      </c>
      <c r="FC13" s="257">
        <f t="shared" si="74"/>
        <v>0</v>
      </c>
      <c r="FD13" s="257">
        <f t="shared" si="75"/>
        <v>0</v>
      </c>
      <c r="FE13" s="257"/>
      <c r="FF13" s="289">
        <f t="shared" si="76"/>
        <v>90</v>
      </c>
      <c r="FG13" s="575">
        <f t="shared" si="77"/>
        <v>90</v>
      </c>
      <c r="FH13" s="575">
        <f t="shared" si="78"/>
        <v>90</v>
      </c>
      <c r="FI13" s="575">
        <f t="shared" si="79"/>
        <v>0</v>
      </c>
      <c r="FJ13" s="575">
        <f t="shared" si="80"/>
        <v>85</v>
      </c>
      <c r="FK13" s="575">
        <f t="shared" si="81"/>
        <v>0</v>
      </c>
      <c r="FL13" s="575">
        <f t="shared" si="82"/>
        <v>80</v>
      </c>
      <c r="FM13" s="575">
        <f t="shared" si="83"/>
        <v>85</v>
      </c>
      <c r="FN13" s="575">
        <f t="shared" si="84"/>
        <v>0</v>
      </c>
      <c r="FO13" s="575">
        <f t="shared" si="85"/>
        <v>0</v>
      </c>
      <c r="FP13" s="258"/>
      <c r="FQ13" s="289">
        <f t="shared" si="86"/>
        <v>90</v>
      </c>
      <c r="FR13" s="765">
        <f t="shared" si="87"/>
        <v>90</v>
      </c>
      <c r="FS13" s="765">
        <f t="shared" si="88"/>
        <v>75</v>
      </c>
      <c r="FT13" s="765">
        <f t="shared" si="89"/>
        <v>0</v>
      </c>
      <c r="FU13" s="765">
        <f t="shared" si="90"/>
        <v>85</v>
      </c>
      <c r="FV13" s="765">
        <f t="shared" si="91"/>
        <v>0</v>
      </c>
      <c r="FW13" s="765">
        <f t="shared" si="92"/>
        <v>90</v>
      </c>
      <c r="FX13" s="765">
        <f t="shared" si="93"/>
        <v>80</v>
      </c>
      <c r="FY13" s="765">
        <f t="shared" si="94"/>
        <v>0</v>
      </c>
      <c r="FZ13" s="765">
        <f t="shared" si="95"/>
        <v>0</v>
      </c>
      <c r="GA13" s="766"/>
      <c r="GB13" s="289">
        <f t="shared" si="96"/>
        <v>90</v>
      </c>
      <c r="GC13" s="257">
        <f t="shared" si="97"/>
        <v>90</v>
      </c>
      <c r="GD13" s="257">
        <f t="shared" si="98"/>
        <v>90</v>
      </c>
      <c r="GE13" s="257">
        <f t="shared" si="99"/>
        <v>90</v>
      </c>
      <c r="GF13" s="575">
        <f t="shared" si="100"/>
        <v>0</v>
      </c>
      <c r="GG13" s="506">
        <f t="shared" si="101"/>
        <v>3</v>
      </c>
      <c r="GH13" s="39">
        <f t="shared" si="102"/>
        <v>90</v>
      </c>
      <c r="GI13" s="257">
        <f t="shared" si="103"/>
        <v>85</v>
      </c>
      <c r="GJ13" s="257">
        <f t="shared" si="104"/>
        <v>90</v>
      </c>
      <c r="GK13" s="257">
        <f t="shared" si="105"/>
        <v>75</v>
      </c>
      <c r="GL13" s="575">
        <f t="shared" si="106"/>
        <v>0</v>
      </c>
      <c r="GM13" s="506">
        <f t="shared" si="107"/>
        <v>3</v>
      </c>
      <c r="GN13" s="39">
        <f t="shared" si="108"/>
        <v>83.333333333333329</v>
      </c>
      <c r="GO13" s="257">
        <f t="shared" si="109"/>
        <v>0</v>
      </c>
      <c r="GP13" s="257">
        <f t="shared" si="110"/>
        <v>0</v>
      </c>
      <c r="GQ13" s="257">
        <f t="shared" si="111"/>
        <v>0</v>
      </c>
      <c r="GR13" s="575">
        <f t="shared" si="112"/>
        <v>3</v>
      </c>
      <c r="GS13" s="506">
        <f t="shared" si="113"/>
        <v>0</v>
      </c>
      <c r="GT13" s="39" t="str">
        <f t="shared" si="114"/>
        <v/>
      </c>
      <c r="GU13" s="257">
        <f t="shared" si="115"/>
        <v>80</v>
      </c>
      <c r="GV13" s="257">
        <f t="shared" si="116"/>
        <v>85</v>
      </c>
      <c r="GW13" s="257">
        <f t="shared" si="117"/>
        <v>85</v>
      </c>
      <c r="GX13" s="575">
        <f t="shared" si="118"/>
        <v>0</v>
      </c>
      <c r="GY13" s="506">
        <f t="shared" si="119"/>
        <v>3</v>
      </c>
      <c r="GZ13" s="39">
        <f t="shared" si="120"/>
        <v>83.333333333333329</v>
      </c>
      <c r="HA13" s="257">
        <f t="shared" si="121"/>
        <v>0</v>
      </c>
      <c r="HB13" s="257">
        <f t="shared" si="122"/>
        <v>0</v>
      </c>
      <c r="HC13" s="257">
        <f t="shared" si="123"/>
        <v>0</v>
      </c>
      <c r="HD13" s="575">
        <f t="shared" si="124"/>
        <v>3</v>
      </c>
      <c r="HE13" s="506">
        <f t="shared" si="125"/>
        <v>0</v>
      </c>
      <c r="HF13" s="39" t="str">
        <f t="shared" si="126"/>
        <v/>
      </c>
      <c r="HG13" s="257">
        <f t="shared" si="127"/>
        <v>75</v>
      </c>
      <c r="HH13" s="257">
        <f t="shared" si="128"/>
        <v>80</v>
      </c>
      <c r="HI13" s="257">
        <f t="shared" si="129"/>
        <v>90</v>
      </c>
      <c r="HJ13" s="575">
        <f t="shared" si="130"/>
        <v>0</v>
      </c>
      <c r="HK13" s="506">
        <f t="shared" si="131"/>
        <v>3</v>
      </c>
      <c r="HL13" s="39">
        <f t="shared" si="132"/>
        <v>81.666666666666671</v>
      </c>
      <c r="HM13" s="257">
        <f t="shared" si="133"/>
        <v>75</v>
      </c>
      <c r="HN13" s="257">
        <f t="shared" si="134"/>
        <v>85</v>
      </c>
      <c r="HO13" s="257">
        <f t="shared" si="135"/>
        <v>80</v>
      </c>
      <c r="HP13" s="575">
        <f t="shared" si="136"/>
        <v>0</v>
      </c>
      <c r="HQ13" s="506">
        <f t="shared" si="137"/>
        <v>3</v>
      </c>
      <c r="HR13" s="39">
        <f t="shared" si="138"/>
        <v>80</v>
      </c>
      <c r="HS13" s="257">
        <f t="shared" si="139"/>
        <v>0</v>
      </c>
      <c r="HT13" s="257">
        <f t="shared" si="140"/>
        <v>0</v>
      </c>
      <c r="HU13" s="257">
        <f t="shared" si="141"/>
        <v>0</v>
      </c>
      <c r="HV13" s="575">
        <f t="shared" si="142"/>
        <v>3</v>
      </c>
      <c r="HW13" s="506">
        <f t="shared" si="143"/>
        <v>0</v>
      </c>
      <c r="HX13" s="39" t="str">
        <f t="shared" si="144"/>
        <v/>
      </c>
      <c r="HY13" s="257">
        <f t="shared" si="145"/>
        <v>0</v>
      </c>
      <c r="HZ13" s="257">
        <f t="shared" si="146"/>
        <v>0</v>
      </c>
      <c r="IA13" s="257">
        <f t="shared" si="147"/>
        <v>0</v>
      </c>
      <c r="IB13" s="575">
        <f t="shared" si="148"/>
        <v>3</v>
      </c>
      <c r="IC13" s="506">
        <f t="shared" si="149"/>
        <v>0</v>
      </c>
      <c r="ID13" s="39" t="str">
        <f t="shared" si="150"/>
        <v/>
      </c>
      <c r="IE13" s="39"/>
      <c r="IF13" s="39"/>
      <c r="IG13" s="39"/>
      <c r="IH13" s="39">
        <f t="shared" si="151"/>
        <v>90</v>
      </c>
      <c r="II13" s="39">
        <f t="shared" si="152"/>
        <v>83.333333333333329</v>
      </c>
      <c r="IJ13" s="39" t="str">
        <f t="shared" si="153"/>
        <v/>
      </c>
      <c r="IK13" s="39">
        <f t="shared" si="154"/>
        <v>83.333333333333329</v>
      </c>
      <c r="IL13" s="39" t="str">
        <f t="shared" si="155"/>
        <v/>
      </c>
      <c r="IM13" s="767">
        <f t="shared" si="156"/>
        <v>81.666666666666671</v>
      </c>
      <c r="IN13" s="579">
        <f t="shared" si="157"/>
        <v>80</v>
      </c>
      <c r="IO13" s="579" t="str">
        <f t="shared" si="158"/>
        <v/>
      </c>
      <c r="IP13" s="579" t="str">
        <f t="shared" si="159"/>
        <v/>
      </c>
      <c r="IQ13" s="579"/>
      <c r="IR13" s="579">
        <f t="shared" si="160"/>
        <v>84</v>
      </c>
      <c r="IS13" s="289">
        <f t="shared" si="161"/>
        <v>90</v>
      </c>
      <c r="IT13" s="289">
        <f t="shared" si="162"/>
        <v>80</v>
      </c>
      <c r="IU13" s="223" t="str">
        <f>SISWA!E11</f>
        <v>Hasna</v>
      </c>
      <c r="IV13" s="223" t="str">
        <f t="shared" si="163"/>
        <v xml:space="preserve">Ananda Hasna </v>
      </c>
      <c r="IW13" s="580">
        <f t="shared" si="164"/>
        <v>90</v>
      </c>
      <c r="IX13" s="580" t="str">
        <f t="shared" si="165"/>
        <v/>
      </c>
      <c r="IY13" s="580" t="str">
        <f t="shared" si="166"/>
        <v/>
      </c>
      <c r="IZ13" s="580" t="str">
        <f t="shared" si="167"/>
        <v/>
      </c>
      <c r="JA13" s="580" t="str">
        <f t="shared" si="168"/>
        <v/>
      </c>
      <c r="JB13" s="580" t="str">
        <f t="shared" si="169"/>
        <v/>
      </c>
      <c r="JC13" s="580" t="str">
        <f t="shared" si="170"/>
        <v/>
      </c>
      <c r="JD13" s="580" t="str">
        <f t="shared" si="171"/>
        <v/>
      </c>
      <c r="JE13" s="580" t="str">
        <f t="shared" si="172"/>
        <v/>
      </c>
      <c r="JF13" s="580"/>
      <c r="JG13" s="580"/>
      <c r="JH13" s="223">
        <f t="shared" si="173"/>
        <v>90</v>
      </c>
      <c r="JI13" s="289" t="str">
        <f t="shared" si="174"/>
        <v>menyajikan hasil identifikasi pokok pikiran dalam teks tulis dan lisan secara lisan, tulis, dan visual</v>
      </c>
      <c r="JJ13" s="576" t="str">
        <f>IF(IS13&gt;100,"",IF(IS13&gt;EV$1,"sangat baik dalam "&amp;JI13,IF(IS13&gt;=EV$2,"baik dalam "&amp;JI13,IF(IS13&gt;=EV$3,"cukup dalam "&amp;JI13,IF(IS13&lt;EV$3,"dengan bimbingan dapat meningkatkan dalam "&amp;JI13,IF(IS13&lt;1," ",””))))))</f>
        <v>baik dalam menyajikan hasil identifikasi pokok pikiran dalam teks tulis dan lisan secara lisan, tulis, dan visual</v>
      </c>
      <c r="JK13" s="223"/>
      <c r="JL13" s="223" t="str">
        <f t="shared" si="175"/>
        <v/>
      </c>
      <c r="JM13" s="223" t="str">
        <f t="shared" si="176"/>
        <v/>
      </c>
      <c r="JN13" s="223" t="str">
        <f t="shared" si="177"/>
        <v/>
      </c>
      <c r="JO13" s="223" t="str">
        <f t="shared" si="178"/>
        <v/>
      </c>
      <c r="JP13" s="223" t="str">
        <f t="shared" si="179"/>
        <v/>
      </c>
      <c r="JQ13" s="223" t="str">
        <f t="shared" si="180"/>
        <v/>
      </c>
      <c r="JR13" s="223">
        <f t="shared" si="181"/>
        <v>80</v>
      </c>
      <c r="JS13" s="223" t="str">
        <f t="shared" si="182"/>
        <v/>
      </c>
      <c r="JT13" s="223" t="str">
        <f t="shared" si="183"/>
        <v/>
      </c>
      <c r="JU13" s="223"/>
      <c r="JV13" s="223"/>
      <c r="JW13" s="223" t="str">
        <f t="shared" si="184"/>
        <v>menyajikan konsep-konsep yang saling berkaitan pada teks nonfiksi ke dalam tulisan dengan bahasa sendiri</v>
      </c>
      <c r="JX13" s="577" t="str">
        <f>IF(IT13&gt;100,"",IF(IT13&gt;=EV$1,"sangat baik dalam "&amp;JW13,IF(IT13&gt;=EV$2,"baik dalam "&amp;JW13,IF(IT13&gt;=EV$3,"cukup dalam "&amp;JW13,IF(IT13&lt;EV$3,"dengan bimbingan dapat meningkatkan dalam "&amp;JW13,IF(IT13&lt;1," ",””))))))</f>
        <v>cukup dalam menyajikan konsep-konsep yang saling berkaitan pada teks nonfiksi ke dalam tulisan dengan bahasa sendiri</v>
      </c>
      <c r="JY13" s="223" t="str">
        <f t="shared" si="185"/>
        <v>Ananda Hasna baik dalam menyajikan hasil identifikasi pokok pikiran dalam teks tulis dan lisan secara lisan, tulis, dan visual, cukup dalam menyajikan konsep-konsep yang saling berkaitan pada teks nonfiksi ke dalam tulisan dengan bahasa sendiri.</v>
      </c>
    </row>
    <row r="14" spans="1:285" ht="45">
      <c r="A14" s="39">
        <v>7</v>
      </c>
      <c r="B14" s="223" t="str">
        <f>SISWA!B12</f>
        <v>Indah Fitria Ningrum</v>
      </c>
      <c r="C14" s="123">
        <v>90</v>
      </c>
      <c r="D14" s="123"/>
      <c r="E14" s="123"/>
      <c r="F14" s="123"/>
      <c r="G14" s="123"/>
      <c r="H14" s="123"/>
      <c r="I14" s="123"/>
      <c r="J14" s="123"/>
      <c r="K14" s="123"/>
      <c r="L14" s="255">
        <v>75</v>
      </c>
      <c r="M14" s="255"/>
      <c r="N14" s="255"/>
      <c r="O14" s="255"/>
      <c r="P14" s="255"/>
      <c r="Q14" s="255"/>
      <c r="R14" s="255"/>
      <c r="S14" s="255"/>
      <c r="T14" s="255"/>
      <c r="U14" s="256">
        <v>75</v>
      </c>
      <c r="V14" s="256"/>
      <c r="W14" s="256"/>
      <c r="X14" s="256"/>
      <c r="Y14" s="256"/>
      <c r="Z14" s="256"/>
      <c r="AA14" s="256"/>
      <c r="AB14" s="256"/>
      <c r="AC14" s="256"/>
      <c r="AD14" s="123"/>
      <c r="AE14" s="123">
        <v>80</v>
      </c>
      <c r="AF14" s="123"/>
      <c r="AG14" s="123"/>
      <c r="AH14" s="123"/>
      <c r="AI14" s="123"/>
      <c r="AJ14" s="123"/>
      <c r="AK14" s="123"/>
      <c r="AL14" s="123"/>
      <c r="AM14" s="255"/>
      <c r="AN14" s="255">
        <v>85</v>
      </c>
      <c r="AO14" s="255"/>
      <c r="AP14" s="255"/>
      <c r="AQ14" s="255"/>
      <c r="AR14" s="255"/>
      <c r="AS14" s="255"/>
      <c r="AT14" s="255"/>
      <c r="AU14" s="255"/>
      <c r="AV14" s="256"/>
      <c r="AW14" s="256">
        <v>90</v>
      </c>
      <c r="AX14" s="256"/>
      <c r="AY14" s="256"/>
      <c r="AZ14" s="256"/>
      <c r="BA14" s="256"/>
      <c r="BB14" s="256"/>
      <c r="BC14" s="256"/>
      <c r="BD14" s="256"/>
      <c r="BE14" s="123"/>
      <c r="BF14" s="123"/>
      <c r="BG14" s="123"/>
      <c r="BH14" s="123">
        <v>85</v>
      </c>
      <c r="BI14" s="123"/>
      <c r="BJ14" s="123"/>
      <c r="BK14" s="123"/>
      <c r="BL14" s="123"/>
      <c r="BM14" s="123"/>
      <c r="BN14" s="255"/>
      <c r="BO14" s="255"/>
      <c r="BP14" s="255"/>
      <c r="BQ14" s="255">
        <v>80</v>
      </c>
      <c r="BR14" s="255"/>
      <c r="BS14" s="255"/>
      <c r="BT14" s="255"/>
      <c r="BU14" s="255"/>
      <c r="BV14" s="255"/>
      <c r="BW14" s="256"/>
      <c r="BX14" s="256"/>
      <c r="BY14" s="256"/>
      <c r="BZ14" s="256">
        <v>90</v>
      </c>
      <c r="CA14" s="256"/>
      <c r="CB14" s="256"/>
      <c r="CC14" s="256"/>
      <c r="CD14" s="256"/>
      <c r="CE14" s="256"/>
      <c r="CF14" s="123"/>
      <c r="CG14" s="123"/>
      <c r="CH14" s="123"/>
      <c r="CI14" s="123"/>
      <c r="CJ14" s="123"/>
      <c r="CK14" s="123">
        <v>85</v>
      </c>
      <c r="CL14" s="123"/>
      <c r="CM14" s="123"/>
      <c r="CN14" s="123"/>
      <c r="CO14" s="255"/>
      <c r="CP14" s="255"/>
      <c r="CQ14" s="255"/>
      <c r="CR14" s="255"/>
      <c r="CS14" s="255"/>
      <c r="CT14" s="255">
        <v>90</v>
      </c>
      <c r="CU14" s="255"/>
      <c r="CV14" s="255"/>
      <c r="CW14" s="255"/>
      <c r="CX14" s="256"/>
      <c r="CY14" s="256"/>
      <c r="CZ14" s="256"/>
      <c r="DA14" s="256"/>
      <c r="DB14" s="256"/>
      <c r="DC14" s="256">
        <v>75</v>
      </c>
      <c r="DD14" s="256"/>
      <c r="DE14" s="256"/>
      <c r="DF14" s="256"/>
      <c r="DG14" s="458"/>
      <c r="DH14" s="458"/>
      <c r="DI14" s="458"/>
      <c r="DJ14" s="458"/>
      <c r="DK14" s="458"/>
      <c r="DL14" s="458"/>
      <c r="DM14" s="458">
        <v>90</v>
      </c>
      <c r="DN14" s="458"/>
      <c r="DO14" s="458"/>
      <c r="DP14" s="457"/>
      <c r="DQ14" s="457"/>
      <c r="DR14" s="457"/>
      <c r="DS14" s="457"/>
      <c r="DT14" s="457"/>
      <c r="DU14" s="457"/>
      <c r="DV14" s="457">
        <v>90</v>
      </c>
      <c r="DW14" s="457"/>
      <c r="DX14" s="457"/>
      <c r="DY14" s="256"/>
      <c r="DZ14" s="256"/>
      <c r="EA14" s="256"/>
      <c r="EB14" s="256"/>
      <c r="EC14" s="256"/>
      <c r="ED14" s="256"/>
      <c r="EE14" s="256">
        <v>85</v>
      </c>
      <c r="EF14" s="256"/>
      <c r="EG14" s="256"/>
      <c r="EH14" s="257">
        <f t="shared" si="55"/>
        <v>80</v>
      </c>
      <c r="EI14" s="257">
        <f t="shared" si="56"/>
        <v>85</v>
      </c>
      <c r="EJ14" s="257" t="str">
        <f t="shared" si="57"/>
        <v/>
      </c>
      <c r="EK14" s="257">
        <f t="shared" si="58"/>
        <v>85</v>
      </c>
      <c r="EL14" s="257" t="str">
        <f t="shared" si="59"/>
        <v/>
      </c>
      <c r="EM14" s="257">
        <f t="shared" si="60"/>
        <v>83.333333333333329</v>
      </c>
      <c r="EN14" s="257">
        <f t="shared" si="61"/>
        <v>88.333333333333329</v>
      </c>
      <c r="EO14" s="257" t="str">
        <f t="shared" si="62"/>
        <v/>
      </c>
      <c r="EP14" s="257" t="str">
        <f t="shared" si="63"/>
        <v/>
      </c>
      <c r="EQ14" s="579">
        <f t="shared" si="64"/>
        <v>84</v>
      </c>
      <c r="ER14" s="291" t="str">
        <f t="shared" si="65"/>
        <v>B</v>
      </c>
      <c r="ES14" s="243" t="str">
        <f t="shared" si="66"/>
        <v>Ananda Indah baik dalam menyajikan konsep-konsep yang saling berkaitan pada teks nonfiksi ke dalam tulisan dengan bahasa sendiri, cukup dalam menyajikan hasil identifikasi pokok pikiran dalam teks tulis dan lisan secara lisan, tulis, dan visual.</v>
      </c>
      <c r="ET14" s="39"/>
      <c r="EU14" s="39"/>
      <c r="EV14" s="257">
        <f t="shared" si="67"/>
        <v>90</v>
      </c>
      <c r="EW14" s="257">
        <f t="shared" si="68"/>
        <v>80</v>
      </c>
      <c r="EX14" s="257">
        <f t="shared" si="69"/>
        <v>0</v>
      </c>
      <c r="EY14" s="257">
        <f t="shared" si="70"/>
        <v>85</v>
      </c>
      <c r="EZ14" s="257">
        <f t="shared" si="71"/>
        <v>0</v>
      </c>
      <c r="FA14" s="257">
        <f t="shared" si="72"/>
        <v>85</v>
      </c>
      <c r="FB14" s="257">
        <f t="shared" si="73"/>
        <v>90</v>
      </c>
      <c r="FC14" s="257">
        <f t="shared" si="74"/>
        <v>0</v>
      </c>
      <c r="FD14" s="257">
        <f t="shared" si="75"/>
        <v>0</v>
      </c>
      <c r="FE14" s="257"/>
      <c r="FF14" s="289">
        <f t="shared" si="76"/>
        <v>90</v>
      </c>
      <c r="FG14" s="575">
        <f t="shared" si="77"/>
        <v>75</v>
      </c>
      <c r="FH14" s="575">
        <f t="shared" si="78"/>
        <v>85</v>
      </c>
      <c r="FI14" s="575">
        <f t="shared" si="79"/>
        <v>0</v>
      </c>
      <c r="FJ14" s="575">
        <f t="shared" si="80"/>
        <v>80</v>
      </c>
      <c r="FK14" s="575">
        <f t="shared" si="81"/>
        <v>0</v>
      </c>
      <c r="FL14" s="575">
        <f t="shared" si="82"/>
        <v>90</v>
      </c>
      <c r="FM14" s="575">
        <f t="shared" si="83"/>
        <v>90</v>
      </c>
      <c r="FN14" s="575">
        <f t="shared" si="84"/>
        <v>0</v>
      </c>
      <c r="FO14" s="575">
        <f t="shared" si="85"/>
        <v>0</v>
      </c>
      <c r="FP14" s="258"/>
      <c r="FQ14" s="289">
        <f t="shared" si="86"/>
        <v>90</v>
      </c>
      <c r="FR14" s="765">
        <f t="shared" si="87"/>
        <v>75</v>
      </c>
      <c r="FS14" s="765">
        <f t="shared" si="88"/>
        <v>90</v>
      </c>
      <c r="FT14" s="765">
        <f t="shared" si="89"/>
        <v>0</v>
      </c>
      <c r="FU14" s="765">
        <f t="shared" si="90"/>
        <v>90</v>
      </c>
      <c r="FV14" s="765">
        <f t="shared" si="91"/>
        <v>0</v>
      </c>
      <c r="FW14" s="765">
        <f t="shared" si="92"/>
        <v>75</v>
      </c>
      <c r="FX14" s="765">
        <f t="shared" si="93"/>
        <v>85</v>
      </c>
      <c r="FY14" s="765">
        <f t="shared" si="94"/>
        <v>0</v>
      </c>
      <c r="FZ14" s="765">
        <f t="shared" si="95"/>
        <v>0</v>
      </c>
      <c r="GA14" s="766"/>
      <c r="GB14" s="289">
        <f t="shared" si="96"/>
        <v>90</v>
      </c>
      <c r="GC14" s="257">
        <f t="shared" si="97"/>
        <v>90</v>
      </c>
      <c r="GD14" s="257">
        <f t="shared" si="98"/>
        <v>75</v>
      </c>
      <c r="GE14" s="257">
        <f t="shared" si="99"/>
        <v>75</v>
      </c>
      <c r="GF14" s="575">
        <f t="shared" si="100"/>
        <v>0</v>
      </c>
      <c r="GG14" s="506">
        <f t="shared" si="101"/>
        <v>3</v>
      </c>
      <c r="GH14" s="39">
        <f t="shared" si="102"/>
        <v>80</v>
      </c>
      <c r="GI14" s="257">
        <f t="shared" si="103"/>
        <v>80</v>
      </c>
      <c r="GJ14" s="257">
        <f t="shared" si="104"/>
        <v>85</v>
      </c>
      <c r="GK14" s="257">
        <f t="shared" si="105"/>
        <v>90</v>
      </c>
      <c r="GL14" s="575">
        <f t="shared" si="106"/>
        <v>0</v>
      </c>
      <c r="GM14" s="506">
        <f t="shared" si="107"/>
        <v>3</v>
      </c>
      <c r="GN14" s="39">
        <f t="shared" si="108"/>
        <v>85</v>
      </c>
      <c r="GO14" s="257">
        <f t="shared" si="109"/>
        <v>0</v>
      </c>
      <c r="GP14" s="257">
        <f t="shared" si="110"/>
        <v>0</v>
      </c>
      <c r="GQ14" s="257">
        <f t="shared" si="111"/>
        <v>0</v>
      </c>
      <c r="GR14" s="575">
        <f t="shared" si="112"/>
        <v>3</v>
      </c>
      <c r="GS14" s="506">
        <f t="shared" si="113"/>
        <v>0</v>
      </c>
      <c r="GT14" s="39" t="str">
        <f t="shared" si="114"/>
        <v/>
      </c>
      <c r="GU14" s="257">
        <f t="shared" si="115"/>
        <v>85</v>
      </c>
      <c r="GV14" s="257">
        <f t="shared" si="116"/>
        <v>80</v>
      </c>
      <c r="GW14" s="257">
        <f t="shared" si="117"/>
        <v>90</v>
      </c>
      <c r="GX14" s="575">
        <f t="shared" si="118"/>
        <v>0</v>
      </c>
      <c r="GY14" s="506">
        <f t="shared" si="119"/>
        <v>3</v>
      </c>
      <c r="GZ14" s="39">
        <f t="shared" si="120"/>
        <v>85</v>
      </c>
      <c r="HA14" s="257">
        <f t="shared" si="121"/>
        <v>0</v>
      </c>
      <c r="HB14" s="257">
        <f t="shared" si="122"/>
        <v>0</v>
      </c>
      <c r="HC14" s="257">
        <f t="shared" si="123"/>
        <v>0</v>
      </c>
      <c r="HD14" s="575">
        <f t="shared" si="124"/>
        <v>3</v>
      </c>
      <c r="HE14" s="506">
        <f t="shared" si="125"/>
        <v>0</v>
      </c>
      <c r="HF14" s="39" t="str">
        <f t="shared" si="126"/>
        <v/>
      </c>
      <c r="HG14" s="257">
        <f t="shared" si="127"/>
        <v>85</v>
      </c>
      <c r="HH14" s="257">
        <f t="shared" si="128"/>
        <v>90</v>
      </c>
      <c r="HI14" s="257">
        <f t="shared" si="129"/>
        <v>75</v>
      </c>
      <c r="HJ14" s="575">
        <f t="shared" si="130"/>
        <v>0</v>
      </c>
      <c r="HK14" s="506">
        <f t="shared" si="131"/>
        <v>3</v>
      </c>
      <c r="HL14" s="39">
        <f t="shared" si="132"/>
        <v>83.333333333333329</v>
      </c>
      <c r="HM14" s="257">
        <f t="shared" si="133"/>
        <v>90</v>
      </c>
      <c r="HN14" s="257">
        <f t="shared" si="134"/>
        <v>90</v>
      </c>
      <c r="HO14" s="257">
        <f t="shared" si="135"/>
        <v>85</v>
      </c>
      <c r="HP14" s="575">
        <f t="shared" si="136"/>
        <v>0</v>
      </c>
      <c r="HQ14" s="506">
        <f t="shared" si="137"/>
        <v>3</v>
      </c>
      <c r="HR14" s="39">
        <f t="shared" si="138"/>
        <v>88.333333333333329</v>
      </c>
      <c r="HS14" s="257">
        <f t="shared" si="139"/>
        <v>0</v>
      </c>
      <c r="HT14" s="257">
        <f t="shared" si="140"/>
        <v>0</v>
      </c>
      <c r="HU14" s="257">
        <f t="shared" si="141"/>
        <v>0</v>
      </c>
      <c r="HV14" s="575">
        <f t="shared" si="142"/>
        <v>3</v>
      </c>
      <c r="HW14" s="506">
        <f t="shared" si="143"/>
        <v>0</v>
      </c>
      <c r="HX14" s="39" t="str">
        <f t="shared" si="144"/>
        <v/>
      </c>
      <c r="HY14" s="257">
        <f t="shared" si="145"/>
        <v>0</v>
      </c>
      <c r="HZ14" s="257">
        <f t="shared" si="146"/>
        <v>0</v>
      </c>
      <c r="IA14" s="257">
        <f t="shared" si="147"/>
        <v>0</v>
      </c>
      <c r="IB14" s="575">
        <f t="shared" si="148"/>
        <v>3</v>
      </c>
      <c r="IC14" s="506">
        <f t="shared" si="149"/>
        <v>0</v>
      </c>
      <c r="ID14" s="39" t="str">
        <f t="shared" si="150"/>
        <v/>
      </c>
      <c r="IE14" s="39"/>
      <c r="IF14" s="39"/>
      <c r="IG14" s="39"/>
      <c r="IH14" s="39">
        <f t="shared" si="151"/>
        <v>80</v>
      </c>
      <c r="II14" s="39">
        <f t="shared" si="152"/>
        <v>85</v>
      </c>
      <c r="IJ14" s="39" t="str">
        <f t="shared" si="153"/>
        <v/>
      </c>
      <c r="IK14" s="39">
        <f t="shared" si="154"/>
        <v>85</v>
      </c>
      <c r="IL14" s="39" t="str">
        <f t="shared" si="155"/>
        <v/>
      </c>
      <c r="IM14" s="767">
        <f t="shared" si="156"/>
        <v>83.333333333333329</v>
      </c>
      <c r="IN14" s="579">
        <f t="shared" si="157"/>
        <v>88.333333333333329</v>
      </c>
      <c r="IO14" s="579" t="str">
        <f t="shared" si="158"/>
        <v/>
      </c>
      <c r="IP14" s="579" t="str">
        <f t="shared" si="159"/>
        <v/>
      </c>
      <c r="IQ14" s="579"/>
      <c r="IR14" s="579">
        <f t="shared" si="160"/>
        <v>84</v>
      </c>
      <c r="IS14" s="289">
        <f t="shared" si="161"/>
        <v>88.333333333333329</v>
      </c>
      <c r="IT14" s="289">
        <f t="shared" si="162"/>
        <v>80</v>
      </c>
      <c r="IU14" s="223" t="str">
        <f>SISWA!E12</f>
        <v>Indah</v>
      </c>
      <c r="IV14" s="223" t="str">
        <f t="shared" si="163"/>
        <v xml:space="preserve">Ananda Indah </v>
      </c>
      <c r="IW14" s="580" t="str">
        <f t="shared" si="164"/>
        <v/>
      </c>
      <c r="IX14" s="580" t="str">
        <f t="shared" si="165"/>
        <v/>
      </c>
      <c r="IY14" s="580" t="str">
        <f t="shared" si="166"/>
        <v/>
      </c>
      <c r="IZ14" s="580" t="str">
        <f t="shared" si="167"/>
        <v/>
      </c>
      <c r="JA14" s="580" t="str">
        <f t="shared" si="168"/>
        <v/>
      </c>
      <c r="JB14" s="580" t="str">
        <f t="shared" si="169"/>
        <v/>
      </c>
      <c r="JC14" s="580">
        <f t="shared" si="170"/>
        <v>88.333333333333329</v>
      </c>
      <c r="JD14" s="580" t="str">
        <f t="shared" si="171"/>
        <v/>
      </c>
      <c r="JE14" s="580" t="str">
        <f t="shared" si="172"/>
        <v/>
      </c>
      <c r="JF14" s="580"/>
      <c r="JG14" s="580"/>
      <c r="JH14" s="223">
        <f t="shared" si="173"/>
        <v>88.333333333333329</v>
      </c>
      <c r="JI14" s="289" t="str">
        <f t="shared" si="174"/>
        <v>menyajikan konsep-konsep yang saling berkaitan pada teks nonfiksi ke dalam tulisan dengan bahasa sendiri</v>
      </c>
      <c r="JJ14" s="576" t="str">
        <f>IF(IS14&gt;100,"",IF(IS14&gt;EV$1,"sangat baik dalam "&amp;JI14,IF(IS14&gt;=EV$2,"baik dalam "&amp;JI14,IF(IS14&gt;=EV$3,"cukup dalam "&amp;JI14,IF(IS14&lt;EV$3,"dengan bimbingan dapat meningkatkan dalam "&amp;JI14,IF(IS14&lt;1," ",””))))))</f>
        <v>baik dalam menyajikan konsep-konsep yang saling berkaitan pada teks nonfiksi ke dalam tulisan dengan bahasa sendiri</v>
      </c>
      <c r="JK14" s="223"/>
      <c r="JL14" s="223">
        <f t="shared" si="175"/>
        <v>80</v>
      </c>
      <c r="JM14" s="223" t="str">
        <f t="shared" si="176"/>
        <v/>
      </c>
      <c r="JN14" s="223" t="str">
        <f t="shared" si="177"/>
        <v/>
      </c>
      <c r="JO14" s="223" t="str">
        <f t="shared" si="178"/>
        <v/>
      </c>
      <c r="JP14" s="223" t="str">
        <f t="shared" si="179"/>
        <v/>
      </c>
      <c r="JQ14" s="223" t="str">
        <f t="shared" si="180"/>
        <v/>
      </c>
      <c r="JR14" s="223" t="str">
        <f t="shared" si="181"/>
        <v/>
      </c>
      <c r="JS14" s="223" t="str">
        <f t="shared" si="182"/>
        <v/>
      </c>
      <c r="JT14" s="223" t="str">
        <f t="shared" si="183"/>
        <v/>
      </c>
      <c r="JU14" s="223"/>
      <c r="JV14" s="223"/>
      <c r="JW14" s="223" t="str">
        <f t="shared" si="184"/>
        <v>menyajikan hasil identifikasi pokok pikiran dalam teks tulis dan lisan secara lisan, tulis, dan visual</v>
      </c>
      <c r="JX14" s="577" t="str">
        <f>IF(IT14&gt;100,"",IF(IT14&gt;=EV$1,"sangat baik dalam "&amp;JW14,IF(IT14&gt;=EV$2,"baik dalam "&amp;JW14,IF(IT14&gt;=EV$3,"cukup dalam "&amp;JW14,IF(IT14&lt;EV$3,"dengan bimbingan dapat meningkatkan dalam "&amp;JW14,IF(IT14&lt;1," ",””))))))</f>
        <v>cukup dalam menyajikan hasil identifikasi pokok pikiran dalam teks tulis dan lisan secara lisan, tulis, dan visual</v>
      </c>
      <c r="JY14" s="223" t="str">
        <f t="shared" si="185"/>
        <v>Ananda Indah baik dalam menyajikan konsep-konsep yang saling berkaitan pada teks nonfiksi ke dalam tulisan dengan bahasa sendiri, cukup dalam menyajikan hasil identifikasi pokok pikiran dalam teks tulis dan lisan secara lisan, tulis, dan visual.</v>
      </c>
    </row>
    <row r="15" spans="1:285" ht="45">
      <c r="A15" s="39">
        <v>8</v>
      </c>
      <c r="B15" s="223" t="str">
        <f>SISWA!B13</f>
        <v>Muhammad Ilham Sarifuddin</v>
      </c>
      <c r="C15" s="123">
        <v>90</v>
      </c>
      <c r="D15" s="123"/>
      <c r="E15" s="123"/>
      <c r="F15" s="123"/>
      <c r="G15" s="123"/>
      <c r="H15" s="123"/>
      <c r="I15" s="123"/>
      <c r="J15" s="123"/>
      <c r="K15" s="123"/>
      <c r="L15" s="255">
        <v>75</v>
      </c>
      <c r="M15" s="255"/>
      <c r="N15" s="255"/>
      <c r="O15" s="255"/>
      <c r="P15" s="255"/>
      <c r="Q15" s="255"/>
      <c r="R15" s="255"/>
      <c r="S15" s="255"/>
      <c r="T15" s="255"/>
      <c r="U15" s="256">
        <v>90</v>
      </c>
      <c r="V15" s="256"/>
      <c r="W15" s="256"/>
      <c r="X15" s="256"/>
      <c r="Y15" s="256"/>
      <c r="Z15" s="256"/>
      <c r="AA15" s="256"/>
      <c r="AB15" s="256"/>
      <c r="AC15" s="256"/>
      <c r="AD15" s="123"/>
      <c r="AE15" s="123">
        <v>75</v>
      </c>
      <c r="AF15" s="123"/>
      <c r="AG15" s="123"/>
      <c r="AH15" s="123"/>
      <c r="AI15" s="123"/>
      <c r="AJ15" s="123"/>
      <c r="AK15" s="123"/>
      <c r="AL15" s="123"/>
      <c r="AM15" s="255"/>
      <c r="AN15" s="255">
        <v>80</v>
      </c>
      <c r="AO15" s="255"/>
      <c r="AP15" s="255"/>
      <c r="AQ15" s="255"/>
      <c r="AR15" s="255"/>
      <c r="AS15" s="255"/>
      <c r="AT15" s="255"/>
      <c r="AU15" s="255"/>
      <c r="AV15" s="256"/>
      <c r="AW15" s="256">
        <v>90</v>
      </c>
      <c r="AX15" s="256"/>
      <c r="AY15" s="256"/>
      <c r="AZ15" s="256"/>
      <c r="BA15" s="256"/>
      <c r="BB15" s="256"/>
      <c r="BC15" s="256"/>
      <c r="BD15" s="256"/>
      <c r="BE15" s="123"/>
      <c r="BF15" s="123"/>
      <c r="BG15" s="123"/>
      <c r="BH15" s="123">
        <v>90</v>
      </c>
      <c r="BI15" s="123"/>
      <c r="BJ15" s="123"/>
      <c r="BK15" s="123"/>
      <c r="BL15" s="123"/>
      <c r="BM15" s="123"/>
      <c r="BN15" s="255"/>
      <c r="BO15" s="255"/>
      <c r="BP15" s="255"/>
      <c r="BQ15" s="255">
        <v>75</v>
      </c>
      <c r="BR15" s="255"/>
      <c r="BS15" s="255"/>
      <c r="BT15" s="255"/>
      <c r="BU15" s="255"/>
      <c r="BV15" s="255"/>
      <c r="BW15" s="256"/>
      <c r="BX15" s="256"/>
      <c r="BY15" s="256"/>
      <c r="BZ15" s="256">
        <v>80</v>
      </c>
      <c r="CA15" s="256"/>
      <c r="CB15" s="256"/>
      <c r="CC15" s="256"/>
      <c r="CD15" s="256"/>
      <c r="CE15" s="256"/>
      <c r="CF15" s="123"/>
      <c r="CG15" s="123"/>
      <c r="CH15" s="123"/>
      <c r="CI15" s="123"/>
      <c r="CJ15" s="123"/>
      <c r="CK15" s="123">
        <v>90</v>
      </c>
      <c r="CL15" s="123"/>
      <c r="CM15" s="123"/>
      <c r="CN15" s="123"/>
      <c r="CO15" s="255"/>
      <c r="CP15" s="255"/>
      <c r="CQ15" s="255"/>
      <c r="CR15" s="255"/>
      <c r="CS15" s="255"/>
      <c r="CT15" s="255">
        <v>90</v>
      </c>
      <c r="CU15" s="255"/>
      <c r="CV15" s="255"/>
      <c r="CW15" s="255"/>
      <c r="CX15" s="256"/>
      <c r="CY15" s="256"/>
      <c r="CZ15" s="256"/>
      <c r="DA15" s="256"/>
      <c r="DB15" s="256"/>
      <c r="DC15" s="256">
        <v>80</v>
      </c>
      <c r="DD15" s="256"/>
      <c r="DE15" s="256"/>
      <c r="DF15" s="256"/>
      <c r="DG15" s="458"/>
      <c r="DH15" s="458"/>
      <c r="DI15" s="458"/>
      <c r="DJ15" s="458"/>
      <c r="DK15" s="458"/>
      <c r="DL15" s="458"/>
      <c r="DM15" s="458">
        <v>85</v>
      </c>
      <c r="DN15" s="458"/>
      <c r="DO15" s="458"/>
      <c r="DP15" s="457"/>
      <c r="DQ15" s="457"/>
      <c r="DR15" s="457"/>
      <c r="DS15" s="457"/>
      <c r="DT15" s="457"/>
      <c r="DU15" s="457"/>
      <c r="DV15" s="457">
        <v>80</v>
      </c>
      <c r="DW15" s="457"/>
      <c r="DX15" s="457"/>
      <c r="DY15" s="256"/>
      <c r="DZ15" s="256"/>
      <c r="EA15" s="256"/>
      <c r="EB15" s="256"/>
      <c r="EC15" s="256"/>
      <c r="ED15" s="256"/>
      <c r="EE15" s="256">
        <v>80</v>
      </c>
      <c r="EF15" s="256"/>
      <c r="EG15" s="256"/>
      <c r="EH15" s="257">
        <f t="shared" si="55"/>
        <v>85</v>
      </c>
      <c r="EI15" s="257">
        <f t="shared" si="56"/>
        <v>81.666666666666671</v>
      </c>
      <c r="EJ15" s="257" t="str">
        <f t="shared" si="57"/>
        <v/>
      </c>
      <c r="EK15" s="257">
        <f t="shared" si="58"/>
        <v>81.666666666666671</v>
      </c>
      <c r="EL15" s="257" t="str">
        <f t="shared" si="59"/>
        <v/>
      </c>
      <c r="EM15" s="257">
        <f t="shared" si="60"/>
        <v>86.666666666666671</v>
      </c>
      <c r="EN15" s="257">
        <f t="shared" si="61"/>
        <v>81.666666666666671</v>
      </c>
      <c r="EO15" s="257" t="str">
        <f t="shared" si="62"/>
        <v/>
      </c>
      <c r="EP15" s="257" t="str">
        <f t="shared" si="63"/>
        <v/>
      </c>
      <c r="EQ15" s="579">
        <f t="shared" si="64"/>
        <v>83</v>
      </c>
      <c r="ER15" s="291" t="str">
        <f t="shared" si="65"/>
        <v>B</v>
      </c>
      <c r="ES15" s="243" t="str">
        <f t="shared" si="66"/>
        <v>Ananda Ilham baik dalam melisankan pantun hasil karya pribadi dengan lafal, intonasi, dan ekspresi yang tepat sebagai bentuk ungkapan diri, cukup dalam menyajikan konsep-konsep yang saling berkaitan pada teks nonfiksi ke dalam tulisan dengan bahasa sendiri.</v>
      </c>
      <c r="ET15" s="39"/>
      <c r="EU15" s="39"/>
      <c r="EV15" s="257">
        <f t="shared" si="67"/>
        <v>90</v>
      </c>
      <c r="EW15" s="257">
        <f t="shared" si="68"/>
        <v>75</v>
      </c>
      <c r="EX15" s="257">
        <f t="shared" si="69"/>
        <v>0</v>
      </c>
      <c r="EY15" s="257">
        <f t="shared" si="70"/>
        <v>90</v>
      </c>
      <c r="EZ15" s="257">
        <f t="shared" si="71"/>
        <v>0</v>
      </c>
      <c r="FA15" s="257">
        <f t="shared" si="72"/>
        <v>90</v>
      </c>
      <c r="FB15" s="257">
        <f t="shared" si="73"/>
        <v>85</v>
      </c>
      <c r="FC15" s="257">
        <f t="shared" si="74"/>
        <v>0</v>
      </c>
      <c r="FD15" s="257">
        <f t="shared" si="75"/>
        <v>0</v>
      </c>
      <c r="FE15" s="257"/>
      <c r="FF15" s="289">
        <f t="shared" si="76"/>
        <v>90</v>
      </c>
      <c r="FG15" s="575">
        <f t="shared" si="77"/>
        <v>75</v>
      </c>
      <c r="FH15" s="575">
        <f t="shared" si="78"/>
        <v>80</v>
      </c>
      <c r="FI15" s="575">
        <f t="shared" si="79"/>
        <v>0</v>
      </c>
      <c r="FJ15" s="575">
        <f t="shared" si="80"/>
        <v>75</v>
      </c>
      <c r="FK15" s="575">
        <f t="shared" si="81"/>
        <v>0</v>
      </c>
      <c r="FL15" s="575">
        <f t="shared" si="82"/>
        <v>90</v>
      </c>
      <c r="FM15" s="575">
        <f t="shared" si="83"/>
        <v>80</v>
      </c>
      <c r="FN15" s="575">
        <f t="shared" si="84"/>
        <v>0</v>
      </c>
      <c r="FO15" s="575">
        <f t="shared" si="85"/>
        <v>0</v>
      </c>
      <c r="FP15" s="258"/>
      <c r="FQ15" s="289">
        <f t="shared" si="86"/>
        <v>90</v>
      </c>
      <c r="FR15" s="765">
        <f t="shared" si="87"/>
        <v>90</v>
      </c>
      <c r="FS15" s="765">
        <f t="shared" si="88"/>
        <v>90</v>
      </c>
      <c r="FT15" s="765">
        <f t="shared" si="89"/>
        <v>0</v>
      </c>
      <c r="FU15" s="765">
        <f t="shared" si="90"/>
        <v>80</v>
      </c>
      <c r="FV15" s="765">
        <f t="shared" si="91"/>
        <v>0</v>
      </c>
      <c r="FW15" s="765">
        <f t="shared" si="92"/>
        <v>80</v>
      </c>
      <c r="FX15" s="765">
        <f t="shared" si="93"/>
        <v>80</v>
      </c>
      <c r="FY15" s="765">
        <f t="shared" si="94"/>
        <v>0</v>
      </c>
      <c r="FZ15" s="765">
        <f t="shared" si="95"/>
        <v>0</v>
      </c>
      <c r="GA15" s="766"/>
      <c r="GB15" s="289">
        <f t="shared" si="96"/>
        <v>90</v>
      </c>
      <c r="GC15" s="257">
        <f t="shared" si="97"/>
        <v>90</v>
      </c>
      <c r="GD15" s="257">
        <f t="shared" si="98"/>
        <v>75</v>
      </c>
      <c r="GE15" s="257">
        <f t="shared" si="99"/>
        <v>90</v>
      </c>
      <c r="GF15" s="575">
        <f t="shared" si="100"/>
        <v>0</v>
      </c>
      <c r="GG15" s="506">
        <f t="shared" si="101"/>
        <v>3</v>
      </c>
      <c r="GH15" s="39">
        <f t="shared" si="102"/>
        <v>85</v>
      </c>
      <c r="GI15" s="257">
        <f t="shared" si="103"/>
        <v>75</v>
      </c>
      <c r="GJ15" s="257">
        <f t="shared" si="104"/>
        <v>80</v>
      </c>
      <c r="GK15" s="257">
        <f t="shared" si="105"/>
        <v>90</v>
      </c>
      <c r="GL15" s="575">
        <f t="shared" si="106"/>
        <v>0</v>
      </c>
      <c r="GM15" s="506">
        <f t="shared" si="107"/>
        <v>3</v>
      </c>
      <c r="GN15" s="39">
        <f t="shared" si="108"/>
        <v>81.666666666666671</v>
      </c>
      <c r="GO15" s="257">
        <f t="shared" si="109"/>
        <v>0</v>
      </c>
      <c r="GP15" s="257">
        <f t="shared" si="110"/>
        <v>0</v>
      </c>
      <c r="GQ15" s="257">
        <f t="shared" si="111"/>
        <v>0</v>
      </c>
      <c r="GR15" s="575">
        <f t="shared" si="112"/>
        <v>3</v>
      </c>
      <c r="GS15" s="506">
        <f t="shared" si="113"/>
        <v>0</v>
      </c>
      <c r="GT15" s="39" t="str">
        <f t="shared" si="114"/>
        <v/>
      </c>
      <c r="GU15" s="257">
        <f t="shared" si="115"/>
        <v>90</v>
      </c>
      <c r="GV15" s="257">
        <f t="shared" si="116"/>
        <v>75</v>
      </c>
      <c r="GW15" s="257">
        <f t="shared" si="117"/>
        <v>80</v>
      </c>
      <c r="GX15" s="575">
        <f t="shared" si="118"/>
        <v>0</v>
      </c>
      <c r="GY15" s="506">
        <f t="shared" si="119"/>
        <v>3</v>
      </c>
      <c r="GZ15" s="39">
        <f t="shared" si="120"/>
        <v>81.666666666666671</v>
      </c>
      <c r="HA15" s="257">
        <f t="shared" si="121"/>
        <v>0</v>
      </c>
      <c r="HB15" s="257">
        <f t="shared" si="122"/>
        <v>0</v>
      </c>
      <c r="HC15" s="257">
        <f t="shared" si="123"/>
        <v>0</v>
      </c>
      <c r="HD15" s="575">
        <f t="shared" si="124"/>
        <v>3</v>
      </c>
      <c r="HE15" s="506">
        <f t="shared" si="125"/>
        <v>0</v>
      </c>
      <c r="HF15" s="39" t="str">
        <f t="shared" si="126"/>
        <v/>
      </c>
      <c r="HG15" s="257">
        <f t="shared" si="127"/>
        <v>90</v>
      </c>
      <c r="HH15" s="257">
        <f t="shared" si="128"/>
        <v>90</v>
      </c>
      <c r="HI15" s="257">
        <f t="shared" si="129"/>
        <v>80</v>
      </c>
      <c r="HJ15" s="575">
        <f t="shared" si="130"/>
        <v>0</v>
      </c>
      <c r="HK15" s="506">
        <f t="shared" si="131"/>
        <v>3</v>
      </c>
      <c r="HL15" s="39">
        <f t="shared" si="132"/>
        <v>86.666666666666671</v>
      </c>
      <c r="HM15" s="257">
        <f t="shared" si="133"/>
        <v>85</v>
      </c>
      <c r="HN15" s="257">
        <f t="shared" si="134"/>
        <v>80</v>
      </c>
      <c r="HO15" s="257">
        <f t="shared" si="135"/>
        <v>80</v>
      </c>
      <c r="HP15" s="575">
        <f t="shared" si="136"/>
        <v>0</v>
      </c>
      <c r="HQ15" s="506">
        <f t="shared" si="137"/>
        <v>3</v>
      </c>
      <c r="HR15" s="39">
        <f t="shared" si="138"/>
        <v>81.666666666666671</v>
      </c>
      <c r="HS15" s="257">
        <f t="shared" si="139"/>
        <v>0</v>
      </c>
      <c r="HT15" s="257">
        <f t="shared" si="140"/>
        <v>0</v>
      </c>
      <c r="HU15" s="257">
        <f t="shared" si="141"/>
        <v>0</v>
      </c>
      <c r="HV15" s="575">
        <f t="shared" si="142"/>
        <v>3</v>
      </c>
      <c r="HW15" s="506">
        <f t="shared" si="143"/>
        <v>0</v>
      </c>
      <c r="HX15" s="39" t="str">
        <f t="shared" si="144"/>
        <v/>
      </c>
      <c r="HY15" s="257">
        <f t="shared" si="145"/>
        <v>0</v>
      </c>
      <c r="HZ15" s="257">
        <f t="shared" si="146"/>
        <v>0</v>
      </c>
      <c r="IA15" s="257">
        <f t="shared" si="147"/>
        <v>0</v>
      </c>
      <c r="IB15" s="575">
        <f t="shared" si="148"/>
        <v>3</v>
      </c>
      <c r="IC15" s="506">
        <f t="shared" si="149"/>
        <v>0</v>
      </c>
      <c r="ID15" s="39" t="str">
        <f t="shared" si="150"/>
        <v/>
      </c>
      <c r="IE15" s="39"/>
      <c r="IF15" s="39"/>
      <c r="IG15" s="39"/>
      <c r="IH15" s="39">
        <f t="shared" si="151"/>
        <v>85</v>
      </c>
      <c r="II15" s="39">
        <f t="shared" si="152"/>
        <v>81.666666666666671</v>
      </c>
      <c r="IJ15" s="39" t="str">
        <f t="shared" si="153"/>
        <v/>
      </c>
      <c r="IK15" s="39">
        <f t="shared" si="154"/>
        <v>81.666666666666671</v>
      </c>
      <c r="IL15" s="39" t="str">
        <f t="shared" si="155"/>
        <v/>
      </c>
      <c r="IM15" s="767">
        <f t="shared" si="156"/>
        <v>86.666666666666671</v>
      </c>
      <c r="IN15" s="579">
        <f t="shared" si="157"/>
        <v>81.666666666666671</v>
      </c>
      <c r="IO15" s="579" t="str">
        <f t="shared" si="158"/>
        <v/>
      </c>
      <c r="IP15" s="579" t="str">
        <f t="shared" si="159"/>
        <v/>
      </c>
      <c r="IQ15" s="579"/>
      <c r="IR15" s="579">
        <f t="shared" si="160"/>
        <v>83</v>
      </c>
      <c r="IS15" s="289">
        <f t="shared" si="161"/>
        <v>86.666666666666671</v>
      </c>
      <c r="IT15" s="289">
        <f t="shared" si="162"/>
        <v>81.666666666666671</v>
      </c>
      <c r="IU15" s="223" t="str">
        <f>SISWA!E13</f>
        <v>Ilham</v>
      </c>
      <c r="IV15" s="223" t="str">
        <f t="shared" si="163"/>
        <v xml:space="preserve">Ananda Ilham </v>
      </c>
      <c r="IW15" s="580" t="str">
        <f t="shared" si="164"/>
        <v/>
      </c>
      <c r="IX15" s="580" t="str">
        <f t="shared" si="165"/>
        <v/>
      </c>
      <c r="IY15" s="580" t="str">
        <f t="shared" si="166"/>
        <v/>
      </c>
      <c r="IZ15" s="580" t="str">
        <f t="shared" si="167"/>
        <v/>
      </c>
      <c r="JA15" s="580" t="str">
        <f t="shared" si="168"/>
        <v/>
      </c>
      <c r="JB15" s="580">
        <f t="shared" si="169"/>
        <v>86.666666666666671</v>
      </c>
      <c r="JC15" s="580" t="str">
        <f t="shared" si="170"/>
        <v/>
      </c>
      <c r="JD15" s="580" t="str">
        <f t="shared" si="171"/>
        <v/>
      </c>
      <c r="JE15" s="580" t="str">
        <f t="shared" si="172"/>
        <v/>
      </c>
      <c r="JF15" s="580"/>
      <c r="JG15" s="580"/>
      <c r="JH15" s="223">
        <f t="shared" si="173"/>
        <v>86.666666666666671</v>
      </c>
      <c r="JI15" s="289" t="str">
        <f t="shared" si="174"/>
        <v>melisankan pantun hasil karya pribadi dengan lafal, intonasi, dan ekspresi yang tepat sebagai bentuk ungkapan diri</v>
      </c>
      <c r="JJ15" s="576" t="str">
        <f>IF(IS15&gt;100,"",IF(IS15&gt;EV$1,"sangat baik dalam "&amp;JI15,IF(IS15&gt;=EV$2,"baik dalam "&amp;JI15,IF(IS15&gt;=EV$3,"cukup dalam "&amp;JI15,IF(IS15&lt;EV$3,"dengan bimbingan dapat meningkatkan dalam "&amp;JI15,IF(IS15&lt;1," ",””))))))</f>
        <v>baik dalam melisankan pantun hasil karya pribadi dengan lafal, intonasi, dan ekspresi yang tepat sebagai bentuk ungkapan diri</v>
      </c>
      <c r="JK15" s="223"/>
      <c r="JL15" s="223" t="str">
        <f t="shared" si="175"/>
        <v/>
      </c>
      <c r="JM15" s="223">
        <f t="shared" si="176"/>
        <v>81.666666666666671</v>
      </c>
      <c r="JN15" s="223" t="str">
        <f t="shared" si="177"/>
        <v/>
      </c>
      <c r="JO15" s="223">
        <f t="shared" si="178"/>
        <v>81.666666666666671</v>
      </c>
      <c r="JP15" s="223" t="str">
        <f t="shared" si="179"/>
        <v/>
      </c>
      <c r="JQ15" s="223" t="str">
        <f t="shared" si="180"/>
        <v/>
      </c>
      <c r="JR15" s="223">
        <f t="shared" si="181"/>
        <v>81.666666666666671</v>
      </c>
      <c r="JS15" s="223" t="str">
        <f t="shared" si="182"/>
        <v/>
      </c>
      <c r="JT15" s="223" t="str">
        <f t="shared" si="183"/>
        <v/>
      </c>
      <c r="JU15" s="223"/>
      <c r="JV15" s="223"/>
      <c r="JW15" s="223" t="str">
        <f t="shared" si="184"/>
        <v>menyajikan konsep-konsep yang saling berkaitan pada teks nonfiksi ke dalam tulisan dengan bahasa sendiri</v>
      </c>
      <c r="JX15" s="577" t="str">
        <f>IF(IT15&gt;100,"",IF(IT15&gt;=EV$1,"sangat baik dalam "&amp;JW15,IF(IT15&gt;=EV$2,"baik dalam "&amp;JW15,IF(IT15&gt;=EV$3,"cukup dalam "&amp;JW15,IF(IT15&lt;EV$3,"dengan bimbingan dapat meningkatkan dalam "&amp;JW15,IF(IT15&lt;1," ",””))))))</f>
        <v>cukup dalam menyajikan konsep-konsep yang saling berkaitan pada teks nonfiksi ke dalam tulisan dengan bahasa sendiri</v>
      </c>
      <c r="JY15" s="223" t="str">
        <f t="shared" si="185"/>
        <v>Ananda Ilham baik dalam melisankan pantun hasil karya pribadi dengan lafal, intonasi, dan ekspresi yang tepat sebagai bentuk ungkapan diri, cukup dalam menyajikan konsep-konsep yang saling berkaitan pada teks nonfiksi ke dalam tulisan dengan bahasa sendiri.</v>
      </c>
    </row>
    <row r="16" spans="1:285" ht="45">
      <c r="A16" s="39">
        <v>9</v>
      </c>
      <c r="B16" s="223" t="str">
        <f>SISWA!B14</f>
        <v>Muhammad Raditya Ainul Yaqin</v>
      </c>
      <c r="C16" s="123">
        <v>80</v>
      </c>
      <c r="D16" s="123"/>
      <c r="E16" s="123"/>
      <c r="F16" s="123"/>
      <c r="G16" s="123"/>
      <c r="H16" s="123"/>
      <c r="I16" s="123"/>
      <c r="J16" s="123"/>
      <c r="K16" s="123"/>
      <c r="L16" s="255">
        <v>85</v>
      </c>
      <c r="M16" s="255"/>
      <c r="N16" s="255"/>
      <c r="O16" s="255"/>
      <c r="P16" s="255"/>
      <c r="Q16" s="255"/>
      <c r="R16" s="255"/>
      <c r="S16" s="255"/>
      <c r="T16" s="255"/>
      <c r="U16" s="256">
        <v>75</v>
      </c>
      <c r="V16" s="256"/>
      <c r="W16" s="256"/>
      <c r="X16" s="256"/>
      <c r="Y16" s="256"/>
      <c r="Z16" s="256"/>
      <c r="AA16" s="256"/>
      <c r="AB16" s="256"/>
      <c r="AC16" s="256"/>
      <c r="AD16" s="123"/>
      <c r="AE16" s="123">
        <v>75</v>
      </c>
      <c r="AF16" s="123"/>
      <c r="AG16" s="123"/>
      <c r="AH16" s="123"/>
      <c r="AI16" s="123"/>
      <c r="AJ16" s="123"/>
      <c r="AK16" s="123"/>
      <c r="AL16" s="123"/>
      <c r="AM16" s="255"/>
      <c r="AN16" s="255">
        <v>80</v>
      </c>
      <c r="AO16" s="255"/>
      <c r="AP16" s="255"/>
      <c r="AQ16" s="255"/>
      <c r="AR16" s="255"/>
      <c r="AS16" s="255"/>
      <c r="AT16" s="255"/>
      <c r="AU16" s="255"/>
      <c r="AV16" s="256"/>
      <c r="AW16" s="256">
        <v>85</v>
      </c>
      <c r="AX16" s="256"/>
      <c r="AY16" s="256"/>
      <c r="AZ16" s="256"/>
      <c r="BA16" s="256"/>
      <c r="BB16" s="256"/>
      <c r="BC16" s="256"/>
      <c r="BD16" s="256"/>
      <c r="BE16" s="123"/>
      <c r="BF16" s="123"/>
      <c r="BG16" s="123"/>
      <c r="BH16" s="123">
        <v>80</v>
      </c>
      <c r="BI16" s="123"/>
      <c r="BJ16" s="123"/>
      <c r="BK16" s="123"/>
      <c r="BL16" s="123"/>
      <c r="BM16" s="123"/>
      <c r="BN16" s="255"/>
      <c r="BO16" s="255"/>
      <c r="BP16" s="255"/>
      <c r="BQ16" s="255">
        <v>75</v>
      </c>
      <c r="BR16" s="255"/>
      <c r="BS16" s="255"/>
      <c r="BT16" s="255"/>
      <c r="BU16" s="255"/>
      <c r="BV16" s="255"/>
      <c r="BW16" s="256"/>
      <c r="BX16" s="256"/>
      <c r="BY16" s="256"/>
      <c r="BZ16" s="256">
        <v>75</v>
      </c>
      <c r="CA16" s="256"/>
      <c r="CB16" s="256"/>
      <c r="CC16" s="256"/>
      <c r="CD16" s="256"/>
      <c r="CE16" s="256"/>
      <c r="CF16" s="123"/>
      <c r="CG16" s="123"/>
      <c r="CH16" s="123"/>
      <c r="CI16" s="123"/>
      <c r="CJ16" s="123"/>
      <c r="CK16" s="123">
        <v>90</v>
      </c>
      <c r="CL16" s="123"/>
      <c r="CM16" s="123"/>
      <c r="CN16" s="123"/>
      <c r="CO16" s="255"/>
      <c r="CP16" s="255"/>
      <c r="CQ16" s="255"/>
      <c r="CR16" s="255"/>
      <c r="CS16" s="255"/>
      <c r="CT16" s="255">
        <v>90</v>
      </c>
      <c r="CU16" s="255"/>
      <c r="CV16" s="255"/>
      <c r="CW16" s="255"/>
      <c r="CX16" s="256"/>
      <c r="CY16" s="256"/>
      <c r="CZ16" s="256"/>
      <c r="DA16" s="256"/>
      <c r="DB16" s="256"/>
      <c r="DC16" s="256">
        <v>80</v>
      </c>
      <c r="DD16" s="256"/>
      <c r="DE16" s="256"/>
      <c r="DF16" s="256"/>
      <c r="DG16" s="458"/>
      <c r="DH16" s="458"/>
      <c r="DI16" s="458"/>
      <c r="DJ16" s="458"/>
      <c r="DK16" s="458"/>
      <c r="DL16" s="458"/>
      <c r="DM16" s="458">
        <v>75</v>
      </c>
      <c r="DN16" s="458"/>
      <c r="DO16" s="458"/>
      <c r="DP16" s="457"/>
      <c r="DQ16" s="457"/>
      <c r="DR16" s="457"/>
      <c r="DS16" s="457"/>
      <c r="DT16" s="457"/>
      <c r="DU16" s="457"/>
      <c r="DV16" s="457">
        <v>75</v>
      </c>
      <c r="DW16" s="457"/>
      <c r="DX16" s="457"/>
      <c r="DY16" s="256"/>
      <c r="DZ16" s="256"/>
      <c r="EA16" s="256"/>
      <c r="EB16" s="256"/>
      <c r="EC16" s="256"/>
      <c r="ED16" s="256"/>
      <c r="EE16" s="256">
        <v>80</v>
      </c>
      <c r="EF16" s="256"/>
      <c r="EG16" s="256"/>
      <c r="EH16" s="257">
        <f t="shared" si="55"/>
        <v>80</v>
      </c>
      <c r="EI16" s="257">
        <f t="shared" si="56"/>
        <v>80</v>
      </c>
      <c r="EJ16" s="257" t="str">
        <f t="shared" si="57"/>
        <v/>
      </c>
      <c r="EK16" s="257">
        <f t="shared" si="58"/>
        <v>76.666666666666671</v>
      </c>
      <c r="EL16" s="257" t="str">
        <f t="shared" si="59"/>
        <v/>
      </c>
      <c r="EM16" s="257">
        <f t="shared" si="60"/>
        <v>86.666666666666671</v>
      </c>
      <c r="EN16" s="257">
        <f t="shared" si="61"/>
        <v>76.666666666666671</v>
      </c>
      <c r="EO16" s="257" t="str">
        <f t="shared" si="62"/>
        <v/>
      </c>
      <c r="EP16" s="257" t="str">
        <f t="shared" si="63"/>
        <v/>
      </c>
      <c r="EQ16" s="579">
        <f t="shared" si="64"/>
        <v>80</v>
      </c>
      <c r="ER16" s="291" t="str">
        <f t="shared" si="65"/>
        <v>C</v>
      </c>
      <c r="ES16" s="243" t="str">
        <f t="shared" si="66"/>
        <v>Ananda Radit baik dalam melisankan pantun hasil karya pribadi dengan lafal, intonasi, dan ekspresi yang tepat sebagai bentuk ungkapan diri, cukup dalam menyajikan konsep-konsep yang saling berkaitan pada teks nonfiksi ke dalam tulisan dengan bahasa sendiri.</v>
      </c>
      <c r="ET16" s="39"/>
      <c r="EU16" s="39"/>
      <c r="EV16" s="257">
        <f t="shared" si="67"/>
        <v>80</v>
      </c>
      <c r="EW16" s="257">
        <f t="shared" si="68"/>
        <v>75</v>
      </c>
      <c r="EX16" s="257">
        <f t="shared" si="69"/>
        <v>0</v>
      </c>
      <c r="EY16" s="257">
        <f t="shared" si="70"/>
        <v>80</v>
      </c>
      <c r="EZ16" s="257">
        <f t="shared" si="71"/>
        <v>0</v>
      </c>
      <c r="FA16" s="257">
        <f t="shared" si="72"/>
        <v>90</v>
      </c>
      <c r="FB16" s="257">
        <f t="shared" si="73"/>
        <v>75</v>
      </c>
      <c r="FC16" s="257">
        <f t="shared" si="74"/>
        <v>0</v>
      </c>
      <c r="FD16" s="257">
        <f t="shared" si="75"/>
        <v>0</v>
      </c>
      <c r="FE16" s="257"/>
      <c r="FF16" s="289">
        <f t="shared" si="76"/>
        <v>90</v>
      </c>
      <c r="FG16" s="575">
        <f t="shared" si="77"/>
        <v>85</v>
      </c>
      <c r="FH16" s="575">
        <f t="shared" si="78"/>
        <v>80</v>
      </c>
      <c r="FI16" s="575">
        <f t="shared" si="79"/>
        <v>0</v>
      </c>
      <c r="FJ16" s="575">
        <f t="shared" si="80"/>
        <v>75</v>
      </c>
      <c r="FK16" s="575">
        <f t="shared" si="81"/>
        <v>0</v>
      </c>
      <c r="FL16" s="575">
        <f t="shared" si="82"/>
        <v>90</v>
      </c>
      <c r="FM16" s="575">
        <f t="shared" si="83"/>
        <v>75</v>
      </c>
      <c r="FN16" s="575">
        <f t="shared" si="84"/>
        <v>0</v>
      </c>
      <c r="FO16" s="575">
        <f t="shared" si="85"/>
        <v>0</v>
      </c>
      <c r="FP16" s="258"/>
      <c r="FQ16" s="289">
        <f t="shared" si="86"/>
        <v>90</v>
      </c>
      <c r="FR16" s="765">
        <f t="shared" si="87"/>
        <v>75</v>
      </c>
      <c r="FS16" s="765">
        <f t="shared" si="88"/>
        <v>85</v>
      </c>
      <c r="FT16" s="765">
        <f t="shared" si="89"/>
        <v>0</v>
      </c>
      <c r="FU16" s="765">
        <f t="shared" si="90"/>
        <v>75</v>
      </c>
      <c r="FV16" s="765">
        <f t="shared" si="91"/>
        <v>0</v>
      </c>
      <c r="FW16" s="765">
        <f t="shared" si="92"/>
        <v>80</v>
      </c>
      <c r="FX16" s="765">
        <f t="shared" si="93"/>
        <v>80</v>
      </c>
      <c r="FY16" s="765">
        <f t="shared" si="94"/>
        <v>0</v>
      </c>
      <c r="FZ16" s="765">
        <f t="shared" si="95"/>
        <v>0</v>
      </c>
      <c r="GA16" s="766"/>
      <c r="GB16" s="289">
        <f t="shared" si="96"/>
        <v>85</v>
      </c>
      <c r="GC16" s="257">
        <f t="shared" si="97"/>
        <v>80</v>
      </c>
      <c r="GD16" s="257">
        <f t="shared" si="98"/>
        <v>85</v>
      </c>
      <c r="GE16" s="257">
        <f t="shared" si="99"/>
        <v>75</v>
      </c>
      <c r="GF16" s="575">
        <f t="shared" si="100"/>
        <v>0</v>
      </c>
      <c r="GG16" s="506">
        <f t="shared" si="101"/>
        <v>3</v>
      </c>
      <c r="GH16" s="39">
        <f t="shared" si="102"/>
        <v>80</v>
      </c>
      <c r="GI16" s="257">
        <f t="shared" si="103"/>
        <v>75</v>
      </c>
      <c r="GJ16" s="257">
        <f t="shared" si="104"/>
        <v>80</v>
      </c>
      <c r="GK16" s="257">
        <f t="shared" si="105"/>
        <v>85</v>
      </c>
      <c r="GL16" s="575">
        <f t="shared" si="106"/>
        <v>0</v>
      </c>
      <c r="GM16" s="506">
        <f t="shared" si="107"/>
        <v>3</v>
      </c>
      <c r="GN16" s="39">
        <f t="shared" si="108"/>
        <v>80</v>
      </c>
      <c r="GO16" s="257">
        <f t="shared" si="109"/>
        <v>0</v>
      </c>
      <c r="GP16" s="257">
        <f t="shared" si="110"/>
        <v>0</v>
      </c>
      <c r="GQ16" s="257">
        <f t="shared" si="111"/>
        <v>0</v>
      </c>
      <c r="GR16" s="575">
        <f t="shared" si="112"/>
        <v>3</v>
      </c>
      <c r="GS16" s="506">
        <f t="shared" si="113"/>
        <v>0</v>
      </c>
      <c r="GT16" s="39" t="str">
        <f t="shared" si="114"/>
        <v/>
      </c>
      <c r="GU16" s="257">
        <f t="shared" si="115"/>
        <v>80</v>
      </c>
      <c r="GV16" s="257">
        <f t="shared" si="116"/>
        <v>75</v>
      </c>
      <c r="GW16" s="257">
        <f t="shared" si="117"/>
        <v>75</v>
      </c>
      <c r="GX16" s="575">
        <f t="shared" si="118"/>
        <v>0</v>
      </c>
      <c r="GY16" s="506">
        <f t="shared" si="119"/>
        <v>3</v>
      </c>
      <c r="GZ16" s="39">
        <f t="shared" si="120"/>
        <v>76.666666666666671</v>
      </c>
      <c r="HA16" s="257">
        <f t="shared" si="121"/>
        <v>0</v>
      </c>
      <c r="HB16" s="257">
        <f t="shared" si="122"/>
        <v>0</v>
      </c>
      <c r="HC16" s="257">
        <f t="shared" si="123"/>
        <v>0</v>
      </c>
      <c r="HD16" s="575">
        <f t="shared" si="124"/>
        <v>3</v>
      </c>
      <c r="HE16" s="506">
        <f t="shared" si="125"/>
        <v>0</v>
      </c>
      <c r="HF16" s="39" t="str">
        <f t="shared" si="126"/>
        <v/>
      </c>
      <c r="HG16" s="257">
        <f t="shared" si="127"/>
        <v>90</v>
      </c>
      <c r="HH16" s="257">
        <f t="shared" si="128"/>
        <v>90</v>
      </c>
      <c r="HI16" s="257">
        <f t="shared" si="129"/>
        <v>80</v>
      </c>
      <c r="HJ16" s="575">
        <f t="shared" si="130"/>
        <v>0</v>
      </c>
      <c r="HK16" s="506">
        <f t="shared" si="131"/>
        <v>3</v>
      </c>
      <c r="HL16" s="39">
        <f t="shared" si="132"/>
        <v>86.666666666666671</v>
      </c>
      <c r="HM16" s="257">
        <f t="shared" si="133"/>
        <v>75</v>
      </c>
      <c r="HN16" s="257">
        <f t="shared" si="134"/>
        <v>75</v>
      </c>
      <c r="HO16" s="257">
        <f t="shared" si="135"/>
        <v>80</v>
      </c>
      <c r="HP16" s="575">
        <f t="shared" si="136"/>
        <v>0</v>
      </c>
      <c r="HQ16" s="506">
        <f t="shared" si="137"/>
        <v>3</v>
      </c>
      <c r="HR16" s="39">
        <f t="shared" si="138"/>
        <v>76.666666666666671</v>
      </c>
      <c r="HS16" s="257">
        <f t="shared" si="139"/>
        <v>0</v>
      </c>
      <c r="HT16" s="257">
        <f t="shared" si="140"/>
        <v>0</v>
      </c>
      <c r="HU16" s="257">
        <f t="shared" si="141"/>
        <v>0</v>
      </c>
      <c r="HV16" s="575">
        <f t="shared" si="142"/>
        <v>3</v>
      </c>
      <c r="HW16" s="506">
        <f t="shared" si="143"/>
        <v>0</v>
      </c>
      <c r="HX16" s="39" t="str">
        <f t="shared" si="144"/>
        <v/>
      </c>
      <c r="HY16" s="257">
        <f t="shared" si="145"/>
        <v>0</v>
      </c>
      <c r="HZ16" s="257">
        <f t="shared" si="146"/>
        <v>0</v>
      </c>
      <c r="IA16" s="257">
        <f t="shared" si="147"/>
        <v>0</v>
      </c>
      <c r="IB16" s="575">
        <f t="shared" si="148"/>
        <v>3</v>
      </c>
      <c r="IC16" s="506">
        <f t="shared" si="149"/>
        <v>0</v>
      </c>
      <c r="ID16" s="39" t="str">
        <f t="shared" si="150"/>
        <v/>
      </c>
      <c r="IE16" s="39"/>
      <c r="IF16" s="39"/>
      <c r="IG16" s="39"/>
      <c r="IH16" s="39">
        <f t="shared" si="151"/>
        <v>80</v>
      </c>
      <c r="II16" s="39">
        <f t="shared" si="152"/>
        <v>80</v>
      </c>
      <c r="IJ16" s="39" t="str">
        <f t="shared" si="153"/>
        <v/>
      </c>
      <c r="IK16" s="39">
        <f t="shared" si="154"/>
        <v>76.666666666666671</v>
      </c>
      <c r="IL16" s="39" t="str">
        <f t="shared" si="155"/>
        <v/>
      </c>
      <c r="IM16" s="767">
        <f t="shared" si="156"/>
        <v>86.666666666666671</v>
      </c>
      <c r="IN16" s="579">
        <f t="shared" si="157"/>
        <v>76.666666666666671</v>
      </c>
      <c r="IO16" s="579" t="str">
        <f t="shared" si="158"/>
        <v/>
      </c>
      <c r="IP16" s="579" t="str">
        <f t="shared" si="159"/>
        <v/>
      </c>
      <c r="IQ16" s="579"/>
      <c r="IR16" s="579">
        <f t="shared" si="160"/>
        <v>80</v>
      </c>
      <c r="IS16" s="289">
        <f t="shared" si="161"/>
        <v>86.666666666666671</v>
      </c>
      <c r="IT16" s="289">
        <f t="shared" si="162"/>
        <v>76.666666666666671</v>
      </c>
      <c r="IU16" s="223" t="str">
        <f>SISWA!E14</f>
        <v>Radit</v>
      </c>
      <c r="IV16" s="223" t="str">
        <f t="shared" si="163"/>
        <v xml:space="preserve">Ananda Radit </v>
      </c>
      <c r="IW16" s="580" t="str">
        <f t="shared" si="164"/>
        <v/>
      </c>
      <c r="IX16" s="580" t="str">
        <f t="shared" si="165"/>
        <v/>
      </c>
      <c r="IY16" s="580" t="str">
        <f t="shared" si="166"/>
        <v/>
      </c>
      <c r="IZ16" s="580" t="str">
        <f t="shared" si="167"/>
        <v/>
      </c>
      <c r="JA16" s="580" t="str">
        <f t="shared" si="168"/>
        <v/>
      </c>
      <c r="JB16" s="580">
        <f t="shared" si="169"/>
        <v>86.666666666666671</v>
      </c>
      <c r="JC16" s="580" t="str">
        <f t="shared" si="170"/>
        <v/>
      </c>
      <c r="JD16" s="580" t="str">
        <f t="shared" si="171"/>
        <v/>
      </c>
      <c r="JE16" s="580" t="str">
        <f t="shared" si="172"/>
        <v/>
      </c>
      <c r="JF16" s="580"/>
      <c r="JG16" s="580"/>
      <c r="JH16" s="223">
        <f t="shared" si="173"/>
        <v>86.666666666666671</v>
      </c>
      <c r="JI16" s="289" t="str">
        <f t="shared" si="174"/>
        <v>melisankan pantun hasil karya pribadi dengan lafal, intonasi, dan ekspresi yang tepat sebagai bentuk ungkapan diri</v>
      </c>
      <c r="JJ16" s="576" t="str">
        <f>IF(IS16&gt;100,"",IF(IS16&gt;EV$1,"sangat baik dalam "&amp;JI16,IF(IS16&gt;=EV$2,"baik dalam "&amp;JI16,IF(IS16&gt;=EV$3,"cukup dalam "&amp;JI16,IF(IS16&lt;EV$3,"dengan bimbingan dapat meningkatkan dalam "&amp;JI16,IF(IS16&lt;1," ",””))))))</f>
        <v>baik dalam melisankan pantun hasil karya pribadi dengan lafal, intonasi, dan ekspresi yang tepat sebagai bentuk ungkapan diri</v>
      </c>
      <c r="JK16" s="223"/>
      <c r="JL16" s="223" t="str">
        <f t="shared" si="175"/>
        <v/>
      </c>
      <c r="JM16" s="223" t="str">
        <f t="shared" si="176"/>
        <v/>
      </c>
      <c r="JN16" s="223" t="str">
        <f t="shared" si="177"/>
        <v/>
      </c>
      <c r="JO16" s="223">
        <f t="shared" si="178"/>
        <v>76.666666666666671</v>
      </c>
      <c r="JP16" s="223" t="str">
        <f t="shared" si="179"/>
        <v/>
      </c>
      <c r="JQ16" s="223" t="str">
        <f t="shared" si="180"/>
        <v/>
      </c>
      <c r="JR16" s="223">
        <f t="shared" si="181"/>
        <v>76.666666666666671</v>
      </c>
      <c r="JS16" s="223" t="str">
        <f t="shared" si="182"/>
        <v/>
      </c>
      <c r="JT16" s="223" t="str">
        <f t="shared" si="183"/>
        <v/>
      </c>
      <c r="JU16" s="223"/>
      <c r="JV16" s="223"/>
      <c r="JW16" s="223" t="str">
        <f t="shared" si="184"/>
        <v>menyajikan konsep-konsep yang saling berkaitan pada teks nonfiksi ke dalam tulisan dengan bahasa sendiri</v>
      </c>
      <c r="JX16" s="577" t="str">
        <f>IF(IT16&gt;100,"",IF(IT16&gt;=EV$1,"sangat baik dalam "&amp;JW16,IF(IT16&gt;=EV$2,"baik dalam "&amp;JW16,IF(IT16&gt;=EV$3,"cukup dalam "&amp;JW16,IF(IT16&lt;EV$3,"dengan bimbingan dapat meningkatkan dalam "&amp;JW16,IF(IT16&lt;1," ",””))))))</f>
        <v>cukup dalam menyajikan konsep-konsep yang saling berkaitan pada teks nonfiksi ke dalam tulisan dengan bahasa sendiri</v>
      </c>
      <c r="JY16" s="223" t="str">
        <f t="shared" si="185"/>
        <v>Ananda Radit baik dalam melisankan pantun hasil karya pribadi dengan lafal, intonasi, dan ekspresi yang tepat sebagai bentuk ungkapan diri, cukup dalam menyajikan konsep-konsep yang saling berkaitan pada teks nonfiksi ke dalam tulisan dengan bahasa sendiri.</v>
      </c>
    </row>
    <row r="17" spans="1:285" ht="45">
      <c r="A17" s="39">
        <v>10</v>
      </c>
      <c r="B17" s="223" t="str">
        <f>SISWA!B15</f>
        <v>Muhammad Shulhan Al-farisi</v>
      </c>
      <c r="C17" s="123">
        <v>90</v>
      </c>
      <c r="D17" s="123"/>
      <c r="E17" s="123"/>
      <c r="F17" s="123"/>
      <c r="G17" s="123"/>
      <c r="H17" s="123"/>
      <c r="I17" s="123"/>
      <c r="J17" s="123"/>
      <c r="K17" s="123"/>
      <c r="L17" s="255">
        <v>90</v>
      </c>
      <c r="M17" s="255"/>
      <c r="N17" s="255"/>
      <c r="O17" s="255"/>
      <c r="P17" s="255"/>
      <c r="Q17" s="255"/>
      <c r="R17" s="255"/>
      <c r="S17" s="255"/>
      <c r="T17" s="255"/>
      <c r="U17" s="256">
        <v>90</v>
      </c>
      <c r="V17" s="256"/>
      <c r="W17" s="256"/>
      <c r="X17" s="256"/>
      <c r="Y17" s="256"/>
      <c r="Z17" s="256"/>
      <c r="AA17" s="256"/>
      <c r="AB17" s="256"/>
      <c r="AC17" s="256"/>
      <c r="AD17" s="123"/>
      <c r="AE17" s="123">
        <v>75</v>
      </c>
      <c r="AF17" s="123"/>
      <c r="AG17" s="123"/>
      <c r="AH17" s="123"/>
      <c r="AI17" s="123"/>
      <c r="AJ17" s="123"/>
      <c r="AK17" s="123"/>
      <c r="AL17" s="123"/>
      <c r="AM17" s="255"/>
      <c r="AN17" s="255">
        <v>85</v>
      </c>
      <c r="AO17" s="255"/>
      <c r="AP17" s="255"/>
      <c r="AQ17" s="255"/>
      <c r="AR17" s="255"/>
      <c r="AS17" s="255"/>
      <c r="AT17" s="255"/>
      <c r="AU17" s="255"/>
      <c r="AV17" s="256"/>
      <c r="AW17" s="256">
        <v>75</v>
      </c>
      <c r="AX17" s="256"/>
      <c r="AY17" s="256"/>
      <c r="AZ17" s="256"/>
      <c r="BA17" s="256"/>
      <c r="BB17" s="256"/>
      <c r="BC17" s="256"/>
      <c r="BD17" s="256"/>
      <c r="BE17" s="123"/>
      <c r="BF17" s="123"/>
      <c r="BG17" s="123"/>
      <c r="BH17" s="123">
        <v>90</v>
      </c>
      <c r="BI17" s="123"/>
      <c r="BJ17" s="123"/>
      <c r="BK17" s="123"/>
      <c r="BL17" s="123"/>
      <c r="BM17" s="123"/>
      <c r="BN17" s="255"/>
      <c r="BO17" s="255"/>
      <c r="BP17" s="255"/>
      <c r="BQ17" s="255">
        <v>75</v>
      </c>
      <c r="BR17" s="255"/>
      <c r="BS17" s="255"/>
      <c r="BT17" s="255"/>
      <c r="BU17" s="255"/>
      <c r="BV17" s="255"/>
      <c r="BW17" s="256"/>
      <c r="BX17" s="256"/>
      <c r="BY17" s="256"/>
      <c r="BZ17" s="256">
        <v>80</v>
      </c>
      <c r="CA17" s="256"/>
      <c r="CB17" s="256"/>
      <c r="CC17" s="256"/>
      <c r="CD17" s="256"/>
      <c r="CE17" s="256"/>
      <c r="CF17" s="123"/>
      <c r="CG17" s="123"/>
      <c r="CH17" s="123"/>
      <c r="CI17" s="123"/>
      <c r="CJ17" s="123"/>
      <c r="CK17" s="123">
        <v>90</v>
      </c>
      <c r="CL17" s="123"/>
      <c r="CM17" s="123"/>
      <c r="CN17" s="123"/>
      <c r="CO17" s="255"/>
      <c r="CP17" s="255"/>
      <c r="CQ17" s="255"/>
      <c r="CR17" s="255"/>
      <c r="CS17" s="255"/>
      <c r="CT17" s="255">
        <v>85</v>
      </c>
      <c r="CU17" s="255"/>
      <c r="CV17" s="255"/>
      <c r="CW17" s="255"/>
      <c r="CX17" s="256"/>
      <c r="CY17" s="256"/>
      <c r="CZ17" s="256"/>
      <c r="DA17" s="256"/>
      <c r="DB17" s="256"/>
      <c r="DC17" s="256">
        <v>90</v>
      </c>
      <c r="DD17" s="256"/>
      <c r="DE17" s="256"/>
      <c r="DF17" s="256"/>
      <c r="DG17" s="458"/>
      <c r="DH17" s="458"/>
      <c r="DI17" s="458"/>
      <c r="DJ17" s="458"/>
      <c r="DK17" s="458"/>
      <c r="DL17" s="458"/>
      <c r="DM17" s="458">
        <v>75</v>
      </c>
      <c r="DN17" s="458"/>
      <c r="DO17" s="458"/>
      <c r="DP17" s="457"/>
      <c r="DQ17" s="457"/>
      <c r="DR17" s="457"/>
      <c r="DS17" s="457"/>
      <c r="DT17" s="457"/>
      <c r="DU17" s="457"/>
      <c r="DV17" s="457">
        <v>85</v>
      </c>
      <c r="DW17" s="457"/>
      <c r="DX17" s="457"/>
      <c r="DY17" s="256"/>
      <c r="DZ17" s="256"/>
      <c r="EA17" s="256"/>
      <c r="EB17" s="256"/>
      <c r="EC17" s="256"/>
      <c r="ED17" s="256"/>
      <c r="EE17" s="256">
        <v>85</v>
      </c>
      <c r="EF17" s="256"/>
      <c r="EG17" s="256"/>
      <c r="EH17" s="257">
        <f t="shared" si="55"/>
        <v>90</v>
      </c>
      <c r="EI17" s="257">
        <f t="shared" si="56"/>
        <v>78.333333333333329</v>
      </c>
      <c r="EJ17" s="257" t="str">
        <f t="shared" si="57"/>
        <v/>
      </c>
      <c r="EK17" s="257">
        <f t="shared" si="58"/>
        <v>81.666666666666671</v>
      </c>
      <c r="EL17" s="257" t="str">
        <f t="shared" si="59"/>
        <v/>
      </c>
      <c r="EM17" s="257">
        <f t="shared" si="60"/>
        <v>88.333333333333329</v>
      </c>
      <c r="EN17" s="257">
        <f t="shared" si="61"/>
        <v>81.666666666666671</v>
      </c>
      <c r="EO17" s="257" t="str">
        <f t="shared" si="62"/>
        <v/>
      </c>
      <c r="EP17" s="257" t="str">
        <f t="shared" si="63"/>
        <v/>
      </c>
      <c r="EQ17" s="579">
        <f t="shared" si="64"/>
        <v>84</v>
      </c>
      <c r="ER17" s="291" t="str">
        <f t="shared" si="65"/>
        <v>B</v>
      </c>
      <c r="ES17" s="243" t="str">
        <f t="shared" si="66"/>
        <v>Ananda Shulhan baik dalam menyajikan hasil identifikasi pokok pikiran dalam teks tulis dan lisan secara lisan, tulis, dan visual, cukup dalam menyajikan hasil klasifikasi informasi yang didapat dari buku yang dikelompokkan dalam aspek: apa, di mana, kapan, siapa, mengapa, dan bagaimana .</v>
      </c>
      <c r="ET17" s="39"/>
      <c r="EU17" s="39"/>
      <c r="EV17" s="257">
        <f t="shared" si="67"/>
        <v>90</v>
      </c>
      <c r="EW17" s="257">
        <f t="shared" si="68"/>
        <v>75</v>
      </c>
      <c r="EX17" s="257">
        <f t="shared" si="69"/>
        <v>0</v>
      </c>
      <c r="EY17" s="257">
        <f t="shared" si="70"/>
        <v>90</v>
      </c>
      <c r="EZ17" s="257">
        <f t="shared" si="71"/>
        <v>0</v>
      </c>
      <c r="FA17" s="257">
        <f t="shared" si="72"/>
        <v>90</v>
      </c>
      <c r="FB17" s="257">
        <f t="shared" si="73"/>
        <v>75</v>
      </c>
      <c r="FC17" s="257">
        <f t="shared" si="74"/>
        <v>0</v>
      </c>
      <c r="FD17" s="257">
        <f t="shared" si="75"/>
        <v>0</v>
      </c>
      <c r="FE17" s="257"/>
      <c r="FF17" s="289">
        <f t="shared" si="76"/>
        <v>90</v>
      </c>
      <c r="FG17" s="575">
        <f t="shared" si="77"/>
        <v>90</v>
      </c>
      <c r="FH17" s="575">
        <f t="shared" si="78"/>
        <v>85</v>
      </c>
      <c r="FI17" s="575">
        <f t="shared" si="79"/>
        <v>0</v>
      </c>
      <c r="FJ17" s="575">
        <f t="shared" si="80"/>
        <v>75</v>
      </c>
      <c r="FK17" s="575">
        <f t="shared" si="81"/>
        <v>0</v>
      </c>
      <c r="FL17" s="575">
        <f t="shared" si="82"/>
        <v>85</v>
      </c>
      <c r="FM17" s="575">
        <f t="shared" si="83"/>
        <v>85</v>
      </c>
      <c r="FN17" s="575">
        <f t="shared" si="84"/>
        <v>0</v>
      </c>
      <c r="FO17" s="575">
        <f t="shared" si="85"/>
        <v>0</v>
      </c>
      <c r="FP17" s="258"/>
      <c r="FQ17" s="289">
        <f t="shared" si="86"/>
        <v>90</v>
      </c>
      <c r="FR17" s="765">
        <f t="shared" si="87"/>
        <v>90</v>
      </c>
      <c r="FS17" s="765">
        <f t="shared" si="88"/>
        <v>75</v>
      </c>
      <c r="FT17" s="765">
        <f t="shared" si="89"/>
        <v>0</v>
      </c>
      <c r="FU17" s="765">
        <f t="shared" si="90"/>
        <v>80</v>
      </c>
      <c r="FV17" s="765">
        <f t="shared" si="91"/>
        <v>0</v>
      </c>
      <c r="FW17" s="765">
        <f t="shared" si="92"/>
        <v>90</v>
      </c>
      <c r="FX17" s="765">
        <f t="shared" si="93"/>
        <v>85</v>
      </c>
      <c r="FY17" s="765">
        <f t="shared" si="94"/>
        <v>0</v>
      </c>
      <c r="FZ17" s="765">
        <f t="shared" si="95"/>
        <v>0</v>
      </c>
      <c r="GA17" s="766"/>
      <c r="GB17" s="289">
        <f t="shared" si="96"/>
        <v>90</v>
      </c>
      <c r="GC17" s="257">
        <f t="shared" si="97"/>
        <v>90</v>
      </c>
      <c r="GD17" s="257">
        <f t="shared" si="98"/>
        <v>90</v>
      </c>
      <c r="GE17" s="257">
        <f t="shared" si="99"/>
        <v>90</v>
      </c>
      <c r="GF17" s="575">
        <f t="shared" si="100"/>
        <v>0</v>
      </c>
      <c r="GG17" s="506">
        <f t="shared" si="101"/>
        <v>3</v>
      </c>
      <c r="GH17" s="39">
        <f t="shared" si="102"/>
        <v>90</v>
      </c>
      <c r="GI17" s="257">
        <f t="shared" si="103"/>
        <v>75</v>
      </c>
      <c r="GJ17" s="257">
        <f t="shared" si="104"/>
        <v>85</v>
      </c>
      <c r="GK17" s="257">
        <f t="shared" si="105"/>
        <v>75</v>
      </c>
      <c r="GL17" s="575">
        <f t="shared" si="106"/>
        <v>0</v>
      </c>
      <c r="GM17" s="506">
        <f t="shared" si="107"/>
        <v>3</v>
      </c>
      <c r="GN17" s="39">
        <f t="shared" si="108"/>
        <v>78.333333333333329</v>
      </c>
      <c r="GO17" s="257">
        <f t="shared" si="109"/>
        <v>0</v>
      </c>
      <c r="GP17" s="257">
        <f t="shared" si="110"/>
        <v>0</v>
      </c>
      <c r="GQ17" s="257">
        <f t="shared" si="111"/>
        <v>0</v>
      </c>
      <c r="GR17" s="575">
        <f t="shared" si="112"/>
        <v>3</v>
      </c>
      <c r="GS17" s="506">
        <f t="shared" si="113"/>
        <v>0</v>
      </c>
      <c r="GT17" s="39" t="str">
        <f t="shared" si="114"/>
        <v/>
      </c>
      <c r="GU17" s="257">
        <f t="shared" si="115"/>
        <v>90</v>
      </c>
      <c r="GV17" s="257">
        <f t="shared" si="116"/>
        <v>75</v>
      </c>
      <c r="GW17" s="257">
        <f t="shared" si="117"/>
        <v>80</v>
      </c>
      <c r="GX17" s="575">
        <f t="shared" si="118"/>
        <v>0</v>
      </c>
      <c r="GY17" s="506">
        <f t="shared" si="119"/>
        <v>3</v>
      </c>
      <c r="GZ17" s="39">
        <f t="shared" si="120"/>
        <v>81.666666666666671</v>
      </c>
      <c r="HA17" s="257">
        <f t="shared" si="121"/>
        <v>0</v>
      </c>
      <c r="HB17" s="257">
        <f t="shared" si="122"/>
        <v>0</v>
      </c>
      <c r="HC17" s="257">
        <f t="shared" si="123"/>
        <v>0</v>
      </c>
      <c r="HD17" s="575">
        <f t="shared" si="124"/>
        <v>3</v>
      </c>
      <c r="HE17" s="506">
        <f t="shared" si="125"/>
        <v>0</v>
      </c>
      <c r="HF17" s="39" t="str">
        <f t="shared" si="126"/>
        <v/>
      </c>
      <c r="HG17" s="257">
        <f t="shared" si="127"/>
        <v>90</v>
      </c>
      <c r="HH17" s="257">
        <f t="shared" si="128"/>
        <v>85</v>
      </c>
      <c r="HI17" s="257">
        <f t="shared" si="129"/>
        <v>90</v>
      </c>
      <c r="HJ17" s="575">
        <f t="shared" si="130"/>
        <v>0</v>
      </c>
      <c r="HK17" s="506">
        <f t="shared" si="131"/>
        <v>3</v>
      </c>
      <c r="HL17" s="39">
        <f t="shared" si="132"/>
        <v>88.333333333333329</v>
      </c>
      <c r="HM17" s="257">
        <f t="shared" si="133"/>
        <v>75</v>
      </c>
      <c r="HN17" s="257">
        <f t="shared" si="134"/>
        <v>85</v>
      </c>
      <c r="HO17" s="257">
        <f t="shared" si="135"/>
        <v>85</v>
      </c>
      <c r="HP17" s="575">
        <f t="shared" si="136"/>
        <v>0</v>
      </c>
      <c r="HQ17" s="506">
        <f t="shared" si="137"/>
        <v>3</v>
      </c>
      <c r="HR17" s="39">
        <f t="shared" si="138"/>
        <v>81.666666666666671</v>
      </c>
      <c r="HS17" s="257">
        <f t="shared" si="139"/>
        <v>0</v>
      </c>
      <c r="HT17" s="257">
        <f t="shared" si="140"/>
        <v>0</v>
      </c>
      <c r="HU17" s="257">
        <f t="shared" si="141"/>
        <v>0</v>
      </c>
      <c r="HV17" s="575">
        <f t="shared" si="142"/>
        <v>3</v>
      </c>
      <c r="HW17" s="506">
        <f t="shared" si="143"/>
        <v>0</v>
      </c>
      <c r="HX17" s="39" t="str">
        <f t="shared" si="144"/>
        <v/>
      </c>
      <c r="HY17" s="257">
        <f t="shared" si="145"/>
        <v>0</v>
      </c>
      <c r="HZ17" s="257">
        <f t="shared" si="146"/>
        <v>0</v>
      </c>
      <c r="IA17" s="257">
        <f t="shared" si="147"/>
        <v>0</v>
      </c>
      <c r="IB17" s="575">
        <f t="shared" si="148"/>
        <v>3</v>
      </c>
      <c r="IC17" s="506">
        <f t="shared" si="149"/>
        <v>0</v>
      </c>
      <c r="ID17" s="39" t="str">
        <f t="shared" si="150"/>
        <v/>
      </c>
      <c r="IE17" s="39"/>
      <c r="IF17" s="39"/>
      <c r="IG17" s="39"/>
      <c r="IH17" s="39">
        <f t="shared" si="151"/>
        <v>90</v>
      </c>
      <c r="II17" s="39">
        <f t="shared" si="152"/>
        <v>78.333333333333329</v>
      </c>
      <c r="IJ17" s="39" t="str">
        <f t="shared" si="153"/>
        <v/>
      </c>
      <c r="IK17" s="39">
        <f t="shared" si="154"/>
        <v>81.666666666666671</v>
      </c>
      <c r="IL17" s="39" t="str">
        <f t="shared" si="155"/>
        <v/>
      </c>
      <c r="IM17" s="767">
        <f t="shared" si="156"/>
        <v>88.333333333333329</v>
      </c>
      <c r="IN17" s="579">
        <f t="shared" si="157"/>
        <v>81.666666666666671</v>
      </c>
      <c r="IO17" s="579" t="str">
        <f t="shared" si="158"/>
        <v/>
      </c>
      <c r="IP17" s="579" t="str">
        <f t="shared" si="159"/>
        <v/>
      </c>
      <c r="IQ17" s="579"/>
      <c r="IR17" s="579">
        <f t="shared" si="160"/>
        <v>84</v>
      </c>
      <c r="IS17" s="289">
        <f t="shared" si="161"/>
        <v>90</v>
      </c>
      <c r="IT17" s="289">
        <f t="shared" si="162"/>
        <v>78.333333333333329</v>
      </c>
      <c r="IU17" s="223" t="str">
        <f>SISWA!E15</f>
        <v>Shulhan</v>
      </c>
      <c r="IV17" s="223" t="str">
        <f t="shared" si="163"/>
        <v xml:space="preserve">Ananda Shulhan </v>
      </c>
      <c r="IW17" s="580">
        <f t="shared" si="164"/>
        <v>90</v>
      </c>
      <c r="IX17" s="580" t="str">
        <f t="shared" si="165"/>
        <v/>
      </c>
      <c r="IY17" s="580" t="str">
        <f t="shared" si="166"/>
        <v/>
      </c>
      <c r="IZ17" s="580" t="str">
        <f t="shared" si="167"/>
        <v/>
      </c>
      <c r="JA17" s="580" t="str">
        <f t="shared" si="168"/>
        <v/>
      </c>
      <c r="JB17" s="580" t="str">
        <f t="shared" si="169"/>
        <v/>
      </c>
      <c r="JC17" s="580" t="str">
        <f t="shared" si="170"/>
        <v/>
      </c>
      <c r="JD17" s="580" t="str">
        <f t="shared" si="171"/>
        <v/>
      </c>
      <c r="JE17" s="580" t="str">
        <f t="shared" si="172"/>
        <v/>
      </c>
      <c r="JF17" s="580"/>
      <c r="JG17" s="580"/>
      <c r="JH17" s="223">
        <f t="shared" si="173"/>
        <v>90</v>
      </c>
      <c r="JI17" s="289" t="str">
        <f t="shared" si="174"/>
        <v>menyajikan hasil identifikasi pokok pikiran dalam teks tulis dan lisan secara lisan, tulis, dan visual</v>
      </c>
      <c r="JJ17" s="576" t="str">
        <f>IF(IS17&gt;100,"",IF(IS17&gt;EV$1,"sangat baik dalam "&amp;JI17,IF(IS17&gt;=EV$2,"baik dalam "&amp;JI17,IF(IS17&gt;=EV$3,"cukup dalam "&amp;JI17,IF(IS17&lt;EV$3,"dengan bimbingan dapat meningkatkan dalam "&amp;JI17,IF(IS17&lt;1," ",””))))))</f>
        <v>baik dalam menyajikan hasil identifikasi pokok pikiran dalam teks tulis dan lisan secara lisan, tulis, dan visual</v>
      </c>
      <c r="JK17" s="223"/>
      <c r="JL17" s="223" t="str">
        <f t="shared" si="175"/>
        <v/>
      </c>
      <c r="JM17" s="223">
        <f t="shared" si="176"/>
        <v>78.333333333333329</v>
      </c>
      <c r="JN17" s="223" t="str">
        <f t="shared" si="177"/>
        <v/>
      </c>
      <c r="JO17" s="223" t="str">
        <f t="shared" si="178"/>
        <v/>
      </c>
      <c r="JP17" s="223" t="str">
        <f t="shared" si="179"/>
        <v/>
      </c>
      <c r="JQ17" s="223" t="str">
        <f t="shared" si="180"/>
        <v/>
      </c>
      <c r="JR17" s="223" t="str">
        <f t="shared" si="181"/>
        <v/>
      </c>
      <c r="JS17" s="223" t="str">
        <f t="shared" si="182"/>
        <v/>
      </c>
      <c r="JT17" s="223" t="str">
        <f t="shared" si="183"/>
        <v/>
      </c>
      <c r="JU17" s="223"/>
      <c r="JV17" s="223"/>
      <c r="JW17" s="223" t="str">
        <f t="shared" si="184"/>
        <v xml:space="preserve">menyajikan hasil klasifikasi informasi yang didapat dari buku yang dikelompokkan dalam aspek: apa, di mana, kapan, siapa, mengapa, dan bagaimana </v>
      </c>
      <c r="JX17" s="577" t="str">
        <f>IF(IT17&gt;100,"",IF(IT17&gt;=EV$1,"sangat baik dalam "&amp;JW17,IF(IT17&gt;=EV$2,"baik dalam "&amp;JW17,IF(IT17&gt;=EV$3,"cukup dalam "&amp;JW17,IF(IT17&lt;EV$3,"dengan bimbingan dapat meningkatkan dalam "&amp;JW17,IF(IT17&lt;1," ",””))))))</f>
        <v xml:space="preserve">cukup dalam menyajikan hasil klasifikasi informasi yang didapat dari buku yang dikelompokkan dalam aspek: apa, di mana, kapan, siapa, mengapa, dan bagaimana </v>
      </c>
      <c r="JY17" s="223" t="str">
        <f t="shared" si="185"/>
        <v>Ananda Shulhan baik dalam menyajikan hasil identifikasi pokok pikiran dalam teks tulis dan lisan secara lisan, tulis, dan visual, cukup dalam menyajikan hasil klasifikasi informasi yang didapat dari buku yang dikelompokkan dalam aspek: apa, di mana, kapan, siapa, mengapa, dan bagaimana .</v>
      </c>
    </row>
    <row r="18" spans="1:285" ht="60">
      <c r="A18" s="39">
        <v>11</v>
      </c>
      <c r="B18" s="223" t="str">
        <f>SISWA!B16</f>
        <v>Novaris Dwi Firmansyah</v>
      </c>
      <c r="C18" s="123">
        <v>80</v>
      </c>
      <c r="D18" s="123"/>
      <c r="E18" s="123"/>
      <c r="F18" s="123"/>
      <c r="G18" s="123"/>
      <c r="H18" s="123"/>
      <c r="I18" s="123"/>
      <c r="J18" s="123"/>
      <c r="K18" s="123"/>
      <c r="L18" s="255">
        <v>90</v>
      </c>
      <c r="M18" s="255"/>
      <c r="N18" s="255"/>
      <c r="O18" s="255"/>
      <c r="P18" s="255"/>
      <c r="Q18" s="255"/>
      <c r="R18" s="255"/>
      <c r="S18" s="255"/>
      <c r="T18" s="255"/>
      <c r="U18" s="256">
        <v>80</v>
      </c>
      <c r="V18" s="256"/>
      <c r="W18" s="256"/>
      <c r="X18" s="256"/>
      <c r="Y18" s="256"/>
      <c r="Z18" s="256"/>
      <c r="AA18" s="256"/>
      <c r="AB18" s="256"/>
      <c r="AC18" s="256"/>
      <c r="AD18" s="123"/>
      <c r="AE18" s="123">
        <v>75</v>
      </c>
      <c r="AF18" s="123"/>
      <c r="AG18" s="123"/>
      <c r="AH18" s="123"/>
      <c r="AI18" s="123"/>
      <c r="AJ18" s="123"/>
      <c r="AK18" s="123"/>
      <c r="AL18" s="123"/>
      <c r="AM18" s="255"/>
      <c r="AN18" s="255">
        <v>75</v>
      </c>
      <c r="AO18" s="255"/>
      <c r="AP18" s="255"/>
      <c r="AQ18" s="255"/>
      <c r="AR18" s="255"/>
      <c r="AS18" s="255"/>
      <c r="AT18" s="255"/>
      <c r="AU18" s="255"/>
      <c r="AV18" s="256"/>
      <c r="AW18" s="256">
        <v>90</v>
      </c>
      <c r="AX18" s="256"/>
      <c r="AY18" s="256"/>
      <c r="AZ18" s="256"/>
      <c r="BA18" s="256"/>
      <c r="BB18" s="256"/>
      <c r="BC18" s="256"/>
      <c r="BD18" s="256"/>
      <c r="BE18" s="123"/>
      <c r="BF18" s="123"/>
      <c r="BG18" s="123"/>
      <c r="BH18" s="123">
        <v>90</v>
      </c>
      <c r="BI18" s="123"/>
      <c r="BJ18" s="123"/>
      <c r="BK18" s="123"/>
      <c r="BL18" s="123"/>
      <c r="BM18" s="123"/>
      <c r="BN18" s="255"/>
      <c r="BO18" s="255"/>
      <c r="BP18" s="255"/>
      <c r="BQ18" s="255">
        <v>75</v>
      </c>
      <c r="BR18" s="255"/>
      <c r="BS18" s="255"/>
      <c r="BT18" s="255"/>
      <c r="BU18" s="255"/>
      <c r="BV18" s="255"/>
      <c r="BW18" s="256"/>
      <c r="BX18" s="256"/>
      <c r="BY18" s="256"/>
      <c r="BZ18" s="256">
        <v>80</v>
      </c>
      <c r="CA18" s="256"/>
      <c r="CB18" s="256"/>
      <c r="CC18" s="256"/>
      <c r="CD18" s="256"/>
      <c r="CE18" s="256"/>
      <c r="CF18" s="123"/>
      <c r="CG18" s="123"/>
      <c r="CH18" s="123"/>
      <c r="CI18" s="123"/>
      <c r="CJ18" s="123"/>
      <c r="CK18" s="123">
        <v>90</v>
      </c>
      <c r="CL18" s="123"/>
      <c r="CM18" s="123"/>
      <c r="CN18" s="123"/>
      <c r="CO18" s="255"/>
      <c r="CP18" s="255"/>
      <c r="CQ18" s="255"/>
      <c r="CR18" s="255"/>
      <c r="CS18" s="255"/>
      <c r="CT18" s="255">
        <v>85</v>
      </c>
      <c r="CU18" s="255"/>
      <c r="CV18" s="255"/>
      <c r="CW18" s="255"/>
      <c r="CX18" s="256"/>
      <c r="CY18" s="256"/>
      <c r="CZ18" s="256"/>
      <c r="DA18" s="256"/>
      <c r="DB18" s="256"/>
      <c r="DC18" s="256">
        <v>90</v>
      </c>
      <c r="DD18" s="256"/>
      <c r="DE18" s="256"/>
      <c r="DF18" s="256"/>
      <c r="DG18" s="458"/>
      <c r="DH18" s="458"/>
      <c r="DI18" s="458"/>
      <c r="DJ18" s="458"/>
      <c r="DK18" s="458"/>
      <c r="DL18" s="458"/>
      <c r="DM18" s="458">
        <v>85</v>
      </c>
      <c r="DN18" s="458"/>
      <c r="DO18" s="458"/>
      <c r="DP18" s="457"/>
      <c r="DQ18" s="457"/>
      <c r="DR18" s="457"/>
      <c r="DS18" s="457"/>
      <c r="DT18" s="457"/>
      <c r="DU18" s="457"/>
      <c r="DV18" s="457">
        <v>75</v>
      </c>
      <c r="DW18" s="457"/>
      <c r="DX18" s="457"/>
      <c r="DY18" s="256"/>
      <c r="DZ18" s="256"/>
      <c r="EA18" s="256"/>
      <c r="EB18" s="256"/>
      <c r="EC18" s="256"/>
      <c r="ED18" s="256"/>
      <c r="EE18" s="256">
        <v>85</v>
      </c>
      <c r="EF18" s="256"/>
      <c r="EG18" s="256"/>
      <c r="EH18" s="257">
        <f t="shared" si="55"/>
        <v>83.333333333333329</v>
      </c>
      <c r="EI18" s="257">
        <f t="shared" si="56"/>
        <v>80</v>
      </c>
      <c r="EJ18" s="257" t="str">
        <f t="shared" si="57"/>
        <v/>
      </c>
      <c r="EK18" s="257">
        <f t="shared" si="58"/>
        <v>81.666666666666671</v>
      </c>
      <c r="EL18" s="257" t="str">
        <f t="shared" si="59"/>
        <v/>
      </c>
      <c r="EM18" s="257">
        <f t="shared" si="60"/>
        <v>88.333333333333329</v>
      </c>
      <c r="EN18" s="257">
        <f t="shared" si="61"/>
        <v>81.666666666666671</v>
      </c>
      <c r="EO18" s="257" t="str">
        <f t="shared" si="62"/>
        <v/>
      </c>
      <c r="EP18" s="257" t="str">
        <f t="shared" si="63"/>
        <v/>
      </c>
      <c r="EQ18" s="579">
        <f t="shared" si="64"/>
        <v>83</v>
      </c>
      <c r="ER18" s="291" t="str">
        <f t="shared" si="65"/>
        <v>B</v>
      </c>
      <c r="ES18" s="243" t="str">
        <f t="shared" si="66"/>
        <v>Ananda Varis baik dalam melisankan pantun hasil karya pribadi dengan lafal, intonasi, dan ekspresi yang tepat sebagai bentuk ungkapan diri, cukup dalam menyajikan hasil klasifikasi informasi yang didapat dari buku yang dikelompokkan dalam aspek: apa, di mana, kapan, siapa, mengapa, dan bagaimana .</v>
      </c>
      <c r="ET18" s="39"/>
      <c r="EU18" s="39"/>
      <c r="EV18" s="257">
        <f t="shared" si="67"/>
        <v>80</v>
      </c>
      <c r="EW18" s="257">
        <f t="shared" si="68"/>
        <v>75</v>
      </c>
      <c r="EX18" s="257">
        <f t="shared" si="69"/>
        <v>0</v>
      </c>
      <c r="EY18" s="257">
        <f t="shared" si="70"/>
        <v>90</v>
      </c>
      <c r="EZ18" s="257">
        <f t="shared" si="71"/>
        <v>0</v>
      </c>
      <c r="FA18" s="257">
        <f t="shared" si="72"/>
        <v>90</v>
      </c>
      <c r="FB18" s="257">
        <f t="shared" si="73"/>
        <v>85</v>
      </c>
      <c r="FC18" s="257">
        <f t="shared" si="74"/>
        <v>0</v>
      </c>
      <c r="FD18" s="257">
        <f t="shared" si="75"/>
        <v>0</v>
      </c>
      <c r="FE18" s="257"/>
      <c r="FF18" s="289">
        <f t="shared" si="76"/>
        <v>90</v>
      </c>
      <c r="FG18" s="575">
        <f t="shared" si="77"/>
        <v>90</v>
      </c>
      <c r="FH18" s="575">
        <f t="shared" si="78"/>
        <v>75</v>
      </c>
      <c r="FI18" s="575">
        <f t="shared" si="79"/>
        <v>0</v>
      </c>
      <c r="FJ18" s="575">
        <f t="shared" si="80"/>
        <v>75</v>
      </c>
      <c r="FK18" s="575">
        <f t="shared" si="81"/>
        <v>0</v>
      </c>
      <c r="FL18" s="575">
        <f t="shared" si="82"/>
        <v>85</v>
      </c>
      <c r="FM18" s="575">
        <f t="shared" si="83"/>
        <v>75</v>
      </c>
      <c r="FN18" s="575">
        <f t="shared" si="84"/>
        <v>0</v>
      </c>
      <c r="FO18" s="575">
        <f t="shared" si="85"/>
        <v>0</v>
      </c>
      <c r="FP18" s="258"/>
      <c r="FQ18" s="289">
        <f t="shared" si="86"/>
        <v>90</v>
      </c>
      <c r="FR18" s="765">
        <f t="shared" si="87"/>
        <v>80</v>
      </c>
      <c r="FS18" s="765">
        <f t="shared" si="88"/>
        <v>90</v>
      </c>
      <c r="FT18" s="765">
        <f t="shared" si="89"/>
        <v>0</v>
      </c>
      <c r="FU18" s="765">
        <f t="shared" si="90"/>
        <v>80</v>
      </c>
      <c r="FV18" s="765">
        <f t="shared" si="91"/>
        <v>0</v>
      </c>
      <c r="FW18" s="765">
        <f t="shared" si="92"/>
        <v>90</v>
      </c>
      <c r="FX18" s="765">
        <f t="shared" si="93"/>
        <v>85</v>
      </c>
      <c r="FY18" s="765">
        <f t="shared" si="94"/>
        <v>0</v>
      </c>
      <c r="FZ18" s="765">
        <f t="shared" si="95"/>
        <v>0</v>
      </c>
      <c r="GA18" s="766"/>
      <c r="GB18" s="289">
        <f t="shared" si="96"/>
        <v>90</v>
      </c>
      <c r="GC18" s="257">
        <f t="shared" si="97"/>
        <v>80</v>
      </c>
      <c r="GD18" s="257">
        <f t="shared" si="98"/>
        <v>90</v>
      </c>
      <c r="GE18" s="257">
        <f t="shared" si="99"/>
        <v>80</v>
      </c>
      <c r="GF18" s="575">
        <f t="shared" si="100"/>
        <v>0</v>
      </c>
      <c r="GG18" s="506">
        <f t="shared" si="101"/>
        <v>3</v>
      </c>
      <c r="GH18" s="39">
        <f t="shared" si="102"/>
        <v>83.333333333333329</v>
      </c>
      <c r="GI18" s="257">
        <f t="shared" si="103"/>
        <v>75</v>
      </c>
      <c r="GJ18" s="257">
        <f t="shared" si="104"/>
        <v>75</v>
      </c>
      <c r="GK18" s="257">
        <f t="shared" si="105"/>
        <v>90</v>
      </c>
      <c r="GL18" s="575">
        <f t="shared" si="106"/>
        <v>0</v>
      </c>
      <c r="GM18" s="506">
        <f t="shared" si="107"/>
        <v>3</v>
      </c>
      <c r="GN18" s="39">
        <f t="shared" si="108"/>
        <v>80</v>
      </c>
      <c r="GO18" s="257">
        <f t="shared" si="109"/>
        <v>0</v>
      </c>
      <c r="GP18" s="257">
        <f t="shared" si="110"/>
        <v>0</v>
      </c>
      <c r="GQ18" s="257">
        <f t="shared" si="111"/>
        <v>0</v>
      </c>
      <c r="GR18" s="575">
        <f t="shared" si="112"/>
        <v>3</v>
      </c>
      <c r="GS18" s="506">
        <f t="shared" si="113"/>
        <v>0</v>
      </c>
      <c r="GT18" s="39" t="str">
        <f t="shared" si="114"/>
        <v/>
      </c>
      <c r="GU18" s="257">
        <f t="shared" si="115"/>
        <v>90</v>
      </c>
      <c r="GV18" s="257">
        <f t="shared" si="116"/>
        <v>75</v>
      </c>
      <c r="GW18" s="257">
        <f t="shared" si="117"/>
        <v>80</v>
      </c>
      <c r="GX18" s="575">
        <f t="shared" si="118"/>
        <v>0</v>
      </c>
      <c r="GY18" s="506">
        <f t="shared" si="119"/>
        <v>3</v>
      </c>
      <c r="GZ18" s="39">
        <f t="shared" si="120"/>
        <v>81.666666666666671</v>
      </c>
      <c r="HA18" s="257">
        <f t="shared" si="121"/>
        <v>0</v>
      </c>
      <c r="HB18" s="257">
        <f t="shared" si="122"/>
        <v>0</v>
      </c>
      <c r="HC18" s="257">
        <f t="shared" si="123"/>
        <v>0</v>
      </c>
      <c r="HD18" s="575">
        <f t="shared" si="124"/>
        <v>3</v>
      </c>
      <c r="HE18" s="506">
        <f t="shared" si="125"/>
        <v>0</v>
      </c>
      <c r="HF18" s="39" t="str">
        <f t="shared" si="126"/>
        <v/>
      </c>
      <c r="HG18" s="257">
        <f t="shared" si="127"/>
        <v>90</v>
      </c>
      <c r="HH18" s="257">
        <f t="shared" si="128"/>
        <v>85</v>
      </c>
      <c r="HI18" s="257">
        <f t="shared" si="129"/>
        <v>90</v>
      </c>
      <c r="HJ18" s="575">
        <f t="shared" si="130"/>
        <v>0</v>
      </c>
      <c r="HK18" s="506">
        <f t="shared" si="131"/>
        <v>3</v>
      </c>
      <c r="HL18" s="39">
        <f t="shared" si="132"/>
        <v>88.333333333333329</v>
      </c>
      <c r="HM18" s="257">
        <f t="shared" si="133"/>
        <v>85</v>
      </c>
      <c r="HN18" s="257">
        <f t="shared" si="134"/>
        <v>75</v>
      </c>
      <c r="HO18" s="257">
        <f t="shared" si="135"/>
        <v>85</v>
      </c>
      <c r="HP18" s="575">
        <f t="shared" si="136"/>
        <v>0</v>
      </c>
      <c r="HQ18" s="506">
        <f t="shared" si="137"/>
        <v>3</v>
      </c>
      <c r="HR18" s="39">
        <f t="shared" si="138"/>
        <v>81.666666666666671</v>
      </c>
      <c r="HS18" s="257">
        <f t="shared" si="139"/>
        <v>0</v>
      </c>
      <c r="HT18" s="257">
        <f t="shared" si="140"/>
        <v>0</v>
      </c>
      <c r="HU18" s="257">
        <f t="shared" si="141"/>
        <v>0</v>
      </c>
      <c r="HV18" s="575">
        <f t="shared" si="142"/>
        <v>3</v>
      </c>
      <c r="HW18" s="506">
        <f t="shared" si="143"/>
        <v>0</v>
      </c>
      <c r="HX18" s="39" t="str">
        <f t="shared" si="144"/>
        <v/>
      </c>
      <c r="HY18" s="257">
        <f t="shared" si="145"/>
        <v>0</v>
      </c>
      <c r="HZ18" s="257">
        <f t="shared" si="146"/>
        <v>0</v>
      </c>
      <c r="IA18" s="257">
        <f t="shared" si="147"/>
        <v>0</v>
      </c>
      <c r="IB18" s="575">
        <f t="shared" si="148"/>
        <v>3</v>
      </c>
      <c r="IC18" s="506">
        <f t="shared" si="149"/>
        <v>0</v>
      </c>
      <c r="ID18" s="39" t="str">
        <f t="shared" si="150"/>
        <v/>
      </c>
      <c r="IE18" s="39"/>
      <c r="IF18" s="39"/>
      <c r="IG18" s="39"/>
      <c r="IH18" s="39">
        <f t="shared" si="151"/>
        <v>83.333333333333329</v>
      </c>
      <c r="II18" s="39">
        <f t="shared" si="152"/>
        <v>80</v>
      </c>
      <c r="IJ18" s="39" t="str">
        <f t="shared" si="153"/>
        <v/>
      </c>
      <c r="IK18" s="39">
        <f t="shared" si="154"/>
        <v>81.666666666666671</v>
      </c>
      <c r="IL18" s="39" t="str">
        <f t="shared" si="155"/>
        <v/>
      </c>
      <c r="IM18" s="767">
        <f t="shared" si="156"/>
        <v>88.333333333333329</v>
      </c>
      <c r="IN18" s="579">
        <f t="shared" si="157"/>
        <v>81.666666666666671</v>
      </c>
      <c r="IO18" s="579" t="str">
        <f t="shared" si="158"/>
        <v/>
      </c>
      <c r="IP18" s="579" t="str">
        <f t="shared" si="159"/>
        <v/>
      </c>
      <c r="IQ18" s="579"/>
      <c r="IR18" s="579">
        <f t="shared" si="160"/>
        <v>83</v>
      </c>
      <c r="IS18" s="289">
        <f t="shared" si="161"/>
        <v>88.333333333333329</v>
      </c>
      <c r="IT18" s="289">
        <f t="shared" si="162"/>
        <v>80</v>
      </c>
      <c r="IU18" s="223" t="str">
        <f>SISWA!E16</f>
        <v>Varis</v>
      </c>
      <c r="IV18" s="223" t="str">
        <f t="shared" si="163"/>
        <v xml:space="preserve">Ananda Varis </v>
      </c>
      <c r="IW18" s="580" t="str">
        <f t="shared" si="164"/>
        <v/>
      </c>
      <c r="IX18" s="580" t="str">
        <f t="shared" si="165"/>
        <v/>
      </c>
      <c r="IY18" s="580" t="str">
        <f t="shared" si="166"/>
        <v/>
      </c>
      <c r="IZ18" s="580" t="str">
        <f t="shared" si="167"/>
        <v/>
      </c>
      <c r="JA18" s="580" t="str">
        <f t="shared" si="168"/>
        <v/>
      </c>
      <c r="JB18" s="580">
        <f t="shared" si="169"/>
        <v>88.333333333333329</v>
      </c>
      <c r="JC18" s="580" t="str">
        <f t="shared" si="170"/>
        <v/>
      </c>
      <c r="JD18" s="580" t="str">
        <f t="shared" si="171"/>
        <v/>
      </c>
      <c r="JE18" s="580" t="str">
        <f t="shared" si="172"/>
        <v/>
      </c>
      <c r="JF18" s="580"/>
      <c r="JG18" s="580"/>
      <c r="JH18" s="223">
        <f t="shared" si="173"/>
        <v>88.333333333333329</v>
      </c>
      <c r="JI18" s="289" t="str">
        <f t="shared" si="174"/>
        <v>melisankan pantun hasil karya pribadi dengan lafal, intonasi, dan ekspresi yang tepat sebagai bentuk ungkapan diri</v>
      </c>
      <c r="JJ18" s="576" t="str">
        <f>IF(IS18&gt;100,"",IF(IS18&gt;EV$1,"sangat baik dalam "&amp;JI18,IF(IS18&gt;=EV$2,"baik dalam "&amp;JI18,IF(IS18&gt;=EV$3,"cukup dalam "&amp;JI18,IF(IS18&lt;EV$3,"dengan bimbingan dapat meningkatkan dalam "&amp;JI18,IF(IS18&lt;1," ",””))))))</f>
        <v>baik dalam melisankan pantun hasil karya pribadi dengan lafal, intonasi, dan ekspresi yang tepat sebagai bentuk ungkapan diri</v>
      </c>
      <c r="JK18" s="223"/>
      <c r="JL18" s="223" t="str">
        <f t="shared" si="175"/>
        <v/>
      </c>
      <c r="JM18" s="223">
        <f t="shared" si="176"/>
        <v>80</v>
      </c>
      <c r="JN18" s="223" t="str">
        <f t="shared" si="177"/>
        <v/>
      </c>
      <c r="JO18" s="223" t="str">
        <f t="shared" si="178"/>
        <v/>
      </c>
      <c r="JP18" s="223" t="str">
        <f t="shared" si="179"/>
        <v/>
      </c>
      <c r="JQ18" s="223" t="str">
        <f t="shared" si="180"/>
        <v/>
      </c>
      <c r="JR18" s="223" t="str">
        <f t="shared" si="181"/>
        <v/>
      </c>
      <c r="JS18" s="223" t="str">
        <f t="shared" si="182"/>
        <v/>
      </c>
      <c r="JT18" s="223" t="str">
        <f t="shared" si="183"/>
        <v/>
      </c>
      <c r="JU18" s="223"/>
      <c r="JV18" s="223"/>
      <c r="JW18" s="223" t="str">
        <f t="shared" si="184"/>
        <v xml:space="preserve">menyajikan hasil klasifikasi informasi yang didapat dari buku yang dikelompokkan dalam aspek: apa, di mana, kapan, siapa, mengapa, dan bagaimana </v>
      </c>
      <c r="JX18" s="577" t="str">
        <f>IF(IT18&gt;100,"",IF(IT18&gt;=EV$1,"sangat baik dalam "&amp;JW18,IF(IT18&gt;=EV$2,"baik dalam "&amp;JW18,IF(IT18&gt;=EV$3,"cukup dalam "&amp;JW18,IF(IT18&lt;EV$3,"dengan bimbingan dapat meningkatkan dalam "&amp;JW18,IF(IT18&lt;1," ",””))))))</f>
        <v xml:space="preserve">cukup dalam menyajikan hasil klasifikasi informasi yang didapat dari buku yang dikelompokkan dalam aspek: apa, di mana, kapan, siapa, mengapa, dan bagaimana </v>
      </c>
      <c r="JY18" s="223" t="str">
        <f t="shared" si="185"/>
        <v>Ananda Varis baik dalam melisankan pantun hasil karya pribadi dengan lafal, intonasi, dan ekspresi yang tepat sebagai bentuk ungkapan diri, cukup dalam menyajikan hasil klasifikasi informasi yang didapat dari buku yang dikelompokkan dalam aspek: apa, di mana, kapan, siapa, mengapa, dan bagaimana .</v>
      </c>
    </row>
    <row r="19" spans="1:285" ht="45">
      <c r="A19" s="39">
        <v>12</v>
      </c>
      <c r="B19" s="223" t="str">
        <f>SISWA!B17</f>
        <v>Oktafiya Duwi Safitri</v>
      </c>
      <c r="C19" s="123">
        <v>80</v>
      </c>
      <c r="D19" s="123"/>
      <c r="E19" s="123"/>
      <c r="F19" s="123"/>
      <c r="G19" s="123"/>
      <c r="H19" s="123"/>
      <c r="I19" s="123"/>
      <c r="J19" s="123"/>
      <c r="K19" s="123"/>
      <c r="L19" s="255">
        <v>75</v>
      </c>
      <c r="M19" s="255"/>
      <c r="N19" s="255"/>
      <c r="O19" s="255"/>
      <c r="P19" s="255"/>
      <c r="Q19" s="255"/>
      <c r="R19" s="255"/>
      <c r="S19" s="255"/>
      <c r="T19" s="255"/>
      <c r="U19" s="256">
        <v>75</v>
      </c>
      <c r="V19" s="256"/>
      <c r="W19" s="256"/>
      <c r="X19" s="256"/>
      <c r="Y19" s="256"/>
      <c r="Z19" s="256"/>
      <c r="AA19" s="256"/>
      <c r="AB19" s="256"/>
      <c r="AC19" s="256"/>
      <c r="AD19" s="123"/>
      <c r="AE19" s="123">
        <v>75</v>
      </c>
      <c r="AF19" s="123"/>
      <c r="AG19" s="123"/>
      <c r="AH19" s="123"/>
      <c r="AI19" s="123"/>
      <c r="AJ19" s="123"/>
      <c r="AK19" s="123"/>
      <c r="AL19" s="123"/>
      <c r="AM19" s="255"/>
      <c r="AN19" s="255">
        <v>75</v>
      </c>
      <c r="AO19" s="255"/>
      <c r="AP19" s="255"/>
      <c r="AQ19" s="255"/>
      <c r="AR19" s="255"/>
      <c r="AS19" s="255"/>
      <c r="AT19" s="255"/>
      <c r="AU19" s="255"/>
      <c r="AV19" s="256"/>
      <c r="AW19" s="256">
        <v>75</v>
      </c>
      <c r="AX19" s="256"/>
      <c r="AY19" s="256"/>
      <c r="AZ19" s="256"/>
      <c r="BA19" s="256"/>
      <c r="BB19" s="256"/>
      <c r="BC19" s="256"/>
      <c r="BD19" s="256"/>
      <c r="BE19" s="123"/>
      <c r="BF19" s="123"/>
      <c r="BG19" s="123"/>
      <c r="BH19" s="123">
        <v>75</v>
      </c>
      <c r="BI19" s="123"/>
      <c r="BJ19" s="123"/>
      <c r="BK19" s="123"/>
      <c r="BL19" s="123"/>
      <c r="BM19" s="123"/>
      <c r="BN19" s="255"/>
      <c r="BO19" s="255"/>
      <c r="BP19" s="255"/>
      <c r="BQ19" s="255">
        <v>75</v>
      </c>
      <c r="BR19" s="255"/>
      <c r="BS19" s="255"/>
      <c r="BT19" s="255"/>
      <c r="BU19" s="255"/>
      <c r="BV19" s="255"/>
      <c r="BW19" s="256"/>
      <c r="BX19" s="256"/>
      <c r="BY19" s="256"/>
      <c r="BZ19" s="256">
        <v>75</v>
      </c>
      <c r="CA19" s="256"/>
      <c r="CB19" s="256"/>
      <c r="CC19" s="256"/>
      <c r="CD19" s="256"/>
      <c r="CE19" s="256"/>
      <c r="CF19" s="123"/>
      <c r="CG19" s="123"/>
      <c r="CH19" s="123"/>
      <c r="CI19" s="123"/>
      <c r="CJ19" s="123"/>
      <c r="CK19" s="123">
        <v>75</v>
      </c>
      <c r="CL19" s="123"/>
      <c r="CM19" s="123"/>
      <c r="CN19" s="123"/>
      <c r="CO19" s="255"/>
      <c r="CP19" s="255"/>
      <c r="CQ19" s="255"/>
      <c r="CR19" s="255"/>
      <c r="CS19" s="255"/>
      <c r="CT19" s="255">
        <v>75</v>
      </c>
      <c r="CU19" s="255"/>
      <c r="CV19" s="255"/>
      <c r="CW19" s="255"/>
      <c r="CX19" s="256"/>
      <c r="CY19" s="256"/>
      <c r="CZ19" s="256"/>
      <c r="DA19" s="256"/>
      <c r="DB19" s="256"/>
      <c r="DC19" s="256">
        <v>75</v>
      </c>
      <c r="DD19" s="256"/>
      <c r="DE19" s="256"/>
      <c r="DF19" s="256"/>
      <c r="DG19" s="458"/>
      <c r="DH19" s="458"/>
      <c r="DI19" s="458"/>
      <c r="DJ19" s="458"/>
      <c r="DK19" s="458"/>
      <c r="DL19" s="458"/>
      <c r="DM19" s="458">
        <v>75</v>
      </c>
      <c r="DN19" s="458"/>
      <c r="DO19" s="458"/>
      <c r="DP19" s="457"/>
      <c r="DQ19" s="457"/>
      <c r="DR19" s="457"/>
      <c r="DS19" s="457"/>
      <c r="DT19" s="457"/>
      <c r="DU19" s="457"/>
      <c r="DV19" s="457">
        <v>75</v>
      </c>
      <c r="DW19" s="457"/>
      <c r="DX19" s="457"/>
      <c r="DY19" s="256"/>
      <c r="DZ19" s="256"/>
      <c r="EA19" s="256"/>
      <c r="EB19" s="256"/>
      <c r="EC19" s="256"/>
      <c r="ED19" s="256"/>
      <c r="EE19" s="256">
        <v>75</v>
      </c>
      <c r="EF19" s="256"/>
      <c r="EG19" s="256"/>
      <c r="EH19" s="257">
        <f t="shared" si="55"/>
        <v>76.666666666666671</v>
      </c>
      <c r="EI19" s="257">
        <f t="shared" si="56"/>
        <v>75</v>
      </c>
      <c r="EJ19" s="257" t="str">
        <f t="shared" si="57"/>
        <v/>
      </c>
      <c r="EK19" s="257">
        <f t="shared" si="58"/>
        <v>75</v>
      </c>
      <c r="EL19" s="257" t="str">
        <f t="shared" si="59"/>
        <v/>
      </c>
      <c r="EM19" s="257">
        <f t="shared" si="60"/>
        <v>75</v>
      </c>
      <c r="EN19" s="257">
        <f t="shared" si="61"/>
        <v>75</v>
      </c>
      <c r="EO19" s="257" t="str">
        <f t="shared" si="62"/>
        <v/>
      </c>
      <c r="EP19" s="257" t="str">
        <f t="shared" si="63"/>
        <v/>
      </c>
      <c r="EQ19" s="579">
        <f t="shared" si="64"/>
        <v>75</v>
      </c>
      <c r="ER19" s="291" t="str">
        <f t="shared" si="65"/>
        <v>C</v>
      </c>
      <c r="ES19" s="243" t="str">
        <f t="shared" si="66"/>
        <v>Ananda Fitri cukup dalam menyajikan hasil identifikasi pokok pikiran dalam teks tulis dan lisan secara lisan, tulis, dan visual, cukup dalam menyajikan konsep-konsep yang saling berkaitan pada teks nonfiksi ke dalam tulisan dengan bahasa sendiri.</v>
      </c>
      <c r="ET19" s="39"/>
      <c r="EU19" s="39"/>
      <c r="EV19" s="257">
        <f t="shared" si="67"/>
        <v>80</v>
      </c>
      <c r="EW19" s="257">
        <f t="shared" si="68"/>
        <v>75</v>
      </c>
      <c r="EX19" s="257">
        <f t="shared" si="69"/>
        <v>0</v>
      </c>
      <c r="EY19" s="257">
        <f t="shared" si="70"/>
        <v>75</v>
      </c>
      <c r="EZ19" s="257">
        <f t="shared" si="71"/>
        <v>0</v>
      </c>
      <c r="FA19" s="257">
        <f t="shared" si="72"/>
        <v>75</v>
      </c>
      <c r="FB19" s="257">
        <f t="shared" si="73"/>
        <v>75</v>
      </c>
      <c r="FC19" s="257">
        <f t="shared" si="74"/>
        <v>0</v>
      </c>
      <c r="FD19" s="257">
        <f t="shared" si="75"/>
        <v>0</v>
      </c>
      <c r="FE19" s="257"/>
      <c r="FF19" s="289">
        <f t="shared" si="76"/>
        <v>80</v>
      </c>
      <c r="FG19" s="575">
        <f t="shared" si="77"/>
        <v>75</v>
      </c>
      <c r="FH19" s="575">
        <f t="shared" si="78"/>
        <v>75</v>
      </c>
      <c r="FI19" s="575">
        <f t="shared" si="79"/>
        <v>0</v>
      </c>
      <c r="FJ19" s="575">
        <f t="shared" si="80"/>
        <v>75</v>
      </c>
      <c r="FK19" s="575">
        <f t="shared" si="81"/>
        <v>0</v>
      </c>
      <c r="FL19" s="575">
        <f t="shared" si="82"/>
        <v>75</v>
      </c>
      <c r="FM19" s="575">
        <f t="shared" si="83"/>
        <v>75</v>
      </c>
      <c r="FN19" s="575">
        <f t="shared" si="84"/>
        <v>0</v>
      </c>
      <c r="FO19" s="575">
        <f t="shared" si="85"/>
        <v>0</v>
      </c>
      <c r="FP19" s="258"/>
      <c r="FQ19" s="289">
        <f t="shared" si="86"/>
        <v>75</v>
      </c>
      <c r="FR19" s="765">
        <f t="shared" si="87"/>
        <v>75</v>
      </c>
      <c r="FS19" s="765">
        <f t="shared" si="88"/>
        <v>75</v>
      </c>
      <c r="FT19" s="765">
        <f t="shared" si="89"/>
        <v>0</v>
      </c>
      <c r="FU19" s="765">
        <f t="shared" si="90"/>
        <v>75</v>
      </c>
      <c r="FV19" s="765">
        <f t="shared" si="91"/>
        <v>0</v>
      </c>
      <c r="FW19" s="765">
        <f t="shared" si="92"/>
        <v>75</v>
      </c>
      <c r="FX19" s="765">
        <f t="shared" si="93"/>
        <v>75</v>
      </c>
      <c r="FY19" s="765">
        <f t="shared" si="94"/>
        <v>0</v>
      </c>
      <c r="FZ19" s="765">
        <f t="shared" si="95"/>
        <v>0</v>
      </c>
      <c r="GA19" s="766"/>
      <c r="GB19" s="289">
        <f t="shared" si="96"/>
        <v>75</v>
      </c>
      <c r="GC19" s="257">
        <f t="shared" si="97"/>
        <v>80</v>
      </c>
      <c r="GD19" s="257">
        <f t="shared" si="98"/>
        <v>75</v>
      </c>
      <c r="GE19" s="257">
        <f t="shared" si="99"/>
        <v>75</v>
      </c>
      <c r="GF19" s="575">
        <f t="shared" si="100"/>
        <v>0</v>
      </c>
      <c r="GG19" s="506">
        <f t="shared" si="101"/>
        <v>3</v>
      </c>
      <c r="GH19" s="39">
        <f t="shared" si="102"/>
        <v>76.666666666666671</v>
      </c>
      <c r="GI19" s="257">
        <f t="shared" si="103"/>
        <v>75</v>
      </c>
      <c r="GJ19" s="257">
        <f t="shared" si="104"/>
        <v>75</v>
      </c>
      <c r="GK19" s="257">
        <f t="shared" si="105"/>
        <v>75</v>
      </c>
      <c r="GL19" s="575">
        <f t="shared" si="106"/>
        <v>0</v>
      </c>
      <c r="GM19" s="506">
        <f t="shared" si="107"/>
        <v>3</v>
      </c>
      <c r="GN19" s="39">
        <f t="shared" si="108"/>
        <v>75</v>
      </c>
      <c r="GO19" s="257">
        <f t="shared" si="109"/>
        <v>0</v>
      </c>
      <c r="GP19" s="257">
        <f t="shared" si="110"/>
        <v>0</v>
      </c>
      <c r="GQ19" s="257">
        <f t="shared" si="111"/>
        <v>0</v>
      </c>
      <c r="GR19" s="575">
        <f t="shared" si="112"/>
        <v>3</v>
      </c>
      <c r="GS19" s="506">
        <f t="shared" si="113"/>
        <v>0</v>
      </c>
      <c r="GT19" s="39" t="str">
        <f t="shared" si="114"/>
        <v/>
      </c>
      <c r="GU19" s="257">
        <f t="shared" si="115"/>
        <v>75</v>
      </c>
      <c r="GV19" s="257">
        <f t="shared" si="116"/>
        <v>75</v>
      </c>
      <c r="GW19" s="257">
        <f t="shared" si="117"/>
        <v>75</v>
      </c>
      <c r="GX19" s="575">
        <f t="shared" si="118"/>
        <v>0</v>
      </c>
      <c r="GY19" s="506">
        <f t="shared" si="119"/>
        <v>3</v>
      </c>
      <c r="GZ19" s="39">
        <f t="shared" si="120"/>
        <v>75</v>
      </c>
      <c r="HA19" s="257">
        <f t="shared" si="121"/>
        <v>0</v>
      </c>
      <c r="HB19" s="257">
        <f t="shared" si="122"/>
        <v>0</v>
      </c>
      <c r="HC19" s="257">
        <f t="shared" si="123"/>
        <v>0</v>
      </c>
      <c r="HD19" s="575">
        <f t="shared" si="124"/>
        <v>3</v>
      </c>
      <c r="HE19" s="506">
        <f t="shared" si="125"/>
        <v>0</v>
      </c>
      <c r="HF19" s="39" t="str">
        <f t="shared" si="126"/>
        <v/>
      </c>
      <c r="HG19" s="257">
        <f t="shared" si="127"/>
        <v>75</v>
      </c>
      <c r="HH19" s="257">
        <f t="shared" si="128"/>
        <v>75</v>
      </c>
      <c r="HI19" s="257">
        <f t="shared" si="129"/>
        <v>75</v>
      </c>
      <c r="HJ19" s="575">
        <f t="shared" si="130"/>
        <v>0</v>
      </c>
      <c r="HK19" s="506">
        <f t="shared" si="131"/>
        <v>3</v>
      </c>
      <c r="HL19" s="39">
        <f t="shared" si="132"/>
        <v>75</v>
      </c>
      <c r="HM19" s="257">
        <f t="shared" si="133"/>
        <v>75</v>
      </c>
      <c r="HN19" s="257">
        <f t="shared" si="134"/>
        <v>75</v>
      </c>
      <c r="HO19" s="257">
        <f t="shared" si="135"/>
        <v>75</v>
      </c>
      <c r="HP19" s="575">
        <f t="shared" si="136"/>
        <v>0</v>
      </c>
      <c r="HQ19" s="506">
        <f t="shared" si="137"/>
        <v>3</v>
      </c>
      <c r="HR19" s="39">
        <f t="shared" si="138"/>
        <v>75</v>
      </c>
      <c r="HS19" s="257">
        <f t="shared" si="139"/>
        <v>0</v>
      </c>
      <c r="HT19" s="257">
        <f t="shared" si="140"/>
        <v>0</v>
      </c>
      <c r="HU19" s="257">
        <f t="shared" si="141"/>
        <v>0</v>
      </c>
      <c r="HV19" s="575">
        <f t="shared" si="142"/>
        <v>3</v>
      </c>
      <c r="HW19" s="506">
        <f t="shared" si="143"/>
        <v>0</v>
      </c>
      <c r="HX19" s="39" t="str">
        <f t="shared" si="144"/>
        <v/>
      </c>
      <c r="HY19" s="257">
        <f t="shared" si="145"/>
        <v>0</v>
      </c>
      <c r="HZ19" s="257">
        <f t="shared" si="146"/>
        <v>0</v>
      </c>
      <c r="IA19" s="257">
        <f t="shared" si="147"/>
        <v>0</v>
      </c>
      <c r="IB19" s="575">
        <f t="shared" si="148"/>
        <v>3</v>
      </c>
      <c r="IC19" s="506">
        <f t="shared" si="149"/>
        <v>0</v>
      </c>
      <c r="ID19" s="39" t="str">
        <f t="shared" si="150"/>
        <v/>
      </c>
      <c r="IE19" s="39"/>
      <c r="IF19" s="39"/>
      <c r="IG19" s="39"/>
      <c r="IH19" s="39">
        <f t="shared" si="151"/>
        <v>76.666666666666671</v>
      </c>
      <c r="II19" s="39">
        <f t="shared" si="152"/>
        <v>75</v>
      </c>
      <c r="IJ19" s="39" t="str">
        <f t="shared" si="153"/>
        <v/>
      </c>
      <c r="IK19" s="39">
        <f t="shared" si="154"/>
        <v>75</v>
      </c>
      <c r="IL19" s="39" t="str">
        <f t="shared" si="155"/>
        <v/>
      </c>
      <c r="IM19" s="767">
        <f t="shared" si="156"/>
        <v>75</v>
      </c>
      <c r="IN19" s="579">
        <f t="shared" si="157"/>
        <v>75</v>
      </c>
      <c r="IO19" s="579" t="str">
        <f t="shared" si="158"/>
        <v/>
      </c>
      <c r="IP19" s="579" t="str">
        <f t="shared" si="159"/>
        <v/>
      </c>
      <c r="IQ19" s="579"/>
      <c r="IR19" s="579">
        <f t="shared" si="160"/>
        <v>75</v>
      </c>
      <c r="IS19" s="289">
        <f t="shared" si="161"/>
        <v>76.666666666666671</v>
      </c>
      <c r="IT19" s="289">
        <f t="shared" si="162"/>
        <v>75</v>
      </c>
      <c r="IU19" s="223" t="str">
        <f>SISWA!E17</f>
        <v>Fitri</v>
      </c>
      <c r="IV19" s="223" t="str">
        <f t="shared" si="163"/>
        <v xml:space="preserve">Ananda Fitri </v>
      </c>
      <c r="IW19" s="580">
        <f t="shared" si="164"/>
        <v>76.666666666666671</v>
      </c>
      <c r="IX19" s="580" t="str">
        <f t="shared" si="165"/>
        <v/>
      </c>
      <c r="IY19" s="580" t="str">
        <f t="shared" si="166"/>
        <v/>
      </c>
      <c r="IZ19" s="580" t="str">
        <f t="shared" si="167"/>
        <v/>
      </c>
      <c r="JA19" s="580" t="str">
        <f t="shared" si="168"/>
        <v/>
      </c>
      <c r="JB19" s="580" t="str">
        <f t="shared" si="169"/>
        <v/>
      </c>
      <c r="JC19" s="580" t="str">
        <f t="shared" si="170"/>
        <v/>
      </c>
      <c r="JD19" s="580" t="str">
        <f t="shared" si="171"/>
        <v/>
      </c>
      <c r="JE19" s="580" t="str">
        <f t="shared" si="172"/>
        <v/>
      </c>
      <c r="JF19" s="580"/>
      <c r="JG19" s="580"/>
      <c r="JH19" s="223">
        <f t="shared" si="173"/>
        <v>76.666666666666671</v>
      </c>
      <c r="JI19" s="289" t="str">
        <f t="shared" si="174"/>
        <v>menyajikan hasil identifikasi pokok pikiran dalam teks tulis dan lisan secara lisan, tulis, dan visual</v>
      </c>
      <c r="JJ19" s="576" t="str">
        <f>IF(IS19&gt;100,"",IF(IS19&gt;EV$1,"sangat baik dalam "&amp;JI19,IF(IS19&gt;=EV$2,"baik dalam "&amp;JI19,IF(IS19&gt;=EV$3,"cukup dalam "&amp;JI19,IF(IS19&lt;EV$3,"dengan bimbingan dapat meningkatkan dalam "&amp;JI19,IF(IS19&lt;1," ",””))))))</f>
        <v>cukup dalam menyajikan hasil identifikasi pokok pikiran dalam teks tulis dan lisan secara lisan, tulis, dan visual</v>
      </c>
      <c r="JK19" s="223"/>
      <c r="JL19" s="223" t="str">
        <f t="shared" si="175"/>
        <v/>
      </c>
      <c r="JM19" s="223">
        <f t="shared" si="176"/>
        <v>75</v>
      </c>
      <c r="JN19" s="223" t="str">
        <f t="shared" si="177"/>
        <v/>
      </c>
      <c r="JO19" s="223">
        <f t="shared" si="178"/>
        <v>75</v>
      </c>
      <c r="JP19" s="223" t="str">
        <f t="shared" si="179"/>
        <v/>
      </c>
      <c r="JQ19" s="223">
        <f t="shared" si="180"/>
        <v>75</v>
      </c>
      <c r="JR19" s="223">
        <f t="shared" si="181"/>
        <v>75</v>
      </c>
      <c r="JS19" s="223" t="str">
        <f t="shared" si="182"/>
        <v/>
      </c>
      <c r="JT19" s="223" t="str">
        <f t="shared" si="183"/>
        <v/>
      </c>
      <c r="JU19" s="223"/>
      <c r="JV19" s="223"/>
      <c r="JW19" s="223" t="str">
        <f t="shared" si="184"/>
        <v>menyajikan konsep-konsep yang saling berkaitan pada teks nonfiksi ke dalam tulisan dengan bahasa sendiri</v>
      </c>
      <c r="JX19" s="577" t="str">
        <f>IF(IT19&gt;100,"",IF(IT19&gt;=EV$1,"sangat baik dalam "&amp;JW19,IF(IT19&gt;=EV$2,"baik dalam "&amp;JW19,IF(IT19&gt;=EV$3,"cukup dalam "&amp;JW19,IF(IT19&lt;EV$3,"dengan bimbingan dapat meningkatkan dalam "&amp;JW19,IF(IT19&lt;1," ",””))))))</f>
        <v>cukup dalam menyajikan konsep-konsep yang saling berkaitan pada teks nonfiksi ke dalam tulisan dengan bahasa sendiri</v>
      </c>
      <c r="JY19" s="223" t="str">
        <f t="shared" si="185"/>
        <v>Ananda Fitri cukup dalam menyajikan hasil identifikasi pokok pikiran dalam teks tulis dan lisan secara lisan, tulis, dan visual, cukup dalam menyajikan konsep-konsep yang saling berkaitan pada teks nonfiksi ke dalam tulisan dengan bahasa sendiri.</v>
      </c>
    </row>
    <row r="20" spans="1:285" ht="45">
      <c r="A20" s="39">
        <v>13</v>
      </c>
      <c r="B20" s="223" t="str">
        <f>SISWA!B18</f>
        <v>Prastika Guntur Firmansyah</v>
      </c>
      <c r="C20" s="123">
        <v>90</v>
      </c>
      <c r="D20" s="123"/>
      <c r="E20" s="123"/>
      <c r="F20" s="123"/>
      <c r="G20" s="123"/>
      <c r="H20" s="123"/>
      <c r="I20" s="123"/>
      <c r="J20" s="123"/>
      <c r="K20" s="123"/>
      <c r="L20" s="255">
        <v>85</v>
      </c>
      <c r="M20" s="255"/>
      <c r="N20" s="255"/>
      <c r="O20" s="255"/>
      <c r="P20" s="255"/>
      <c r="Q20" s="255"/>
      <c r="R20" s="255"/>
      <c r="S20" s="255"/>
      <c r="T20" s="255"/>
      <c r="U20" s="256">
        <v>90</v>
      </c>
      <c r="V20" s="256"/>
      <c r="W20" s="256"/>
      <c r="X20" s="256"/>
      <c r="Y20" s="256"/>
      <c r="Z20" s="256"/>
      <c r="AA20" s="256"/>
      <c r="AB20" s="256"/>
      <c r="AC20" s="256"/>
      <c r="AD20" s="123"/>
      <c r="AE20" s="123">
        <v>80</v>
      </c>
      <c r="AF20" s="123"/>
      <c r="AG20" s="123"/>
      <c r="AH20" s="123"/>
      <c r="AI20" s="123"/>
      <c r="AJ20" s="123"/>
      <c r="AK20" s="123"/>
      <c r="AL20" s="123"/>
      <c r="AM20" s="255"/>
      <c r="AN20" s="255">
        <v>90</v>
      </c>
      <c r="AO20" s="255"/>
      <c r="AP20" s="255"/>
      <c r="AQ20" s="255"/>
      <c r="AR20" s="255"/>
      <c r="AS20" s="255"/>
      <c r="AT20" s="255"/>
      <c r="AU20" s="255"/>
      <c r="AV20" s="256"/>
      <c r="AW20" s="256">
        <v>80</v>
      </c>
      <c r="AX20" s="256"/>
      <c r="AY20" s="256"/>
      <c r="AZ20" s="256"/>
      <c r="BA20" s="256"/>
      <c r="BB20" s="256"/>
      <c r="BC20" s="256"/>
      <c r="BD20" s="256"/>
      <c r="BE20" s="123"/>
      <c r="BF20" s="123"/>
      <c r="BG20" s="123"/>
      <c r="BH20" s="123">
        <v>75</v>
      </c>
      <c r="BI20" s="123"/>
      <c r="BJ20" s="123"/>
      <c r="BK20" s="123"/>
      <c r="BL20" s="123"/>
      <c r="BM20" s="123"/>
      <c r="BN20" s="255"/>
      <c r="BO20" s="255"/>
      <c r="BP20" s="255"/>
      <c r="BQ20" s="255">
        <v>85</v>
      </c>
      <c r="BR20" s="255"/>
      <c r="BS20" s="255"/>
      <c r="BT20" s="255"/>
      <c r="BU20" s="255"/>
      <c r="BV20" s="255"/>
      <c r="BW20" s="256"/>
      <c r="BX20" s="256"/>
      <c r="BY20" s="256"/>
      <c r="BZ20" s="256">
        <v>75</v>
      </c>
      <c r="CA20" s="256"/>
      <c r="CB20" s="256"/>
      <c r="CC20" s="256"/>
      <c r="CD20" s="256"/>
      <c r="CE20" s="256"/>
      <c r="CF20" s="123"/>
      <c r="CG20" s="123"/>
      <c r="CH20" s="123"/>
      <c r="CI20" s="123"/>
      <c r="CJ20" s="123"/>
      <c r="CK20" s="123">
        <v>85</v>
      </c>
      <c r="CL20" s="123"/>
      <c r="CM20" s="123"/>
      <c r="CN20" s="123"/>
      <c r="CO20" s="255"/>
      <c r="CP20" s="255"/>
      <c r="CQ20" s="255"/>
      <c r="CR20" s="255"/>
      <c r="CS20" s="255"/>
      <c r="CT20" s="255">
        <v>85</v>
      </c>
      <c r="CU20" s="255"/>
      <c r="CV20" s="255"/>
      <c r="CW20" s="255"/>
      <c r="CX20" s="256"/>
      <c r="CY20" s="256"/>
      <c r="CZ20" s="256"/>
      <c r="DA20" s="256"/>
      <c r="DB20" s="256"/>
      <c r="DC20" s="256">
        <v>75</v>
      </c>
      <c r="DD20" s="256"/>
      <c r="DE20" s="256"/>
      <c r="DF20" s="256"/>
      <c r="DG20" s="458"/>
      <c r="DH20" s="458"/>
      <c r="DI20" s="458"/>
      <c r="DJ20" s="458"/>
      <c r="DK20" s="458"/>
      <c r="DL20" s="458"/>
      <c r="DM20" s="458">
        <v>75</v>
      </c>
      <c r="DN20" s="458"/>
      <c r="DO20" s="458"/>
      <c r="DP20" s="457"/>
      <c r="DQ20" s="457"/>
      <c r="DR20" s="457"/>
      <c r="DS20" s="457"/>
      <c r="DT20" s="457"/>
      <c r="DU20" s="457"/>
      <c r="DV20" s="457">
        <v>80</v>
      </c>
      <c r="DW20" s="457"/>
      <c r="DX20" s="457"/>
      <c r="DY20" s="256"/>
      <c r="DZ20" s="256"/>
      <c r="EA20" s="256"/>
      <c r="EB20" s="256"/>
      <c r="EC20" s="256"/>
      <c r="ED20" s="256"/>
      <c r="EE20" s="256">
        <v>85</v>
      </c>
      <c r="EF20" s="256"/>
      <c r="EG20" s="256"/>
      <c r="EH20" s="257">
        <f t="shared" si="55"/>
        <v>88.333333333333329</v>
      </c>
      <c r="EI20" s="257">
        <f t="shared" si="56"/>
        <v>83.333333333333329</v>
      </c>
      <c r="EJ20" s="257" t="str">
        <f t="shared" si="57"/>
        <v/>
      </c>
      <c r="EK20" s="257">
        <f t="shared" si="58"/>
        <v>78.333333333333329</v>
      </c>
      <c r="EL20" s="257" t="str">
        <f t="shared" si="59"/>
        <v/>
      </c>
      <c r="EM20" s="257">
        <f t="shared" si="60"/>
        <v>81.666666666666671</v>
      </c>
      <c r="EN20" s="257">
        <f t="shared" si="61"/>
        <v>80</v>
      </c>
      <c r="EO20" s="257" t="str">
        <f t="shared" si="62"/>
        <v/>
      </c>
      <c r="EP20" s="257" t="str">
        <f t="shared" si="63"/>
        <v/>
      </c>
      <c r="EQ20" s="579">
        <f t="shared" si="64"/>
        <v>82</v>
      </c>
      <c r="ER20" s="291" t="str">
        <f t="shared" si="65"/>
        <v>C</v>
      </c>
      <c r="ES20" s="243" t="str">
        <f t="shared" si="66"/>
        <v>Ananda Pras baik dalam menyajikan hasil identifikasi pokok pikiran dalam teks tulis dan lisan secara lisan, tulis, dan visual, cukup dalam memeragakan kembali informasi yang disampaikan paparan iklan dari media cetak atau elektronik dengan bantuan lisan, tulis, dan visual.</v>
      </c>
      <c r="ET20" s="39"/>
      <c r="EU20" s="39"/>
      <c r="EV20" s="257">
        <f t="shared" si="67"/>
        <v>90</v>
      </c>
      <c r="EW20" s="257">
        <f t="shared" si="68"/>
        <v>80</v>
      </c>
      <c r="EX20" s="257">
        <f t="shared" si="69"/>
        <v>0</v>
      </c>
      <c r="EY20" s="257">
        <f t="shared" si="70"/>
        <v>75</v>
      </c>
      <c r="EZ20" s="257">
        <f t="shared" si="71"/>
        <v>0</v>
      </c>
      <c r="FA20" s="257">
        <f t="shared" si="72"/>
        <v>85</v>
      </c>
      <c r="FB20" s="257">
        <f t="shared" si="73"/>
        <v>75</v>
      </c>
      <c r="FC20" s="257">
        <f t="shared" si="74"/>
        <v>0</v>
      </c>
      <c r="FD20" s="257">
        <f t="shared" si="75"/>
        <v>0</v>
      </c>
      <c r="FE20" s="257"/>
      <c r="FF20" s="289">
        <f t="shared" si="76"/>
        <v>90</v>
      </c>
      <c r="FG20" s="575">
        <f t="shared" si="77"/>
        <v>85</v>
      </c>
      <c r="FH20" s="575">
        <f t="shared" si="78"/>
        <v>90</v>
      </c>
      <c r="FI20" s="575">
        <f t="shared" si="79"/>
        <v>0</v>
      </c>
      <c r="FJ20" s="575">
        <f t="shared" si="80"/>
        <v>85</v>
      </c>
      <c r="FK20" s="575">
        <f t="shared" si="81"/>
        <v>0</v>
      </c>
      <c r="FL20" s="575">
        <f t="shared" si="82"/>
        <v>85</v>
      </c>
      <c r="FM20" s="575">
        <f t="shared" si="83"/>
        <v>80</v>
      </c>
      <c r="FN20" s="575">
        <f t="shared" si="84"/>
        <v>0</v>
      </c>
      <c r="FO20" s="575">
        <f t="shared" si="85"/>
        <v>0</v>
      </c>
      <c r="FP20" s="258"/>
      <c r="FQ20" s="289">
        <f t="shared" si="86"/>
        <v>90</v>
      </c>
      <c r="FR20" s="765">
        <f t="shared" si="87"/>
        <v>90</v>
      </c>
      <c r="FS20" s="765">
        <f t="shared" si="88"/>
        <v>80</v>
      </c>
      <c r="FT20" s="765">
        <f t="shared" si="89"/>
        <v>0</v>
      </c>
      <c r="FU20" s="765">
        <f t="shared" si="90"/>
        <v>75</v>
      </c>
      <c r="FV20" s="765">
        <f t="shared" si="91"/>
        <v>0</v>
      </c>
      <c r="FW20" s="765">
        <f t="shared" si="92"/>
        <v>75</v>
      </c>
      <c r="FX20" s="765">
        <f t="shared" si="93"/>
        <v>85</v>
      </c>
      <c r="FY20" s="765">
        <f t="shared" si="94"/>
        <v>0</v>
      </c>
      <c r="FZ20" s="765">
        <f t="shared" si="95"/>
        <v>0</v>
      </c>
      <c r="GA20" s="766"/>
      <c r="GB20" s="289">
        <f t="shared" si="96"/>
        <v>90</v>
      </c>
      <c r="GC20" s="257">
        <f t="shared" si="97"/>
        <v>90</v>
      </c>
      <c r="GD20" s="257">
        <f t="shared" si="98"/>
        <v>85</v>
      </c>
      <c r="GE20" s="257">
        <f t="shared" si="99"/>
        <v>90</v>
      </c>
      <c r="GF20" s="575">
        <f t="shared" si="100"/>
        <v>0</v>
      </c>
      <c r="GG20" s="506">
        <f t="shared" si="101"/>
        <v>3</v>
      </c>
      <c r="GH20" s="39">
        <f t="shared" si="102"/>
        <v>88.333333333333329</v>
      </c>
      <c r="GI20" s="257">
        <f t="shared" si="103"/>
        <v>80</v>
      </c>
      <c r="GJ20" s="257">
        <f t="shared" si="104"/>
        <v>90</v>
      </c>
      <c r="GK20" s="257">
        <f t="shared" si="105"/>
        <v>80</v>
      </c>
      <c r="GL20" s="575">
        <f t="shared" si="106"/>
        <v>0</v>
      </c>
      <c r="GM20" s="506">
        <f t="shared" si="107"/>
        <v>3</v>
      </c>
      <c r="GN20" s="39">
        <f t="shared" si="108"/>
        <v>83.333333333333329</v>
      </c>
      <c r="GO20" s="257">
        <f t="shared" si="109"/>
        <v>0</v>
      </c>
      <c r="GP20" s="257">
        <f t="shared" si="110"/>
        <v>0</v>
      </c>
      <c r="GQ20" s="257">
        <f t="shared" si="111"/>
        <v>0</v>
      </c>
      <c r="GR20" s="575">
        <f t="shared" si="112"/>
        <v>3</v>
      </c>
      <c r="GS20" s="506">
        <f t="shared" si="113"/>
        <v>0</v>
      </c>
      <c r="GT20" s="39" t="str">
        <f t="shared" si="114"/>
        <v/>
      </c>
      <c r="GU20" s="257">
        <f t="shared" si="115"/>
        <v>75</v>
      </c>
      <c r="GV20" s="257">
        <f t="shared" si="116"/>
        <v>85</v>
      </c>
      <c r="GW20" s="257">
        <f t="shared" si="117"/>
        <v>75</v>
      </c>
      <c r="GX20" s="575">
        <f t="shared" si="118"/>
        <v>0</v>
      </c>
      <c r="GY20" s="506">
        <f t="shared" si="119"/>
        <v>3</v>
      </c>
      <c r="GZ20" s="39">
        <f t="shared" si="120"/>
        <v>78.333333333333329</v>
      </c>
      <c r="HA20" s="257">
        <f t="shared" si="121"/>
        <v>0</v>
      </c>
      <c r="HB20" s="257">
        <f t="shared" si="122"/>
        <v>0</v>
      </c>
      <c r="HC20" s="257">
        <f t="shared" si="123"/>
        <v>0</v>
      </c>
      <c r="HD20" s="575">
        <f t="shared" si="124"/>
        <v>3</v>
      </c>
      <c r="HE20" s="506">
        <f t="shared" si="125"/>
        <v>0</v>
      </c>
      <c r="HF20" s="39" t="str">
        <f t="shared" si="126"/>
        <v/>
      </c>
      <c r="HG20" s="257">
        <f t="shared" si="127"/>
        <v>85</v>
      </c>
      <c r="HH20" s="257">
        <f t="shared" si="128"/>
        <v>85</v>
      </c>
      <c r="HI20" s="257">
        <f t="shared" si="129"/>
        <v>75</v>
      </c>
      <c r="HJ20" s="575">
        <f t="shared" si="130"/>
        <v>0</v>
      </c>
      <c r="HK20" s="506">
        <f t="shared" si="131"/>
        <v>3</v>
      </c>
      <c r="HL20" s="39">
        <f t="shared" si="132"/>
        <v>81.666666666666671</v>
      </c>
      <c r="HM20" s="257">
        <f t="shared" si="133"/>
        <v>75</v>
      </c>
      <c r="HN20" s="257">
        <f t="shared" si="134"/>
        <v>80</v>
      </c>
      <c r="HO20" s="257">
        <f t="shared" si="135"/>
        <v>85</v>
      </c>
      <c r="HP20" s="575">
        <f t="shared" si="136"/>
        <v>0</v>
      </c>
      <c r="HQ20" s="506">
        <f t="shared" si="137"/>
        <v>3</v>
      </c>
      <c r="HR20" s="39">
        <f t="shared" si="138"/>
        <v>80</v>
      </c>
      <c r="HS20" s="257">
        <f t="shared" si="139"/>
        <v>0</v>
      </c>
      <c r="HT20" s="257">
        <f t="shared" si="140"/>
        <v>0</v>
      </c>
      <c r="HU20" s="257">
        <f t="shared" si="141"/>
        <v>0</v>
      </c>
      <c r="HV20" s="575">
        <f t="shared" si="142"/>
        <v>3</v>
      </c>
      <c r="HW20" s="506">
        <f t="shared" si="143"/>
        <v>0</v>
      </c>
      <c r="HX20" s="39" t="str">
        <f t="shared" si="144"/>
        <v/>
      </c>
      <c r="HY20" s="257">
        <f t="shared" si="145"/>
        <v>0</v>
      </c>
      <c r="HZ20" s="257">
        <f t="shared" si="146"/>
        <v>0</v>
      </c>
      <c r="IA20" s="257">
        <f t="shared" si="147"/>
        <v>0</v>
      </c>
      <c r="IB20" s="575">
        <f t="shared" si="148"/>
        <v>3</v>
      </c>
      <c r="IC20" s="506">
        <f t="shared" si="149"/>
        <v>0</v>
      </c>
      <c r="ID20" s="39" t="str">
        <f t="shared" si="150"/>
        <v/>
      </c>
      <c r="IE20" s="39"/>
      <c r="IF20" s="39"/>
      <c r="IG20" s="39"/>
      <c r="IH20" s="39">
        <f t="shared" si="151"/>
        <v>88.333333333333329</v>
      </c>
      <c r="II20" s="39">
        <f t="shared" si="152"/>
        <v>83.333333333333329</v>
      </c>
      <c r="IJ20" s="39" t="str">
        <f t="shared" si="153"/>
        <v/>
      </c>
      <c r="IK20" s="39">
        <f t="shared" si="154"/>
        <v>78.333333333333329</v>
      </c>
      <c r="IL20" s="39" t="str">
        <f t="shared" si="155"/>
        <v/>
      </c>
      <c r="IM20" s="767">
        <f t="shared" si="156"/>
        <v>81.666666666666671</v>
      </c>
      <c r="IN20" s="579">
        <f t="shared" si="157"/>
        <v>80</v>
      </c>
      <c r="IO20" s="579" t="str">
        <f t="shared" si="158"/>
        <v/>
      </c>
      <c r="IP20" s="579" t="str">
        <f t="shared" si="159"/>
        <v/>
      </c>
      <c r="IQ20" s="579"/>
      <c r="IR20" s="579">
        <f t="shared" si="160"/>
        <v>82</v>
      </c>
      <c r="IS20" s="289">
        <f t="shared" si="161"/>
        <v>88.333333333333329</v>
      </c>
      <c r="IT20" s="289">
        <f t="shared" si="162"/>
        <v>78.333333333333329</v>
      </c>
      <c r="IU20" s="223" t="str">
        <f>SISWA!E18</f>
        <v>Pras</v>
      </c>
      <c r="IV20" s="223" t="str">
        <f t="shared" si="163"/>
        <v xml:space="preserve">Ananda Pras </v>
      </c>
      <c r="IW20" s="580">
        <f t="shared" si="164"/>
        <v>88.333333333333329</v>
      </c>
      <c r="IX20" s="580" t="str">
        <f t="shared" si="165"/>
        <v/>
      </c>
      <c r="IY20" s="580" t="str">
        <f t="shared" si="166"/>
        <v/>
      </c>
      <c r="IZ20" s="580" t="str">
        <f t="shared" si="167"/>
        <v/>
      </c>
      <c r="JA20" s="580" t="str">
        <f t="shared" si="168"/>
        <v/>
      </c>
      <c r="JB20" s="580" t="str">
        <f t="shared" si="169"/>
        <v/>
      </c>
      <c r="JC20" s="580" t="str">
        <f t="shared" si="170"/>
        <v/>
      </c>
      <c r="JD20" s="580" t="str">
        <f t="shared" si="171"/>
        <v/>
      </c>
      <c r="JE20" s="580" t="str">
        <f t="shared" si="172"/>
        <v/>
      </c>
      <c r="JF20" s="580"/>
      <c r="JG20" s="580"/>
      <c r="JH20" s="223">
        <f t="shared" si="173"/>
        <v>88.333333333333329</v>
      </c>
      <c r="JI20" s="289" t="str">
        <f t="shared" si="174"/>
        <v>menyajikan hasil identifikasi pokok pikiran dalam teks tulis dan lisan secara lisan, tulis, dan visual</v>
      </c>
      <c r="JJ20" s="576" t="str">
        <f>IF(IS20&gt;100,"",IF(IS20&gt;EV$1,"sangat baik dalam "&amp;JI20,IF(IS20&gt;=EV$2,"baik dalam "&amp;JI20,IF(IS20&gt;=EV$3,"cukup dalam "&amp;JI20,IF(IS20&lt;EV$3,"dengan bimbingan dapat meningkatkan dalam "&amp;JI20,IF(IS20&lt;1," ",””))))))</f>
        <v>baik dalam menyajikan hasil identifikasi pokok pikiran dalam teks tulis dan lisan secara lisan, tulis, dan visual</v>
      </c>
      <c r="JK20" s="223"/>
      <c r="JL20" s="223" t="str">
        <f t="shared" si="175"/>
        <v/>
      </c>
      <c r="JM20" s="223" t="str">
        <f t="shared" si="176"/>
        <v/>
      </c>
      <c r="JN20" s="223" t="str">
        <f t="shared" si="177"/>
        <v/>
      </c>
      <c r="JO20" s="223">
        <f t="shared" si="178"/>
        <v>78.333333333333329</v>
      </c>
      <c r="JP20" s="223" t="str">
        <f t="shared" si="179"/>
        <v/>
      </c>
      <c r="JQ20" s="223" t="str">
        <f t="shared" si="180"/>
        <v/>
      </c>
      <c r="JR20" s="223" t="str">
        <f t="shared" si="181"/>
        <v/>
      </c>
      <c r="JS20" s="223" t="str">
        <f t="shared" si="182"/>
        <v/>
      </c>
      <c r="JT20" s="223" t="str">
        <f t="shared" si="183"/>
        <v/>
      </c>
      <c r="JU20" s="223"/>
      <c r="JV20" s="223"/>
      <c r="JW20" s="223" t="str">
        <f t="shared" si="184"/>
        <v>memeragakan kembali informasi yang disampaikan paparan iklan dari media cetak atau elektronik dengan bantuan lisan, tulis, dan visual</v>
      </c>
      <c r="JX20" s="577" t="str">
        <f>IF(IT20&gt;100,"",IF(IT20&gt;=EV$1,"sangat baik dalam "&amp;JW20,IF(IT20&gt;=EV$2,"baik dalam "&amp;JW20,IF(IT20&gt;=EV$3,"cukup dalam "&amp;JW20,IF(IT20&lt;EV$3,"dengan bimbingan dapat meningkatkan dalam "&amp;JW20,IF(IT20&lt;1," ",””))))))</f>
        <v>cukup dalam memeragakan kembali informasi yang disampaikan paparan iklan dari media cetak atau elektronik dengan bantuan lisan, tulis, dan visual</v>
      </c>
      <c r="JY20" s="223" t="str">
        <f t="shared" si="185"/>
        <v>Ananda Pras baik dalam menyajikan hasil identifikasi pokok pikiran dalam teks tulis dan lisan secara lisan, tulis, dan visual, cukup dalam memeragakan kembali informasi yang disampaikan paparan iklan dari media cetak atau elektronik dengan bantuan lisan, tulis, dan visual.</v>
      </c>
    </row>
    <row r="21" spans="1:285" ht="45">
      <c r="A21" s="39">
        <v>14</v>
      </c>
      <c r="B21" s="223" t="str">
        <f>SISWA!B19</f>
        <v>Siti Musyafiani</v>
      </c>
      <c r="C21" s="123">
        <v>90</v>
      </c>
      <c r="D21" s="123"/>
      <c r="E21" s="123"/>
      <c r="F21" s="123"/>
      <c r="G21" s="123"/>
      <c r="H21" s="123"/>
      <c r="I21" s="123"/>
      <c r="J21" s="123"/>
      <c r="K21" s="123"/>
      <c r="L21" s="255">
        <v>90</v>
      </c>
      <c r="M21" s="255"/>
      <c r="N21" s="255"/>
      <c r="O21" s="255"/>
      <c r="P21" s="255"/>
      <c r="Q21" s="255"/>
      <c r="R21" s="255"/>
      <c r="S21" s="255"/>
      <c r="T21" s="255"/>
      <c r="U21" s="256">
        <v>85</v>
      </c>
      <c r="V21" s="256"/>
      <c r="W21" s="256"/>
      <c r="X21" s="256"/>
      <c r="Y21" s="256"/>
      <c r="Z21" s="256"/>
      <c r="AA21" s="256"/>
      <c r="AB21" s="256"/>
      <c r="AC21" s="256"/>
      <c r="AD21" s="123"/>
      <c r="AE21" s="123">
        <v>75</v>
      </c>
      <c r="AF21" s="123"/>
      <c r="AG21" s="123"/>
      <c r="AH21" s="123"/>
      <c r="AI21" s="123"/>
      <c r="AJ21" s="123"/>
      <c r="AK21" s="123"/>
      <c r="AL21" s="123"/>
      <c r="AM21" s="255"/>
      <c r="AN21" s="255">
        <v>80</v>
      </c>
      <c r="AO21" s="255"/>
      <c r="AP21" s="255"/>
      <c r="AQ21" s="255"/>
      <c r="AR21" s="255"/>
      <c r="AS21" s="255"/>
      <c r="AT21" s="255"/>
      <c r="AU21" s="255"/>
      <c r="AV21" s="256"/>
      <c r="AW21" s="256">
        <v>75</v>
      </c>
      <c r="AX21" s="256"/>
      <c r="AY21" s="256"/>
      <c r="AZ21" s="256"/>
      <c r="BA21" s="256"/>
      <c r="BB21" s="256"/>
      <c r="BC21" s="256"/>
      <c r="BD21" s="256"/>
      <c r="BE21" s="123"/>
      <c r="BF21" s="123"/>
      <c r="BG21" s="123"/>
      <c r="BH21" s="123">
        <v>75</v>
      </c>
      <c r="BI21" s="123"/>
      <c r="BJ21" s="123"/>
      <c r="BK21" s="123"/>
      <c r="BL21" s="123"/>
      <c r="BM21" s="123"/>
      <c r="BN21" s="255"/>
      <c r="BO21" s="255"/>
      <c r="BP21" s="255"/>
      <c r="BQ21" s="255">
        <v>80</v>
      </c>
      <c r="BR21" s="255"/>
      <c r="BS21" s="255"/>
      <c r="BT21" s="255"/>
      <c r="BU21" s="255"/>
      <c r="BV21" s="255"/>
      <c r="BW21" s="256"/>
      <c r="BX21" s="256"/>
      <c r="BY21" s="256"/>
      <c r="BZ21" s="256">
        <v>85</v>
      </c>
      <c r="CA21" s="256"/>
      <c r="CB21" s="256"/>
      <c r="CC21" s="256"/>
      <c r="CD21" s="256"/>
      <c r="CE21" s="256"/>
      <c r="CF21" s="123"/>
      <c r="CG21" s="123"/>
      <c r="CH21" s="123"/>
      <c r="CI21" s="123"/>
      <c r="CJ21" s="123"/>
      <c r="CK21" s="123">
        <v>90</v>
      </c>
      <c r="CL21" s="123"/>
      <c r="CM21" s="123"/>
      <c r="CN21" s="123"/>
      <c r="CO21" s="255"/>
      <c r="CP21" s="255"/>
      <c r="CQ21" s="255"/>
      <c r="CR21" s="255"/>
      <c r="CS21" s="255"/>
      <c r="CT21" s="255">
        <v>85</v>
      </c>
      <c r="CU21" s="255"/>
      <c r="CV21" s="255"/>
      <c r="CW21" s="255"/>
      <c r="CX21" s="256"/>
      <c r="CY21" s="256"/>
      <c r="CZ21" s="256"/>
      <c r="DA21" s="256"/>
      <c r="DB21" s="256"/>
      <c r="DC21" s="256">
        <v>75</v>
      </c>
      <c r="DD21" s="256"/>
      <c r="DE21" s="256"/>
      <c r="DF21" s="256"/>
      <c r="DG21" s="458"/>
      <c r="DH21" s="458"/>
      <c r="DI21" s="458"/>
      <c r="DJ21" s="458"/>
      <c r="DK21" s="458"/>
      <c r="DL21" s="458"/>
      <c r="DM21" s="458">
        <v>85</v>
      </c>
      <c r="DN21" s="458"/>
      <c r="DO21" s="458"/>
      <c r="DP21" s="457"/>
      <c r="DQ21" s="457"/>
      <c r="DR21" s="457"/>
      <c r="DS21" s="457"/>
      <c r="DT21" s="457"/>
      <c r="DU21" s="457"/>
      <c r="DV21" s="457">
        <v>75</v>
      </c>
      <c r="DW21" s="457"/>
      <c r="DX21" s="457"/>
      <c r="DY21" s="256"/>
      <c r="DZ21" s="256"/>
      <c r="EA21" s="256"/>
      <c r="EB21" s="256"/>
      <c r="EC21" s="256"/>
      <c r="ED21" s="256"/>
      <c r="EE21" s="256">
        <v>80</v>
      </c>
      <c r="EF21" s="256"/>
      <c r="EG21" s="256"/>
      <c r="EH21" s="257">
        <f t="shared" si="55"/>
        <v>88.333333333333329</v>
      </c>
      <c r="EI21" s="257">
        <f t="shared" si="56"/>
        <v>76.666666666666671</v>
      </c>
      <c r="EJ21" s="257" t="str">
        <f t="shared" si="57"/>
        <v/>
      </c>
      <c r="EK21" s="257">
        <f t="shared" si="58"/>
        <v>80</v>
      </c>
      <c r="EL21" s="257" t="str">
        <f t="shared" si="59"/>
        <v/>
      </c>
      <c r="EM21" s="257">
        <f t="shared" si="60"/>
        <v>83.333333333333329</v>
      </c>
      <c r="EN21" s="257">
        <f t="shared" si="61"/>
        <v>80</v>
      </c>
      <c r="EO21" s="257" t="str">
        <f t="shared" si="62"/>
        <v/>
      </c>
      <c r="EP21" s="257" t="str">
        <f t="shared" si="63"/>
        <v/>
      </c>
      <c r="EQ21" s="579">
        <f t="shared" si="64"/>
        <v>82</v>
      </c>
      <c r="ER21" s="291" t="str">
        <f t="shared" si="65"/>
        <v>C</v>
      </c>
      <c r="ES21" s="243" t="str">
        <f t="shared" si="66"/>
        <v>Ananda Fifi baik dalam menyajikan hasil identifikasi pokok pikiran dalam teks tulis dan lisan secara lisan, tulis, dan visual, cukup dalam menyajikan hasil klasifikasi informasi yang didapat dari buku yang dikelompokkan dalam aspek: apa, di mana, kapan, siapa, mengapa, dan bagaimana .</v>
      </c>
      <c r="ET21" s="39"/>
      <c r="EU21" s="39"/>
      <c r="EV21" s="257">
        <f t="shared" si="67"/>
        <v>90</v>
      </c>
      <c r="EW21" s="257">
        <f t="shared" si="68"/>
        <v>75</v>
      </c>
      <c r="EX21" s="257">
        <f t="shared" si="69"/>
        <v>0</v>
      </c>
      <c r="EY21" s="257">
        <f t="shared" si="70"/>
        <v>75</v>
      </c>
      <c r="EZ21" s="257">
        <f t="shared" si="71"/>
        <v>0</v>
      </c>
      <c r="FA21" s="257">
        <f t="shared" si="72"/>
        <v>90</v>
      </c>
      <c r="FB21" s="257">
        <f t="shared" si="73"/>
        <v>85</v>
      </c>
      <c r="FC21" s="257">
        <f t="shared" si="74"/>
        <v>0</v>
      </c>
      <c r="FD21" s="257">
        <f t="shared" si="75"/>
        <v>0</v>
      </c>
      <c r="FE21" s="257"/>
      <c r="FF21" s="289">
        <f t="shared" si="76"/>
        <v>90</v>
      </c>
      <c r="FG21" s="575">
        <f t="shared" si="77"/>
        <v>90</v>
      </c>
      <c r="FH21" s="575">
        <f t="shared" si="78"/>
        <v>80</v>
      </c>
      <c r="FI21" s="575">
        <f t="shared" si="79"/>
        <v>0</v>
      </c>
      <c r="FJ21" s="575">
        <f t="shared" si="80"/>
        <v>80</v>
      </c>
      <c r="FK21" s="575">
        <f t="shared" si="81"/>
        <v>0</v>
      </c>
      <c r="FL21" s="575">
        <f t="shared" si="82"/>
        <v>85</v>
      </c>
      <c r="FM21" s="575">
        <f t="shared" si="83"/>
        <v>75</v>
      </c>
      <c r="FN21" s="575">
        <f t="shared" si="84"/>
        <v>0</v>
      </c>
      <c r="FO21" s="575">
        <f t="shared" si="85"/>
        <v>0</v>
      </c>
      <c r="FP21" s="258"/>
      <c r="FQ21" s="289">
        <f t="shared" si="86"/>
        <v>90</v>
      </c>
      <c r="FR21" s="765">
        <f t="shared" si="87"/>
        <v>85</v>
      </c>
      <c r="FS21" s="765">
        <f t="shared" si="88"/>
        <v>75</v>
      </c>
      <c r="FT21" s="765">
        <f t="shared" si="89"/>
        <v>0</v>
      </c>
      <c r="FU21" s="765">
        <f t="shared" si="90"/>
        <v>85</v>
      </c>
      <c r="FV21" s="765">
        <f t="shared" si="91"/>
        <v>0</v>
      </c>
      <c r="FW21" s="765">
        <f t="shared" si="92"/>
        <v>75</v>
      </c>
      <c r="FX21" s="765">
        <f t="shared" si="93"/>
        <v>80</v>
      </c>
      <c r="FY21" s="765">
        <f t="shared" si="94"/>
        <v>0</v>
      </c>
      <c r="FZ21" s="765">
        <f t="shared" si="95"/>
        <v>0</v>
      </c>
      <c r="GA21" s="766"/>
      <c r="GB21" s="289">
        <f t="shared" si="96"/>
        <v>85</v>
      </c>
      <c r="GC21" s="257">
        <f t="shared" si="97"/>
        <v>90</v>
      </c>
      <c r="GD21" s="257">
        <f t="shared" si="98"/>
        <v>90</v>
      </c>
      <c r="GE21" s="257">
        <f t="shared" si="99"/>
        <v>85</v>
      </c>
      <c r="GF21" s="575">
        <f t="shared" si="100"/>
        <v>0</v>
      </c>
      <c r="GG21" s="506">
        <f t="shared" si="101"/>
        <v>3</v>
      </c>
      <c r="GH21" s="39">
        <f t="shared" si="102"/>
        <v>88.333333333333329</v>
      </c>
      <c r="GI21" s="257">
        <f t="shared" si="103"/>
        <v>75</v>
      </c>
      <c r="GJ21" s="257">
        <f t="shared" si="104"/>
        <v>80</v>
      </c>
      <c r="GK21" s="257">
        <f t="shared" si="105"/>
        <v>75</v>
      </c>
      <c r="GL21" s="575">
        <f t="shared" si="106"/>
        <v>0</v>
      </c>
      <c r="GM21" s="506">
        <f t="shared" si="107"/>
        <v>3</v>
      </c>
      <c r="GN21" s="39">
        <f t="shared" si="108"/>
        <v>76.666666666666671</v>
      </c>
      <c r="GO21" s="257">
        <f t="shared" si="109"/>
        <v>0</v>
      </c>
      <c r="GP21" s="257">
        <f t="shared" si="110"/>
        <v>0</v>
      </c>
      <c r="GQ21" s="257">
        <f t="shared" si="111"/>
        <v>0</v>
      </c>
      <c r="GR21" s="575">
        <f t="shared" si="112"/>
        <v>3</v>
      </c>
      <c r="GS21" s="506">
        <f t="shared" si="113"/>
        <v>0</v>
      </c>
      <c r="GT21" s="39" t="str">
        <f t="shared" si="114"/>
        <v/>
      </c>
      <c r="GU21" s="257">
        <f t="shared" si="115"/>
        <v>75</v>
      </c>
      <c r="GV21" s="257">
        <f t="shared" si="116"/>
        <v>80</v>
      </c>
      <c r="GW21" s="257">
        <f t="shared" si="117"/>
        <v>85</v>
      </c>
      <c r="GX21" s="575">
        <f t="shared" si="118"/>
        <v>0</v>
      </c>
      <c r="GY21" s="506">
        <f t="shared" si="119"/>
        <v>3</v>
      </c>
      <c r="GZ21" s="39">
        <f t="shared" si="120"/>
        <v>80</v>
      </c>
      <c r="HA21" s="257">
        <f t="shared" si="121"/>
        <v>0</v>
      </c>
      <c r="HB21" s="257">
        <f t="shared" si="122"/>
        <v>0</v>
      </c>
      <c r="HC21" s="257">
        <f t="shared" si="123"/>
        <v>0</v>
      </c>
      <c r="HD21" s="575">
        <f t="shared" si="124"/>
        <v>3</v>
      </c>
      <c r="HE21" s="506">
        <f t="shared" si="125"/>
        <v>0</v>
      </c>
      <c r="HF21" s="39" t="str">
        <f t="shared" si="126"/>
        <v/>
      </c>
      <c r="HG21" s="257">
        <f t="shared" si="127"/>
        <v>90</v>
      </c>
      <c r="HH21" s="257">
        <f t="shared" si="128"/>
        <v>85</v>
      </c>
      <c r="HI21" s="257">
        <f t="shared" si="129"/>
        <v>75</v>
      </c>
      <c r="HJ21" s="575">
        <f t="shared" si="130"/>
        <v>0</v>
      </c>
      <c r="HK21" s="506">
        <f t="shared" si="131"/>
        <v>3</v>
      </c>
      <c r="HL21" s="39">
        <f t="shared" si="132"/>
        <v>83.333333333333329</v>
      </c>
      <c r="HM21" s="257">
        <f t="shared" si="133"/>
        <v>85</v>
      </c>
      <c r="HN21" s="257">
        <f t="shared" si="134"/>
        <v>75</v>
      </c>
      <c r="HO21" s="257">
        <f t="shared" si="135"/>
        <v>80</v>
      </c>
      <c r="HP21" s="575">
        <f t="shared" si="136"/>
        <v>0</v>
      </c>
      <c r="HQ21" s="506">
        <f t="shared" si="137"/>
        <v>3</v>
      </c>
      <c r="HR21" s="39">
        <f t="shared" si="138"/>
        <v>80</v>
      </c>
      <c r="HS21" s="257">
        <f t="shared" si="139"/>
        <v>0</v>
      </c>
      <c r="HT21" s="257">
        <f t="shared" si="140"/>
        <v>0</v>
      </c>
      <c r="HU21" s="257">
        <f t="shared" si="141"/>
        <v>0</v>
      </c>
      <c r="HV21" s="575">
        <f t="shared" si="142"/>
        <v>3</v>
      </c>
      <c r="HW21" s="506">
        <f t="shared" si="143"/>
        <v>0</v>
      </c>
      <c r="HX21" s="39" t="str">
        <f t="shared" si="144"/>
        <v/>
      </c>
      <c r="HY21" s="257">
        <f t="shared" si="145"/>
        <v>0</v>
      </c>
      <c r="HZ21" s="257">
        <f t="shared" si="146"/>
        <v>0</v>
      </c>
      <c r="IA21" s="257">
        <f t="shared" si="147"/>
        <v>0</v>
      </c>
      <c r="IB21" s="575">
        <f t="shared" si="148"/>
        <v>3</v>
      </c>
      <c r="IC21" s="506">
        <f t="shared" si="149"/>
        <v>0</v>
      </c>
      <c r="ID21" s="39" t="str">
        <f t="shared" si="150"/>
        <v/>
      </c>
      <c r="IE21" s="39"/>
      <c r="IF21" s="39"/>
      <c r="IG21" s="39"/>
      <c r="IH21" s="39">
        <f t="shared" si="151"/>
        <v>88.333333333333329</v>
      </c>
      <c r="II21" s="39">
        <f t="shared" si="152"/>
        <v>76.666666666666671</v>
      </c>
      <c r="IJ21" s="39" t="str">
        <f t="shared" si="153"/>
        <v/>
      </c>
      <c r="IK21" s="39">
        <f t="shared" si="154"/>
        <v>80</v>
      </c>
      <c r="IL21" s="39" t="str">
        <f t="shared" si="155"/>
        <v/>
      </c>
      <c r="IM21" s="767">
        <f t="shared" si="156"/>
        <v>83.333333333333329</v>
      </c>
      <c r="IN21" s="579">
        <f t="shared" si="157"/>
        <v>80</v>
      </c>
      <c r="IO21" s="579" t="str">
        <f t="shared" si="158"/>
        <v/>
      </c>
      <c r="IP21" s="579" t="str">
        <f t="shared" si="159"/>
        <v/>
      </c>
      <c r="IQ21" s="579"/>
      <c r="IR21" s="579">
        <f t="shared" si="160"/>
        <v>82</v>
      </c>
      <c r="IS21" s="289">
        <f t="shared" si="161"/>
        <v>88.333333333333329</v>
      </c>
      <c r="IT21" s="289">
        <f t="shared" si="162"/>
        <v>76.666666666666671</v>
      </c>
      <c r="IU21" s="223" t="str">
        <f>SISWA!E19</f>
        <v>Fifi</v>
      </c>
      <c r="IV21" s="223" t="str">
        <f t="shared" si="163"/>
        <v xml:space="preserve">Ananda Fifi </v>
      </c>
      <c r="IW21" s="580">
        <f t="shared" si="164"/>
        <v>88.333333333333329</v>
      </c>
      <c r="IX21" s="580" t="str">
        <f t="shared" si="165"/>
        <v/>
      </c>
      <c r="IY21" s="580" t="str">
        <f t="shared" si="166"/>
        <v/>
      </c>
      <c r="IZ21" s="580" t="str">
        <f t="shared" si="167"/>
        <v/>
      </c>
      <c r="JA21" s="580" t="str">
        <f t="shared" si="168"/>
        <v/>
      </c>
      <c r="JB21" s="580" t="str">
        <f t="shared" si="169"/>
        <v/>
      </c>
      <c r="JC21" s="580" t="str">
        <f t="shared" si="170"/>
        <v/>
      </c>
      <c r="JD21" s="580" t="str">
        <f t="shared" si="171"/>
        <v/>
      </c>
      <c r="JE21" s="580" t="str">
        <f t="shared" si="172"/>
        <v/>
      </c>
      <c r="JF21" s="580"/>
      <c r="JG21" s="580"/>
      <c r="JH21" s="223">
        <f t="shared" si="173"/>
        <v>88.333333333333329</v>
      </c>
      <c r="JI21" s="289" t="str">
        <f t="shared" si="174"/>
        <v>menyajikan hasil identifikasi pokok pikiran dalam teks tulis dan lisan secara lisan, tulis, dan visual</v>
      </c>
      <c r="JJ21" s="576" t="str">
        <f>IF(IS21&gt;100,"",IF(IS21&gt;EV$1,"sangat baik dalam "&amp;JI21,IF(IS21&gt;=EV$2,"baik dalam "&amp;JI21,IF(IS21&gt;=EV$3,"cukup dalam "&amp;JI21,IF(IS21&lt;EV$3,"dengan bimbingan dapat meningkatkan dalam "&amp;JI21,IF(IS21&lt;1," ",””))))))</f>
        <v>baik dalam menyajikan hasil identifikasi pokok pikiran dalam teks tulis dan lisan secara lisan, tulis, dan visual</v>
      </c>
      <c r="JK21" s="223"/>
      <c r="JL21" s="223" t="str">
        <f t="shared" si="175"/>
        <v/>
      </c>
      <c r="JM21" s="223">
        <f t="shared" si="176"/>
        <v>76.666666666666671</v>
      </c>
      <c r="JN21" s="223" t="str">
        <f t="shared" si="177"/>
        <v/>
      </c>
      <c r="JO21" s="223" t="str">
        <f t="shared" si="178"/>
        <v/>
      </c>
      <c r="JP21" s="223" t="str">
        <f t="shared" si="179"/>
        <v/>
      </c>
      <c r="JQ21" s="223" t="str">
        <f t="shared" si="180"/>
        <v/>
      </c>
      <c r="JR21" s="223" t="str">
        <f t="shared" si="181"/>
        <v/>
      </c>
      <c r="JS21" s="223" t="str">
        <f t="shared" si="182"/>
        <v/>
      </c>
      <c r="JT21" s="223" t="str">
        <f t="shared" si="183"/>
        <v/>
      </c>
      <c r="JU21" s="223"/>
      <c r="JV21" s="223"/>
      <c r="JW21" s="223" t="str">
        <f t="shared" si="184"/>
        <v xml:space="preserve">menyajikan hasil klasifikasi informasi yang didapat dari buku yang dikelompokkan dalam aspek: apa, di mana, kapan, siapa, mengapa, dan bagaimana </v>
      </c>
      <c r="JX21" s="577" t="str">
        <f>IF(IT21&gt;100,"",IF(IT21&gt;=EV$1,"sangat baik dalam "&amp;JW21,IF(IT21&gt;=EV$2,"baik dalam "&amp;JW21,IF(IT21&gt;=EV$3,"cukup dalam "&amp;JW21,IF(IT21&lt;EV$3,"dengan bimbingan dapat meningkatkan dalam "&amp;JW21,IF(IT21&lt;1," ",””))))))</f>
        <v xml:space="preserve">cukup dalam menyajikan hasil klasifikasi informasi yang didapat dari buku yang dikelompokkan dalam aspek: apa, di mana, kapan, siapa, mengapa, dan bagaimana </v>
      </c>
      <c r="JY21" s="223" t="str">
        <f t="shared" si="185"/>
        <v>Ananda Fifi baik dalam menyajikan hasil identifikasi pokok pikiran dalam teks tulis dan lisan secara lisan, tulis, dan visual, cukup dalam menyajikan hasil klasifikasi informasi yang didapat dari buku yang dikelompokkan dalam aspek: apa, di mana, kapan, siapa, mengapa, dan bagaimana .</v>
      </c>
    </row>
    <row r="22" spans="1:285" ht="60">
      <c r="A22" s="39">
        <v>15</v>
      </c>
      <c r="B22" s="223" t="str">
        <f>SISWA!B20</f>
        <v>Tegar Arya Pangestu</v>
      </c>
      <c r="C22" s="123">
        <v>75</v>
      </c>
      <c r="D22" s="123"/>
      <c r="E22" s="123"/>
      <c r="F22" s="123"/>
      <c r="G22" s="123"/>
      <c r="H22" s="123"/>
      <c r="I22" s="123"/>
      <c r="J22" s="123"/>
      <c r="K22" s="123"/>
      <c r="L22" s="255">
        <v>90</v>
      </c>
      <c r="M22" s="255"/>
      <c r="N22" s="255"/>
      <c r="O22" s="255"/>
      <c r="P22" s="255"/>
      <c r="Q22" s="255"/>
      <c r="R22" s="255"/>
      <c r="S22" s="255"/>
      <c r="T22" s="255"/>
      <c r="U22" s="256">
        <v>90</v>
      </c>
      <c r="V22" s="256"/>
      <c r="W22" s="256"/>
      <c r="X22" s="256"/>
      <c r="Y22" s="256"/>
      <c r="Z22" s="256"/>
      <c r="AA22" s="256"/>
      <c r="AB22" s="256"/>
      <c r="AC22" s="256"/>
      <c r="AD22" s="123"/>
      <c r="AE22" s="123">
        <v>85</v>
      </c>
      <c r="AF22" s="123"/>
      <c r="AG22" s="123"/>
      <c r="AH22" s="123"/>
      <c r="AI22" s="123"/>
      <c r="AJ22" s="123"/>
      <c r="AK22" s="123"/>
      <c r="AL22" s="123"/>
      <c r="AM22" s="255"/>
      <c r="AN22" s="255">
        <v>85</v>
      </c>
      <c r="AO22" s="255"/>
      <c r="AP22" s="255"/>
      <c r="AQ22" s="255"/>
      <c r="AR22" s="255"/>
      <c r="AS22" s="255"/>
      <c r="AT22" s="255"/>
      <c r="AU22" s="255"/>
      <c r="AV22" s="256"/>
      <c r="AW22" s="256">
        <v>85</v>
      </c>
      <c r="AX22" s="256"/>
      <c r="AY22" s="256"/>
      <c r="AZ22" s="256"/>
      <c r="BA22" s="256"/>
      <c r="BB22" s="256"/>
      <c r="BC22" s="256"/>
      <c r="BD22" s="256"/>
      <c r="BE22" s="123"/>
      <c r="BF22" s="123"/>
      <c r="BG22" s="123"/>
      <c r="BH22" s="123">
        <v>85</v>
      </c>
      <c r="BI22" s="123"/>
      <c r="BJ22" s="123"/>
      <c r="BK22" s="123"/>
      <c r="BL22" s="123"/>
      <c r="BM22" s="123"/>
      <c r="BN22" s="255"/>
      <c r="BO22" s="255"/>
      <c r="BP22" s="255"/>
      <c r="BQ22" s="255">
        <v>75</v>
      </c>
      <c r="BR22" s="255"/>
      <c r="BS22" s="255"/>
      <c r="BT22" s="255"/>
      <c r="BU22" s="255"/>
      <c r="BV22" s="255"/>
      <c r="BW22" s="256"/>
      <c r="BX22" s="256"/>
      <c r="BY22" s="256"/>
      <c r="BZ22" s="256">
        <v>90</v>
      </c>
      <c r="CA22" s="256"/>
      <c r="CB22" s="256"/>
      <c r="CC22" s="256"/>
      <c r="CD22" s="256"/>
      <c r="CE22" s="256"/>
      <c r="CF22" s="123"/>
      <c r="CG22" s="123"/>
      <c r="CH22" s="123"/>
      <c r="CI22" s="123"/>
      <c r="CJ22" s="123"/>
      <c r="CK22" s="123">
        <v>90</v>
      </c>
      <c r="CL22" s="123"/>
      <c r="CM22" s="123"/>
      <c r="CN22" s="123"/>
      <c r="CO22" s="255"/>
      <c r="CP22" s="255"/>
      <c r="CQ22" s="255"/>
      <c r="CR22" s="255"/>
      <c r="CS22" s="255"/>
      <c r="CT22" s="255">
        <v>90</v>
      </c>
      <c r="CU22" s="255"/>
      <c r="CV22" s="255"/>
      <c r="CW22" s="255"/>
      <c r="CX22" s="256"/>
      <c r="CY22" s="256"/>
      <c r="CZ22" s="256"/>
      <c r="DA22" s="256"/>
      <c r="DB22" s="256"/>
      <c r="DC22" s="256">
        <v>75</v>
      </c>
      <c r="DD22" s="256"/>
      <c r="DE22" s="256"/>
      <c r="DF22" s="256"/>
      <c r="DG22" s="458"/>
      <c r="DH22" s="458"/>
      <c r="DI22" s="458"/>
      <c r="DJ22" s="458"/>
      <c r="DK22" s="458"/>
      <c r="DL22" s="458"/>
      <c r="DM22" s="458">
        <v>90</v>
      </c>
      <c r="DN22" s="458"/>
      <c r="DO22" s="458"/>
      <c r="DP22" s="457"/>
      <c r="DQ22" s="457"/>
      <c r="DR22" s="457"/>
      <c r="DS22" s="457"/>
      <c r="DT22" s="457"/>
      <c r="DU22" s="457"/>
      <c r="DV22" s="457">
        <v>85</v>
      </c>
      <c r="DW22" s="457"/>
      <c r="DX22" s="457"/>
      <c r="DY22" s="256"/>
      <c r="DZ22" s="256"/>
      <c r="EA22" s="256"/>
      <c r="EB22" s="256"/>
      <c r="EC22" s="256"/>
      <c r="ED22" s="256"/>
      <c r="EE22" s="256">
        <v>80</v>
      </c>
      <c r="EF22" s="256"/>
      <c r="EG22" s="256"/>
      <c r="EH22" s="257">
        <f t="shared" si="55"/>
        <v>85</v>
      </c>
      <c r="EI22" s="257">
        <f t="shared" si="56"/>
        <v>85</v>
      </c>
      <c r="EJ22" s="257" t="str">
        <f t="shared" si="57"/>
        <v/>
      </c>
      <c r="EK22" s="257">
        <f t="shared" si="58"/>
        <v>83.333333333333329</v>
      </c>
      <c r="EL22" s="257" t="str">
        <f t="shared" si="59"/>
        <v/>
      </c>
      <c r="EM22" s="257">
        <f t="shared" si="60"/>
        <v>85</v>
      </c>
      <c r="EN22" s="257">
        <f t="shared" si="61"/>
        <v>85</v>
      </c>
      <c r="EO22" s="257" t="str">
        <f t="shared" si="62"/>
        <v/>
      </c>
      <c r="EP22" s="257" t="str">
        <f t="shared" si="63"/>
        <v/>
      </c>
      <c r="EQ22" s="579">
        <f t="shared" si="64"/>
        <v>85</v>
      </c>
      <c r="ER22" s="291" t="str">
        <f t="shared" si="65"/>
        <v>B</v>
      </c>
      <c r="ES22" s="243" t="str">
        <f t="shared" si="66"/>
        <v>Ananda Tegar baik dalam menyajikan konsep-konsep yang saling berkaitan pada teks nonfiksi ke dalam tulisan dengan bahasa sendiri, baik dalam memeragakan kembali informasi yang disampaikan paparan iklan dari media cetak atau elektronik dengan bantuan lisan, tulis, dan visual.</v>
      </c>
      <c r="ET22" s="39"/>
      <c r="EU22" s="39"/>
      <c r="EV22" s="257">
        <f t="shared" si="67"/>
        <v>75</v>
      </c>
      <c r="EW22" s="257">
        <f t="shared" si="68"/>
        <v>85</v>
      </c>
      <c r="EX22" s="257">
        <f t="shared" si="69"/>
        <v>0</v>
      </c>
      <c r="EY22" s="257">
        <f t="shared" si="70"/>
        <v>85</v>
      </c>
      <c r="EZ22" s="257">
        <f t="shared" si="71"/>
        <v>0</v>
      </c>
      <c r="FA22" s="257">
        <f t="shared" si="72"/>
        <v>90</v>
      </c>
      <c r="FB22" s="257">
        <f t="shared" si="73"/>
        <v>90</v>
      </c>
      <c r="FC22" s="257">
        <f t="shared" si="74"/>
        <v>0</v>
      </c>
      <c r="FD22" s="257">
        <f t="shared" si="75"/>
        <v>0</v>
      </c>
      <c r="FE22" s="257"/>
      <c r="FF22" s="289">
        <f t="shared" si="76"/>
        <v>90</v>
      </c>
      <c r="FG22" s="575">
        <f t="shared" si="77"/>
        <v>90</v>
      </c>
      <c r="FH22" s="575">
        <f t="shared" si="78"/>
        <v>85</v>
      </c>
      <c r="FI22" s="575">
        <f t="shared" si="79"/>
        <v>0</v>
      </c>
      <c r="FJ22" s="575">
        <f t="shared" si="80"/>
        <v>75</v>
      </c>
      <c r="FK22" s="575">
        <f t="shared" si="81"/>
        <v>0</v>
      </c>
      <c r="FL22" s="575">
        <f t="shared" si="82"/>
        <v>90</v>
      </c>
      <c r="FM22" s="575">
        <f t="shared" si="83"/>
        <v>85</v>
      </c>
      <c r="FN22" s="575">
        <f t="shared" si="84"/>
        <v>0</v>
      </c>
      <c r="FO22" s="575">
        <f t="shared" si="85"/>
        <v>0</v>
      </c>
      <c r="FP22" s="258"/>
      <c r="FQ22" s="289">
        <f t="shared" si="86"/>
        <v>90</v>
      </c>
      <c r="FR22" s="765">
        <f t="shared" si="87"/>
        <v>90</v>
      </c>
      <c r="FS22" s="765">
        <f t="shared" si="88"/>
        <v>85</v>
      </c>
      <c r="FT22" s="765">
        <f t="shared" si="89"/>
        <v>0</v>
      </c>
      <c r="FU22" s="765">
        <f t="shared" si="90"/>
        <v>90</v>
      </c>
      <c r="FV22" s="765">
        <f t="shared" si="91"/>
        <v>0</v>
      </c>
      <c r="FW22" s="765">
        <f t="shared" si="92"/>
        <v>75</v>
      </c>
      <c r="FX22" s="765">
        <f t="shared" si="93"/>
        <v>80</v>
      </c>
      <c r="FY22" s="765">
        <f t="shared" si="94"/>
        <v>0</v>
      </c>
      <c r="FZ22" s="765">
        <f t="shared" si="95"/>
        <v>0</v>
      </c>
      <c r="GA22" s="766"/>
      <c r="GB22" s="289">
        <f t="shared" si="96"/>
        <v>90</v>
      </c>
      <c r="GC22" s="257">
        <f t="shared" si="97"/>
        <v>75</v>
      </c>
      <c r="GD22" s="257">
        <f t="shared" si="98"/>
        <v>90</v>
      </c>
      <c r="GE22" s="257">
        <f t="shared" si="99"/>
        <v>90</v>
      </c>
      <c r="GF22" s="575">
        <f t="shared" si="100"/>
        <v>0</v>
      </c>
      <c r="GG22" s="506">
        <f t="shared" si="101"/>
        <v>3</v>
      </c>
      <c r="GH22" s="39">
        <f t="shared" si="102"/>
        <v>85</v>
      </c>
      <c r="GI22" s="257">
        <f t="shared" si="103"/>
        <v>85</v>
      </c>
      <c r="GJ22" s="257">
        <f t="shared" si="104"/>
        <v>85</v>
      </c>
      <c r="GK22" s="257">
        <f t="shared" si="105"/>
        <v>85</v>
      </c>
      <c r="GL22" s="575">
        <f t="shared" si="106"/>
        <v>0</v>
      </c>
      <c r="GM22" s="506">
        <f t="shared" si="107"/>
        <v>3</v>
      </c>
      <c r="GN22" s="39">
        <f t="shared" si="108"/>
        <v>85</v>
      </c>
      <c r="GO22" s="257">
        <f t="shared" si="109"/>
        <v>0</v>
      </c>
      <c r="GP22" s="257">
        <f t="shared" si="110"/>
        <v>0</v>
      </c>
      <c r="GQ22" s="257">
        <f t="shared" si="111"/>
        <v>0</v>
      </c>
      <c r="GR22" s="575">
        <f t="shared" si="112"/>
        <v>3</v>
      </c>
      <c r="GS22" s="506">
        <f t="shared" si="113"/>
        <v>0</v>
      </c>
      <c r="GT22" s="39" t="str">
        <f t="shared" si="114"/>
        <v/>
      </c>
      <c r="GU22" s="257">
        <f t="shared" si="115"/>
        <v>85</v>
      </c>
      <c r="GV22" s="257">
        <f t="shared" si="116"/>
        <v>75</v>
      </c>
      <c r="GW22" s="257">
        <f t="shared" si="117"/>
        <v>90</v>
      </c>
      <c r="GX22" s="575">
        <f t="shared" si="118"/>
        <v>0</v>
      </c>
      <c r="GY22" s="506">
        <f t="shared" si="119"/>
        <v>3</v>
      </c>
      <c r="GZ22" s="39">
        <f t="shared" si="120"/>
        <v>83.333333333333329</v>
      </c>
      <c r="HA22" s="257">
        <f t="shared" si="121"/>
        <v>0</v>
      </c>
      <c r="HB22" s="257">
        <f t="shared" si="122"/>
        <v>0</v>
      </c>
      <c r="HC22" s="257">
        <f t="shared" si="123"/>
        <v>0</v>
      </c>
      <c r="HD22" s="575">
        <f t="shared" si="124"/>
        <v>3</v>
      </c>
      <c r="HE22" s="506">
        <f t="shared" si="125"/>
        <v>0</v>
      </c>
      <c r="HF22" s="39" t="str">
        <f t="shared" si="126"/>
        <v/>
      </c>
      <c r="HG22" s="257">
        <f t="shared" si="127"/>
        <v>90</v>
      </c>
      <c r="HH22" s="257">
        <f t="shared" si="128"/>
        <v>90</v>
      </c>
      <c r="HI22" s="257">
        <f t="shared" si="129"/>
        <v>75</v>
      </c>
      <c r="HJ22" s="575">
        <f t="shared" si="130"/>
        <v>0</v>
      </c>
      <c r="HK22" s="506">
        <f t="shared" si="131"/>
        <v>3</v>
      </c>
      <c r="HL22" s="39">
        <f t="shared" si="132"/>
        <v>85</v>
      </c>
      <c r="HM22" s="257">
        <f t="shared" si="133"/>
        <v>90</v>
      </c>
      <c r="HN22" s="257">
        <f t="shared" si="134"/>
        <v>85</v>
      </c>
      <c r="HO22" s="257">
        <f t="shared" si="135"/>
        <v>80</v>
      </c>
      <c r="HP22" s="575">
        <f t="shared" si="136"/>
        <v>0</v>
      </c>
      <c r="HQ22" s="506">
        <f t="shared" si="137"/>
        <v>3</v>
      </c>
      <c r="HR22" s="39">
        <f t="shared" si="138"/>
        <v>85</v>
      </c>
      <c r="HS22" s="257">
        <f t="shared" si="139"/>
        <v>0</v>
      </c>
      <c r="HT22" s="257">
        <f t="shared" si="140"/>
        <v>0</v>
      </c>
      <c r="HU22" s="257">
        <f t="shared" si="141"/>
        <v>0</v>
      </c>
      <c r="HV22" s="575">
        <f t="shared" si="142"/>
        <v>3</v>
      </c>
      <c r="HW22" s="506">
        <f t="shared" si="143"/>
        <v>0</v>
      </c>
      <c r="HX22" s="39" t="str">
        <f t="shared" si="144"/>
        <v/>
      </c>
      <c r="HY22" s="257">
        <f t="shared" si="145"/>
        <v>0</v>
      </c>
      <c r="HZ22" s="257">
        <f t="shared" si="146"/>
        <v>0</v>
      </c>
      <c r="IA22" s="257">
        <f t="shared" si="147"/>
        <v>0</v>
      </c>
      <c r="IB22" s="575">
        <f t="shared" si="148"/>
        <v>3</v>
      </c>
      <c r="IC22" s="506">
        <f t="shared" si="149"/>
        <v>0</v>
      </c>
      <c r="ID22" s="39" t="str">
        <f t="shared" si="150"/>
        <v/>
      </c>
      <c r="IE22" s="39"/>
      <c r="IF22" s="39"/>
      <c r="IG22" s="39"/>
      <c r="IH22" s="39">
        <f t="shared" si="151"/>
        <v>85</v>
      </c>
      <c r="II22" s="39">
        <f t="shared" si="152"/>
        <v>85</v>
      </c>
      <c r="IJ22" s="39" t="str">
        <f t="shared" si="153"/>
        <v/>
      </c>
      <c r="IK22" s="39">
        <f t="shared" si="154"/>
        <v>83.333333333333329</v>
      </c>
      <c r="IL22" s="39" t="str">
        <f t="shared" si="155"/>
        <v/>
      </c>
      <c r="IM22" s="767">
        <f t="shared" si="156"/>
        <v>85</v>
      </c>
      <c r="IN22" s="579">
        <f t="shared" si="157"/>
        <v>85</v>
      </c>
      <c r="IO22" s="579" t="str">
        <f t="shared" si="158"/>
        <v/>
      </c>
      <c r="IP22" s="579" t="str">
        <f t="shared" si="159"/>
        <v/>
      </c>
      <c r="IQ22" s="579"/>
      <c r="IR22" s="579">
        <f t="shared" si="160"/>
        <v>85</v>
      </c>
      <c r="IS22" s="289">
        <f t="shared" si="161"/>
        <v>85</v>
      </c>
      <c r="IT22" s="289">
        <f t="shared" si="162"/>
        <v>83.333333333333329</v>
      </c>
      <c r="IU22" s="223" t="str">
        <f>SISWA!E20</f>
        <v>Tegar</v>
      </c>
      <c r="IV22" s="223" t="str">
        <f t="shared" si="163"/>
        <v xml:space="preserve">Ananda Tegar </v>
      </c>
      <c r="IW22" s="580">
        <f t="shared" si="164"/>
        <v>85</v>
      </c>
      <c r="IX22" s="580">
        <f t="shared" si="165"/>
        <v>85</v>
      </c>
      <c r="IY22" s="580" t="str">
        <f t="shared" si="166"/>
        <v/>
      </c>
      <c r="IZ22" s="580" t="str">
        <f t="shared" si="167"/>
        <v/>
      </c>
      <c r="JA22" s="580" t="str">
        <f t="shared" si="168"/>
        <v/>
      </c>
      <c r="JB22" s="580">
        <f t="shared" si="169"/>
        <v>85</v>
      </c>
      <c r="JC22" s="580">
        <f t="shared" si="170"/>
        <v>85</v>
      </c>
      <c r="JD22" s="580" t="str">
        <f t="shared" si="171"/>
        <v/>
      </c>
      <c r="JE22" s="580" t="str">
        <f t="shared" si="172"/>
        <v/>
      </c>
      <c r="JF22" s="580"/>
      <c r="JG22" s="580"/>
      <c r="JH22" s="223">
        <f t="shared" si="173"/>
        <v>340</v>
      </c>
      <c r="JI22" s="289" t="str">
        <f t="shared" si="174"/>
        <v>menyajikan konsep-konsep yang saling berkaitan pada teks nonfiksi ke dalam tulisan dengan bahasa sendiri</v>
      </c>
      <c r="JJ22" s="576" t="str">
        <f>IF(IS22&gt;100,"",IF(IS22&gt;EV$1,"sangat baik dalam "&amp;JI22,IF(IS22&gt;=EV$2,"baik dalam "&amp;JI22,IF(IS22&gt;=EV$3,"cukup dalam "&amp;JI22,IF(IS22&lt;EV$3,"dengan bimbingan dapat meningkatkan dalam "&amp;JI22,IF(IS22&lt;1," ",””))))))</f>
        <v>baik dalam menyajikan konsep-konsep yang saling berkaitan pada teks nonfiksi ke dalam tulisan dengan bahasa sendiri</v>
      </c>
      <c r="JK22" s="223"/>
      <c r="JL22" s="223" t="str">
        <f t="shared" si="175"/>
        <v/>
      </c>
      <c r="JM22" s="223" t="str">
        <f t="shared" si="176"/>
        <v/>
      </c>
      <c r="JN22" s="223" t="str">
        <f t="shared" si="177"/>
        <v/>
      </c>
      <c r="JO22" s="223">
        <f t="shared" si="178"/>
        <v>83.333333333333329</v>
      </c>
      <c r="JP22" s="223" t="str">
        <f t="shared" si="179"/>
        <v/>
      </c>
      <c r="JQ22" s="223" t="str">
        <f t="shared" si="180"/>
        <v/>
      </c>
      <c r="JR22" s="223" t="str">
        <f t="shared" si="181"/>
        <v/>
      </c>
      <c r="JS22" s="223" t="str">
        <f t="shared" si="182"/>
        <v/>
      </c>
      <c r="JT22" s="223" t="str">
        <f t="shared" si="183"/>
        <v/>
      </c>
      <c r="JU22" s="223"/>
      <c r="JV22" s="223"/>
      <c r="JW22" s="223" t="str">
        <f t="shared" si="184"/>
        <v>memeragakan kembali informasi yang disampaikan paparan iklan dari media cetak atau elektronik dengan bantuan lisan, tulis, dan visual</v>
      </c>
      <c r="JX22" s="577" t="str">
        <f>IF(IT22&gt;100,"",IF(IT22&gt;=EV$1,"sangat baik dalam "&amp;JW22,IF(IT22&gt;=EV$2,"baik dalam "&amp;JW22,IF(IT22&gt;=EV$3,"cukup dalam "&amp;JW22,IF(IT22&lt;EV$3,"dengan bimbingan dapat meningkatkan dalam "&amp;JW22,IF(IT22&lt;1," ",””))))))</f>
        <v>baik dalam memeragakan kembali informasi yang disampaikan paparan iklan dari media cetak atau elektronik dengan bantuan lisan, tulis, dan visual</v>
      </c>
      <c r="JY22" s="223" t="str">
        <f t="shared" si="185"/>
        <v>Ananda Tegar baik dalam menyajikan konsep-konsep yang saling berkaitan pada teks nonfiksi ke dalam tulisan dengan bahasa sendiri, baik dalam memeragakan kembali informasi yang disampaikan paparan iklan dari media cetak atau elektronik dengan bantuan lisan, tulis, dan visual.</v>
      </c>
    </row>
    <row r="23" spans="1:285">
      <c r="A23" s="39">
        <v>16</v>
      </c>
      <c r="B23" s="223">
        <f>SISWA!B21</f>
        <v>0</v>
      </c>
      <c r="C23" s="123"/>
      <c r="D23" s="123"/>
      <c r="E23" s="123"/>
      <c r="F23" s="123"/>
      <c r="G23" s="123"/>
      <c r="H23" s="123"/>
      <c r="I23" s="123"/>
      <c r="J23" s="123"/>
      <c r="K23" s="123"/>
      <c r="L23" s="255"/>
      <c r="M23" s="255"/>
      <c r="N23" s="255"/>
      <c r="O23" s="255"/>
      <c r="P23" s="255"/>
      <c r="Q23" s="255"/>
      <c r="R23" s="255"/>
      <c r="S23" s="255"/>
      <c r="T23" s="255"/>
      <c r="U23" s="256"/>
      <c r="V23" s="256"/>
      <c r="W23" s="256"/>
      <c r="X23" s="256"/>
      <c r="Y23" s="256"/>
      <c r="Z23" s="256"/>
      <c r="AA23" s="256"/>
      <c r="AB23" s="256"/>
      <c r="AC23" s="256"/>
      <c r="AD23" s="123"/>
      <c r="AE23" s="123"/>
      <c r="AF23" s="123"/>
      <c r="AG23" s="123"/>
      <c r="AH23" s="123"/>
      <c r="AI23" s="123"/>
      <c r="AJ23" s="123"/>
      <c r="AK23" s="123"/>
      <c r="AL23" s="123"/>
      <c r="AM23" s="255"/>
      <c r="AN23" s="255"/>
      <c r="AO23" s="255"/>
      <c r="AP23" s="255"/>
      <c r="AQ23" s="255"/>
      <c r="AR23" s="255"/>
      <c r="AS23" s="255"/>
      <c r="AT23" s="255"/>
      <c r="AU23" s="255"/>
      <c r="AV23" s="256"/>
      <c r="AW23" s="256"/>
      <c r="AX23" s="256"/>
      <c r="AY23" s="256"/>
      <c r="AZ23" s="256"/>
      <c r="BA23" s="256"/>
      <c r="BB23" s="256"/>
      <c r="BC23" s="256"/>
      <c r="BD23" s="256"/>
      <c r="BE23" s="123"/>
      <c r="BF23" s="123"/>
      <c r="BG23" s="123"/>
      <c r="BH23" s="123"/>
      <c r="BI23" s="123"/>
      <c r="BJ23" s="123"/>
      <c r="BK23" s="123"/>
      <c r="BL23" s="123"/>
      <c r="BM23" s="123"/>
      <c r="BN23" s="255"/>
      <c r="BO23" s="255"/>
      <c r="BP23" s="255"/>
      <c r="BQ23" s="255"/>
      <c r="BR23" s="255"/>
      <c r="BS23" s="255"/>
      <c r="BT23" s="255"/>
      <c r="BU23" s="255"/>
      <c r="BV23" s="255"/>
      <c r="BW23" s="256"/>
      <c r="BX23" s="256"/>
      <c r="BY23" s="256"/>
      <c r="BZ23" s="256"/>
      <c r="CA23" s="256"/>
      <c r="CB23" s="256"/>
      <c r="CC23" s="256"/>
      <c r="CD23" s="256"/>
      <c r="CE23" s="256"/>
      <c r="CF23" s="123"/>
      <c r="CG23" s="123"/>
      <c r="CH23" s="123"/>
      <c r="CI23" s="123"/>
      <c r="CJ23" s="123"/>
      <c r="CK23" s="123"/>
      <c r="CL23" s="123"/>
      <c r="CM23" s="123"/>
      <c r="CN23" s="123"/>
      <c r="CO23" s="255"/>
      <c r="CP23" s="255"/>
      <c r="CQ23" s="255"/>
      <c r="CR23" s="255"/>
      <c r="CS23" s="255"/>
      <c r="CT23" s="255"/>
      <c r="CU23" s="255"/>
      <c r="CV23" s="255"/>
      <c r="CW23" s="255"/>
      <c r="CX23" s="256"/>
      <c r="CY23" s="256"/>
      <c r="CZ23" s="256"/>
      <c r="DA23" s="256"/>
      <c r="DB23" s="256"/>
      <c r="DC23" s="256"/>
      <c r="DD23" s="256"/>
      <c r="DE23" s="256"/>
      <c r="DF23" s="256"/>
      <c r="DG23" s="458"/>
      <c r="DH23" s="458"/>
      <c r="DI23" s="458"/>
      <c r="DJ23" s="458"/>
      <c r="DK23" s="458"/>
      <c r="DL23" s="458"/>
      <c r="DM23" s="458"/>
      <c r="DN23" s="458"/>
      <c r="DO23" s="458"/>
      <c r="DP23" s="457"/>
      <c r="DQ23" s="457"/>
      <c r="DR23" s="457"/>
      <c r="DS23" s="457"/>
      <c r="DT23" s="457"/>
      <c r="DU23" s="457"/>
      <c r="DV23" s="457"/>
      <c r="DW23" s="457"/>
      <c r="DX23" s="457"/>
      <c r="DY23" s="256"/>
      <c r="DZ23" s="256"/>
      <c r="EA23" s="256"/>
      <c r="EB23" s="256"/>
      <c r="EC23" s="256"/>
      <c r="ED23" s="256"/>
      <c r="EE23" s="256"/>
      <c r="EF23" s="256"/>
      <c r="EG23" s="256"/>
      <c r="EH23" s="257" t="str">
        <f t="shared" si="55"/>
        <v/>
      </c>
      <c r="EI23" s="257" t="str">
        <f t="shared" si="56"/>
        <v/>
      </c>
      <c r="EJ23" s="257" t="str">
        <f t="shared" si="57"/>
        <v/>
      </c>
      <c r="EK23" s="257" t="str">
        <f t="shared" si="58"/>
        <v/>
      </c>
      <c r="EL23" s="257" t="str">
        <f t="shared" si="59"/>
        <v/>
      </c>
      <c r="EM23" s="257" t="str">
        <f t="shared" si="60"/>
        <v/>
      </c>
      <c r="EN23" s="257" t="str">
        <f t="shared" si="61"/>
        <v/>
      </c>
      <c r="EO23" s="257" t="str">
        <f t="shared" si="62"/>
        <v/>
      </c>
      <c r="EP23" s="257" t="str">
        <f t="shared" si="63"/>
        <v/>
      </c>
      <c r="EQ23" s="579" t="str">
        <f t="shared" si="64"/>
        <v/>
      </c>
      <c r="ER23" s="291" t="str">
        <f t="shared" si="65"/>
        <v xml:space="preserve">  </v>
      </c>
      <c r="ES23" s="243" t="str">
        <f t="shared" si="66"/>
        <v xml:space="preserve"> </v>
      </c>
      <c r="ET23" s="39"/>
      <c r="EU23" s="39"/>
      <c r="EV23" s="257">
        <f t="shared" si="67"/>
        <v>0</v>
      </c>
      <c r="EW23" s="257">
        <f t="shared" si="68"/>
        <v>0</v>
      </c>
      <c r="EX23" s="257">
        <f t="shared" si="69"/>
        <v>0</v>
      </c>
      <c r="EY23" s="257">
        <f t="shared" si="70"/>
        <v>0</v>
      </c>
      <c r="EZ23" s="257">
        <f t="shared" si="71"/>
        <v>0</v>
      </c>
      <c r="FA23" s="257">
        <f t="shared" si="72"/>
        <v>0</v>
      </c>
      <c r="FB23" s="257">
        <f t="shared" si="73"/>
        <v>0</v>
      </c>
      <c r="FC23" s="257">
        <f t="shared" si="74"/>
        <v>0</v>
      </c>
      <c r="FD23" s="257">
        <f t="shared" si="75"/>
        <v>0</v>
      </c>
      <c r="FE23" s="257"/>
      <c r="FF23" s="289">
        <f t="shared" si="76"/>
        <v>0</v>
      </c>
      <c r="FG23" s="575">
        <f t="shared" si="77"/>
        <v>0</v>
      </c>
      <c r="FH23" s="575">
        <f t="shared" si="78"/>
        <v>0</v>
      </c>
      <c r="FI23" s="575">
        <f t="shared" si="79"/>
        <v>0</v>
      </c>
      <c r="FJ23" s="575">
        <f t="shared" si="80"/>
        <v>0</v>
      </c>
      <c r="FK23" s="575">
        <f t="shared" si="81"/>
        <v>0</v>
      </c>
      <c r="FL23" s="575">
        <f t="shared" si="82"/>
        <v>0</v>
      </c>
      <c r="FM23" s="575">
        <f t="shared" si="83"/>
        <v>0</v>
      </c>
      <c r="FN23" s="575">
        <f t="shared" si="84"/>
        <v>0</v>
      </c>
      <c r="FO23" s="575">
        <f t="shared" si="85"/>
        <v>0</v>
      </c>
      <c r="FP23" s="258"/>
      <c r="FQ23" s="289">
        <f t="shared" si="86"/>
        <v>0</v>
      </c>
      <c r="FR23" s="765">
        <f t="shared" si="87"/>
        <v>0</v>
      </c>
      <c r="FS23" s="765">
        <f t="shared" si="88"/>
        <v>0</v>
      </c>
      <c r="FT23" s="765">
        <f t="shared" si="89"/>
        <v>0</v>
      </c>
      <c r="FU23" s="765">
        <f t="shared" si="90"/>
        <v>0</v>
      </c>
      <c r="FV23" s="765">
        <f t="shared" si="91"/>
        <v>0</v>
      </c>
      <c r="FW23" s="765">
        <f t="shared" si="92"/>
        <v>0</v>
      </c>
      <c r="FX23" s="765">
        <f t="shared" si="93"/>
        <v>0</v>
      </c>
      <c r="FY23" s="765">
        <f t="shared" si="94"/>
        <v>0</v>
      </c>
      <c r="FZ23" s="765">
        <f t="shared" si="95"/>
        <v>0</v>
      </c>
      <c r="GA23" s="766"/>
      <c r="GB23" s="289">
        <f t="shared" si="96"/>
        <v>0</v>
      </c>
      <c r="GC23" s="257">
        <f t="shared" si="97"/>
        <v>0</v>
      </c>
      <c r="GD23" s="257">
        <f t="shared" si="98"/>
        <v>0</v>
      </c>
      <c r="GE23" s="257">
        <f t="shared" si="99"/>
        <v>0</v>
      </c>
      <c r="GF23" s="575">
        <f t="shared" si="100"/>
        <v>3</v>
      </c>
      <c r="GG23" s="506">
        <f t="shared" si="101"/>
        <v>0</v>
      </c>
      <c r="GH23" s="39" t="str">
        <f t="shared" si="102"/>
        <v/>
      </c>
      <c r="GI23" s="257">
        <f t="shared" si="103"/>
        <v>0</v>
      </c>
      <c r="GJ23" s="257">
        <f t="shared" si="104"/>
        <v>0</v>
      </c>
      <c r="GK23" s="257">
        <f t="shared" si="105"/>
        <v>0</v>
      </c>
      <c r="GL23" s="575">
        <f t="shared" si="106"/>
        <v>3</v>
      </c>
      <c r="GM23" s="506">
        <f t="shared" si="107"/>
        <v>0</v>
      </c>
      <c r="GN23" s="39" t="str">
        <f t="shared" si="108"/>
        <v/>
      </c>
      <c r="GO23" s="257">
        <f t="shared" si="109"/>
        <v>0</v>
      </c>
      <c r="GP23" s="257">
        <f t="shared" si="110"/>
        <v>0</v>
      </c>
      <c r="GQ23" s="257">
        <f t="shared" si="111"/>
        <v>0</v>
      </c>
      <c r="GR23" s="575">
        <f t="shared" si="112"/>
        <v>3</v>
      </c>
      <c r="GS23" s="506">
        <f t="shared" si="113"/>
        <v>0</v>
      </c>
      <c r="GT23" s="39" t="str">
        <f t="shared" si="114"/>
        <v/>
      </c>
      <c r="GU23" s="257">
        <f t="shared" si="115"/>
        <v>0</v>
      </c>
      <c r="GV23" s="257">
        <f t="shared" si="116"/>
        <v>0</v>
      </c>
      <c r="GW23" s="257">
        <f t="shared" si="117"/>
        <v>0</v>
      </c>
      <c r="GX23" s="575">
        <f t="shared" si="118"/>
        <v>3</v>
      </c>
      <c r="GY23" s="506">
        <f t="shared" si="119"/>
        <v>0</v>
      </c>
      <c r="GZ23" s="39" t="str">
        <f t="shared" si="120"/>
        <v/>
      </c>
      <c r="HA23" s="257">
        <f t="shared" si="121"/>
        <v>0</v>
      </c>
      <c r="HB23" s="257">
        <f t="shared" si="122"/>
        <v>0</v>
      </c>
      <c r="HC23" s="257">
        <f t="shared" si="123"/>
        <v>0</v>
      </c>
      <c r="HD23" s="575">
        <f t="shared" si="124"/>
        <v>3</v>
      </c>
      <c r="HE23" s="506">
        <f t="shared" si="125"/>
        <v>0</v>
      </c>
      <c r="HF23" s="39" t="str">
        <f t="shared" si="126"/>
        <v/>
      </c>
      <c r="HG23" s="257">
        <f t="shared" si="127"/>
        <v>0</v>
      </c>
      <c r="HH23" s="257">
        <f t="shared" si="128"/>
        <v>0</v>
      </c>
      <c r="HI23" s="257">
        <f t="shared" si="129"/>
        <v>0</v>
      </c>
      <c r="HJ23" s="575">
        <f t="shared" si="130"/>
        <v>3</v>
      </c>
      <c r="HK23" s="506">
        <f t="shared" si="131"/>
        <v>0</v>
      </c>
      <c r="HL23" s="39" t="str">
        <f t="shared" si="132"/>
        <v/>
      </c>
      <c r="HM23" s="257">
        <f t="shared" si="133"/>
        <v>0</v>
      </c>
      <c r="HN23" s="257">
        <f t="shared" si="134"/>
        <v>0</v>
      </c>
      <c r="HO23" s="257">
        <f t="shared" si="135"/>
        <v>0</v>
      </c>
      <c r="HP23" s="575">
        <f t="shared" si="136"/>
        <v>3</v>
      </c>
      <c r="HQ23" s="506">
        <f t="shared" si="137"/>
        <v>0</v>
      </c>
      <c r="HR23" s="39" t="str">
        <f t="shared" si="138"/>
        <v/>
      </c>
      <c r="HS23" s="257">
        <f t="shared" si="139"/>
        <v>0</v>
      </c>
      <c r="HT23" s="257">
        <f t="shared" si="140"/>
        <v>0</v>
      </c>
      <c r="HU23" s="257">
        <f t="shared" si="141"/>
        <v>0</v>
      </c>
      <c r="HV23" s="575">
        <f t="shared" si="142"/>
        <v>3</v>
      </c>
      <c r="HW23" s="506">
        <f t="shared" si="143"/>
        <v>0</v>
      </c>
      <c r="HX23" s="39" t="str">
        <f t="shared" si="144"/>
        <v/>
      </c>
      <c r="HY23" s="257">
        <f t="shared" si="145"/>
        <v>0</v>
      </c>
      <c r="HZ23" s="257">
        <f t="shared" si="146"/>
        <v>0</v>
      </c>
      <c r="IA23" s="257">
        <f t="shared" si="147"/>
        <v>0</v>
      </c>
      <c r="IB23" s="575">
        <f t="shared" si="148"/>
        <v>3</v>
      </c>
      <c r="IC23" s="506">
        <f t="shared" si="149"/>
        <v>0</v>
      </c>
      <c r="ID23" s="39" t="str">
        <f t="shared" si="150"/>
        <v/>
      </c>
      <c r="IE23" s="39"/>
      <c r="IF23" s="39"/>
      <c r="IG23" s="39"/>
      <c r="IH23" s="39" t="str">
        <f t="shared" si="151"/>
        <v/>
      </c>
      <c r="II23" s="39" t="str">
        <f t="shared" si="152"/>
        <v/>
      </c>
      <c r="IJ23" s="39" t="str">
        <f t="shared" si="153"/>
        <v/>
      </c>
      <c r="IK23" s="39" t="str">
        <f t="shared" si="154"/>
        <v/>
      </c>
      <c r="IL23" s="39" t="str">
        <f t="shared" si="155"/>
        <v/>
      </c>
      <c r="IM23" s="767" t="str">
        <f t="shared" si="156"/>
        <v/>
      </c>
      <c r="IN23" s="579" t="str">
        <f t="shared" si="157"/>
        <v/>
      </c>
      <c r="IO23" s="579" t="str">
        <f t="shared" si="158"/>
        <v/>
      </c>
      <c r="IP23" s="579" t="str">
        <f t="shared" si="159"/>
        <v/>
      </c>
      <c r="IQ23" s="579"/>
      <c r="IR23" s="579" t="str">
        <f t="shared" si="160"/>
        <v/>
      </c>
      <c r="IS23" s="289">
        <f t="shared" si="161"/>
        <v>0</v>
      </c>
      <c r="IT23" s="289">
        <f t="shared" si="162"/>
        <v>0</v>
      </c>
      <c r="IU23" s="223">
        <f>SISWA!E21</f>
        <v>0</v>
      </c>
      <c r="IV23" s="223" t="str">
        <f t="shared" si="163"/>
        <v/>
      </c>
      <c r="IW23" s="580" t="str">
        <f t="shared" si="164"/>
        <v/>
      </c>
      <c r="IX23" s="580" t="str">
        <f t="shared" si="165"/>
        <v/>
      </c>
      <c r="IY23" s="580" t="str">
        <f t="shared" si="166"/>
        <v/>
      </c>
      <c r="IZ23" s="580" t="str">
        <f t="shared" si="167"/>
        <v/>
      </c>
      <c r="JA23" s="580" t="str">
        <f t="shared" si="168"/>
        <v/>
      </c>
      <c r="JB23" s="580" t="str">
        <f t="shared" si="169"/>
        <v/>
      </c>
      <c r="JC23" s="580" t="str">
        <f t="shared" si="170"/>
        <v/>
      </c>
      <c r="JD23" s="580" t="str">
        <f t="shared" si="171"/>
        <v/>
      </c>
      <c r="JE23" s="580" t="str">
        <f t="shared" si="172"/>
        <v/>
      </c>
      <c r="JF23" s="580"/>
      <c r="JG23" s="580"/>
      <c r="JH23" s="223">
        <f t="shared" si="173"/>
        <v>0</v>
      </c>
      <c r="JI23" s="289" t="e">
        <f t="shared" si="174"/>
        <v>#N/A</v>
      </c>
      <c r="JJ23" s="576" t="e">
        <f>IF(IS23&gt;100,"",IF(IS23&gt;EV$1,"sangat baik dalam "&amp;JI23,IF(IS23&gt;=EV$2,"baik dalam "&amp;JI23,IF(IS23&gt;=EV$3,"cukup dalam "&amp;JI23,IF(IS23&lt;EV$3,"dengan bimbingan dapat meningkatkan dalam "&amp;JI23,IF(IS23&lt;1," ",””))))))</f>
        <v>#N/A</v>
      </c>
      <c r="JK23" s="223"/>
      <c r="JL23" s="223" t="str">
        <f t="shared" si="175"/>
        <v/>
      </c>
      <c r="JM23" s="223" t="str">
        <f t="shared" si="176"/>
        <v/>
      </c>
      <c r="JN23" s="223" t="str">
        <f t="shared" si="177"/>
        <v/>
      </c>
      <c r="JO23" s="223" t="str">
        <f t="shared" si="178"/>
        <v/>
      </c>
      <c r="JP23" s="223" t="str">
        <f t="shared" si="179"/>
        <v/>
      </c>
      <c r="JQ23" s="223" t="str">
        <f t="shared" si="180"/>
        <v/>
      </c>
      <c r="JR23" s="223" t="str">
        <f t="shared" si="181"/>
        <v/>
      </c>
      <c r="JS23" s="223" t="str">
        <f t="shared" si="182"/>
        <v/>
      </c>
      <c r="JT23" s="223" t="str">
        <f t="shared" si="183"/>
        <v/>
      </c>
      <c r="JU23" s="223"/>
      <c r="JV23" s="223"/>
      <c r="JW23" s="223" t="e">
        <f t="shared" si="184"/>
        <v>#N/A</v>
      </c>
      <c r="JX23" s="577" t="e">
        <f>IF(IT23&gt;100,"",IF(IT23&gt;=EV$1,"sangat baik dalam "&amp;JW23,IF(IT23&gt;=EV$2,"baik dalam "&amp;JW23,IF(IT23&gt;=EV$3,"cukup dalam "&amp;JW23,IF(IT23&lt;EV$3,"dengan bimbingan dapat meningkatkan dalam "&amp;JW23,IF(IT23&lt;1," ",””))))))</f>
        <v>#N/A</v>
      </c>
      <c r="JY23" s="223" t="e">
        <f t="shared" si="185"/>
        <v>#N/A</v>
      </c>
    </row>
    <row r="24" spans="1:285">
      <c r="A24" s="39">
        <v>17</v>
      </c>
      <c r="B24" s="223">
        <f>SISWA!B22</f>
        <v>0</v>
      </c>
      <c r="C24" s="123"/>
      <c r="D24" s="123"/>
      <c r="E24" s="123"/>
      <c r="F24" s="123"/>
      <c r="G24" s="123"/>
      <c r="H24" s="123"/>
      <c r="I24" s="123"/>
      <c r="J24" s="123"/>
      <c r="K24" s="123"/>
      <c r="L24" s="255"/>
      <c r="M24" s="255"/>
      <c r="N24" s="255"/>
      <c r="O24" s="255"/>
      <c r="P24" s="255"/>
      <c r="Q24" s="255"/>
      <c r="R24" s="255"/>
      <c r="S24" s="255"/>
      <c r="T24" s="255"/>
      <c r="U24" s="256"/>
      <c r="V24" s="256"/>
      <c r="W24" s="256"/>
      <c r="X24" s="256"/>
      <c r="Y24" s="256"/>
      <c r="Z24" s="256"/>
      <c r="AA24" s="256"/>
      <c r="AB24" s="256"/>
      <c r="AC24" s="256"/>
      <c r="AD24" s="123"/>
      <c r="AE24" s="123"/>
      <c r="AF24" s="123"/>
      <c r="AG24" s="123"/>
      <c r="AH24" s="123"/>
      <c r="AI24" s="123"/>
      <c r="AJ24" s="123"/>
      <c r="AK24" s="123"/>
      <c r="AL24" s="123"/>
      <c r="AM24" s="255"/>
      <c r="AN24" s="255"/>
      <c r="AO24" s="255"/>
      <c r="AP24" s="255"/>
      <c r="AQ24" s="255"/>
      <c r="AR24" s="255"/>
      <c r="AS24" s="255"/>
      <c r="AT24" s="255"/>
      <c r="AU24" s="255"/>
      <c r="AV24" s="256"/>
      <c r="AW24" s="256"/>
      <c r="AX24" s="256"/>
      <c r="AY24" s="256"/>
      <c r="AZ24" s="256"/>
      <c r="BA24" s="256"/>
      <c r="BB24" s="256"/>
      <c r="BC24" s="256"/>
      <c r="BD24" s="256"/>
      <c r="BE24" s="123"/>
      <c r="BF24" s="123"/>
      <c r="BG24" s="123"/>
      <c r="BH24" s="123"/>
      <c r="BI24" s="123"/>
      <c r="BJ24" s="123"/>
      <c r="BK24" s="123"/>
      <c r="BL24" s="123"/>
      <c r="BM24" s="123"/>
      <c r="BN24" s="255"/>
      <c r="BO24" s="255"/>
      <c r="BP24" s="255"/>
      <c r="BQ24" s="255"/>
      <c r="BR24" s="255"/>
      <c r="BS24" s="255"/>
      <c r="BT24" s="255"/>
      <c r="BU24" s="255"/>
      <c r="BV24" s="255"/>
      <c r="BW24" s="256"/>
      <c r="BX24" s="256"/>
      <c r="BY24" s="256"/>
      <c r="BZ24" s="256"/>
      <c r="CA24" s="256"/>
      <c r="CB24" s="256"/>
      <c r="CC24" s="256"/>
      <c r="CD24" s="256"/>
      <c r="CE24" s="256"/>
      <c r="CF24" s="123"/>
      <c r="CG24" s="123"/>
      <c r="CH24" s="123"/>
      <c r="CI24" s="123"/>
      <c r="CJ24" s="123"/>
      <c r="CK24" s="123"/>
      <c r="CL24" s="123"/>
      <c r="CM24" s="123"/>
      <c r="CN24" s="123"/>
      <c r="CO24" s="255"/>
      <c r="CP24" s="255"/>
      <c r="CQ24" s="255"/>
      <c r="CR24" s="255"/>
      <c r="CS24" s="255"/>
      <c r="CT24" s="255"/>
      <c r="CU24" s="255"/>
      <c r="CV24" s="255"/>
      <c r="CW24" s="255"/>
      <c r="CX24" s="256"/>
      <c r="CY24" s="256"/>
      <c r="CZ24" s="256"/>
      <c r="DA24" s="256"/>
      <c r="DB24" s="256"/>
      <c r="DC24" s="256"/>
      <c r="DD24" s="256"/>
      <c r="DE24" s="256"/>
      <c r="DF24" s="256"/>
      <c r="DG24" s="458"/>
      <c r="DH24" s="458"/>
      <c r="DI24" s="458"/>
      <c r="DJ24" s="458"/>
      <c r="DK24" s="458"/>
      <c r="DL24" s="458"/>
      <c r="DM24" s="458"/>
      <c r="DN24" s="458"/>
      <c r="DO24" s="458"/>
      <c r="DP24" s="457"/>
      <c r="DQ24" s="457"/>
      <c r="DR24" s="457"/>
      <c r="DS24" s="457"/>
      <c r="DT24" s="457"/>
      <c r="DU24" s="457"/>
      <c r="DV24" s="457"/>
      <c r="DW24" s="457"/>
      <c r="DX24" s="457"/>
      <c r="DY24" s="256"/>
      <c r="DZ24" s="256"/>
      <c r="EA24" s="256"/>
      <c r="EB24" s="256"/>
      <c r="EC24" s="256"/>
      <c r="ED24" s="256"/>
      <c r="EE24" s="256"/>
      <c r="EF24" s="256"/>
      <c r="EG24" s="256"/>
      <c r="EH24" s="257" t="str">
        <f t="shared" si="55"/>
        <v/>
      </c>
      <c r="EI24" s="257" t="str">
        <f t="shared" si="56"/>
        <v/>
      </c>
      <c r="EJ24" s="257" t="str">
        <f t="shared" si="57"/>
        <v/>
      </c>
      <c r="EK24" s="257" t="str">
        <f t="shared" si="58"/>
        <v/>
      </c>
      <c r="EL24" s="257" t="str">
        <f t="shared" si="59"/>
        <v/>
      </c>
      <c r="EM24" s="257" t="str">
        <f t="shared" si="60"/>
        <v/>
      </c>
      <c r="EN24" s="257" t="str">
        <f t="shared" si="61"/>
        <v/>
      </c>
      <c r="EO24" s="257" t="str">
        <f t="shared" si="62"/>
        <v/>
      </c>
      <c r="EP24" s="257" t="str">
        <f t="shared" si="63"/>
        <v/>
      </c>
      <c r="EQ24" s="579" t="str">
        <f t="shared" si="64"/>
        <v/>
      </c>
      <c r="ER24" s="291" t="str">
        <f t="shared" si="65"/>
        <v xml:space="preserve">  </v>
      </c>
      <c r="ES24" s="243" t="str">
        <f t="shared" si="66"/>
        <v xml:space="preserve"> </v>
      </c>
      <c r="ET24" s="39"/>
      <c r="EU24" s="39"/>
      <c r="EV24" s="257">
        <f t="shared" si="67"/>
        <v>0</v>
      </c>
      <c r="EW24" s="257">
        <f t="shared" si="68"/>
        <v>0</v>
      </c>
      <c r="EX24" s="257">
        <f t="shared" si="69"/>
        <v>0</v>
      </c>
      <c r="EY24" s="257">
        <f t="shared" si="70"/>
        <v>0</v>
      </c>
      <c r="EZ24" s="257">
        <f t="shared" si="71"/>
        <v>0</v>
      </c>
      <c r="FA24" s="257">
        <f t="shared" si="72"/>
        <v>0</v>
      </c>
      <c r="FB24" s="257">
        <f t="shared" si="73"/>
        <v>0</v>
      </c>
      <c r="FC24" s="257">
        <f t="shared" si="74"/>
        <v>0</v>
      </c>
      <c r="FD24" s="257">
        <f t="shared" si="75"/>
        <v>0</v>
      </c>
      <c r="FE24" s="257"/>
      <c r="FF24" s="289">
        <f t="shared" si="76"/>
        <v>0</v>
      </c>
      <c r="FG24" s="575">
        <f t="shared" si="77"/>
        <v>0</v>
      </c>
      <c r="FH24" s="575">
        <f t="shared" si="78"/>
        <v>0</v>
      </c>
      <c r="FI24" s="575">
        <f t="shared" si="79"/>
        <v>0</v>
      </c>
      <c r="FJ24" s="575">
        <f t="shared" si="80"/>
        <v>0</v>
      </c>
      <c r="FK24" s="575">
        <f t="shared" si="81"/>
        <v>0</v>
      </c>
      <c r="FL24" s="575">
        <f t="shared" si="82"/>
        <v>0</v>
      </c>
      <c r="FM24" s="575">
        <f t="shared" si="83"/>
        <v>0</v>
      </c>
      <c r="FN24" s="575">
        <f t="shared" si="84"/>
        <v>0</v>
      </c>
      <c r="FO24" s="575">
        <f t="shared" si="85"/>
        <v>0</v>
      </c>
      <c r="FP24" s="258"/>
      <c r="FQ24" s="289">
        <f t="shared" si="86"/>
        <v>0</v>
      </c>
      <c r="FR24" s="765">
        <f t="shared" si="87"/>
        <v>0</v>
      </c>
      <c r="FS24" s="765">
        <f t="shared" si="88"/>
        <v>0</v>
      </c>
      <c r="FT24" s="765">
        <f t="shared" si="89"/>
        <v>0</v>
      </c>
      <c r="FU24" s="765">
        <f t="shared" si="90"/>
        <v>0</v>
      </c>
      <c r="FV24" s="765">
        <f t="shared" si="91"/>
        <v>0</v>
      </c>
      <c r="FW24" s="765">
        <f t="shared" si="92"/>
        <v>0</v>
      </c>
      <c r="FX24" s="765">
        <f t="shared" si="93"/>
        <v>0</v>
      </c>
      <c r="FY24" s="765">
        <f t="shared" si="94"/>
        <v>0</v>
      </c>
      <c r="FZ24" s="765">
        <f t="shared" si="95"/>
        <v>0</v>
      </c>
      <c r="GA24" s="766"/>
      <c r="GB24" s="289">
        <f t="shared" si="96"/>
        <v>0</v>
      </c>
      <c r="GC24" s="257">
        <f t="shared" si="97"/>
        <v>0</v>
      </c>
      <c r="GD24" s="257">
        <f t="shared" si="98"/>
        <v>0</v>
      </c>
      <c r="GE24" s="257">
        <f t="shared" si="99"/>
        <v>0</v>
      </c>
      <c r="GF24" s="575">
        <f t="shared" si="100"/>
        <v>3</v>
      </c>
      <c r="GG24" s="506">
        <f t="shared" si="101"/>
        <v>0</v>
      </c>
      <c r="GH24" s="39" t="str">
        <f t="shared" si="102"/>
        <v/>
      </c>
      <c r="GI24" s="257">
        <f t="shared" si="103"/>
        <v>0</v>
      </c>
      <c r="GJ24" s="257">
        <f t="shared" si="104"/>
        <v>0</v>
      </c>
      <c r="GK24" s="257">
        <f t="shared" si="105"/>
        <v>0</v>
      </c>
      <c r="GL24" s="575">
        <f t="shared" si="106"/>
        <v>3</v>
      </c>
      <c r="GM24" s="506">
        <f t="shared" si="107"/>
        <v>0</v>
      </c>
      <c r="GN24" s="39" t="str">
        <f t="shared" si="108"/>
        <v/>
      </c>
      <c r="GO24" s="257">
        <f t="shared" si="109"/>
        <v>0</v>
      </c>
      <c r="GP24" s="257">
        <f t="shared" si="110"/>
        <v>0</v>
      </c>
      <c r="GQ24" s="257">
        <f t="shared" si="111"/>
        <v>0</v>
      </c>
      <c r="GR24" s="575">
        <f t="shared" si="112"/>
        <v>3</v>
      </c>
      <c r="GS24" s="506">
        <f t="shared" si="113"/>
        <v>0</v>
      </c>
      <c r="GT24" s="39" t="str">
        <f t="shared" si="114"/>
        <v/>
      </c>
      <c r="GU24" s="257">
        <f t="shared" si="115"/>
        <v>0</v>
      </c>
      <c r="GV24" s="257">
        <f t="shared" si="116"/>
        <v>0</v>
      </c>
      <c r="GW24" s="257">
        <f t="shared" si="117"/>
        <v>0</v>
      </c>
      <c r="GX24" s="575">
        <f t="shared" si="118"/>
        <v>3</v>
      </c>
      <c r="GY24" s="506">
        <f t="shared" si="119"/>
        <v>0</v>
      </c>
      <c r="GZ24" s="39" t="str">
        <f t="shared" si="120"/>
        <v/>
      </c>
      <c r="HA24" s="257">
        <f t="shared" si="121"/>
        <v>0</v>
      </c>
      <c r="HB24" s="257">
        <f t="shared" si="122"/>
        <v>0</v>
      </c>
      <c r="HC24" s="257">
        <f t="shared" si="123"/>
        <v>0</v>
      </c>
      <c r="HD24" s="575">
        <f t="shared" si="124"/>
        <v>3</v>
      </c>
      <c r="HE24" s="506">
        <f t="shared" si="125"/>
        <v>0</v>
      </c>
      <c r="HF24" s="39" t="str">
        <f t="shared" si="126"/>
        <v/>
      </c>
      <c r="HG24" s="257">
        <f t="shared" si="127"/>
        <v>0</v>
      </c>
      <c r="HH24" s="257">
        <f t="shared" si="128"/>
        <v>0</v>
      </c>
      <c r="HI24" s="257">
        <f t="shared" si="129"/>
        <v>0</v>
      </c>
      <c r="HJ24" s="575">
        <f t="shared" si="130"/>
        <v>3</v>
      </c>
      <c r="HK24" s="506">
        <f t="shared" si="131"/>
        <v>0</v>
      </c>
      <c r="HL24" s="39" t="str">
        <f t="shared" si="132"/>
        <v/>
      </c>
      <c r="HM24" s="257">
        <f t="shared" si="133"/>
        <v>0</v>
      </c>
      <c r="HN24" s="257">
        <f t="shared" si="134"/>
        <v>0</v>
      </c>
      <c r="HO24" s="257">
        <f t="shared" si="135"/>
        <v>0</v>
      </c>
      <c r="HP24" s="575">
        <f t="shared" si="136"/>
        <v>3</v>
      </c>
      <c r="HQ24" s="506">
        <f t="shared" si="137"/>
        <v>0</v>
      </c>
      <c r="HR24" s="39" t="str">
        <f t="shared" si="138"/>
        <v/>
      </c>
      <c r="HS24" s="257">
        <f t="shared" si="139"/>
        <v>0</v>
      </c>
      <c r="HT24" s="257">
        <f t="shared" si="140"/>
        <v>0</v>
      </c>
      <c r="HU24" s="257">
        <f t="shared" si="141"/>
        <v>0</v>
      </c>
      <c r="HV24" s="575">
        <f t="shared" si="142"/>
        <v>3</v>
      </c>
      <c r="HW24" s="506">
        <f t="shared" si="143"/>
        <v>0</v>
      </c>
      <c r="HX24" s="39" t="str">
        <f t="shared" si="144"/>
        <v/>
      </c>
      <c r="HY24" s="257">
        <f t="shared" si="145"/>
        <v>0</v>
      </c>
      <c r="HZ24" s="257">
        <f t="shared" si="146"/>
        <v>0</v>
      </c>
      <c r="IA24" s="257">
        <f t="shared" si="147"/>
        <v>0</v>
      </c>
      <c r="IB24" s="575">
        <f t="shared" si="148"/>
        <v>3</v>
      </c>
      <c r="IC24" s="506">
        <f t="shared" si="149"/>
        <v>0</v>
      </c>
      <c r="ID24" s="39" t="str">
        <f t="shared" si="150"/>
        <v/>
      </c>
      <c r="IE24" s="39"/>
      <c r="IF24" s="39"/>
      <c r="IG24" s="39"/>
      <c r="IH24" s="39" t="str">
        <f t="shared" si="151"/>
        <v/>
      </c>
      <c r="II24" s="39" t="str">
        <f t="shared" si="152"/>
        <v/>
      </c>
      <c r="IJ24" s="39" t="str">
        <f t="shared" si="153"/>
        <v/>
      </c>
      <c r="IK24" s="39" t="str">
        <f t="shared" si="154"/>
        <v/>
      </c>
      <c r="IL24" s="39" t="str">
        <f t="shared" si="155"/>
        <v/>
      </c>
      <c r="IM24" s="767" t="str">
        <f t="shared" si="156"/>
        <v/>
      </c>
      <c r="IN24" s="579" t="str">
        <f t="shared" si="157"/>
        <v/>
      </c>
      <c r="IO24" s="579" t="str">
        <f t="shared" si="158"/>
        <v/>
      </c>
      <c r="IP24" s="579" t="str">
        <f t="shared" si="159"/>
        <v/>
      </c>
      <c r="IQ24" s="579"/>
      <c r="IR24" s="579" t="str">
        <f t="shared" si="160"/>
        <v/>
      </c>
      <c r="IS24" s="289">
        <f t="shared" si="161"/>
        <v>0</v>
      </c>
      <c r="IT24" s="289">
        <f t="shared" si="162"/>
        <v>0</v>
      </c>
      <c r="IU24" s="223">
        <f>SISWA!E22</f>
        <v>0</v>
      </c>
      <c r="IV24" s="223" t="str">
        <f t="shared" si="163"/>
        <v/>
      </c>
      <c r="IW24" s="580" t="str">
        <f t="shared" si="164"/>
        <v/>
      </c>
      <c r="IX24" s="580" t="str">
        <f t="shared" si="165"/>
        <v/>
      </c>
      <c r="IY24" s="580" t="str">
        <f t="shared" si="166"/>
        <v/>
      </c>
      <c r="IZ24" s="580" t="str">
        <f t="shared" si="167"/>
        <v/>
      </c>
      <c r="JA24" s="580" t="str">
        <f t="shared" si="168"/>
        <v/>
      </c>
      <c r="JB24" s="580" t="str">
        <f t="shared" si="169"/>
        <v/>
      </c>
      <c r="JC24" s="580" t="str">
        <f t="shared" si="170"/>
        <v/>
      </c>
      <c r="JD24" s="580" t="str">
        <f t="shared" si="171"/>
        <v/>
      </c>
      <c r="JE24" s="580" t="str">
        <f t="shared" si="172"/>
        <v/>
      </c>
      <c r="JF24" s="580"/>
      <c r="JG24" s="580"/>
      <c r="JH24" s="223">
        <f t="shared" si="173"/>
        <v>0</v>
      </c>
      <c r="JI24" s="289" t="e">
        <f t="shared" si="174"/>
        <v>#N/A</v>
      </c>
      <c r="JJ24" s="576" t="e">
        <f>IF(IS24&gt;100,"",IF(IS24&gt;EV$1,"sangat baik dalam "&amp;JI24,IF(IS24&gt;=EV$2,"baik dalam "&amp;JI24,IF(IS24&gt;=EV$3,"cukup dalam "&amp;JI24,IF(IS24&lt;EV$3,"dengan bimbingan dapat meningkatkan dalam "&amp;JI24,IF(IS24&lt;1," ",””))))))</f>
        <v>#N/A</v>
      </c>
      <c r="JK24" s="223"/>
      <c r="JL24" s="223" t="str">
        <f t="shared" si="175"/>
        <v/>
      </c>
      <c r="JM24" s="223" t="str">
        <f t="shared" si="176"/>
        <v/>
      </c>
      <c r="JN24" s="223" t="str">
        <f t="shared" si="177"/>
        <v/>
      </c>
      <c r="JO24" s="223" t="str">
        <f t="shared" si="178"/>
        <v/>
      </c>
      <c r="JP24" s="223" t="str">
        <f t="shared" si="179"/>
        <v/>
      </c>
      <c r="JQ24" s="223" t="str">
        <f t="shared" si="180"/>
        <v/>
      </c>
      <c r="JR24" s="223" t="str">
        <f t="shared" si="181"/>
        <v/>
      </c>
      <c r="JS24" s="223" t="str">
        <f t="shared" si="182"/>
        <v/>
      </c>
      <c r="JT24" s="223" t="str">
        <f t="shared" si="183"/>
        <v/>
      </c>
      <c r="JU24" s="223"/>
      <c r="JV24" s="223"/>
      <c r="JW24" s="223" t="e">
        <f t="shared" si="184"/>
        <v>#N/A</v>
      </c>
      <c r="JX24" s="577" t="e">
        <f>IF(IT24&gt;100,"",IF(IT24&gt;=EV$1,"sangat baik dalam "&amp;JW24,IF(IT24&gt;=EV$2,"baik dalam "&amp;JW24,IF(IT24&gt;=EV$3,"cukup dalam "&amp;JW24,IF(IT24&lt;EV$3,"dengan bimbingan dapat meningkatkan dalam "&amp;JW24,IF(IT24&lt;1," ",””))))))</f>
        <v>#N/A</v>
      </c>
      <c r="JY24" s="223" t="e">
        <f t="shared" si="185"/>
        <v>#N/A</v>
      </c>
    </row>
    <row r="25" spans="1:285">
      <c r="A25" s="39">
        <v>18</v>
      </c>
      <c r="B25" s="223">
        <f>SISWA!B23</f>
        <v>0</v>
      </c>
      <c r="C25" s="123"/>
      <c r="D25" s="123"/>
      <c r="E25" s="123"/>
      <c r="F25" s="123"/>
      <c r="G25" s="123"/>
      <c r="H25" s="123"/>
      <c r="I25" s="123"/>
      <c r="J25" s="123"/>
      <c r="K25" s="123"/>
      <c r="L25" s="255"/>
      <c r="M25" s="255"/>
      <c r="N25" s="255"/>
      <c r="O25" s="255"/>
      <c r="P25" s="255"/>
      <c r="Q25" s="255"/>
      <c r="R25" s="255"/>
      <c r="S25" s="255"/>
      <c r="T25" s="255"/>
      <c r="U25" s="256"/>
      <c r="V25" s="256"/>
      <c r="W25" s="256"/>
      <c r="X25" s="256"/>
      <c r="Y25" s="256"/>
      <c r="Z25" s="256"/>
      <c r="AA25" s="256"/>
      <c r="AB25" s="256"/>
      <c r="AC25" s="256"/>
      <c r="AD25" s="123"/>
      <c r="AE25" s="123"/>
      <c r="AF25" s="123"/>
      <c r="AG25" s="123"/>
      <c r="AH25" s="123"/>
      <c r="AI25" s="123"/>
      <c r="AJ25" s="123"/>
      <c r="AK25" s="123"/>
      <c r="AL25" s="123"/>
      <c r="AM25" s="255"/>
      <c r="AN25" s="255"/>
      <c r="AO25" s="255"/>
      <c r="AP25" s="255"/>
      <c r="AQ25" s="255"/>
      <c r="AR25" s="255"/>
      <c r="AS25" s="255"/>
      <c r="AT25" s="255"/>
      <c r="AU25" s="255"/>
      <c r="AV25" s="256"/>
      <c r="AW25" s="256"/>
      <c r="AX25" s="256"/>
      <c r="AY25" s="256"/>
      <c r="AZ25" s="256"/>
      <c r="BA25" s="256"/>
      <c r="BB25" s="256"/>
      <c r="BC25" s="256"/>
      <c r="BD25" s="256"/>
      <c r="BE25" s="123"/>
      <c r="BF25" s="123"/>
      <c r="BG25" s="123"/>
      <c r="BH25" s="123"/>
      <c r="BI25" s="123"/>
      <c r="BJ25" s="123"/>
      <c r="BK25" s="123"/>
      <c r="BL25" s="123"/>
      <c r="BM25" s="123"/>
      <c r="BN25" s="255"/>
      <c r="BO25" s="255"/>
      <c r="BP25" s="255"/>
      <c r="BQ25" s="255"/>
      <c r="BR25" s="255"/>
      <c r="BS25" s="255"/>
      <c r="BT25" s="255"/>
      <c r="BU25" s="255"/>
      <c r="BV25" s="255"/>
      <c r="BW25" s="256"/>
      <c r="BX25" s="256"/>
      <c r="BY25" s="256"/>
      <c r="BZ25" s="256"/>
      <c r="CA25" s="256"/>
      <c r="CB25" s="256"/>
      <c r="CC25" s="256"/>
      <c r="CD25" s="256"/>
      <c r="CE25" s="256"/>
      <c r="CF25" s="123"/>
      <c r="CG25" s="123"/>
      <c r="CH25" s="123"/>
      <c r="CI25" s="123"/>
      <c r="CJ25" s="123"/>
      <c r="CK25" s="123"/>
      <c r="CL25" s="123"/>
      <c r="CM25" s="123"/>
      <c r="CN25" s="123"/>
      <c r="CO25" s="255"/>
      <c r="CP25" s="255"/>
      <c r="CQ25" s="255"/>
      <c r="CR25" s="255"/>
      <c r="CS25" s="255"/>
      <c r="CT25" s="255"/>
      <c r="CU25" s="255"/>
      <c r="CV25" s="255"/>
      <c r="CW25" s="255"/>
      <c r="CX25" s="256"/>
      <c r="CY25" s="256"/>
      <c r="CZ25" s="256"/>
      <c r="DA25" s="256"/>
      <c r="DB25" s="256"/>
      <c r="DC25" s="256"/>
      <c r="DD25" s="256"/>
      <c r="DE25" s="256"/>
      <c r="DF25" s="256"/>
      <c r="DG25" s="458"/>
      <c r="DH25" s="458"/>
      <c r="DI25" s="458"/>
      <c r="DJ25" s="458"/>
      <c r="DK25" s="458"/>
      <c r="DL25" s="458"/>
      <c r="DM25" s="458"/>
      <c r="DN25" s="458"/>
      <c r="DO25" s="458"/>
      <c r="DP25" s="457"/>
      <c r="DQ25" s="457"/>
      <c r="DR25" s="457"/>
      <c r="DS25" s="457"/>
      <c r="DT25" s="457"/>
      <c r="DU25" s="457"/>
      <c r="DV25" s="457"/>
      <c r="DW25" s="457"/>
      <c r="DX25" s="457"/>
      <c r="DY25" s="256"/>
      <c r="DZ25" s="256"/>
      <c r="EA25" s="256"/>
      <c r="EB25" s="256"/>
      <c r="EC25" s="256"/>
      <c r="ED25" s="256"/>
      <c r="EE25" s="256"/>
      <c r="EF25" s="256"/>
      <c r="EG25" s="256"/>
      <c r="EH25" s="257" t="str">
        <f t="shared" si="55"/>
        <v/>
      </c>
      <c r="EI25" s="257" t="str">
        <f t="shared" si="56"/>
        <v/>
      </c>
      <c r="EJ25" s="257" t="str">
        <f t="shared" si="57"/>
        <v/>
      </c>
      <c r="EK25" s="257" t="str">
        <f t="shared" si="58"/>
        <v/>
      </c>
      <c r="EL25" s="257" t="str">
        <f t="shared" si="59"/>
        <v/>
      </c>
      <c r="EM25" s="257" t="str">
        <f t="shared" si="60"/>
        <v/>
      </c>
      <c r="EN25" s="257" t="str">
        <f t="shared" si="61"/>
        <v/>
      </c>
      <c r="EO25" s="257" t="str">
        <f t="shared" si="62"/>
        <v/>
      </c>
      <c r="EP25" s="257" t="str">
        <f t="shared" si="63"/>
        <v/>
      </c>
      <c r="EQ25" s="579" t="str">
        <f t="shared" si="64"/>
        <v/>
      </c>
      <c r="ER25" s="291" t="str">
        <f t="shared" si="65"/>
        <v xml:space="preserve">  </v>
      </c>
      <c r="ES25" s="243" t="str">
        <f t="shared" si="66"/>
        <v xml:space="preserve"> </v>
      </c>
      <c r="ET25" s="39"/>
      <c r="EU25" s="39"/>
      <c r="EV25" s="257">
        <f t="shared" si="67"/>
        <v>0</v>
      </c>
      <c r="EW25" s="257">
        <f t="shared" si="68"/>
        <v>0</v>
      </c>
      <c r="EX25" s="257">
        <f t="shared" si="69"/>
        <v>0</v>
      </c>
      <c r="EY25" s="257">
        <f t="shared" si="70"/>
        <v>0</v>
      </c>
      <c r="EZ25" s="257">
        <f t="shared" si="71"/>
        <v>0</v>
      </c>
      <c r="FA25" s="257">
        <f t="shared" si="72"/>
        <v>0</v>
      </c>
      <c r="FB25" s="257">
        <f t="shared" si="73"/>
        <v>0</v>
      </c>
      <c r="FC25" s="257">
        <f t="shared" si="74"/>
        <v>0</v>
      </c>
      <c r="FD25" s="257">
        <f t="shared" si="75"/>
        <v>0</v>
      </c>
      <c r="FE25" s="257"/>
      <c r="FF25" s="289">
        <f t="shared" si="76"/>
        <v>0</v>
      </c>
      <c r="FG25" s="575">
        <f t="shared" si="77"/>
        <v>0</v>
      </c>
      <c r="FH25" s="575">
        <f t="shared" si="78"/>
        <v>0</v>
      </c>
      <c r="FI25" s="575">
        <f t="shared" si="79"/>
        <v>0</v>
      </c>
      <c r="FJ25" s="575">
        <f t="shared" si="80"/>
        <v>0</v>
      </c>
      <c r="FK25" s="575">
        <f t="shared" si="81"/>
        <v>0</v>
      </c>
      <c r="FL25" s="575">
        <f t="shared" si="82"/>
        <v>0</v>
      </c>
      <c r="FM25" s="575">
        <f t="shared" si="83"/>
        <v>0</v>
      </c>
      <c r="FN25" s="575">
        <f t="shared" si="84"/>
        <v>0</v>
      </c>
      <c r="FO25" s="575">
        <f t="shared" si="85"/>
        <v>0</v>
      </c>
      <c r="FP25" s="258"/>
      <c r="FQ25" s="289">
        <f t="shared" si="86"/>
        <v>0</v>
      </c>
      <c r="FR25" s="765">
        <f t="shared" si="87"/>
        <v>0</v>
      </c>
      <c r="FS25" s="765">
        <f t="shared" si="88"/>
        <v>0</v>
      </c>
      <c r="FT25" s="765">
        <f t="shared" si="89"/>
        <v>0</v>
      </c>
      <c r="FU25" s="765">
        <f t="shared" si="90"/>
        <v>0</v>
      </c>
      <c r="FV25" s="765">
        <f t="shared" si="91"/>
        <v>0</v>
      </c>
      <c r="FW25" s="765">
        <f t="shared" si="92"/>
        <v>0</v>
      </c>
      <c r="FX25" s="765">
        <f t="shared" si="93"/>
        <v>0</v>
      </c>
      <c r="FY25" s="765">
        <f t="shared" si="94"/>
        <v>0</v>
      </c>
      <c r="FZ25" s="765">
        <f t="shared" si="95"/>
        <v>0</v>
      </c>
      <c r="GA25" s="766"/>
      <c r="GB25" s="289">
        <f t="shared" si="96"/>
        <v>0</v>
      </c>
      <c r="GC25" s="257">
        <f t="shared" si="97"/>
        <v>0</v>
      </c>
      <c r="GD25" s="257">
        <f t="shared" si="98"/>
        <v>0</v>
      </c>
      <c r="GE25" s="257">
        <f t="shared" si="99"/>
        <v>0</v>
      </c>
      <c r="GF25" s="575">
        <f t="shared" si="100"/>
        <v>3</v>
      </c>
      <c r="GG25" s="506">
        <f t="shared" si="101"/>
        <v>0</v>
      </c>
      <c r="GH25" s="39" t="str">
        <f t="shared" si="102"/>
        <v/>
      </c>
      <c r="GI25" s="257">
        <f t="shared" si="103"/>
        <v>0</v>
      </c>
      <c r="GJ25" s="257">
        <f t="shared" si="104"/>
        <v>0</v>
      </c>
      <c r="GK25" s="257">
        <f t="shared" si="105"/>
        <v>0</v>
      </c>
      <c r="GL25" s="575">
        <f t="shared" si="106"/>
        <v>3</v>
      </c>
      <c r="GM25" s="506">
        <f t="shared" si="107"/>
        <v>0</v>
      </c>
      <c r="GN25" s="39" t="str">
        <f t="shared" si="108"/>
        <v/>
      </c>
      <c r="GO25" s="257">
        <f t="shared" si="109"/>
        <v>0</v>
      </c>
      <c r="GP25" s="257">
        <f t="shared" si="110"/>
        <v>0</v>
      </c>
      <c r="GQ25" s="257">
        <f t="shared" si="111"/>
        <v>0</v>
      </c>
      <c r="GR25" s="575">
        <f t="shared" si="112"/>
        <v>3</v>
      </c>
      <c r="GS25" s="506">
        <f t="shared" si="113"/>
        <v>0</v>
      </c>
      <c r="GT25" s="39" t="str">
        <f t="shared" si="114"/>
        <v/>
      </c>
      <c r="GU25" s="257">
        <f t="shared" si="115"/>
        <v>0</v>
      </c>
      <c r="GV25" s="257">
        <f t="shared" si="116"/>
        <v>0</v>
      </c>
      <c r="GW25" s="257">
        <f t="shared" si="117"/>
        <v>0</v>
      </c>
      <c r="GX25" s="575">
        <f t="shared" si="118"/>
        <v>3</v>
      </c>
      <c r="GY25" s="506">
        <f t="shared" si="119"/>
        <v>0</v>
      </c>
      <c r="GZ25" s="39" t="str">
        <f t="shared" si="120"/>
        <v/>
      </c>
      <c r="HA25" s="257">
        <f t="shared" si="121"/>
        <v>0</v>
      </c>
      <c r="HB25" s="257">
        <f t="shared" si="122"/>
        <v>0</v>
      </c>
      <c r="HC25" s="257">
        <f t="shared" si="123"/>
        <v>0</v>
      </c>
      <c r="HD25" s="575">
        <f t="shared" si="124"/>
        <v>3</v>
      </c>
      <c r="HE25" s="506">
        <f t="shared" si="125"/>
        <v>0</v>
      </c>
      <c r="HF25" s="39" t="str">
        <f t="shared" si="126"/>
        <v/>
      </c>
      <c r="HG25" s="257">
        <f t="shared" si="127"/>
        <v>0</v>
      </c>
      <c r="HH25" s="257">
        <f t="shared" si="128"/>
        <v>0</v>
      </c>
      <c r="HI25" s="257">
        <f t="shared" si="129"/>
        <v>0</v>
      </c>
      <c r="HJ25" s="575">
        <f t="shared" si="130"/>
        <v>3</v>
      </c>
      <c r="HK25" s="506">
        <f t="shared" si="131"/>
        <v>0</v>
      </c>
      <c r="HL25" s="39" t="str">
        <f t="shared" si="132"/>
        <v/>
      </c>
      <c r="HM25" s="257">
        <f t="shared" si="133"/>
        <v>0</v>
      </c>
      <c r="HN25" s="257">
        <f t="shared" si="134"/>
        <v>0</v>
      </c>
      <c r="HO25" s="257">
        <f t="shared" si="135"/>
        <v>0</v>
      </c>
      <c r="HP25" s="575">
        <f t="shared" si="136"/>
        <v>3</v>
      </c>
      <c r="HQ25" s="506">
        <f t="shared" si="137"/>
        <v>0</v>
      </c>
      <c r="HR25" s="39" t="str">
        <f t="shared" si="138"/>
        <v/>
      </c>
      <c r="HS25" s="257">
        <f t="shared" si="139"/>
        <v>0</v>
      </c>
      <c r="HT25" s="257">
        <f t="shared" si="140"/>
        <v>0</v>
      </c>
      <c r="HU25" s="257">
        <f t="shared" si="141"/>
        <v>0</v>
      </c>
      <c r="HV25" s="575">
        <f t="shared" si="142"/>
        <v>3</v>
      </c>
      <c r="HW25" s="506">
        <f t="shared" si="143"/>
        <v>0</v>
      </c>
      <c r="HX25" s="39" t="str">
        <f t="shared" si="144"/>
        <v/>
      </c>
      <c r="HY25" s="257">
        <f t="shared" si="145"/>
        <v>0</v>
      </c>
      <c r="HZ25" s="257">
        <f t="shared" si="146"/>
        <v>0</v>
      </c>
      <c r="IA25" s="257">
        <f t="shared" si="147"/>
        <v>0</v>
      </c>
      <c r="IB25" s="575">
        <f t="shared" si="148"/>
        <v>3</v>
      </c>
      <c r="IC25" s="506">
        <f t="shared" si="149"/>
        <v>0</v>
      </c>
      <c r="ID25" s="39" t="str">
        <f t="shared" si="150"/>
        <v/>
      </c>
      <c r="IE25" s="39"/>
      <c r="IF25" s="39"/>
      <c r="IG25" s="39"/>
      <c r="IH25" s="39" t="str">
        <f t="shared" si="151"/>
        <v/>
      </c>
      <c r="II25" s="39" t="str">
        <f t="shared" si="152"/>
        <v/>
      </c>
      <c r="IJ25" s="39" t="str">
        <f t="shared" si="153"/>
        <v/>
      </c>
      <c r="IK25" s="39" t="str">
        <f t="shared" si="154"/>
        <v/>
      </c>
      <c r="IL25" s="39" t="str">
        <f t="shared" si="155"/>
        <v/>
      </c>
      <c r="IM25" s="767" t="str">
        <f t="shared" si="156"/>
        <v/>
      </c>
      <c r="IN25" s="579" t="str">
        <f t="shared" si="157"/>
        <v/>
      </c>
      <c r="IO25" s="579" t="str">
        <f t="shared" si="158"/>
        <v/>
      </c>
      <c r="IP25" s="579" t="str">
        <f t="shared" si="159"/>
        <v/>
      </c>
      <c r="IQ25" s="579"/>
      <c r="IR25" s="579" t="str">
        <f t="shared" si="160"/>
        <v/>
      </c>
      <c r="IS25" s="289">
        <f t="shared" si="161"/>
        <v>0</v>
      </c>
      <c r="IT25" s="289">
        <f t="shared" si="162"/>
        <v>0</v>
      </c>
      <c r="IU25" s="223">
        <f>SISWA!E23</f>
        <v>0</v>
      </c>
      <c r="IV25" s="223" t="str">
        <f t="shared" si="163"/>
        <v/>
      </c>
      <c r="IW25" s="580" t="str">
        <f t="shared" si="164"/>
        <v/>
      </c>
      <c r="IX25" s="580" t="str">
        <f t="shared" si="165"/>
        <v/>
      </c>
      <c r="IY25" s="580" t="str">
        <f t="shared" si="166"/>
        <v/>
      </c>
      <c r="IZ25" s="580" t="str">
        <f t="shared" si="167"/>
        <v/>
      </c>
      <c r="JA25" s="580" t="str">
        <f t="shared" si="168"/>
        <v/>
      </c>
      <c r="JB25" s="580" t="str">
        <f t="shared" si="169"/>
        <v/>
      </c>
      <c r="JC25" s="580" t="str">
        <f t="shared" si="170"/>
        <v/>
      </c>
      <c r="JD25" s="580" t="str">
        <f t="shared" si="171"/>
        <v/>
      </c>
      <c r="JE25" s="580" t="str">
        <f t="shared" si="172"/>
        <v/>
      </c>
      <c r="JF25" s="580"/>
      <c r="JG25" s="580"/>
      <c r="JH25" s="223">
        <f t="shared" si="173"/>
        <v>0</v>
      </c>
      <c r="JI25" s="289" t="e">
        <f t="shared" si="174"/>
        <v>#N/A</v>
      </c>
      <c r="JJ25" s="576" t="e">
        <f>IF(IS25&gt;100,"",IF(IS25&gt;EV$1,"sangat baik dalam "&amp;JI25,IF(IS25&gt;=EV$2,"baik dalam "&amp;JI25,IF(IS25&gt;=EV$3,"cukup dalam "&amp;JI25,IF(IS25&lt;EV$3,"dengan bimbingan dapat meningkatkan dalam "&amp;JI25,IF(IS25&lt;1," ",””))))))</f>
        <v>#N/A</v>
      </c>
      <c r="JK25" s="223"/>
      <c r="JL25" s="223" t="str">
        <f t="shared" si="175"/>
        <v/>
      </c>
      <c r="JM25" s="223" t="str">
        <f t="shared" si="176"/>
        <v/>
      </c>
      <c r="JN25" s="223" t="str">
        <f t="shared" si="177"/>
        <v/>
      </c>
      <c r="JO25" s="223" t="str">
        <f t="shared" si="178"/>
        <v/>
      </c>
      <c r="JP25" s="223" t="str">
        <f t="shared" si="179"/>
        <v/>
      </c>
      <c r="JQ25" s="223" t="str">
        <f t="shared" si="180"/>
        <v/>
      </c>
      <c r="JR25" s="223" t="str">
        <f t="shared" si="181"/>
        <v/>
      </c>
      <c r="JS25" s="223" t="str">
        <f t="shared" si="182"/>
        <v/>
      </c>
      <c r="JT25" s="223" t="str">
        <f t="shared" si="183"/>
        <v/>
      </c>
      <c r="JU25" s="223"/>
      <c r="JV25" s="223"/>
      <c r="JW25" s="223" t="e">
        <f t="shared" si="184"/>
        <v>#N/A</v>
      </c>
      <c r="JX25" s="577" t="e">
        <f>IF(IT25&gt;100,"",IF(IT25&gt;=EV$1,"sangat baik dalam "&amp;JW25,IF(IT25&gt;=EV$2,"baik dalam "&amp;JW25,IF(IT25&gt;=EV$3,"cukup dalam "&amp;JW25,IF(IT25&lt;EV$3,"dengan bimbingan dapat meningkatkan dalam "&amp;JW25,IF(IT25&lt;1," ",””))))))</f>
        <v>#N/A</v>
      </c>
      <c r="JY25" s="223" t="e">
        <f t="shared" si="185"/>
        <v>#N/A</v>
      </c>
    </row>
    <row r="26" spans="1:285">
      <c r="A26" s="39">
        <v>19</v>
      </c>
      <c r="B26" s="223">
        <f>SISWA!B24</f>
        <v>0</v>
      </c>
      <c r="C26" s="123"/>
      <c r="D26" s="123"/>
      <c r="E26" s="123"/>
      <c r="F26" s="123"/>
      <c r="G26" s="123"/>
      <c r="H26" s="123"/>
      <c r="I26" s="123"/>
      <c r="J26" s="123"/>
      <c r="K26" s="123"/>
      <c r="L26" s="255"/>
      <c r="M26" s="255"/>
      <c r="N26" s="255"/>
      <c r="O26" s="255"/>
      <c r="P26" s="255"/>
      <c r="Q26" s="255"/>
      <c r="R26" s="255"/>
      <c r="S26" s="255"/>
      <c r="T26" s="255"/>
      <c r="U26" s="256"/>
      <c r="V26" s="256"/>
      <c r="W26" s="256"/>
      <c r="X26" s="256"/>
      <c r="Y26" s="256"/>
      <c r="Z26" s="256"/>
      <c r="AA26" s="256"/>
      <c r="AB26" s="256"/>
      <c r="AC26" s="256"/>
      <c r="AD26" s="123"/>
      <c r="AE26" s="123"/>
      <c r="AF26" s="123"/>
      <c r="AG26" s="123"/>
      <c r="AH26" s="123"/>
      <c r="AI26" s="123"/>
      <c r="AJ26" s="123"/>
      <c r="AK26" s="123"/>
      <c r="AL26" s="123"/>
      <c r="AM26" s="255"/>
      <c r="AN26" s="255"/>
      <c r="AO26" s="255"/>
      <c r="AP26" s="255"/>
      <c r="AQ26" s="255"/>
      <c r="AR26" s="255"/>
      <c r="AS26" s="255"/>
      <c r="AT26" s="255"/>
      <c r="AU26" s="255"/>
      <c r="AV26" s="256"/>
      <c r="AW26" s="256"/>
      <c r="AX26" s="256"/>
      <c r="AY26" s="256"/>
      <c r="AZ26" s="256"/>
      <c r="BA26" s="256"/>
      <c r="BB26" s="256"/>
      <c r="BC26" s="256"/>
      <c r="BD26" s="256"/>
      <c r="BE26" s="123"/>
      <c r="BF26" s="123"/>
      <c r="BG26" s="123"/>
      <c r="BH26" s="123"/>
      <c r="BI26" s="123"/>
      <c r="BJ26" s="123"/>
      <c r="BK26" s="123"/>
      <c r="BL26" s="123"/>
      <c r="BM26" s="123"/>
      <c r="BN26" s="255"/>
      <c r="BO26" s="255"/>
      <c r="BP26" s="255"/>
      <c r="BQ26" s="255"/>
      <c r="BR26" s="255"/>
      <c r="BS26" s="255"/>
      <c r="BT26" s="255"/>
      <c r="BU26" s="255"/>
      <c r="BV26" s="255"/>
      <c r="BW26" s="256"/>
      <c r="BX26" s="256"/>
      <c r="BY26" s="256"/>
      <c r="BZ26" s="256"/>
      <c r="CA26" s="256"/>
      <c r="CB26" s="256"/>
      <c r="CC26" s="256"/>
      <c r="CD26" s="256"/>
      <c r="CE26" s="256"/>
      <c r="CF26" s="123"/>
      <c r="CG26" s="123"/>
      <c r="CH26" s="123"/>
      <c r="CI26" s="123"/>
      <c r="CJ26" s="123"/>
      <c r="CK26" s="123"/>
      <c r="CL26" s="123"/>
      <c r="CM26" s="123"/>
      <c r="CN26" s="123"/>
      <c r="CO26" s="255"/>
      <c r="CP26" s="255"/>
      <c r="CQ26" s="255"/>
      <c r="CR26" s="255"/>
      <c r="CS26" s="255"/>
      <c r="CT26" s="255"/>
      <c r="CU26" s="255"/>
      <c r="CV26" s="255"/>
      <c r="CW26" s="255"/>
      <c r="CX26" s="256"/>
      <c r="CY26" s="256"/>
      <c r="CZ26" s="256"/>
      <c r="DA26" s="256"/>
      <c r="DB26" s="256"/>
      <c r="DC26" s="256"/>
      <c r="DD26" s="256"/>
      <c r="DE26" s="256"/>
      <c r="DF26" s="256"/>
      <c r="DG26" s="458"/>
      <c r="DH26" s="458"/>
      <c r="DI26" s="458"/>
      <c r="DJ26" s="458"/>
      <c r="DK26" s="458"/>
      <c r="DL26" s="458"/>
      <c r="DM26" s="458"/>
      <c r="DN26" s="458"/>
      <c r="DO26" s="458"/>
      <c r="DP26" s="457"/>
      <c r="DQ26" s="457"/>
      <c r="DR26" s="457"/>
      <c r="DS26" s="457"/>
      <c r="DT26" s="457"/>
      <c r="DU26" s="457"/>
      <c r="DV26" s="457"/>
      <c r="DW26" s="457"/>
      <c r="DX26" s="457"/>
      <c r="DY26" s="256"/>
      <c r="DZ26" s="256"/>
      <c r="EA26" s="256"/>
      <c r="EB26" s="256"/>
      <c r="EC26" s="256"/>
      <c r="ED26" s="256"/>
      <c r="EE26" s="256"/>
      <c r="EF26" s="256"/>
      <c r="EG26" s="256"/>
      <c r="EH26" s="257" t="str">
        <f t="shared" si="55"/>
        <v/>
      </c>
      <c r="EI26" s="257" t="str">
        <f t="shared" si="56"/>
        <v/>
      </c>
      <c r="EJ26" s="257" t="str">
        <f t="shared" si="57"/>
        <v/>
      </c>
      <c r="EK26" s="257" t="str">
        <f t="shared" si="58"/>
        <v/>
      </c>
      <c r="EL26" s="257" t="str">
        <f t="shared" si="59"/>
        <v/>
      </c>
      <c r="EM26" s="257" t="str">
        <f t="shared" si="60"/>
        <v/>
      </c>
      <c r="EN26" s="257" t="str">
        <f t="shared" si="61"/>
        <v/>
      </c>
      <c r="EO26" s="257" t="str">
        <f t="shared" si="62"/>
        <v/>
      </c>
      <c r="EP26" s="257" t="str">
        <f t="shared" si="63"/>
        <v/>
      </c>
      <c r="EQ26" s="579" t="str">
        <f t="shared" si="64"/>
        <v/>
      </c>
      <c r="ER26" s="291" t="str">
        <f t="shared" si="65"/>
        <v xml:space="preserve">  </v>
      </c>
      <c r="ES26" s="243" t="str">
        <f t="shared" si="66"/>
        <v xml:space="preserve"> </v>
      </c>
      <c r="ET26" s="39"/>
      <c r="EU26" s="39"/>
      <c r="EV26" s="257">
        <f t="shared" si="67"/>
        <v>0</v>
      </c>
      <c r="EW26" s="257">
        <f t="shared" si="68"/>
        <v>0</v>
      </c>
      <c r="EX26" s="257">
        <f t="shared" si="69"/>
        <v>0</v>
      </c>
      <c r="EY26" s="257">
        <f t="shared" si="70"/>
        <v>0</v>
      </c>
      <c r="EZ26" s="257">
        <f t="shared" si="71"/>
        <v>0</v>
      </c>
      <c r="FA26" s="257">
        <f t="shared" si="72"/>
        <v>0</v>
      </c>
      <c r="FB26" s="257">
        <f t="shared" si="73"/>
        <v>0</v>
      </c>
      <c r="FC26" s="257">
        <f t="shared" si="74"/>
        <v>0</v>
      </c>
      <c r="FD26" s="257">
        <f t="shared" si="75"/>
        <v>0</v>
      </c>
      <c r="FE26" s="257"/>
      <c r="FF26" s="289">
        <f t="shared" si="76"/>
        <v>0</v>
      </c>
      <c r="FG26" s="575">
        <f t="shared" si="77"/>
        <v>0</v>
      </c>
      <c r="FH26" s="575">
        <f t="shared" si="78"/>
        <v>0</v>
      </c>
      <c r="FI26" s="575">
        <f t="shared" si="79"/>
        <v>0</v>
      </c>
      <c r="FJ26" s="575">
        <f t="shared" si="80"/>
        <v>0</v>
      </c>
      <c r="FK26" s="575">
        <f t="shared" si="81"/>
        <v>0</v>
      </c>
      <c r="FL26" s="575">
        <f t="shared" si="82"/>
        <v>0</v>
      </c>
      <c r="FM26" s="575">
        <f t="shared" si="83"/>
        <v>0</v>
      </c>
      <c r="FN26" s="575">
        <f t="shared" si="84"/>
        <v>0</v>
      </c>
      <c r="FO26" s="575">
        <f t="shared" si="85"/>
        <v>0</v>
      </c>
      <c r="FP26" s="258"/>
      <c r="FQ26" s="289">
        <f t="shared" si="86"/>
        <v>0</v>
      </c>
      <c r="FR26" s="765">
        <f t="shared" si="87"/>
        <v>0</v>
      </c>
      <c r="FS26" s="765">
        <f t="shared" si="88"/>
        <v>0</v>
      </c>
      <c r="FT26" s="765">
        <f t="shared" si="89"/>
        <v>0</v>
      </c>
      <c r="FU26" s="765">
        <f t="shared" si="90"/>
        <v>0</v>
      </c>
      <c r="FV26" s="765">
        <f t="shared" si="91"/>
        <v>0</v>
      </c>
      <c r="FW26" s="765">
        <f t="shared" si="92"/>
        <v>0</v>
      </c>
      <c r="FX26" s="765">
        <f t="shared" si="93"/>
        <v>0</v>
      </c>
      <c r="FY26" s="765">
        <f t="shared" si="94"/>
        <v>0</v>
      </c>
      <c r="FZ26" s="765">
        <f t="shared" si="95"/>
        <v>0</v>
      </c>
      <c r="GA26" s="766"/>
      <c r="GB26" s="289">
        <f t="shared" si="96"/>
        <v>0</v>
      </c>
      <c r="GC26" s="257">
        <f t="shared" si="97"/>
        <v>0</v>
      </c>
      <c r="GD26" s="257">
        <f t="shared" si="98"/>
        <v>0</v>
      </c>
      <c r="GE26" s="257">
        <f t="shared" si="99"/>
        <v>0</v>
      </c>
      <c r="GF26" s="575">
        <f t="shared" si="100"/>
        <v>3</v>
      </c>
      <c r="GG26" s="506">
        <f t="shared" si="101"/>
        <v>0</v>
      </c>
      <c r="GH26" s="39" t="str">
        <f t="shared" si="102"/>
        <v/>
      </c>
      <c r="GI26" s="257">
        <f t="shared" si="103"/>
        <v>0</v>
      </c>
      <c r="GJ26" s="257">
        <f t="shared" si="104"/>
        <v>0</v>
      </c>
      <c r="GK26" s="257">
        <f t="shared" si="105"/>
        <v>0</v>
      </c>
      <c r="GL26" s="575">
        <f t="shared" si="106"/>
        <v>3</v>
      </c>
      <c r="GM26" s="506">
        <f t="shared" si="107"/>
        <v>0</v>
      </c>
      <c r="GN26" s="39" t="str">
        <f t="shared" si="108"/>
        <v/>
      </c>
      <c r="GO26" s="257">
        <f t="shared" si="109"/>
        <v>0</v>
      </c>
      <c r="GP26" s="257">
        <f t="shared" si="110"/>
        <v>0</v>
      </c>
      <c r="GQ26" s="257">
        <f t="shared" si="111"/>
        <v>0</v>
      </c>
      <c r="GR26" s="575">
        <f t="shared" si="112"/>
        <v>3</v>
      </c>
      <c r="GS26" s="506">
        <f t="shared" si="113"/>
        <v>0</v>
      </c>
      <c r="GT26" s="39" t="str">
        <f t="shared" si="114"/>
        <v/>
      </c>
      <c r="GU26" s="257">
        <f t="shared" si="115"/>
        <v>0</v>
      </c>
      <c r="GV26" s="257">
        <f t="shared" si="116"/>
        <v>0</v>
      </c>
      <c r="GW26" s="257">
        <f t="shared" si="117"/>
        <v>0</v>
      </c>
      <c r="GX26" s="575">
        <f t="shared" si="118"/>
        <v>3</v>
      </c>
      <c r="GY26" s="506">
        <f t="shared" si="119"/>
        <v>0</v>
      </c>
      <c r="GZ26" s="39" t="str">
        <f t="shared" si="120"/>
        <v/>
      </c>
      <c r="HA26" s="257">
        <f t="shared" si="121"/>
        <v>0</v>
      </c>
      <c r="HB26" s="257">
        <f t="shared" si="122"/>
        <v>0</v>
      </c>
      <c r="HC26" s="257">
        <f t="shared" si="123"/>
        <v>0</v>
      </c>
      <c r="HD26" s="575">
        <f t="shared" si="124"/>
        <v>3</v>
      </c>
      <c r="HE26" s="506">
        <f t="shared" si="125"/>
        <v>0</v>
      </c>
      <c r="HF26" s="39" t="str">
        <f t="shared" si="126"/>
        <v/>
      </c>
      <c r="HG26" s="257">
        <f t="shared" si="127"/>
        <v>0</v>
      </c>
      <c r="HH26" s="257">
        <f t="shared" si="128"/>
        <v>0</v>
      </c>
      <c r="HI26" s="257">
        <f t="shared" si="129"/>
        <v>0</v>
      </c>
      <c r="HJ26" s="575">
        <f t="shared" si="130"/>
        <v>3</v>
      </c>
      <c r="HK26" s="506">
        <f t="shared" si="131"/>
        <v>0</v>
      </c>
      <c r="HL26" s="39" t="str">
        <f t="shared" si="132"/>
        <v/>
      </c>
      <c r="HM26" s="257">
        <f t="shared" si="133"/>
        <v>0</v>
      </c>
      <c r="HN26" s="257">
        <f t="shared" si="134"/>
        <v>0</v>
      </c>
      <c r="HO26" s="257">
        <f t="shared" si="135"/>
        <v>0</v>
      </c>
      <c r="HP26" s="575">
        <f t="shared" si="136"/>
        <v>3</v>
      </c>
      <c r="HQ26" s="506">
        <f t="shared" si="137"/>
        <v>0</v>
      </c>
      <c r="HR26" s="39" t="str">
        <f t="shared" si="138"/>
        <v/>
      </c>
      <c r="HS26" s="257">
        <f t="shared" si="139"/>
        <v>0</v>
      </c>
      <c r="HT26" s="257">
        <f t="shared" si="140"/>
        <v>0</v>
      </c>
      <c r="HU26" s="257">
        <f t="shared" si="141"/>
        <v>0</v>
      </c>
      <c r="HV26" s="575">
        <f t="shared" si="142"/>
        <v>3</v>
      </c>
      <c r="HW26" s="506">
        <f t="shared" si="143"/>
        <v>0</v>
      </c>
      <c r="HX26" s="39" t="str">
        <f t="shared" si="144"/>
        <v/>
      </c>
      <c r="HY26" s="257">
        <f t="shared" si="145"/>
        <v>0</v>
      </c>
      <c r="HZ26" s="257">
        <f t="shared" si="146"/>
        <v>0</v>
      </c>
      <c r="IA26" s="257">
        <f t="shared" si="147"/>
        <v>0</v>
      </c>
      <c r="IB26" s="575">
        <f t="shared" si="148"/>
        <v>3</v>
      </c>
      <c r="IC26" s="506">
        <f t="shared" si="149"/>
        <v>0</v>
      </c>
      <c r="ID26" s="39" t="str">
        <f t="shared" si="150"/>
        <v/>
      </c>
      <c r="IE26" s="39"/>
      <c r="IF26" s="39"/>
      <c r="IG26" s="39"/>
      <c r="IH26" s="39" t="str">
        <f t="shared" si="151"/>
        <v/>
      </c>
      <c r="II26" s="39" t="str">
        <f t="shared" si="152"/>
        <v/>
      </c>
      <c r="IJ26" s="39" t="str">
        <f t="shared" si="153"/>
        <v/>
      </c>
      <c r="IK26" s="39" t="str">
        <f t="shared" si="154"/>
        <v/>
      </c>
      <c r="IL26" s="39" t="str">
        <f t="shared" si="155"/>
        <v/>
      </c>
      <c r="IM26" s="767" t="str">
        <f t="shared" si="156"/>
        <v/>
      </c>
      <c r="IN26" s="579" t="str">
        <f t="shared" si="157"/>
        <v/>
      </c>
      <c r="IO26" s="579" t="str">
        <f t="shared" si="158"/>
        <v/>
      </c>
      <c r="IP26" s="579" t="str">
        <f t="shared" si="159"/>
        <v/>
      </c>
      <c r="IQ26" s="579"/>
      <c r="IR26" s="579" t="str">
        <f t="shared" si="160"/>
        <v/>
      </c>
      <c r="IS26" s="289">
        <f t="shared" si="161"/>
        <v>0</v>
      </c>
      <c r="IT26" s="289">
        <f t="shared" si="162"/>
        <v>0</v>
      </c>
      <c r="IU26" s="223">
        <f>SISWA!E24</f>
        <v>0</v>
      </c>
      <c r="IV26" s="223" t="str">
        <f t="shared" si="163"/>
        <v/>
      </c>
      <c r="IW26" s="580" t="str">
        <f t="shared" si="164"/>
        <v/>
      </c>
      <c r="IX26" s="580" t="str">
        <f t="shared" si="165"/>
        <v/>
      </c>
      <c r="IY26" s="580" t="str">
        <f t="shared" si="166"/>
        <v/>
      </c>
      <c r="IZ26" s="580" t="str">
        <f t="shared" si="167"/>
        <v/>
      </c>
      <c r="JA26" s="580" t="str">
        <f t="shared" si="168"/>
        <v/>
      </c>
      <c r="JB26" s="580" t="str">
        <f t="shared" si="169"/>
        <v/>
      </c>
      <c r="JC26" s="580" t="str">
        <f t="shared" si="170"/>
        <v/>
      </c>
      <c r="JD26" s="580" t="str">
        <f t="shared" si="171"/>
        <v/>
      </c>
      <c r="JE26" s="580" t="str">
        <f t="shared" si="172"/>
        <v/>
      </c>
      <c r="JF26" s="580"/>
      <c r="JG26" s="580"/>
      <c r="JH26" s="223">
        <f t="shared" si="173"/>
        <v>0</v>
      </c>
      <c r="JI26" s="289" t="e">
        <f t="shared" si="174"/>
        <v>#N/A</v>
      </c>
      <c r="JJ26" s="576" t="e">
        <f>IF(IS26&gt;100,"",IF(IS26&gt;EV$1,"sangat baik dalam "&amp;JI26,IF(IS26&gt;=EV$2,"baik dalam "&amp;JI26,IF(IS26&gt;=EV$3,"cukup dalam "&amp;JI26,IF(IS26&lt;EV$3,"dengan bimbingan dapat meningkatkan dalam "&amp;JI26,IF(IS26&lt;1," ",””))))))</f>
        <v>#N/A</v>
      </c>
      <c r="JK26" s="223"/>
      <c r="JL26" s="223" t="str">
        <f t="shared" si="175"/>
        <v/>
      </c>
      <c r="JM26" s="223" t="str">
        <f t="shared" si="176"/>
        <v/>
      </c>
      <c r="JN26" s="223" t="str">
        <f t="shared" si="177"/>
        <v/>
      </c>
      <c r="JO26" s="223" t="str">
        <f t="shared" si="178"/>
        <v/>
      </c>
      <c r="JP26" s="223" t="str">
        <f t="shared" si="179"/>
        <v/>
      </c>
      <c r="JQ26" s="223" t="str">
        <f t="shared" si="180"/>
        <v/>
      </c>
      <c r="JR26" s="223" t="str">
        <f t="shared" si="181"/>
        <v/>
      </c>
      <c r="JS26" s="223" t="str">
        <f t="shared" si="182"/>
        <v/>
      </c>
      <c r="JT26" s="223" t="str">
        <f t="shared" si="183"/>
        <v/>
      </c>
      <c r="JU26" s="223"/>
      <c r="JV26" s="223"/>
      <c r="JW26" s="223" t="e">
        <f t="shared" si="184"/>
        <v>#N/A</v>
      </c>
      <c r="JX26" s="577" t="e">
        <f>IF(IT26&gt;100,"",IF(IT26&gt;=EV$1,"sangat baik dalam "&amp;JW26,IF(IT26&gt;=EV$2,"baik dalam "&amp;JW26,IF(IT26&gt;=EV$3,"cukup dalam "&amp;JW26,IF(IT26&lt;EV$3,"dengan bimbingan dapat meningkatkan dalam "&amp;JW26,IF(IT26&lt;1," ",””))))))</f>
        <v>#N/A</v>
      </c>
      <c r="JY26" s="223" t="e">
        <f t="shared" si="185"/>
        <v>#N/A</v>
      </c>
    </row>
    <row r="27" spans="1:285">
      <c r="A27" s="39">
        <v>20</v>
      </c>
      <c r="B27" s="223">
        <f>SISWA!B25</f>
        <v>0</v>
      </c>
      <c r="C27" s="123"/>
      <c r="D27" s="123"/>
      <c r="E27" s="123"/>
      <c r="F27" s="123"/>
      <c r="G27" s="123"/>
      <c r="H27" s="123"/>
      <c r="I27" s="123"/>
      <c r="J27" s="123"/>
      <c r="K27" s="123"/>
      <c r="L27" s="255"/>
      <c r="M27" s="255"/>
      <c r="N27" s="255"/>
      <c r="O27" s="255"/>
      <c r="P27" s="255"/>
      <c r="Q27" s="255"/>
      <c r="R27" s="255"/>
      <c r="S27" s="255"/>
      <c r="T27" s="255"/>
      <c r="U27" s="256"/>
      <c r="V27" s="256"/>
      <c r="W27" s="256"/>
      <c r="X27" s="256"/>
      <c r="Y27" s="256"/>
      <c r="Z27" s="256"/>
      <c r="AA27" s="256"/>
      <c r="AB27" s="256"/>
      <c r="AC27" s="256"/>
      <c r="AD27" s="123"/>
      <c r="AE27" s="123"/>
      <c r="AF27" s="123"/>
      <c r="AG27" s="123"/>
      <c r="AH27" s="123"/>
      <c r="AI27" s="123"/>
      <c r="AJ27" s="123"/>
      <c r="AK27" s="123"/>
      <c r="AL27" s="123"/>
      <c r="AM27" s="255"/>
      <c r="AN27" s="255"/>
      <c r="AO27" s="255"/>
      <c r="AP27" s="255"/>
      <c r="AQ27" s="255"/>
      <c r="AR27" s="255"/>
      <c r="AS27" s="255"/>
      <c r="AT27" s="255"/>
      <c r="AU27" s="255"/>
      <c r="AV27" s="256"/>
      <c r="AW27" s="256"/>
      <c r="AX27" s="256"/>
      <c r="AY27" s="256"/>
      <c r="AZ27" s="256"/>
      <c r="BA27" s="256"/>
      <c r="BB27" s="256"/>
      <c r="BC27" s="256"/>
      <c r="BD27" s="256"/>
      <c r="BE27" s="123"/>
      <c r="BF27" s="123"/>
      <c r="BG27" s="123"/>
      <c r="BH27" s="123"/>
      <c r="BI27" s="123"/>
      <c r="BJ27" s="123"/>
      <c r="BK27" s="123"/>
      <c r="BL27" s="123"/>
      <c r="BM27" s="123"/>
      <c r="BN27" s="255"/>
      <c r="BO27" s="255"/>
      <c r="BP27" s="255"/>
      <c r="BQ27" s="255"/>
      <c r="BR27" s="255"/>
      <c r="BS27" s="255"/>
      <c r="BT27" s="255"/>
      <c r="BU27" s="255"/>
      <c r="BV27" s="255"/>
      <c r="BW27" s="256"/>
      <c r="BX27" s="256"/>
      <c r="BY27" s="256"/>
      <c r="BZ27" s="256"/>
      <c r="CA27" s="256"/>
      <c r="CB27" s="256"/>
      <c r="CC27" s="256"/>
      <c r="CD27" s="256"/>
      <c r="CE27" s="256"/>
      <c r="CF27" s="123"/>
      <c r="CG27" s="123"/>
      <c r="CH27" s="123"/>
      <c r="CI27" s="123"/>
      <c r="CJ27" s="123"/>
      <c r="CK27" s="123"/>
      <c r="CL27" s="123"/>
      <c r="CM27" s="123"/>
      <c r="CN27" s="123"/>
      <c r="CO27" s="255"/>
      <c r="CP27" s="255"/>
      <c r="CQ27" s="255"/>
      <c r="CR27" s="255"/>
      <c r="CS27" s="255"/>
      <c r="CT27" s="255"/>
      <c r="CU27" s="255"/>
      <c r="CV27" s="255"/>
      <c r="CW27" s="255"/>
      <c r="CX27" s="256"/>
      <c r="CY27" s="256"/>
      <c r="CZ27" s="256"/>
      <c r="DA27" s="256"/>
      <c r="DB27" s="256"/>
      <c r="DC27" s="256"/>
      <c r="DD27" s="256"/>
      <c r="DE27" s="256"/>
      <c r="DF27" s="256"/>
      <c r="DG27" s="458"/>
      <c r="DH27" s="458"/>
      <c r="DI27" s="458"/>
      <c r="DJ27" s="458"/>
      <c r="DK27" s="458"/>
      <c r="DL27" s="458"/>
      <c r="DM27" s="458"/>
      <c r="DN27" s="458"/>
      <c r="DO27" s="458"/>
      <c r="DP27" s="457"/>
      <c r="DQ27" s="457"/>
      <c r="DR27" s="457"/>
      <c r="DS27" s="457"/>
      <c r="DT27" s="457"/>
      <c r="DU27" s="457"/>
      <c r="DV27" s="457"/>
      <c r="DW27" s="457"/>
      <c r="DX27" s="457"/>
      <c r="DY27" s="256"/>
      <c r="DZ27" s="256"/>
      <c r="EA27" s="256"/>
      <c r="EB27" s="256"/>
      <c r="EC27" s="256"/>
      <c r="ED27" s="256"/>
      <c r="EE27" s="256"/>
      <c r="EF27" s="256"/>
      <c r="EG27" s="256"/>
      <c r="EH27" s="257" t="str">
        <f t="shared" si="55"/>
        <v/>
      </c>
      <c r="EI27" s="257" t="str">
        <f t="shared" si="56"/>
        <v/>
      </c>
      <c r="EJ27" s="257" t="str">
        <f t="shared" si="57"/>
        <v/>
      </c>
      <c r="EK27" s="257" t="str">
        <f t="shared" si="58"/>
        <v/>
      </c>
      <c r="EL27" s="257" t="str">
        <f t="shared" si="59"/>
        <v/>
      </c>
      <c r="EM27" s="257" t="str">
        <f t="shared" si="60"/>
        <v/>
      </c>
      <c r="EN27" s="257" t="str">
        <f t="shared" si="61"/>
        <v/>
      </c>
      <c r="EO27" s="257" t="str">
        <f t="shared" si="62"/>
        <v/>
      </c>
      <c r="EP27" s="257" t="str">
        <f t="shared" si="63"/>
        <v/>
      </c>
      <c r="EQ27" s="579" t="str">
        <f t="shared" si="64"/>
        <v/>
      </c>
      <c r="ER27" s="291" t="str">
        <f t="shared" si="65"/>
        <v xml:space="preserve">  </v>
      </c>
      <c r="ES27" s="243" t="str">
        <f t="shared" si="66"/>
        <v xml:space="preserve"> </v>
      </c>
      <c r="ET27" s="39"/>
      <c r="EU27" s="39"/>
      <c r="EV27" s="257">
        <f t="shared" si="67"/>
        <v>0</v>
      </c>
      <c r="EW27" s="257">
        <f t="shared" si="68"/>
        <v>0</v>
      </c>
      <c r="EX27" s="257">
        <f t="shared" si="69"/>
        <v>0</v>
      </c>
      <c r="EY27" s="257">
        <f t="shared" si="70"/>
        <v>0</v>
      </c>
      <c r="EZ27" s="257">
        <f t="shared" si="71"/>
        <v>0</v>
      </c>
      <c r="FA27" s="257">
        <f t="shared" si="72"/>
        <v>0</v>
      </c>
      <c r="FB27" s="257">
        <f t="shared" si="73"/>
        <v>0</v>
      </c>
      <c r="FC27" s="257">
        <f t="shared" si="74"/>
        <v>0</v>
      </c>
      <c r="FD27" s="257">
        <f t="shared" si="75"/>
        <v>0</v>
      </c>
      <c r="FE27" s="257"/>
      <c r="FF27" s="289">
        <f t="shared" si="76"/>
        <v>0</v>
      </c>
      <c r="FG27" s="575">
        <f t="shared" si="77"/>
        <v>0</v>
      </c>
      <c r="FH27" s="575">
        <f t="shared" si="78"/>
        <v>0</v>
      </c>
      <c r="FI27" s="575">
        <f t="shared" si="79"/>
        <v>0</v>
      </c>
      <c r="FJ27" s="575">
        <f t="shared" si="80"/>
        <v>0</v>
      </c>
      <c r="FK27" s="575">
        <f t="shared" si="81"/>
        <v>0</v>
      </c>
      <c r="FL27" s="575">
        <f t="shared" si="82"/>
        <v>0</v>
      </c>
      <c r="FM27" s="575">
        <f t="shared" si="83"/>
        <v>0</v>
      </c>
      <c r="FN27" s="575">
        <f t="shared" si="84"/>
        <v>0</v>
      </c>
      <c r="FO27" s="575">
        <f t="shared" si="85"/>
        <v>0</v>
      </c>
      <c r="FP27" s="258"/>
      <c r="FQ27" s="289">
        <f t="shared" si="86"/>
        <v>0</v>
      </c>
      <c r="FR27" s="765">
        <f t="shared" si="87"/>
        <v>0</v>
      </c>
      <c r="FS27" s="765">
        <f t="shared" si="88"/>
        <v>0</v>
      </c>
      <c r="FT27" s="765">
        <f t="shared" si="89"/>
        <v>0</v>
      </c>
      <c r="FU27" s="765">
        <f t="shared" si="90"/>
        <v>0</v>
      </c>
      <c r="FV27" s="765">
        <f t="shared" si="91"/>
        <v>0</v>
      </c>
      <c r="FW27" s="765">
        <f t="shared" si="92"/>
        <v>0</v>
      </c>
      <c r="FX27" s="765">
        <f t="shared" si="93"/>
        <v>0</v>
      </c>
      <c r="FY27" s="765">
        <f t="shared" si="94"/>
        <v>0</v>
      </c>
      <c r="FZ27" s="765">
        <f t="shared" si="95"/>
        <v>0</v>
      </c>
      <c r="GA27" s="766"/>
      <c r="GB27" s="289">
        <f t="shared" si="96"/>
        <v>0</v>
      </c>
      <c r="GC27" s="257">
        <f t="shared" si="97"/>
        <v>0</v>
      </c>
      <c r="GD27" s="257">
        <f t="shared" si="98"/>
        <v>0</v>
      </c>
      <c r="GE27" s="257">
        <f t="shared" si="99"/>
        <v>0</v>
      </c>
      <c r="GF27" s="575">
        <f t="shared" si="100"/>
        <v>3</v>
      </c>
      <c r="GG27" s="506">
        <f t="shared" si="101"/>
        <v>0</v>
      </c>
      <c r="GH27" s="39" t="str">
        <f t="shared" si="102"/>
        <v/>
      </c>
      <c r="GI27" s="257">
        <f t="shared" si="103"/>
        <v>0</v>
      </c>
      <c r="GJ27" s="257">
        <f t="shared" si="104"/>
        <v>0</v>
      </c>
      <c r="GK27" s="257">
        <f t="shared" si="105"/>
        <v>0</v>
      </c>
      <c r="GL27" s="575">
        <f t="shared" si="106"/>
        <v>3</v>
      </c>
      <c r="GM27" s="506">
        <f t="shared" si="107"/>
        <v>0</v>
      </c>
      <c r="GN27" s="39" t="str">
        <f t="shared" si="108"/>
        <v/>
      </c>
      <c r="GO27" s="257">
        <f t="shared" si="109"/>
        <v>0</v>
      </c>
      <c r="GP27" s="257">
        <f t="shared" si="110"/>
        <v>0</v>
      </c>
      <c r="GQ27" s="257">
        <f t="shared" si="111"/>
        <v>0</v>
      </c>
      <c r="GR27" s="575">
        <f t="shared" si="112"/>
        <v>3</v>
      </c>
      <c r="GS27" s="506">
        <f t="shared" si="113"/>
        <v>0</v>
      </c>
      <c r="GT27" s="39" t="str">
        <f t="shared" si="114"/>
        <v/>
      </c>
      <c r="GU27" s="257">
        <f t="shared" si="115"/>
        <v>0</v>
      </c>
      <c r="GV27" s="257">
        <f t="shared" si="116"/>
        <v>0</v>
      </c>
      <c r="GW27" s="257">
        <f t="shared" si="117"/>
        <v>0</v>
      </c>
      <c r="GX27" s="575">
        <f t="shared" si="118"/>
        <v>3</v>
      </c>
      <c r="GY27" s="506">
        <f t="shared" si="119"/>
        <v>0</v>
      </c>
      <c r="GZ27" s="39" t="str">
        <f t="shared" si="120"/>
        <v/>
      </c>
      <c r="HA27" s="257">
        <f t="shared" si="121"/>
        <v>0</v>
      </c>
      <c r="HB27" s="257">
        <f t="shared" si="122"/>
        <v>0</v>
      </c>
      <c r="HC27" s="257">
        <f t="shared" si="123"/>
        <v>0</v>
      </c>
      <c r="HD27" s="575">
        <f t="shared" si="124"/>
        <v>3</v>
      </c>
      <c r="HE27" s="506">
        <f t="shared" si="125"/>
        <v>0</v>
      </c>
      <c r="HF27" s="39" t="str">
        <f t="shared" si="126"/>
        <v/>
      </c>
      <c r="HG27" s="257">
        <f t="shared" si="127"/>
        <v>0</v>
      </c>
      <c r="HH27" s="257">
        <f t="shared" si="128"/>
        <v>0</v>
      </c>
      <c r="HI27" s="257">
        <f t="shared" si="129"/>
        <v>0</v>
      </c>
      <c r="HJ27" s="575">
        <f t="shared" si="130"/>
        <v>3</v>
      </c>
      <c r="HK27" s="506">
        <f t="shared" si="131"/>
        <v>0</v>
      </c>
      <c r="HL27" s="39" t="str">
        <f t="shared" si="132"/>
        <v/>
      </c>
      <c r="HM27" s="257">
        <f t="shared" si="133"/>
        <v>0</v>
      </c>
      <c r="HN27" s="257">
        <f t="shared" si="134"/>
        <v>0</v>
      </c>
      <c r="HO27" s="257">
        <f t="shared" si="135"/>
        <v>0</v>
      </c>
      <c r="HP27" s="575">
        <f t="shared" si="136"/>
        <v>3</v>
      </c>
      <c r="HQ27" s="506">
        <f t="shared" si="137"/>
        <v>0</v>
      </c>
      <c r="HR27" s="39" t="str">
        <f t="shared" si="138"/>
        <v/>
      </c>
      <c r="HS27" s="257">
        <f t="shared" si="139"/>
        <v>0</v>
      </c>
      <c r="HT27" s="257">
        <f t="shared" si="140"/>
        <v>0</v>
      </c>
      <c r="HU27" s="257">
        <f t="shared" si="141"/>
        <v>0</v>
      </c>
      <c r="HV27" s="575">
        <f t="shared" si="142"/>
        <v>3</v>
      </c>
      <c r="HW27" s="506">
        <f t="shared" si="143"/>
        <v>0</v>
      </c>
      <c r="HX27" s="39" t="str">
        <f t="shared" si="144"/>
        <v/>
      </c>
      <c r="HY27" s="257">
        <f t="shared" si="145"/>
        <v>0</v>
      </c>
      <c r="HZ27" s="257">
        <f t="shared" si="146"/>
        <v>0</v>
      </c>
      <c r="IA27" s="257">
        <f t="shared" si="147"/>
        <v>0</v>
      </c>
      <c r="IB27" s="575">
        <f t="shared" si="148"/>
        <v>3</v>
      </c>
      <c r="IC27" s="506">
        <f t="shared" si="149"/>
        <v>0</v>
      </c>
      <c r="ID27" s="39" t="str">
        <f t="shared" si="150"/>
        <v/>
      </c>
      <c r="IE27" s="39"/>
      <c r="IF27" s="39"/>
      <c r="IG27" s="39"/>
      <c r="IH27" s="39" t="str">
        <f t="shared" si="151"/>
        <v/>
      </c>
      <c r="II27" s="39" t="str">
        <f t="shared" si="152"/>
        <v/>
      </c>
      <c r="IJ27" s="39" t="str">
        <f t="shared" si="153"/>
        <v/>
      </c>
      <c r="IK27" s="39" t="str">
        <f t="shared" si="154"/>
        <v/>
      </c>
      <c r="IL27" s="39" t="str">
        <f t="shared" si="155"/>
        <v/>
      </c>
      <c r="IM27" s="767" t="str">
        <f t="shared" si="156"/>
        <v/>
      </c>
      <c r="IN27" s="579" t="str">
        <f t="shared" si="157"/>
        <v/>
      </c>
      <c r="IO27" s="579" t="str">
        <f t="shared" si="158"/>
        <v/>
      </c>
      <c r="IP27" s="579" t="str">
        <f t="shared" si="159"/>
        <v/>
      </c>
      <c r="IQ27" s="579"/>
      <c r="IR27" s="579" t="str">
        <f t="shared" si="160"/>
        <v/>
      </c>
      <c r="IS27" s="289">
        <f t="shared" si="161"/>
        <v>0</v>
      </c>
      <c r="IT27" s="289">
        <f t="shared" si="162"/>
        <v>0</v>
      </c>
      <c r="IU27" s="223">
        <f>SISWA!E25</f>
        <v>0</v>
      </c>
      <c r="IV27" s="223" t="str">
        <f t="shared" si="163"/>
        <v/>
      </c>
      <c r="IW27" s="580" t="str">
        <f t="shared" si="164"/>
        <v/>
      </c>
      <c r="IX27" s="580" t="str">
        <f t="shared" si="165"/>
        <v/>
      </c>
      <c r="IY27" s="580" t="str">
        <f t="shared" si="166"/>
        <v/>
      </c>
      <c r="IZ27" s="580" t="str">
        <f t="shared" si="167"/>
        <v/>
      </c>
      <c r="JA27" s="580" t="str">
        <f t="shared" si="168"/>
        <v/>
      </c>
      <c r="JB27" s="580" t="str">
        <f t="shared" si="169"/>
        <v/>
      </c>
      <c r="JC27" s="580" t="str">
        <f t="shared" si="170"/>
        <v/>
      </c>
      <c r="JD27" s="580" t="str">
        <f t="shared" si="171"/>
        <v/>
      </c>
      <c r="JE27" s="580" t="str">
        <f t="shared" si="172"/>
        <v/>
      </c>
      <c r="JF27" s="580"/>
      <c r="JG27" s="580"/>
      <c r="JH27" s="223">
        <f t="shared" si="173"/>
        <v>0</v>
      </c>
      <c r="JI27" s="289" t="e">
        <f t="shared" si="174"/>
        <v>#N/A</v>
      </c>
      <c r="JJ27" s="576" t="e">
        <f>IF(IS27&gt;100,"",IF(IS27&gt;EV$1,"sangat baik dalam "&amp;JI27,IF(IS27&gt;=EV$2,"baik dalam "&amp;JI27,IF(IS27&gt;=EV$3,"cukup dalam "&amp;JI27,IF(IS27&lt;EV$3,"dengan bimbingan dapat meningkatkan dalam "&amp;JI27,IF(IS27&lt;1," ",””))))))</f>
        <v>#N/A</v>
      </c>
      <c r="JK27" s="223"/>
      <c r="JL27" s="223" t="str">
        <f t="shared" si="175"/>
        <v/>
      </c>
      <c r="JM27" s="223" t="str">
        <f t="shared" si="176"/>
        <v/>
      </c>
      <c r="JN27" s="223" t="str">
        <f t="shared" si="177"/>
        <v/>
      </c>
      <c r="JO27" s="223" t="str">
        <f t="shared" si="178"/>
        <v/>
      </c>
      <c r="JP27" s="223" t="str">
        <f t="shared" si="179"/>
        <v/>
      </c>
      <c r="JQ27" s="223" t="str">
        <f t="shared" si="180"/>
        <v/>
      </c>
      <c r="JR27" s="223" t="str">
        <f t="shared" si="181"/>
        <v/>
      </c>
      <c r="JS27" s="223" t="str">
        <f t="shared" si="182"/>
        <v/>
      </c>
      <c r="JT27" s="223" t="str">
        <f t="shared" si="183"/>
        <v/>
      </c>
      <c r="JU27" s="223"/>
      <c r="JV27" s="223"/>
      <c r="JW27" s="223" t="e">
        <f t="shared" si="184"/>
        <v>#N/A</v>
      </c>
      <c r="JX27" s="577" t="e">
        <f>IF(IT27&gt;100,"",IF(IT27&gt;=EV$1,"sangat baik dalam "&amp;JW27,IF(IT27&gt;=EV$2,"baik dalam "&amp;JW27,IF(IT27&gt;=EV$3,"cukup dalam "&amp;JW27,IF(IT27&lt;EV$3,"dengan bimbingan dapat meningkatkan dalam "&amp;JW27,IF(IT27&lt;1," ",””))))))</f>
        <v>#N/A</v>
      </c>
      <c r="JY27" s="223" t="e">
        <f t="shared" si="185"/>
        <v>#N/A</v>
      </c>
    </row>
    <row r="28" spans="1:285">
      <c r="A28" s="39">
        <v>21</v>
      </c>
      <c r="B28" s="223">
        <f>SISWA!B26</f>
        <v>0</v>
      </c>
      <c r="C28" s="123"/>
      <c r="D28" s="123"/>
      <c r="E28" s="123"/>
      <c r="F28" s="123"/>
      <c r="G28" s="123"/>
      <c r="H28" s="123"/>
      <c r="I28" s="123"/>
      <c r="J28" s="123"/>
      <c r="K28" s="123"/>
      <c r="L28" s="255"/>
      <c r="M28" s="255"/>
      <c r="N28" s="255"/>
      <c r="O28" s="255"/>
      <c r="P28" s="255"/>
      <c r="Q28" s="255"/>
      <c r="R28" s="255"/>
      <c r="S28" s="255"/>
      <c r="T28" s="255"/>
      <c r="U28" s="256"/>
      <c r="V28" s="256"/>
      <c r="W28" s="256"/>
      <c r="X28" s="256"/>
      <c r="Y28" s="256"/>
      <c r="Z28" s="256"/>
      <c r="AA28" s="256"/>
      <c r="AB28" s="256"/>
      <c r="AC28" s="256"/>
      <c r="AD28" s="123"/>
      <c r="AE28" s="123"/>
      <c r="AF28" s="123"/>
      <c r="AG28" s="123"/>
      <c r="AH28" s="123"/>
      <c r="AI28" s="123"/>
      <c r="AJ28" s="123"/>
      <c r="AK28" s="123"/>
      <c r="AL28" s="123"/>
      <c r="AM28" s="255"/>
      <c r="AN28" s="255"/>
      <c r="AO28" s="255"/>
      <c r="AP28" s="255"/>
      <c r="AQ28" s="255"/>
      <c r="AR28" s="255"/>
      <c r="AS28" s="255"/>
      <c r="AT28" s="255"/>
      <c r="AU28" s="255"/>
      <c r="AV28" s="256"/>
      <c r="AW28" s="256"/>
      <c r="AX28" s="256"/>
      <c r="AY28" s="256"/>
      <c r="AZ28" s="256"/>
      <c r="BA28" s="256"/>
      <c r="BB28" s="256"/>
      <c r="BC28" s="256"/>
      <c r="BD28" s="256"/>
      <c r="BE28" s="123"/>
      <c r="BF28" s="123"/>
      <c r="BG28" s="123"/>
      <c r="BH28" s="123"/>
      <c r="BI28" s="123"/>
      <c r="BJ28" s="123"/>
      <c r="BK28" s="123"/>
      <c r="BL28" s="123"/>
      <c r="BM28" s="123"/>
      <c r="BN28" s="255"/>
      <c r="BO28" s="255"/>
      <c r="BP28" s="255"/>
      <c r="BQ28" s="255"/>
      <c r="BR28" s="255"/>
      <c r="BS28" s="255"/>
      <c r="BT28" s="255"/>
      <c r="BU28" s="255"/>
      <c r="BV28" s="255"/>
      <c r="BW28" s="256"/>
      <c r="BX28" s="256"/>
      <c r="BY28" s="256"/>
      <c r="BZ28" s="256"/>
      <c r="CA28" s="256"/>
      <c r="CB28" s="256"/>
      <c r="CC28" s="256"/>
      <c r="CD28" s="256"/>
      <c r="CE28" s="256"/>
      <c r="CF28" s="123"/>
      <c r="CG28" s="123"/>
      <c r="CH28" s="123"/>
      <c r="CI28" s="123"/>
      <c r="CJ28" s="123"/>
      <c r="CK28" s="123"/>
      <c r="CL28" s="123"/>
      <c r="CM28" s="123"/>
      <c r="CN28" s="123"/>
      <c r="CO28" s="255"/>
      <c r="CP28" s="255"/>
      <c r="CQ28" s="255"/>
      <c r="CR28" s="255"/>
      <c r="CS28" s="255"/>
      <c r="CT28" s="255"/>
      <c r="CU28" s="255"/>
      <c r="CV28" s="255"/>
      <c r="CW28" s="255"/>
      <c r="CX28" s="256"/>
      <c r="CY28" s="256"/>
      <c r="CZ28" s="256"/>
      <c r="DA28" s="256"/>
      <c r="DB28" s="256"/>
      <c r="DC28" s="256"/>
      <c r="DD28" s="256"/>
      <c r="DE28" s="256"/>
      <c r="DF28" s="256"/>
      <c r="DG28" s="458"/>
      <c r="DH28" s="458"/>
      <c r="DI28" s="458"/>
      <c r="DJ28" s="458"/>
      <c r="DK28" s="458"/>
      <c r="DL28" s="458"/>
      <c r="DM28" s="458"/>
      <c r="DN28" s="458"/>
      <c r="DO28" s="458"/>
      <c r="DP28" s="457"/>
      <c r="DQ28" s="457"/>
      <c r="DR28" s="457"/>
      <c r="DS28" s="457"/>
      <c r="DT28" s="457"/>
      <c r="DU28" s="457"/>
      <c r="DV28" s="457"/>
      <c r="DW28" s="457"/>
      <c r="DX28" s="457"/>
      <c r="DY28" s="256"/>
      <c r="DZ28" s="256"/>
      <c r="EA28" s="256"/>
      <c r="EB28" s="256"/>
      <c r="EC28" s="256"/>
      <c r="ED28" s="256"/>
      <c r="EE28" s="256"/>
      <c r="EF28" s="256"/>
      <c r="EG28" s="256"/>
      <c r="EH28" s="257" t="str">
        <f t="shared" si="55"/>
        <v/>
      </c>
      <c r="EI28" s="257" t="str">
        <f t="shared" si="56"/>
        <v/>
      </c>
      <c r="EJ28" s="257" t="str">
        <f t="shared" si="57"/>
        <v/>
      </c>
      <c r="EK28" s="257" t="str">
        <f t="shared" si="58"/>
        <v/>
      </c>
      <c r="EL28" s="257" t="str">
        <f t="shared" si="59"/>
        <v/>
      </c>
      <c r="EM28" s="257" t="str">
        <f t="shared" si="60"/>
        <v/>
      </c>
      <c r="EN28" s="257" t="str">
        <f t="shared" si="61"/>
        <v/>
      </c>
      <c r="EO28" s="257" t="str">
        <f t="shared" si="62"/>
        <v/>
      </c>
      <c r="EP28" s="257" t="str">
        <f t="shared" si="63"/>
        <v/>
      </c>
      <c r="EQ28" s="579" t="str">
        <f t="shared" si="64"/>
        <v/>
      </c>
      <c r="ER28" s="291" t="str">
        <f t="shared" si="65"/>
        <v xml:space="preserve">  </v>
      </c>
      <c r="ES28" s="243" t="str">
        <f t="shared" si="66"/>
        <v xml:space="preserve"> </v>
      </c>
      <c r="ET28" s="39"/>
      <c r="EU28" s="39"/>
      <c r="EV28" s="257">
        <f t="shared" si="67"/>
        <v>0</v>
      </c>
      <c r="EW28" s="257">
        <f t="shared" si="68"/>
        <v>0</v>
      </c>
      <c r="EX28" s="257">
        <f t="shared" si="69"/>
        <v>0</v>
      </c>
      <c r="EY28" s="257">
        <f t="shared" si="70"/>
        <v>0</v>
      </c>
      <c r="EZ28" s="257">
        <f t="shared" si="71"/>
        <v>0</v>
      </c>
      <c r="FA28" s="257">
        <f t="shared" si="72"/>
        <v>0</v>
      </c>
      <c r="FB28" s="257">
        <f t="shared" si="73"/>
        <v>0</v>
      </c>
      <c r="FC28" s="257">
        <f t="shared" si="74"/>
        <v>0</v>
      </c>
      <c r="FD28" s="257">
        <f t="shared" si="75"/>
        <v>0</v>
      </c>
      <c r="FE28" s="257"/>
      <c r="FF28" s="289">
        <f t="shared" si="76"/>
        <v>0</v>
      </c>
      <c r="FG28" s="575">
        <f t="shared" si="77"/>
        <v>0</v>
      </c>
      <c r="FH28" s="575">
        <f t="shared" si="78"/>
        <v>0</v>
      </c>
      <c r="FI28" s="575">
        <f t="shared" si="79"/>
        <v>0</v>
      </c>
      <c r="FJ28" s="575">
        <f t="shared" si="80"/>
        <v>0</v>
      </c>
      <c r="FK28" s="575">
        <f t="shared" si="81"/>
        <v>0</v>
      </c>
      <c r="FL28" s="575">
        <f t="shared" si="82"/>
        <v>0</v>
      </c>
      <c r="FM28" s="575">
        <f t="shared" si="83"/>
        <v>0</v>
      </c>
      <c r="FN28" s="575">
        <f t="shared" si="84"/>
        <v>0</v>
      </c>
      <c r="FO28" s="575">
        <f t="shared" si="85"/>
        <v>0</v>
      </c>
      <c r="FP28" s="258"/>
      <c r="FQ28" s="289">
        <f t="shared" si="86"/>
        <v>0</v>
      </c>
      <c r="FR28" s="765">
        <f t="shared" si="87"/>
        <v>0</v>
      </c>
      <c r="FS28" s="765">
        <f t="shared" si="88"/>
        <v>0</v>
      </c>
      <c r="FT28" s="765">
        <f t="shared" si="89"/>
        <v>0</v>
      </c>
      <c r="FU28" s="765">
        <f t="shared" si="90"/>
        <v>0</v>
      </c>
      <c r="FV28" s="765">
        <f t="shared" si="91"/>
        <v>0</v>
      </c>
      <c r="FW28" s="765">
        <f t="shared" si="92"/>
        <v>0</v>
      </c>
      <c r="FX28" s="765">
        <f t="shared" si="93"/>
        <v>0</v>
      </c>
      <c r="FY28" s="765">
        <f t="shared" si="94"/>
        <v>0</v>
      </c>
      <c r="FZ28" s="765">
        <f t="shared" si="95"/>
        <v>0</v>
      </c>
      <c r="GA28" s="766"/>
      <c r="GB28" s="289">
        <f t="shared" si="96"/>
        <v>0</v>
      </c>
      <c r="GC28" s="257">
        <f t="shared" si="97"/>
        <v>0</v>
      </c>
      <c r="GD28" s="257">
        <f t="shared" si="98"/>
        <v>0</v>
      </c>
      <c r="GE28" s="257">
        <f t="shared" si="99"/>
        <v>0</v>
      </c>
      <c r="GF28" s="575">
        <f t="shared" si="100"/>
        <v>3</v>
      </c>
      <c r="GG28" s="506">
        <f t="shared" si="101"/>
        <v>0</v>
      </c>
      <c r="GH28" s="39" t="str">
        <f t="shared" si="102"/>
        <v/>
      </c>
      <c r="GI28" s="257">
        <f t="shared" si="103"/>
        <v>0</v>
      </c>
      <c r="GJ28" s="257">
        <f t="shared" si="104"/>
        <v>0</v>
      </c>
      <c r="GK28" s="257">
        <f t="shared" si="105"/>
        <v>0</v>
      </c>
      <c r="GL28" s="575">
        <f t="shared" si="106"/>
        <v>3</v>
      </c>
      <c r="GM28" s="506">
        <f t="shared" si="107"/>
        <v>0</v>
      </c>
      <c r="GN28" s="39" t="str">
        <f t="shared" si="108"/>
        <v/>
      </c>
      <c r="GO28" s="257">
        <f t="shared" si="109"/>
        <v>0</v>
      </c>
      <c r="GP28" s="257">
        <f t="shared" si="110"/>
        <v>0</v>
      </c>
      <c r="GQ28" s="257">
        <f t="shared" si="111"/>
        <v>0</v>
      </c>
      <c r="GR28" s="575">
        <f t="shared" si="112"/>
        <v>3</v>
      </c>
      <c r="GS28" s="506">
        <f t="shared" si="113"/>
        <v>0</v>
      </c>
      <c r="GT28" s="39" t="str">
        <f t="shared" si="114"/>
        <v/>
      </c>
      <c r="GU28" s="257">
        <f t="shared" si="115"/>
        <v>0</v>
      </c>
      <c r="GV28" s="257">
        <f t="shared" si="116"/>
        <v>0</v>
      </c>
      <c r="GW28" s="257">
        <f t="shared" si="117"/>
        <v>0</v>
      </c>
      <c r="GX28" s="575">
        <f t="shared" si="118"/>
        <v>3</v>
      </c>
      <c r="GY28" s="506">
        <f t="shared" si="119"/>
        <v>0</v>
      </c>
      <c r="GZ28" s="39" t="str">
        <f t="shared" si="120"/>
        <v/>
      </c>
      <c r="HA28" s="257">
        <f t="shared" si="121"/>
        <v>0</v>
      </c>
      <c r="HB28" s="257">
        <f t="shared" si="122"/>
        <v>0</v>
      </c>
      <c r="HC28" s="257">
        <f t="shared" si="123"/>
        <v>0</v>
      </c>
      <c r="HD28" s="575">
        <f t="shared" si="124"/>
        <v>3</v>
      </c>
      <c r="HE28" s="506">
        <f t="shared" si="125"/>
        <v>0</v>
      </c>
      <c r="HF28" s="39" t="str">
        <f t="shared" si="126"/>
        <v/>
      </c>
      <c r="HG28" s="257">
        <f t="shared" si="127"/>
        <v>0</v>
      </c>
      <c r="HH28" s="257">
        <f t="shared" si="128"/>
        <v>0</v>
      </c>
      <c r="HI28" s="257">
        <f t="shared" si="129"/>
        <v>0</v>
      </c>
      <c r="HJ28" s="575">
        <f t="shared" si="130"/>
        <v>3</v>
      </c>
      <c r="HK28" s="506">
        <f t="shared" si="131"/>
        <v>0</v>
      </c>
      <c r="HL28" s="39" t="str">
        <f t="shared" si="132"/>
        <v/>
      </c>
      <c r="HM28" s="257">
        <f t="shared" si="133"/>
        <v>0</v>
      </c>
      <c r="HN28" s="257">
        <f t="shared" si="134"/>
        <v>0</v>
      </c>
      <c r="HO28" s="257">
        <f t="shared" si="135"/>
        <v>0</v>
      </c>
      <c r="HP28" s="575">
        <f t="shared" si="136"/>
        <v>3</v>
      </c>
      <c r="HQ28" s="506">
        <f t="shared" si="137"/>
        <v>0</v>
      </c>
      <c r="HR28" s="39" t="str">
        <f t="shared" si="138"/>
        <v/>
      </c>
      <c r="HS28" s="257">
        <f t="shared" si="139"/>
        <v>0</v>
      </c>
      <c r="HT28" s="257">
        <f t="shared" si="140"/>
        <v>0</v>
      </c>
      <c r="HU28" s="257">
        <f t="shared" si="141"/>
        <v>0</v>
      </c>
      <c r="HV28" s="575">
        <f t="shared" si="142"/>
        <v>3</v>
      </c>
      <c r="HW28" s="506">
        <f t="shared" si="143"/>
        <v>0</v>
      </c>
      <c r="HX28" s="39" t="str">
        <f t="shared" si="144"/>
        <v/>
      </c>
      <c r="HY28" s="257">
        <f t="shared" si="145"/>
        <v>0</v>
      </c>
      <c r="HZ28" s="257">
        <f t="shared" si="146"/>
        <v>0</v>
      </c>
      <c r="IA28" s="257">
        <f t="shared" si="147"/>
        <v>0</v>
      </c>
      <c r="IB28" s="575">
        <f t="shared" si="148"/>
        <v>3</v>
      </c>
      <c r="IC28" s="506">
        <f t="shared" si="149"/>
        <v>0</v>
      </c>
      <c r="ID28" s="39" t="str">
        <f t="shared" si="150"/>
        <v/>
      </c>
      <c r="IE28" s="39"/>
      <c r="IF28" s="39"/>
      <c r="IG28" s="39"/>
      <c r="IH28" s="39" t="str">
        <f t="shared" si="151"/>
        <v/>
      </c>
      <c r="II28" s="39" t="str">
        <f t="shared" si="152"/>
        <v/>
      </c>
      <c r="IJ28" s="39" t="str">
        <f t="shared" si="153"/>
        <v/>
      </c>
      <c r="IK28" s="39" t="str">
        <f t="shared" si="154"/>
        <v/>
      </c>
      <c r="IL28" s="39" t="str">
        <f t="shared" si="155"/>
        <v/>
      </c>
      <c r="IM28" s="767" t="str">
        <f t="shared" si="156"/>
        <v/>
      </c>
      <c r="IN28" s="579" t="str">
        <f t="shared" si="157"/>
        <v/>
      </c>
      <c r="IO28" s="579" t="str">
        <f t="shared" si="158"/>
        <v/>
      </c>
      <c r="IP28" s="579" t="str">
        <f t="shared" si="159"/>
        <v/>
      </c>
      <c r="IQ28" s="579"/>
      <c r="IR28" s="579" t="str">
        <f t="shared" si="160"/>
        <v/>
      </c>
      <c r="IS28" s="289">
        <f t="shared" si="161"/>
        <v>0</v>
      </c>
      <c r="IT28" s="289">
        <f t="shared" si="162"/>
        <v>0</v>
      </c>
      <c r="IU28" s="223">
        <f>SISWA!E26</f>
        <v>0</v>
      </c>
      <c r="IV28" s="223" t="str">
        <f t="shared" si="163"/>
        <v/>
      </c>
      <c r="IW28" s="580" t="str">
        <f t="shared" si="164"/>
        <v/>
      </c>
      <c r="IX28" s="580" t="str">
        <f t="shared" si="165"/>
        <v/>
      </c>
      <c r="IY28" s="580" t="str">
        <f t="shared" si="166"/>
        <v/>
      </c>
      <c r="IZ28" s="580" t="str">
        <f t="shared" si="167"/>
        <v/>
      </c>
      <c r="JA28" s="580" t="str">
        <f t="shared" si="168"/>
        <v/>
      </c>
      <c r="JB28" s="580" t="str">
        <f t="shared" si="169"/>
        <v/>
      </c>
      <c r="JC28" s="580" t="str">
        <f t="shared" si="170"/>
        <v/>
      </c>
      <c r="JD28" s="580" t="str">
        <f t="shared" si="171"/>
        <v/>
      </c>
      <c r="JE28" s="580" t="str">
        <f t="shared" si="172"/>
        <v/>
      </c>
      <c r="JF28" s="580"/>
      <c r="JG28" s="580"/>
      <c r="JH28" s="223">
        <f t="shared" si="173"/>
        <v>0</v>
      </c>
      <c r="JI28" s="289" t="e">
        <f t="shared" si="174"/>
        <v>#N/A</v>
      </c>
      <c r="JJ28" s="576" t="e">
        <f>IF(IS28&gt;100,"",IF(IS28&gt;EV$1,"sangat baik dalam "&amp;JI28,IF(IS28&gt;=EV$2,"baik dalam "&amp;JI28,IF(IS28&gt;=EV$3,"cukup dalam "&amp;JI28,IF(IS28&lt;EV$3,"dengan bimbingan dapat meningkatkan dalam "&amp;JI28,IF(IS28&lt;1," ",””))))))</f>
        <v>#N/A</v>
      </c>
      <c r="JK28" s="223"/>
      <c r="JL28" s="223" t="str">
        <f t="shared" si="175"/>
        <v/>
      </c>
      <c r="JM28" s="223" t="str">
        <f t="shared" si="176"/>
        <v/>
      </c>
      <c r="JN28" s="223" t="str">
        <f t="shared" si="177"/>
        <v/>
      </c>
      <c r="JO28" s="223" t="str">
        <f t="shared" si="178"/>
        <v/>
      </c>
      <c r="JP28" s="223" t="str">
        <f t="shared" si="179"/>
        <v/>
      </c>
      <c r="JQ28" s="223" t="str">
        <f t="shared" si="180"/>
        <v/>
      </c>
      <c r="JR28" s="223" t="str">
        <f t="shared" si="181"/>
        <v/>
      </c>
      <c r="JS28" s="223" t="str">
        <f t="shared" si="182"/>
        <v/>
      </c>
      <c r="JT28" s="223" t="str">
        <f t="shared" si="183"/>
        <v/>
      </c>
      <c r="JU28" s="223"/>
      <c r="JV28" s="223"/>
      <c r="JW28" s="223" t="e">
        <f t="shared" si="184"/>
        <v>#N/A</v>
      </c>
      <c r="JX28" s="577" t="e">
        <f>IF(IT28&gt;100,"",IF(IT28&gt;=EV$1,"sangat baik dalam "&amp;JW28,IF(IT28&gt;=EV$2,"baik dalam "&amp;JW28,IF(IT28&gt;=EV$3,"cukup dalam "&amp;JW28,IF(IT28&lt;EV$3,"dengan bimbingan dapat meningkatkan dalam "&amp;JW28,IF(IT28&lt;1," ",””))))))</f>
        <v>#N/A</v>
      </c>
      <c r="JY28" s="223" t="e">
        <f t="shared" si="185"/>
        <v>#N/A</v>
      </c>
    </row>
    <row r="29" spans="1:285">
      <c r="A29" s="39">
        <v>22</v>
      </c>
      <c r="B29" s="223">
        <f>SISWA!B27</f>
        <v>0</v>
      </c>
      <c r="C29" s="123"/>
      <c r="D29" s="123"/>
      <c r="E29" s="123"/>
      <c r="F29" s="123"/>
      <c r="G29" s="123"/>
      <c r="H29" s="123"/>
      <c r="I29" s="123"/>
      <c r="J29" s="123"/>
      <c r="K29" s="123"/>
      <c r="L29" s="255"/>
      <c r="M29" s="255"/>
      <c r="N29" s="255"/>
      <c r="O29" s="255"/>
      <c r="P29" s="255"/>
      <c r="Q29" s="255"/>
      <c r="R29" s="255"/>
      <c r="S29" s="255"/>
      <c r="T29" s="255"/>
      <c r="U29" s="256"/>
      <c r="V29" s="256"/>
      <c r="W29" s="256"/>
      <c r="X29" s="256"/>
      <c r="Y29" s="256"/>
      <c r="Z29" s="256"/>
      <c r="AA29" s="256"/>
      <c r="AB29" s="256"/>
      <c r="AC29" s="256"/>
      <c r="AD29" s="123"/>
      <c r="AE29" s="123"/>
      <c r="AF29" s="123"/>
      <c r="AG29" s="123"/>
      <c r="AH29" s="123"/>
      <c r="AI29" s="123"/>
      <c r="AJ29" s="123"/>
      <c r="AK29" s="123"/>
      <c r="AL29" s="123"/>
      <c r="AM29" s="255"/>
      <c r="AN29" s="255"/>
      <c r="AO29" s="255"/>
      <c r="AP29" s="255"/>
      <c r="AQ29" s="255"/>
      <c r="AR29" s="255"/>
      <c r="AS29" s="255"/>
      <c r="AT29" s="255"/>
      <c r="AU29" s="255"/>
      <c r="AV29" s="256"/>
      <c r="AW29" s="256"/>
      <c r="AX29" s="256"/>
      <c r="AY29" s="256"/>
      <c r="AZ29" s="256"/>
      <c r="BA29" s="256"/>
      <c r="BB29" s="256"/>
      <c r="BC29" s="256"/>
      <c r="BD29" s="256"/>
      <c r="BE29" s="123"/>
      <c r="BF29" s="123"/>
      <c r="BG29" s="123"/>
      <c r="BH29" s="123"/>
      <c r="BI29" s="123"/>
      <c r="BJ29" s="123"/>
      <c r="BK29" s="123"/>
      <c r="BL29" s="123"/>
      <c r="BM29" s="123"/>
      <c r="BN29" s="255"/>
      <c r="BO29" s="255"/>
      <c r="BP29" s="255"/>
      <c r="BQ29" s="255"/>
      <c r="BR29" s="255"/>
      <c r="BS29" s="255"/>
      <c r="BT29" s="255"/>
      <c r="BU29" s="255"/>
      <c r="BV29" s="255"/>
      <c r="BW29" s="256"/>
      <c r="BX29" s="256"/>
      <c r="BY29" s="256"/>
      <c r="BZ29" s="256"/>
      <c r="CA29" s="256"/>
      <c r="CB29" s="256"/>
      <c r="CC29" s="256"/>
      <c r="CD29" s="256"/>
      <c r="CE29" s="256"/>
      <c r="CF29" s="123"/>
      <c r="CG29" s="123"/>
      <c r="CH29" s="123"/>
      <c r="CI29" s="123"/>
      <c r="CJ29" s="123"/>
      <c r="CK29" s="123"/>
      <c r="CL29" s="123"/>
      <c r="CM29" s="123"/>
      <c r="CN29" s="123"/>
      <c r="CO29" s="255"/>
      <c r="CP29" s="255"/>
      <c r="CQ29" s="255"/>
      <c r="CR29" s="255"/>
      <c r="CS29" s="255"/>
      <c r="CT29" s="255"/>
      <c r="CU29" s="255"/>
      <c r="CV29" s="255"/>
      <c r="CW29" s="255"/>
      <c r="CX29" s="256"/>
      <c r="CY29" s="256"/>
      <c r="CZ29" s="256"/>
      <c r="DA29" s="256"/>
      <c r="DB29" s="256"/>
      <c r="DC29" s="256"/>
      <c r="DD29" s="256"/>
      <c r="DE29" s="256"/>
      <c r="DF29" s="256"/>
      <c r="DG29" s="458"/>
      <c r="DH29" s="458"/>
      <c r="DI29" s="458"/>
      <c r="DJ29" s="458"/>
      <c r="DK29" s="458"/>
      <c r="DL29" s="458"/>
      <c r="DM29" s="458"/>
      <c r="DN29" s="458"/>
      <c r="DO29" s="458"/>
      <c r="DP29" s="457"/>
      <c r="DQ29" s="457"/>
      <c r="DR29" s="457"/>
      <c r="DS29" s="457"/>
      <c r="DT29" s="457"/>
      <c r="DU29" s="457"/>
      <c r="DV29" s="457"/>
      <c r="DW29" s="457"/>
      <c r="DX29" s="457"/>
      <c r="DY29" s="256"/>
      <c r="DZ29" s="256"/>
      <c r="EA29" s="256"/>
      <c r="EB29" s="256"/>
      <c r="EC29" s="256"/>
      <c r="ED29" s="256"/>
      <c r="EE29" s="256"/>
      <c r="EF29" s="256"/>
      <c r="EG29" s="256"/>
      <c r="EH29" s="257" t="str">
        <f t="shared" si="55"/>
        <v/>
      </c>
      <c r="EI29" s="257" t="str">
        <f t="shared" si="56"/>
        <v/>
      </c>
      <c r="EJ29" s="257" t="str">
        <f t="shared" si="57"/>
        <v/>
      </c>
      <c r="EK29" s="257" t="str">
        <f t="shared" si="58"/>
        <v/>
      </c>
      <c r="EL29" s="257" t="str">
        <f t="shared" si="59"/>
        <v/>
      </c>
      <c r="EM29" s="257" t="str">
        <f t="shared" si="60"/>
        <v/>
      </c>
      <c r="EN29" s="257" t="str">
        <f t="shared" si="61"/>
        <v/>
      </c>
      <c r="EO29" s="257" t="str">
        <f t="shared" si="62"/>
        <v/>
      </c>
      <c r="EP29" s="257" t="str">
        <f t="shared" si="63"/>
        <v/>
      </c>
      <c r="EQ29" s="579" t="str">
        <f t="shared" si="64"/>
        <v/>
      </c>
      <c r="ER29" s="291" t="str">
        <f t="shared" si="65"/>
        <v xml:space="preserve">  </v>
      </c>
      <c r="ES29" s="243" t="str">
        <f t="shared" si="66"/>
        <v xml:space="preserve"> </v>
      </c>
      <c r="ET29" s="39"/>
      <c r="EU29" s="39"/>
      <c r="EV29" s="257">
        <f t="shared" si="67"/>
        <v>0</v>
      </c>
      <c r="EW29" s="257">
        <f t="shared" si="68"/>
        <v>0</v>
      </c>
      <c r="EX29" s="257">
        <f t="shared" si="69"/>
        <v>0</v>
      </c>
      <c r="EY29" s="257">
        <f t="shared" si="70"/>
        <v>0</v>
      </c>
      <c r="EZ29" s="257">
        <f t="shared" si="71"/>
        <v>0</v>
      </c>
      <c r="FA29" s="257">
        <f t="shared" si="72"/>
        <v>0</v>
      </c>
      <c r="FB29" s="257">
        <f t="shared" si="73"/>
        <v>0</v>
      </c>
      <c r="FC29" s="257">
        <f t="shared" si="74"/>
        <v>0</v>
      </c>
      <c r="FD29" s="257">
        <f t="shared" si="75"/>
        <v>0</v>
      </c>
      <c r="FE29" s="257"/>
      <c r="FF29" s="289">
        <f t="shared" si="76"/>
        <v>0</v>
      </c>
      <c r="FG29" s="575">
        <f t="shared" si="77"/>
        <v>0</v>
      </c>
      <c r="FH29" s="575">
        <f t="shared" si="78"/>
        <v>0</v>
      </c>
      <c r="FI29" s="575">
        <f t="shared" si="79"/>
        <v>0</v>
      </c>
      <c r="FJ29" s="575">
        <f t="shared" si="80"/>
        <v>0</v>
      </c>
      <c r="FK29" s="575">
        <f t="shared" si="81"/>
        <v>0</v>
      </c>
      <c r="FL29" s="575">
        <f t="shared" si="82"/>
        <v>0</v>
      </c>
      <c r="FM29" s="575">
        <f t="shared" si="83"/>
        <v>0</v>
      </c>
      <c r="FN29" s="575">
        <f t="shared" si="84"/>
        <v>0</v>
      </c>
      <c r="FO29" s="575">
        <f t="shared" si="85"/>
        <v>0</v>
      </c>
      <c r="FP29" s="258"/>
      <c r="FQ29" s="289">
        <f t="shared" si="86"/>
        <v>0</v>
      </c>
      <c r="FR29" s="765">
        <f t="shared" si="87"/>
        <v>0</v>
      </c>
      <c r="FS29" s="765">
        <f t="shared" si="88"/>
        <v>0</v>
      </c>
      <c r="FT29" s="765">
        <f t="shared" si="89"/>
        <v>0</v>
      </c>
      <c r="FU29" s="765">
        <f t="shared" si="90"/>
        <v>0</v>
      </c>
      <c r="FV29" s="765">
        <f t="shared" si="91"/>
        <v>0</v>
      </c>
      <c r="FW29" s="765">
        <f t="shared" si="92"/>
        <v>0</v>
      </c>
      <c r="FX29" s="765">
        <f t="shared" si="93"/>
        <v>0</v>
      </c>
      <c r="FY29" s="765">
        <f t="shared" si="94"/>
        <v>0</v>
      </c>
      <c r="FZ29" s="765">
        <f t="shared" si="95"/>
        <v>0</v>
      </c>
      <c r="GA29" s="766"/>
      <c r="GB29" s="289">
        <f t="shared" si="96"/>
        <v>0</v>
      </c>
      <c r="GC29" s="257">
        <f t="shared" si="97"/>
        <v>0</v>
      </c>
      <c r="GD29" s="257">
        <f t="shared" si="98"/>
        <v>0</v>
      </c>
      <c r="GE29" s="257">
        <f t="shared" si="99"/>
        <v>0</v>
      </c>
      <c r="GF29" s="575">
        <f t="shared" si="100"/>
        <v>3</v>
      </c>
      <c r="GG29" s="506">
        <f t="shared" si="101"/>
        <v>0</v>
      </c>
      <c r="GH29" s="39" t="str">
        <f t="shared" si="102"/>
        <v/>
      </c>
      <c r="GI29" s="257">
        <f t="shared" si="103"/>
        <v>0</v>
      </c>
      <c r="GJ29" s="257">
        <f t="shared" si="104"/>
        <v>0</v>
      </c>
      <c r="GK29" s="257">
        <f t="shared" si="105"/>
        <v>0</v>
      </c>
      <c r="GL29" s="575">
        <f t="shared" si="106"/>
        <v>3</v>
      </c>
      <c r="GM29" s="506">
        <f t="shared" si="107"/>
        <v>0</v>
      </c>
      <c r="GN29" s="39" t="str">
        <f t="shared" si="108"/>
        <v/>
      </c>
      <c r="GO29" s="257">
        <f t="shared" si="109"/>
        <v>0</v>
      </c>
      <c r="GP29" s="257">
        <f t="shared" si="110"/>
        <v>0</v>
      </c>
      <c r="GQ29" s="257">
        <f t="shared" si="111"/>
        <v>0</v>
      </c>
      <c r="GR29" s="575">
        <f t="shared" si="112"/>
        <v>3</v>
      </c>
      <c r="GS29" s="506">
        <f t="shared" si="113"/>
        <v>0</v>
      </c>
      <c r="GT29" s="39" t="str">
        <f t="shared" si="114"/>
        <v/>
      </c>
      <c r="GU29" s="257">
        <f t="shared" si="115"/>
        <v>0</v>
      </c>
      <c r="GV29" s="257">
        <f t="shared" si="116"/>
        <v>0</v>
      </c>
      <c r="GW29" s="257">
        <f t="shared" si="117"/>
        <v>0</v>
      </c>
      <c r="GX29" s="575">
        <f t="shared" si="118"/>
        <v>3</v>
      </c>
      <c r="GY29" s="506">
        <f t="shared" si="119"/>
        <v>0</v>
      </c>
      <c r="GZ29" s="39" t="str">
        <f t="shared" si="120"/>
        <v/>
      </c>
      <c r="HA29" s="257">
        <f t="shared" si="121"/>
        <v>0</v>
      </c>
      <c r="HB29" s="257">
        <f t="shared" si="122"/>
        <v>0</v>
      </c>
      <c r="HC29" s="257">
        <f t="shared" si="123"/>
        <v>0</v>
      </c>
      <c r="HD29" s="575">
        <f t="shared" si="124"/>
        <v>3</v>
      </c>
      <c r="HE29" s="506">
        <f t="shared" si="125"/>
        <v>0</v>
      </c>
      <c r="HF29" s="39" t="str">
        <f t="shared" si="126"/>
        <v/>
      </c>
      <c r="HG29" s="257">
        <f t="shared" si="127"/>
        <v>0</v>
      </c>
      <c r="HH29" s="257">
        <f t="shared" si="128"/>
        <v>0</v>
      </c>
      <c r="HI29" s="257">
        <f t="shared" si="129"/>
        <v>0</v>
      </c>
      <c r="HJ29" s="575">
        <f t="shared" si="130"/>
        <v>3</v>
      </c>
      <c r="HK29" s="506">
        <f t="shared" si="131"/>
        <v>0</v>
      </c>
      <c r="HL29" s="39" t="str">
        <f t="shared" si="132"/>
        <v/>
      </c>
      <c r="HM29" s="257">
        <f t="shared" si="133"/>
        <v>0</v>
      </c>
      <c r="HN29" s="257">
        <f t="shared" si="134"/>
        <v>0</v>
      </c>
      <c r="HO29" s="257">
        <f t="shared" si="135"/>
        <v>0</v>
      </c>
      <c r="HP29" s="575">
        <f t="shared" si="136"/>
        <v>3</v>
      </c>
      <c r="HQ29" s="506">
        <f t="shared" si="137"/>
        <v>0</v>
      </c>
      <c r="HR29" s="39" t="str">
        <f t="shared" si="138"/>
        <v/>
      </c>
      <c r="HS29" s="257">
        <f t="shared" si="139"/>
        <v>0</v>
      </c>
      <c r="HT29" s="257">
        <f t="shared" si="140"/>
        <v>0</v>
      </c>
      <c r="HU29" s="257">
        <f t="shared" si="141"/>
        <v>0</v>
      </c>
      <c r="HV29" s="575">
        <f t="shared" si="142"/>
        <v>3</v>
      </c>
      <c r="HW29" s="506">
        <f t="shared" si="143"/>
        <v>0</v>
      </c>
      <c r="HX29" s="39" t="str">
        <f t="shared" si="144"/>
        <v/>
      </c>
      <c r="HY29" s="257">
        <f t="shared" si="145"/>
        <v>0</v>
      </c>
      <c r="HZ29" s="257">
        <f t="shared" si="146"/>
        <v>0</v>
      </c>
      <c r="IA29" s="257">
        <f t="shared" si="147"/>
        <v>0</v>
      </c>
      <c r="IB29" s="575">
        <f t="shared" si="148"/>
        <v>3</v>
      </c>
      <c r="IC29" s="506">
        <f t="shared" si="149"/>
        <v>0</v>
      </c>
      <c r="ID29" s="39" t="str">
        <f t="shared" si="150"/>
        <v/>
      </c>
      <c r="IE29" s="39"/>
      <c r="IF29" s="39"/>
      <c r="IG29" s="39"/>
      <c r="IH29" s="39" t="str">
        <f t="shared" si="151"/>
        <v/>
      </c>
      <c r="II29" s="39" t="str">
        <f t="shared" si="152"/>
        <v/>
      </c>
      <c r="IJ29" s="39" t="str">
        <f t="shared" si="153"/>
        <v/>
      </c>
      <c r="IK29" s="39" t="str">
        <f t="shared" si="154"/>
        <v/>
      </c>
      <c r="IL29" s="39" t="str">
        <f t="shared" si="155"/>
        <v/>
      </c>
      <c r="IM29" s="767" t="str">
        <f t="shared" si="156"/>
        <v/>
      </c>
      <c r="IN29" s="579" t="str">
        <f t="shared" si="157"/>
        <v/>
      </c>
      <c r="IO29" s="579" t="str">
        <f t="shared" si="158"/>
        <v/>
      </c>
      <c r="IP29" s="579" t="str">
        <f t="shared" si="159"/>
        <v/>
      </c>
      <c r="IQ29" s="579"/>
      <c r="IR29" s="579" t="str">
        <f t="shared" si="160"/>
        <v/>
      </c>
      <c r="IS29" s="289">
        <f t="shared" si="161"/>
        <v>0</v>
      </c>
      <c r="IT29" s="289">
        <f t="shared" si="162"/>
        <v>0</v>
      </c>
      <c r="IU29" s="223">
        <f>SISWA!E27</f>
        <v>0</v>
      </c>
      <c r="IV29" s="223" t="str">
        <f t="shared" si="163"/>
        <v/>
      </c>
      <c r="IW29" s="580" t="str">
        <f t="shared" si="164"/>
        <v/>
      </c>
      <c r="IX29" s="580" t="str">
        <f t="shared" si="165"/>
        <v/>
      </c>
      <c r="IY29" s="580" t="str">
        <f t="shared" si="166"/>
        <v/>
      </c>
      <c r="IZ29" s="580" t="str">
        <f t="shared" si="167"/>
        <v/>
      </c>
      <c r="JA29" s="580" t="str">
        <f t="shared" si="168"/>
        <v/>
      </c>
      <c r="JB29" s="580" t="str">
        <f t="shared" si="169"/>
        <v/>
      </c>
      <c r="JC29" s="580" t="str">
        <f t="shared" si="170"/>
        <v/>
      </c>
      <c r="JD29" s="580" t="str">
        <f t="shared" si="171"/>
        <v/>
      </c>
      <c r="JE29" s="580" t="str">
        <f t="shared" si="172"/>
        <v/>
      </c>
      <c r="JF29" s="580"/>
      <c r="JG29" s="580"/>
      <c r="JH29" s="223">
        <f t="shared" si="173"/>
        <v>0</v>
      </c>
      <c r="JI29" s="289" t="e">
        <f t="shared" si="174"/>
        <v>#N/A</v>
      </c>
      <c r="JJ29" s="576" t="e">
        <f>IF(IS29&gt;100,"",IF(IS29&gt;EV$1,"sangat baik dalam "&amp;JI29,IF(IS29&gt;=EV$2,"baik dalam "&amp;JI29,IF(IS29&gt;=EV$3,"cukup dalam "&amp;JI29,IF(IS29&lt;EV$3,"dengan bimbingan dapat meningkatkan dalam "&amp;JI29,IF(IS29&lt;1," ",””))))))</f>
        <v>#N/A</v>
      </c>
      <c r="JK29" s="223"/>
      <c r="JL29" s="223" t="str">
        <f t="shared" si="175"/>
        <v/>
      </c>
      <c r="JM29" s="223" t="str">
        <f t="shared" si="176"/>
        <v/>
      </c>
      <c r="JN29" s="223" t="str">
        <f t="shared" si="177"/>
        <v/>
      </c>
      <c r="JO29" s="223" t="str">
        <f t="shared" si="178"/>
        <v/>
      </c>
      <c r="JP29" s="223" t="str">
        <f t="shared" si="179"/>
        <v/>
      </c>
      <c r="JQ29" s="223" t="str">
        <f t="shared" si="180"/>
        <v/>
      </c>
      <c r="JR29" s="223" t="str">
        <f t="shared" si="181"/>
        <v/>
      </c>
      <c r="JS29" s="223" t="str">
        <f t="shared" si="182"/>
        <v/>
      </c>
      <c r="JT29" s="223" t="str">
        <f t="shared" si="183"/>
        <v/>
      </c>
      <c r="JU29" s="223"/>
      <c r="JV29" s="223"/>
      <c r="JW29" s="223" t="e">
        <f t="shared" si="184"/>
        <v>#N/A</v>
      </c>
      <c r="JX29" s="577" t="e">
        <f>IF(IT29&gt;100,"",IF(IT29&gt;=EV$1,"sangat baik dalam "&amp;JW29,IF(IT29&gt;=EV$2,"baik dalam "&amp;JW29,IF(IT29&gt;=EV$3,"cukup dalam "&amp;JW29,IF(IT29&lt;EV$3,"dengan bimbingan dapat meningkatkan dalam "&amp;JW29,IF(IT29&lt;1," ",””))))))</f>
        <v>#N/A</v>
      </c>
      <c r="JY29" s="223" t="e">
        <f t="shared" si="185"/>
        <v>#N/A</v>
      </c>
    </row>
    <row r="30" spans="1:285">
      <c r="A30" s="39">
        <v>23</v>
      </c>
      <c r="B30" s="223">
        <f>SISWA!B28</f>
        <v>0</v>
      </c>
      <c r="C30" s="123"/>
      <c r="D30" s="123"/>
      <c r="E30" s="123"/>
      <c r="F30" s="123"/>
      <c r="G30" s="123"/>
      <c r="H30" s="123"/>
      <c r="I30" s="123"/>
      <c r="J30" s="123"/>
      <c r="K30" s="123"/>
      <c r="L30" s="255"/>
      <c r="M30" s="255"/>
      <c r="N30" s="255"/>
      <c r="O30" s="255"/>
      <c r="P30" s="255"/>
      <c r="Q30" s="255"/>
      <c r="R30" s="255"/>
      <c r="S30" s="255"/>
      <c r="T30" s="255"/>
      <c r="U30" s="256"/>
      <c r="V30" s="256"/>
      <c r="W30" s="256"/>
      <c r="X30" s="256"/>
      <c r="Y30" s="256"/>
      <c r="Z30" s="256"/>
      <c r="AA30" s="256"/>
      <c r="AB30" s="256"/>
      <c r="AC30" s="256"/>
      <c r="AD30" s="123"/>
      <c r="AE30" s="123"/>
      <c r="AF30" s="123"/>
      <c r="AG30" s="123"/>
      <c r="AH30" s="123"/>
      <c r="AI30" s="123"/>
      <c r="AJ30" s="123"/>
      <c r="AK30" s="123"/>
      <c r="AL30" s="123"/>
      <c r="AM30" s="255"/>
      <c r="AN30" s="255"/>
      <c r="AO30" s="255"/>
      <c r="AP30" s="255"/>
      <c r="AQ30" s="255"/>
      <c r="AR30" s="255"/>
      <c r="AS30" s="255"/>
      <c r="AT30" s="255"/>
      <c r="AU30" s="255"/>
      <c r="AV30" s="256"/>
      <c r="AW30" s="256"/>
      <c r="AX30" s="256"/>
      <c r="AY30" s="256"/>
      <c r="AZ30" s="256"/>
      <c r="BA30" s="256"/>
      <c r="BB30" s="256"/>
      <c r="BC30" s="256"/>
      <c r="BD30" s="256"/>
      <c r="BE30" s="123"/>
      <c r="BF30" s="123"/>
      <c r="BG30" s="123"/>
      <c r="BH30" s="123"/>
      <c r="BI30" s="123"/>
      <c r="BJ30" s="123"/>
      <c r="BK30" s="123"/>
      <c r="BL30" s="123"/>
      <c r="BM30" s="123"/>
      <c r="BN30" s="255"/>
      <c r="BO30" s="255"/>
      <c r="BP30" s="255"/>
      <c r="BQ30" s="255"/>
      <c r="BR30" s="255"/>
      <c r="BS30" s="255"/>
      <c r="BT30" s="255"/>
      <c r="BU30" s="255"/>
      <c r="BV30" s="255"/>
      <c r="BW30" s="256"/>
      <c r="BX30" s="256"/>
      <c r="BY30" s="256"/>
      <c r="BZ30" s="256"/>
      <c r="CA30" s="256"/>
      <c r="CB30" s="256"/>
      <c r="CC30" s="256"/>
      <c r="CD30" s="256"/>
      <c r="CE30" s="256"/>
      <c r="CF30" s="123"/>
      <c r="CG30" s="123"/>
      <c r="CH30" s="123"/>
      <c r="CI30" s="123"/>
      <c r="CJ30" s="123"/>
      <c r="CK30" s="123"/>
      <c r="CL30" s="123"/>
      <c r="CM30" s="123"/>
      <c r="CN30" s="123"/>
      <c r="CO30" s="255"/>
      <c r="CP30" s="255"/>
      <c r="CQ30" s="255"/>
      <c r="CR30" s="255"/>
      <c r="CS30" s="255"/>
      <c r="CT30" s="255"/>
      <c r="CU30" s="255"/>
      <c r="CV30" s="255"/>
      <c r="CW30" s="255"/>
      <c r="CX30" s="256"/>
      <c r="CY30" s="256"/>
      <c r="CZ30" s="256"/>
      <c r="DA30" s="256"/>
      <c r="DB30" s="256"/>
      <c r="DC30" s="256"/>
      <c r="DD30" s="256"/>
      <c r="DE30" s="256"/>
      <c r="DF30" s="256"/>
      <c r="DG30" s="458"/>
      <c r="DH30" s="458"/>
      <c r="DI30" s="458"/>
      <c r="DJ30" s="458"/>
      <c r="DK30" s="458"/>
      <c r="DL30" s="458"/>
      <c r="DM30" s="458"/>
      <c r="DN30" s="458"/>
      <c r="DO30" s="458"/>
      <c r="DP30" s="457"/>
      <c r="DQ30" s="457"/>
      <c r="DR30" s="457"/>
      <c r="DS30" s="457"/>
      <c r="DT30" s="457"/>
      <c r="DU30" s="457"/>
      <c r="DV30" s="457"/>
      <c r="DW30" s="457"/>
      <c r="DX30" s="457"/>
      <c r="DY30" s="256"/>
      <c r="DZ30" s="256"/>
      <c r="EA30" s="256"/>
      <c r="EB30" s="256"/>
      <c r="EC30" s="256"/>
      <c r="ED30" s="256"/>
      <c r="EE30" s="256"/>
      <c r="EF30" s="256"/>
      <c r="EG30" s="256"/>
      <c r="EH30" s="257" t="str">
        <f t="shared" si="55"/>
        <v/>
      </c>
      <c r="EI30" s="257" t="str">
        <f t="shared" si="56"/>
        <v/>
      </c>
      <c r="EJ30" s="257" t="str">
        <f t="shared" si="57"/>
        <v/>
      </c>
      <c r="EK30" s="257" t="str">
        <f t="shared" si="58"/>
        <v/>
      </c>
      <c r="EL30" s="257" t="str">
        <f t="shared" si="59"/>
        <v/>
      </c>
      <c r="EM30" s="257" t="str">
        <f t="shared" si="60"/>
        <v/>
      </c>
      <c r="EN30" s="257" t="str">
        <f t="shared" si="61"/>
        <v/>
      </c>
      <c r="EO30" s="257" t="str">
        <f t="shared" si="62"/>
        <v/>
      </c>
      <c r="EP30" s="257" t="str">
        <f t="shared" si="63"/>
        <v/>
      </c>
      <c r="EQ30" s="579" t="str">
        <f t="shared" si="64"/>
        <v/>
      </c>
      <c r="ER30" s="291" t="str">
        <f t="shared" si="65"/>
        <v xml:space="preserve">  </v>
      </c>
      <c r="ES30" s="243" t="str">
        <f t="shared" si="66"/>
        <v xml:space="preserve"> </v>
      </c>
      <c r="ET30" s="39"/>
      <c r="EU30" s="39"/>
      <c r="EV30" s="257">
        <f t="shared" si="67"/>
        <v>0</v>
      </c>
      <c r="EW30" s="257">
        <f t="shared" si="68"/>
        <v>0</v>
      </c>
      <c r="EX30" s="257">
        <f t="shared" si="69"/>
        <v>0</v>
      </c>
      <c r="EY30" s="257">
        <f t="shared" si="70"/>
        <v>0</v>
      </c>
      <c r="EZ30" s="257">
        <f t="shared" si="71"/>
        <v>0</v>
      </c>
      <c r="FA30" s="257">
        <f t="shared" si="72"/>
        <v>0</v>
      </c>
      <c r="FB30" s="257">
        <f t="shared" si="73"/>
        <v>0</v>
      </c>
      <c r="FC30" s="257">
        <f t="shared" si="74"/>
        <v>0</v>
      </c>
      <c r="FD30" s="257">
        <f t="shared" si="75"/>
        <v>0</v>
      </c>
      <c r="FE30" s="257"/>
      <c r="FF30" s="289">
        <f t="shared" si="76"/>
        <v>0</v>
      </c>
      <c r="FG30" s="575">
        <f t="shared" si="77"/>
        <v>0</v>
      </c>
      <c r="FH30" s="575">
        <f t="shared" si="78"/>
        <v>0</v>
      </c>
      <c r="FI30" s="575">
        <f t="shared" si="79"/>
        <v>0</v>
      </c>
      <c r="FJ30" s="575">
        <f t="shared" si="80"/>
        <v>0</v>
      </c>
      <c r="FK30" s="575">
        <f t="shared" si="81"/>
        <v>0</v>
      </c>
      <c r="FL30" s="575">
        <f t="shared" si="82"/>
        <v>0</v>
      </c>
      <c r="FM30" s="575">
        <f t="shared" si="83"/>
        <v>0</v>
      </c>
      <c r="FN30" s="575">
        <f t="shared" si="84"/>
        <v>0</v>
      </c>
      <c r="FO30" s="575">
        <f t="shared" si="85"/>
        <v>0</v>
      </c>
      <c r="FP30" s="258"/>
      <c r="FQ30" s="289">
        <f t="shared" si="86"/>
        <v>0</v>
      </c>
      <c r="FR30" s="765">
        <f t="shared" si="87"/>
        <v>0</v>
      </c>
      <c r="FS30" s="765">
        <f t="shared" si="88"/>
        <v>0</v>
      </c>
      <c r="FT30" s="765">
        <f t="shared" si="89"/>
        <v>0</v>
      </c>
      <c r="FU30" s="765">
        <f t="shared" si="90"/>
        <v>0</v>
      </c>
      <c r="FV30" s="765">
        <f t="shared" si="91"/>
        <v>0</v>
      </c>
      <c r="FW30" s="765">
        <f t="shared" si="92"/>
        <v>0</v>
      </c>
      <c r="FX30" s="765">
        <f t="shared" si="93"/>
        <v>0</v>
      </c>
      <c r="FY30" s="765">
        <f t="shared" si="94"/>
        <v>0</v>
      </c>
      <c r="FZ30" s="765">
        <f t="shared" si="95"/>
        <v>0</v>
      </c>
      <c r="GA30" s="766"/>
      <c r="GB30" s="289">
        <f t="shared" si="96"/>
        <v>0</v>
      </c>
      <c r="GC30" s="257">
        <f t="shared" si="97"/>
        <v>0</v>
      </c>
      <c r="GD30" s="257">
        <f t="shared" si="98"/>
        <v>0</v>
      </c>
      <c r="GE30" s="257">
        <f t="shared" si="99"/>
        <v>0</v>
      </c>
      <c r="GF30" s="575">
        <f t="shared" si="100"/>
        <v>3</v>
      </c>
      <c r="GG30" s="506">
        <f t="shared" si="101"/>
        <v>0</v>
      </c>
      <c r="GH30" s="39" t="str">
        <f t="shared" si="102"/>
        <v/>
      </c>
      <c r="GI30" s="257">
        <f t="shared" si="103"/>
        <v>0</v>
      </c>
      <c r="GJ30" s="257">
        <f t="shared" si="104"/>
        <v>0</v>
      </c>
      <c r="GK30" s="257">
        <f t="shared" si="105"/>
        <v>0</v>
      </c>
      <c r="GL30" s="575">
        <f t="shared" si="106"/>
        <v>3</v>
      </c>
      <c r="GM30" s="506">
        <f t="shared" si="107"/>
        <v>0</v>
      </c>
      <c r="GN30" s="39" t="str">
        <f t="shared" si="108"/>
        <v/>
      </c>
      <c r="GO30" s="257">
        <f t="shared" si="109"/>
        <v>0</v>
      </c>
      <c r="GP30" s="257">
        <f t="shared" si="110"/>
        <v>0</v>
      </c>
      <c r="GQ30" s="257">
        <f t="shared" si="111"/>
        <v>0</v>
      </c>
      <c r="GR30" s="575">
        <f t="shared" si="112"/>
        <v>3</v>
      </c>
      <c r="GS30" s="506">
        <f t="shared" si="113"/>
        <v>0</v>
      </c>
      <c r="GT30" s="39" t="str">
        <f t="shared" si="114"/>
        <v/>
      </c>
      <c r="GU30" s="257">
        <f t="shared" si="115"/>
        <v>0</v>
      </c>
      <c r="GV30" s="257">
        <f t="shared" si="116"/>
        <v>0</v>
      </c>
      <c r="GW30" s="257">
        <f t="shared" si="117"/>
        <v>0</v>
      </c>
      <c r="GX30" s="575">
        <f t="shared" si="118"/>
        <v>3</v>
      </c>
      <c r="GY30" s="506">
        <f t="shared" si="119"/>
        <v>0</v>
      </c>
      <c r="GZ30" s="39" t="str">
        <f t="shared" si="120"/>
        <v/>
      </c>
      <c r="HA30" s="257">
        <f t="shared" si="121"/>
        <v>0</v>
      </c>
      <c r="HB30" s="257">
        <f t="shared" si="122"/>
        <v>0</v>
      </c>
      <c r="HC30" s="257">
        <f t="shared" si="123"/>
        <v>0</v>
      </c>
      <c r="HD30" s="575">
        <f t="shared" si="124"/>
        <v>3</v>
      </c>
      <c r="HE30" s="506">
        <f t="shared" si="125"/>
        <v>0</v>
      </c>
      <c r="HF30" s="39" t="str">
        <f t="shared" si="126"/>
        <v/>
      </c>
      <c r="HG30" s="257">
        <f t="shared" si="127"/>
        <v>0</v>
      </c>
      <c r="HH30" s="257">
        <f t="shared" si="128"/>
        <v>0</v>
      </c>
      <c r="HI30" s="257">
        <f t="shared" si="129"/>
        <v>0</v>
      </c>
      <c r="HJ30" s="575">
        <f t="shared" si="130"/>
        <v>3</v>
      </c>
      <c r="HK30" s="506">
        <f t="shared" si="131"/>
        <v>0</v>
      </c>
      <c r="HL30" s="39" t="str">
        <f t="shared" si="132"/>
        <v/>
      </c>
      <c r="HM30" s="257">
        <f t="shared" si="133"/>
        <v>0</v>
      </c>
      <c r="HN30" s="257">
        <f t="shared" si="134"/>
        <v>0</v>
      </c>
      <c r="HO30" s="257">
        <f t="shared" si="135"/>
        <v>0</v>
      </c>
      <c r="HP30" s="575">
        <f t="shared" si="136"/>
        <v>3</v>
      </c>
      <c r="HQ30" s="506">
        <f t="shared" si="137"/>
        <v>0</v>
      </c>
      <c r="HR30" s="39" t="str">
        <f t="shared" si="138"/>
        <v/>
      </c>
      <c r="HS30" s="257">
        <f t="shared" si="139"/>
        <v>0</v>
      </c>
      <c r="HT30" s="257">
        <f t="shared" si="140"/>
        <v>0</v>
      </c>
      <c r="HU30" s="257">
        <f t="shared" si="141"/>
        <v>0</v>
      </c>
      <c r="HV30" s="575">
        <f t="shared" si="142"/>
        <v>3</v>
      </c>
      <c r="HW30" s="506">
        <f t="shared" si="143"/>
        <v>0</v>
      </c>
      <c r="HX30" s="39" t="str">
        <f t="shared" si="144"/>
        <v/>
      </c>
      <c r="HY30" s="257">
        <f t="shared" si="145"/>
        <v>0</v>
      </c>
      <c r="HZ30" s="257">
        <f t="shared" si="146"/>
        <v>0</v>
      </c>
      <c r="IA30" s="257">
        <f t="shared" si="147"/>
        <v>0</v>
      </c>
      <c r="IB30" s="575">
        <f t="shared" si="148"/>
        <v>3</v>
      </c>
      <c r="IC30" s="506">
        <f t="shared" si="149"/>
        <v>0</v>
      </c>
      <c r="ID30" s="39" t="str">
        <f t="shared" si="150"/>
        <v/>
      </c>
      <c r="IE30" s="39"/>
      <c r="IF30" s="39"/>
      <c r="IG30" s="39"/>
      <c r="IH30" s="39" t="str">
        <f t="shared" si="151"/>
        <v/>
      </c>
      <c r="II30" s="39" t="str">
        <f t="shared" si="152"/>
        <v/>
      </c>
      <c r="IJ30" s="39" t="str">
        <f t="shared" si="153"/>
        <v/>
      </c>
      <c r="IK30" s="39" t="str">
        <f t="shared" si="154"/>
        <v/>
      </c>
      <c r="IL30" s="39" t="str">
        <f t="shared" si="155"/>
        <v/>
      </c>
      <c r="IM30" s="767" t="str">
        <f t="shared" si="156"/>
        <v/>
      </c>
      <c r="IN30" s="579" t="str">
        <f t="shared" si="157"/>
        <v/>
      </c>
      <c r="IO30" s="579" t="str">
        <f t="shared" si="158"/>
        <v/>
      </c>
      <c r="IP30" s="579" t="str">
        <f t="shared" si="159"/>
        <v/>
      </c>
      <c r="IQ30" s="579"/>
      <c r="IR30" s="579" t="str">
        <f t="shared" si="160"/>
        <v/>
      </c>
      <c r="IS30" s="289">
        <f t="shared" si="161"/>
        <v>0</v>
      </c>
      <c r="IT30" s="289">
        <f t="shared" si="162"/>
        <v>0</v>
      </c>
      <c r="IU30" s="223">
        <f>SISWA!E28</f>
        <v>0</v>
      </c>
      <c r="IV30" s="223" t="str">
        <f t="shared" si="163"/>
        <v/>
      </c>
      <c r="IW30" s="580" t="str">
        <f t="shared" si="164"/>
        <v/>
      </c>
      <c r="IX30" s="580" t="str">
        <f t="shared" si="165"/>
        <v/>
      </c>
      <c r="IY30" s="580" t="str">
        <f t="shared" si="166"/>
        <v/>
      </c>
      <c r="IZ30" s="580" t="str">
        <f t="shared" si="167"/>
        <v/>
      </c>
      <c r="JA30" s="580" t="str">
        <f t="shared" si="168"/>
        <v/>
      </c>
      <c r="JB30" s="580" t="str">
        <f t="shared" si="169"/>
        <v/>
      </c>
      <c r="JC30" s="580" t="str">
        <f t="shared" si="170"/>
        <v/>
      </c>
      <c r="JD30" s="580" t="str">
        <f t="shared" si="171"/>
        <v/>
      </c>
      <c r="JE30" s="580" t="str">
        <f t="shared" si="172"/>
        <v/>
      </c>
      <c r="JF30" s="580"/>
      <c r="JG30" s="580"/>
      <c r="JH30" s="223">
        <f t="shared" si="173"/>
        <v>0</v>
      </c>
      <c r="JI30" s="289" t="e">
        <f t="shared" si="174"/>
        <v>#N/A</v>
      </c>
      <c r="JJ30" s="576" t="e">
        <f>IF(IS30&gt;100,"",IF(IS30&gt;EV$1,"sangat baik dalam "&amp;JI30,IF(IS30&gt;=EV$2,"baik dalam "&amp;JI30,IF(IS30&gt;=EV$3,"cukup dalam "&amp;JI30,IF(IS30&lt;EV$3,"dengan bimbingan dapat meningkatkan dalam "&amp;JI30,IF(IS30&lt;1," ",””))))))</f>
        <v>#N/A</v>
      </c>
      <c r="JK30" s="223"/>
      <c r="JL30" s="223" t="str">
        <f t="shared" si="175"/>
        <v/>
      </c>
      <c r="JM30" s="223" t="str">
        <f t="shared" si="176"/>
        <v/>
      </c>
      <c r="JN30" s="223" t="str">
        <f t="shared" si="177"/>
        <v/>
      </c>
      <c r="JO30" s="223" t="str">
        <f t="shared" si="178"/>
        <v/>
      </c>
      <c r="JP30" s="223" t="str">
        <f t="shared" si="179"/>
        <v/>
      </c>
      <c r="JQ30" s="223" t="str">
        <f t="shared" si="180"/>
        <v/>
      </c>
      <c r="JR30" s="223" t="str">
        <f t="shared" si="181"/>
        <v/>
      </c>
      <c r="JS30" s="223" t="str">
        <f t="shared" si="182"/>
        <v/>
      </c>
      <c r="JT30" s="223" t="str">
        <f t="shared" si="183"/>
        <v/>
      </c>
      <c r="JU30" s="223"/>
      <c r="JV30" s="223"/>
      <c r="JW30" s="223" t="e">
        <f t="shared" si="184"/>
        <v>#N/A</v>
      </c>
      <c r="JX30" s="577" t="e">
        <f>IF(IT30&gt;100,"",IF(IT30&gt;=EV$1,"sangat baik dalam "&amp;JW30,IF(IT30&gt;=EV$2,"baik dalam "&amp;JW30,IF(IT30&gt;=EV$3,"cukup dalam "&amp;JW30,IF(IT30&lt;EV$3,"dengan bimbingan dapat meningkatkan dalam "&amp;JW30,IF(IT30&lt;1," ",””))))))</f>
        <v>#N/A</v>
      </c>
      <c r="JY30" s="223" t="e">
        <f t="shared" si="185"/>
        <v>#N/A</v>
      </c>
    </row>
    <row r="31" spans="1:285">
      <c r="A31" s="39">
        <v>24</v>
      </c>
      <c r="B31" s="223">
        <f>SISWA!B29</f>
        <v>0</v>
      </c>
      <c r="C31" s="123"/>
      <c r="D31" s="123"/>
      <c r="E31" s="123"/>
      <c r="F31" s="123"/>
      <c r="G31" s="123"/>
      <c r="H31" s="123"/>
      <c r="I31" s="123"/>
      <c r="J31" s="123"/>
      <c r="K31" s="123"/>
      <c r="L31" s="255"/>
      <c r="M31" s="255"/>
      <c r="N31" s="255"/>
      <c r="O31" s="255"/>
      <c r="P31" s="255"/>
      <c r="Q31" s="255"/>
      <c r="R31" s="255"/>
      <c r="S31" s="255"/>
      <c r="T31" s="255"/>
      <c r="U31" s="256"/>
      <c r="V31" s="256"/>
      <c r="W31" s="256"/>
      <c r="X31" s="256"/>
      <c r="Y31" s="256"/>
      <c r="Z31" s="256"/>
      <c r="AA31" s="256"/>
      <c r="AB31" s="256"/>
      <c r="AC31" s="256"/>
      <c r="AD31" s="123"/>
      <c r="AE31" s="123"/>
      <c r="AF31" s="123"/>
      <c r="AG31" s="123"/>
      <c r="AH31" s="123"/>
      <c r="AI31" s="123"/>
      <c r="AJ31" s="123"/>
      <c r="AK31" s="123"/>
      <c r="AL31" s="123"/>
      <c r="AM31" s="255"/>
      <c r="AN31" s="255"/>
      <c r="AO31" s="255"/>
      <c r="AP31" s="255"/>
      <c r="AQ31" s="255"/>
      <c r="AR31" s="255"/>
      <c r="AS31" s="255"/>
      <c r="AT31" s="255"/>
      <c r="AU31" s="255"/>
      <c r="AV31" s="256"/>
      <c r="AW31" s="256"/>
      <c r="AX31" s="256"/>
      <c r="AY31" s="256"/>
      <c r="AZ31" s="256"/>
      <c r="BA31" s="256"/>
      <c r="BB31" s="256"/>
      <c r="BC31" s="256"/>
      <c r="BD31" s="256"/>
      <c r="BE31" s="123"/>
      <c r="BF31" s="123"/>
      <c r="BG31" s="123"/>
      <c r="BH31" s="123"/>
      <c r="BI31" s="123"/>
      <c r="BJ31" s="123"/>
      <c r="BK31" s="123"/>
      <c r="BL31" s="123"/>
      <c r="BM31" s="123"/>
      <c r="BN31" s="255"/>
      <c r="BO31" s="255"/>
      <c r="BP31" s="255"/>
      <c r="BQ31" s="255"/>
      <c r="BR31" s="255"/>
      <c r="BS31" s="255"/>
      <c r="BT31" s="255"/>
      <c r="BU31" s="255"/>
      <c r="BV31" s="255"/>
      <c r="BW31" s="256"/>
      <c r="BX31" s="256"/>
      <c r="BY31" s="256"/>
      <c r="BZ31" s="256"/>
      <c r="CA31" s="256"/>
      <c r="CB31" s="256"/>
      <c r="CC31" s="256"/>
      <c r="CD31" s="256"/>
      <c r="CE31" s="256"/>
      <c r="CF31" s="123"/>
      <c r="CG31" s="123"/>
      <c r="CH31" s="123"/>
      <c r="CI31" s="123"/>
      <c r="CJ31" s="123"/>
      <c r="CK31" s="123"/>
      <c r="CL31" s="123"/>
      <c r="CM31" s="123"/>
      <c r="CN31" s="123"/>
      <c r="CO31" s="255"/>
      <c r="CP31" s="255"/>
      <c r="CQ31" s="255"/>
      <c r="CR31" s="255"/>
      <c r="CS31" s="255"/>
      <c r="CT31" s="255"/>
      <c r="CU31" s="255"/>
      <c r="CV31" s="255"/>
      <c r="CW31" s="255"/>
      <c r="CX31" s="256"/>
      <c r="CY31" s="256"/>
      <c r="CZ31" s="256"/>
      <c r="DA31" s="256"/>
      <c r="DB31" s="256"/>
      <c r="DC31" s="256"/>
      <c r="DD31" s="256"/>
      <c r="DE31" s="256"/>
      <c r="DF31" s="256"/>
      <c r="DG31" s="458"/>
      <c r="DH31" s="458"/>
      <c r="DI31" s="458"/>
      <c r="DJ31" s="458"/>
      <c r="DK31" s="458"/>
      <c r="DL31" s="458"/>
      <c r="DM31" s="458"/>
      <c r="DN31" s="458"/>
      <c r="DO31" s="458"/>
      <c r="DP31" s="457"/>
      <c r="DQ31" s="457"/>
      <c r="DR31" s="457"/>
      <c r="DS31" s="457"/>
      <c r="DT31" s="457"/>
      <c r="DU31" s="457"/>
      <c r="DV31" s="457"/>
      <c r="DW31" s="457"/>
      <c r="DX31" s="457"/>
      <c r="DY31" s="256"/>
      <c r="DZ31" s="256"/>
      <c r="EA31" s="256"/>
      <c r="EB31" s="256"/>
      <c r="EC31" s="256"/>
      <c r="ED31" s="256"/>
      <c r="EE31" s="256"/>
      <c r="EF31" s="256"/>
      <c r="EG31" s="256"/>
      <c r="EH31" s="257" t="str">
        <f t="shared" si="55"/>
        <v/>
      </c>
      <c r="EI31" s="257" t="str">
        <f t="shared" si="56"/>
        <v/>
      </c>
      <c r="EJ31" s="257" t="str">
        <f t="shared" si="57"/>
        <v/>
      </c>
      <c r="EK31" s="257" t="str">
        <f t="shared" si="58"/>
        <v/>
      </c>
      <c r="EL31" s="257" t="str">
        <f t="shared" si="59"/>
        <v/>
      </c>
      <c r="EM31" s="257" t="str">
        <f t="shared" si="60"/>
        <v/>
      </c>
      <c r="EN31" s="257" t="str">
        <f t="shared" si="61"/>
        <v/>
      </c>
      <c r="EO31" s="257" t="str">
        <f t="shared" si="62"/>
        <v/>
      </c>
      <c r="EP31" s="257" t="str">
        <f t="shared" si="63"/>
        <v/>
      </c>
      <c r="EQ31" s="579" t="str">
        <f t="shared" si="64"/>
        <v/>
      </c>
      <c r="ER31" s="291" t="str">
        <f t="shared" si="65"/>
        <v xml:space="preserve">  </v>
      </c>
      <c r="ES31" s="243" t="str">
        <f t="shared" si="66"/>
        <v xml:space="preserve"> </v>
      </c>
      <c r="ET31" s="39"/>
      <c r="EU31" s="39"/>
      <c r="EV31" s="257">
        <f t="shared" si="67"/>
        <v>0</v>
      </c>
      <c r="EW31" s="257">
        <f t="shared" si="68"/>
        <v>0</v>
      </c>
      <c r="EX31" s="257">
        <f t="shared" si="69"/>
        <v>0</v>
      </c>
      <c r="EY31" s="257">
        <f t="shared" si="70"/>
        <v>0</v>
      </c>
      <c r="EZ31" s="257">
        <f t="shared" si="71"/>
        <v>0</v>
      </c>
      <c r="FA31" s="257">
        <f t="shared" si="72"/>
        <v>0</v>
      </c>
      <c r="FB31" s="257">
        <f t="shared" si="73"/>
        <v>0</v>
      </c>
      <c r="FC31" s="257">
        <f t="shared" si="74"/>
        <v>0</v>
      </c>
      <c r="FD31" s="257">
        <f t="shared" si="75"/>
        <v>0</v>
      </c>
      <c r="FE31" s="257"/>
      <c r="FF31" s="289">
        <f t="shared" si="76"/>
        <v>0</v>
      </c>
      <c r="FG31" s="575">
        <f t="shared" si="77"/>
        <v>0</v>
      </c>
      <c r="FH31" s="575">
        <f t="shared" si="78"/>
        <v>0</v>
      </c>
      <c r="FI31" s="575">
        <f t="shared" si="79"/>
        <v>0</v>
      </c>
      <c r="FJ31" s="575">
        <f t="shared" si="80"/>
        <v>0</v>
      </c>
      <c r="FK31" s="575">
        <f t="shared" si="81"/>
        <v>0</v>
      </c>
      <c r="FL31" s="575">
        <f t="shared" si="82"/>
        <v>0</v>
      </c>
      <c r="FM31" s="575">
        <f t="shared" si="83"/>
        <v>0</v>
      </c>
      <c r="FN31" s="575">
        <f t="shared" si="84"/>
        <v>0</v>
      </c>
      <c r="FO31" s="575">
        <f t="shared" si="85"/>
        <v>0</v>
      </c>
      <c r="FP31" s="258"/>
      <c r="FQ31" s="289">
        <f t="shared" si="86"/>
        <v>0</v>
      </c>
      <c r="FR31" s="765">
        <f t="shared" si="87"/>
        <v>0</v>
      </c>
      <c r="FS31" s="765">
        <f t="shared" si="88"/>
        <v>0</v>
      </c>
      <c r="FT31" s="765">
        <f t="shared" si="89"/>
        <v>0</v>
      </c>
      <c r="FU31" s="765">
        <f t="shared" si="90"/>
        <v>0</v>
      </c>
      <c r="FV31" s="765">
        <f t="shared" si="91"/>
        <v>0</v>
      </c>
      <c r="FW31" s="765">
        <f t="shared" si="92"/>
        <v>0</v>
      </c>
      <c r="FX31" s="765">
        <f t="shared" si="93"/>
        <v>0</v>
      </c>
      <c r="FY31" s="765">
        <f t="shared" si="94"/>
        <v>0</v>
      </c>
      <c r="FZ31" s="765">
        <f t="shared" si="95"/>
        <v>0</v>
      </c>
      <c r="GA31" s="766"/>
      <c r="GB31" s="289">
        <f t="shared" si="96"/>
        <v>0</v>
      </c>
      <c r="GC31" s="257">
        <f t="shared" si="97"/>
        <v>0</v>
      </c>
      <c r="GD31" s="257">
        <f t="shared" si="98"/>
        <v>0</v>
      </c>
      <c r="GE31" s="257">
        <f t="shared" si="99"/>
        <v>0</v>
      </c>
      <c r="GF31" s="575">
        <f t="shared" si="100"/>
        <v>3</v>
      </c>
      <c r="GG31" s="506">
        <f t="shared" si="101"/>
        <v>0</v>
      </c>
      <c r="GH31" s="39" t="str">
        <f t="shared" si="102"/>
        <v/>
      </c>
      <c r="GI31" s="257">
        <f t="shared" si="103"/>
        <v>0</v>
      </c>
      <c r="GJ31" s="257">
        <f t="shared" si="104"/>
        <v>0</v>
      </c>
      <c r="GK31" s="257">
        <f t="shared" si="105"/>
        <v>0</v>
      </c>
      <c r="GL31" s="575">
        <f t="shared" si="106"/>
        <v>3</v>
      </c>
      <c r="GM31" s="506">
        <f t="shared" si="107"/>
        <v>0</v>
      </c>
      <c r="GN31" s="39" t="str">
        <f t="shared" si="108"/>
        <v/>
      </c>
      <c r="GO31" s="257">
        <f t="shared" si="109"/>
        <v>0</v>
      </c>
      <c r="GP31" s="257">
        <f t="shared" si="110"/>
        <v>0</v>
      </c>
      <c r="GQ31" s="257">
        <f t="shared" si="111"/>
        <v>0</v>
      </c>
      <c r="GR31" s="575">
        <f t="shared" si="112"/>
        <v>3</v>
      </c>
      <c r="GS31" s="506">
        <f t="shared" si="113"/>
        <v>0</v>
      </c>
      <c r="GT31" s="39" t="str">
        <f t="shared" si="114"/>
        <v/>
      </c>
      <c r="GU31" s="257">
        <f t="shared" si="115"/>
        <v>0</v>
      </c>
      <c r="GV31" s="257">
        <f t="shared" si="116"/>
        <v>0</v>
      </c>
      <c r="GW31" s="257">
        <f t="shared" si="117"/>
        <v>0</v>
      </c>
      <c r="GX31" s="575">
        <f t="shared" si="118"/>
        <v>3</v>
      </c>
      <c r="GY31" s="506">
        <f t="shared" si="119"/>
        <v>0</v>
      </c>
      <c r="GZ31" s="39" t="str">
        <f t="shared" si="120"/>
        <v/>
      </c>
      <c r="HA31" s="257">
        <f t="shared" si="121"/>
        <v>0</v>
      </c>
      <c r="HB31" s="257">
        <f t="shared" si="122"/>
        <v>0</v>
      </c>
      <c r="HC31" s="257">
        <f t="shared" si="123"/>
        <v>0</v>
      </c>
      <c r="HD31" s="575">
        <f t="shared" si="124"/>
        <v>3</v>
      </c>
      <c r="HE31" s="506">
        <f t="shared" si="125"/>
        <v>0</v>
      </c>
      <c r="HF31" s="39" t="str">
        <f t="shared" si="126"/>
        <v/>
      </c>
      <c r="HG31" s="257">
        <f t="shared" si="127"/>
        <v>0</v>
      </c>
      <c r="HH31" s="257">
        <f t="shared" si="128"/>
        <v>0</v>
      </c>
      <c r="HI31" s="257">
        <f t="shared" si="129"/>
        <v>0</v>
      </c>
      <c r="HJ31" s="575">
        <f t="shared" si="130"/>
        <v>3</v>
      </c>
      <c r="HK31" s="506">
        <f t="shared" si="131"/>
        <v>0</v>
      </c>
      <c r="HL31" s="39" t="str">
        <f t="shared" si="132"/>
        <v/>
      </c>
      <c r="HM31" s="257">
        <f t="shared" si="133"/>
        <v>0</v>
      </c>
      <c r="HN31" s="257">
        <f t="shared" si="134"/>
        <v>0</v>
      </c>
      <c r="HO31" s="257">
        <f t="shared" si="135"/>
        <v>0</v>
      </c>
      <c r="HP31" s="575">
        <f t="shared" si="136"/>
        <v>3</v>
      </c>
      <c r="HQ31" s="506">
        <f t="shared" si="137"/>
        <v>0</v>
      </c>
      <c r="HR31" s="39" t="str">
        <f t="shared" si="138"/>
        <v/>
      </c>
      <c r="HS31" s="257">
        <f t="shared" si="139"/>
        <v>0</v>
      </c>
      <c r="HT31" s="257">
        <f t="shared" si="140"/>
        <v>0</v>
      </c>
      <c r="HU31" s="257">
        <f t="shared" si="141"/>
        <v>0</v>
      </c>
      <c r="HV31" s="575">
        <f t="shared" si="142"/>
        <v>3</v>
      </c>
      <c r="HW31" s="506">
        <f t="shared" si="143"/>
        <v>0</v>
      </c>
      <c r="HX31" s="39" t="str">
        <f t="shared" si="144"/>
        <v/>
      </c>
      <c r="HY31" s="257">
        <f t="shared" si="145"/>
        <v>0</v>
      </c>
      <c r="HZ31" s="257">
        <f t="shared" si="146"/>
        <v>0</v>
      </c>
      <c r="IA31" s="257">
        <f t="shared" si="147"/>
        <v>0</v>
      </c>
      <c r="IB31" s="575">
        <f t="shared" si="148"/>
        <v>3</v>
      </c>
      <c r="IC31" s="506">
        <f t="shared" si="149"/>
        <v>0</v>
      </c>
      <c r="ID31" s="39" t="str">
        <f t="shared" si="150"/>
        <v/>
      </c>
      <c r="IE31" s="39"/>
      <c r="IF31" s="39"/>
      <c r="IG31" s="39"/>
      <c r="IH31" s="39" t="str">
        <f t="shared" si="151"/>
        <v/>
      </c>
      <c r="II31" s="39" t="str">
        <f t="shared" si="152"/>
        <v/>
      </c>
      <c r="IJ31" s="39" t="str">
        <f t="shared" si="153"/>
        <v/>
      </c>
      <c r="IK31" s="39" t="str">
        <f t="shared" si="154"/>
        <v/>
      </c>
      <c r="IL31" s="39" t="str">
        <f t="shared" si="155"/>
        <v/>
      </c>
      <c r="IM31" s="767" t="str">
        <f t="shared" si="156"/>
        <v/>
      </c>
      <c r="IN31" s="579" t="str">
        <f t="shared" si="157"/>
        <v/>
      </c>
      <c r="IO31" s="579" t="str">
        <f t="shared" si="158"/>
        <v/>
      </c>
      <c r="IP31" s="579" t="str">
        <f t="shared" si="159"/>
        <v/>
      </c>
      <c r="IQ31" s="579"/>
      <c r="IR31" s="579" t="str">
        <f t="shared" si="160"/>
        <v/>
      </c>
      <c r="IS31" s="289">
        <f t="shared" si="161"/>
        <v>0</v>
      </c>
      <c r="IT31" s="289">
        <f t="shared" si="162"/>
        <v>0</v>
      </c>
      <c r="IU31" s="223">
        <f>SISWA!E29</f>
        <v>0</v>
      </c>
      <c r="IV31" s="223" t="str">
        <f t="shared" si="163"/>
        <v/>
      </c>
      <c r="IW31" s="580" t="str">
        <f t="shared" si="164"/>
        <v/>
      </c>
      <c r="IX31" s="580" t="str">
        <f t="shared" si="165"/>
        <v/>
      </c>
      <c r="IY31" s="580" t="str">
        <f t="shared" si="166"/>
        <v/>
      </c>
      <c r="IZ31" s="580" t="str">
        <f t="shared" si="167"/>
        <v/>
      </c>
      <c r="JA31" s="580" t="str">
        <f t="shared" si="168"/>
        <v/>
      </c>
      <c r="JB31" s="580" t="str">
        <f t="shared" si="169"/>
        <v/>
      </c>
      <c r="JC31" s="580" t="str">
        <f t="shared" si="170"/>
        <v/>
      </c>
      <c r="JD31" s="580" t="str">
        <f t="shared" si="171"/>
        <v/>
      </c>
      <c r="JE31" s="580" t="str">
        <f t="shared" si="172"/>
        <v/>
      </c>
      <c r="JF31" s="580"/>
      <c r="JG31" s="580"/>
      <c r="JH31" s="223">
        <f t="shared" si="173"/>
        <v>0</v>
      </c>
      <c r="JI31" s="289" t="e">
        <f t="shared" si="174"/>
        <v>#N/A</v>
      </c>
      <c r="JJ31" s="576" t="e">
        <f>IF(IS31&gt;100,"",IF(IS31&gt;EV$1,"sangat baik dalam "&amp;JI31,IF(IS31&gt;=EV$2,"baik dalam "&amp;JI31,IF(IS31&gt;=EV$3,"cukup dalam "&amp;JI31,IF(IS31&lt;EV$3,"dengan bimbingan dapat meningkatkan dalam "&amp;JI31,IF(IS31&lt;1," ",””))))))</f>
        <v>#N/A</v>
      </c>
      <c r="JK31" s="223"/>
      <c r="JL31" s="223" t="str">
        <f t="shared" si="175"/>
        <v/>
      </c>
      <c r="JM31" s="223" t="str">
        <f t="shared" si="176"/>
        <v/>
      </c>
      <c r="JN31" s="223" t="str">
        <f t="shared" si="177"/>
        <v/>
      </c>
      <c r="JO31" s="223" t="str">
        <f t="shared" si="178"/>
        <v/>
      </c>
      <c r="JP31" s="223" t="str">
        <f t="shared" si="179"/>
        <v/>
      </c>
      <c r="JQ31" s="223" t="str">
        <f t="shared" si="180"/>
        <v/>
      </c>
      <c r="JR31" s="223" t="str">
        <f t="shared" si="181"/>
        <v/>
      </c>
      <c r="JS31" s="223" t="str">
        <f t="shared" si="182"/>
        <v/>
      </c>
      <c r="JT31" s="223" t="str">
        <f t="shared" si="183"/>
        <v/>
      </c>
      <c r="JU31" s="223"/>
      <c r="JV31" s="223"/>
      <c r="JW31" s="223" t="e">
        <f t="shared" si="184"/>
        <v>#N/A</v>
      </c>
      <c r="JX31" s="577" t="e">
        <f>IF(IT31&gt;100,"",IF(IT31&gt;=EV$1,"sangat baik dalam "&amp;JW31,IF(IT31&gt;=EV$2,"baik dalam "&amp;JW31,IF(IT31&gt;=EV$3,"cukup dalam "&amp;JW31,IF(IT31&lt;EV$3,"dengan bimbingan dapat meningkatkan dalam "&amp;JW31,IF(IT31&lt;1," ",””))))))</f>
        <v>#N/A</v>
      </c>
      <c r="JY31" s="223" t="e">
        <f t="shared" si="185"/>
        <v>#N/A</v>
      </c>
    </row>
    <row r="32" spans="1:285">
      <c r="A32" s="39">
        <v>25</v>
      </c>
      <c r="B32" s="223">
        <f>SISWA!B30</f>
        <v>0</v>
      </c>
      <c r="C32" s="123"/>
      <c r="D32" s="123"/>
      <c r="E32" s="123"/>
      <c r="F32" s="123"/>
      <c r="G32" s="123"/>
      <c r="H32" s="123"/>
      <c r="I32" s="123"/>
      <c r="J32" s="123"/>
      <c r="K32" s="123"/>
      <c r="L32" s="255"/>
      <c r="M32" s="255"/>
      <c r="N32" s="255"/>
      <c r="O32" s="255"/>
      <c r="P32" s="255"/>
      <c r="Q32" s="255"/>
      <c r="R32" s="255"/>
      <c r="S32" s="255"/>
      <c r="T32" s="255"/>
      <c r="U32" s="256"/>
      <c r="V32" s="256"/>
      <c r="W32" s="256"/>
      <c r="X32" s="256"/>
      <c r="Y32" s="256"/>
      <c r="Z32" s="256"/>
      <c r="AA32" s="256"/>
      <c r="AB32" s="256"/>
      <c r="AC32" s="256"/>
      <c r="AD32" s="123"/>
      <c r="AE32" s="123"/>
      <c r="AF32" s="123"/>
      <c r="AG32" s="123"/>
      <c r="AH32" s="123"/>
      <c r="AI32" s="123"/>
      <c r="AJ32" s="123"/>
      <c r="AK32" s="123"/>
      <c r="AL32" s="123"/>
      <c r="AM32" s="255"/>
      <c r="AN32" s="255"/>
      <c r="AO32" s="255"/>
      <c r="AP32" s="255"/>
      <c r="AQ32" s="255"/>
      <c r="AR32" s="255"/>
      <c r="AS32" s="255"/>
      <c r="AT32" s="255"/>
      <c r="AU32" s="255"/>
      <c r="AV32" s="256"/>
      <c r="AW32" s="256"/>
      <c r="AX32" s="256"/>
      <c r="AY32" s="256"/>
      <c r="AZ32" s="256"/>
      <c r="BA32" s="256"/>
      <c r="BB32" s="256"/>
      <c r="BC32" s="256"/>
      <c r="BD32" s="256"/>
      <c r="BE32" s="123"/>
      <c r="BF32" s="123"/>
      <c r="BG32" s="123"/>
      <c r="BH32" s="123"/>
      <c r="BI32" s="123"/>
      <c r="BJ32" s="123"/>
      <c r="BK32" s="123"/>
      <c r="BL32" s="123"/>
      <c r="BM32" s="123"/>
      <c r="BN32" s="255"/>
      <c r="BO32" s="255"/>
      <c r="BP32" s="255"/>
      <c r="BQ32" s="255"/>
      <c r="BR32" s="255"/>
      <c r="BS32" s="255"/>
      <c r="BT32" s="255"/>
      <c r="BU32" s="255"/>
      <c r="BV32" s="255"/>
      <c r="BW32" s="256"/>
      <c r="BX32" s="256"/>
      <c r="BY32" s="256"/>
      <c r="BZ32" s="256"/>
      <c r="CA32" s="256"/>
      <c r="CB32" s="256"/>
      <c r="CC32" s="256"/>
      <c r="CD32" s="256"/>
      <c r="CE32" s="256"/>
      <c r="CF32" s="123"/>
      <c r="CG32" s="123"/>
      <c r="CH32" s="123"/>
      <c r="CI32" s="123"/>
      <c r="CJ32" s="123"/>
      <c r="CK32" s="123"/>
      <c r="CL32" s="123"/>
      <c r="CM32" s="123"/>
      <c r="CN32" s="123"/>
      <c r="CO32" s="255"/>
      <c r="CP32" s="255"/>
      <c r="CQ32" s="255"/>
      <c r="CR32" s="255"/>
      <c r="CS32" s="255"/>
      <c r="CT32" s="255"/>
      <c r="CU32" s="255"/>
      <c r="CV32" s="255"/>
      <c r="CW32" s="255"/>
      <c r="CX32" s="256"/>
      <c r="CY32" s="256"/>
      <c r="CZ32" s="256"/>
      <c r="DA32" s="256"/>
      <c r="DB32" s="256"/>
      <c r="DC32" s="256"/>
      <c r="DD32" s="256"/>
      <c r="DE32" s="256"/>
      <c r="DF32" s="256"/>
      <c r="DG32" s="458"/>
      <c r="DH32" s="458"/>
      <c r="DI32" s="458"/>
      <c r="DJ32" s="458"/>
      <c r="DK32" s="458"/>
      <c r="DL32" s="458"/>
      <c r="DM32" s="458"/>
      <c r="DN32" s="458"/>
      <c r="DO32" s="458"/>
      <c r="DP32" s="457"/>
      <c r="DQ32" s="457"/>
      <c r="DR32" s="457"/>
      <c r="DS32" s="457"/>
      <c r="DT32" s="457"/>
      <c r="DU32" s="457"/>
      <c r="DV32" s="457"/>
      <c r="DW32" s="457"/>
      <c r="DX32" s="457"/>
      <c r="DY32" s="256"/>
      <c r="DZ32" s="256"/>
      <c r="EA32" s="256"/>
      <c r="EB32" s="256"/>
      <c r="EC32" s="256"/>
      <c r="ED32" s="256"/>
      <c r="EE32" s="256"/>
      <c r="EF32" s="256"/>
      <c r="EG32" s="256"/>
      <c r="EH32" s="257" t="str">
        <f t="shared" si="55"/>
        <v/>
      </c>
      <c r="EI32" s="257" t="str">
        <f t="shared" si="56"/>
        <v/>
      </c>
      <c r="EJ32" s="257" t="str">
        <f t="shared" si="57"/>
        <v/>
      </c>
      <c r="EK32" s="257" t="str">
        <f t="shared" si="58"/>
        <v/>
      </c>
      <c r="EL32" s="257" t="str">
        <f t="shared" si="59"/>
        <v/>
      </c>
      <c r="EM32" s="257" t="str">
        <f t="shared" si="60"/>
        <v/>
      </c>
      <c r="EN32" s="257" t="str">
        <f t="shared" si="61"/>
        <v/>
      </c>
      <c r="EO32" s="257" t="str">
        <f t="shared" si="62"/>
        <v/>
      </c>
      <c r="EP32" s="257" t="str">
        <f t="shared" si="63"/>
        <v/>
      </c>
      <c r="EQ32" s="579" t="str">
        <f t="shared" si="64"/>
        <v/>
      </c>
      <c r="ER32" s="291" t="str">
        <f t="shared" si="65"/>
        <v xml:space="preserve">  </v>
      </c>
      <c r="ES32" s="243" t="str">
        <f t="shared" si="66"/>
        <v xml:space="preserve"> </v>
      </c>
      <c r="ET32" s="39"/>
      <c r="EU32" s="39"/>
      <c r="EV32" s="257">
        <f t="shared" si="67"/>
        <v>0</v>
      </c>
      <c r="EW32" s="257">
        <f t="shared" si="68"/>
        <v>0</v>
      </c>
      <c r="EX32" s="257">
        <f t="shared" si="69"/>
        <v>0</v>
      </c>
      <c r="EY32" s="257">
        <f t="shared" si="70"/>
        <v>0</v>
      </c>
      <c r="EZ32" s="257">
        <f t="shared" si="71"/>
        <v>0</v>
      </c>
      <c r="FA32" s="257">
        <f t="shared" si="72"/>
        <v>0</v>
      </c>
      <c r="FB32" s="257">
        <f t="shared" si="73"/>
        <v>0</v>
      </c>
      <c r="FC32" s="257">
        <f t="shared" si="74"/>
        <v>0</v>
      </c>
      <c r="FD32" s="257">
        <f t="shared" si="75"/>
        <v>0</v>
      </c>
      <c r="FE32" s="257"/>
      <c r="FF32" s="289">
        <f t="shared" si="76"/>
        <v>0</v>
      </c>
      <c r="FG32" s="575">
        <f t="shared" si="77"/>
        <v>0</v>
      </c>
      <c r="FH32" s="575">
        <f t="shared" si="78"/>
        <v>0</v>
      </c>
      <c r="FI32" s="575">
        <f t="shared" si="79"/>
        <v>0</v>
      </c>
      <c r="FJ32" s="575">
        <f t="shared" si="80"/>
        <v>0</v>
      </c>
      <c r="FK32" s="575">
        <f t="shared" si="81"/>
        <v>0</v>
      </c>
      <c r="FL32" s="575">
        <f t="shared" si="82"/>
        <v>0</v>
      </c>
      <c r="FM32" s="575">
        <f t="shared" si="83"/>
        <v>0</v>
      </c>
      <c r="FN32" s="575">
        <f t="shared" si="84"/>
        <v>0</v>
      </c>
      <c r="FO32" s="575">
        <f t="shared" si="85"/>
        <v>0</v>
      </c>
      <c r="FP32" s="258"/>
      <c r="FQ32" s="289">
        <f t="shared" si="86"/>
        <v>0</v>
      </c>
      <c r="FR32" s="765">
        <f t="shared" si="87"/>
        <v>0</v>
      </c>
      <c r="FS32" s="765">
        <f t="shared" si="88"/>
        <v>0</v>
      </c>
      <c r="FT32" s="765">
        <f t="shared" si="89"/>
        <v>0</v>
      </c>
      <c r="FU32" s="765">
        <f t="shared" si="90"/>
        <v>0</v>
      </c>
      <c r="FV32" s="765">
        <f t="shared" si="91"/>
        <v>0</v>
      </c>
      <c r="FW32" s="765">
        <f t="shared" si="92"/>
        <v>0</v>
      </c>
      <c r="FX32" s="765">
        <f t="shared" si="93"/>
        <v>0</v>
      </c>
      <c r="FY32" s="765">
        <f t="shared" si="94"/>
        <v>0</v>
      </c>
      <c r="FZ32" s="765">
        <f t="shared" si="95"/>
        <v>0</v>
      </c>
      <c r="GA32" s="766"/>
      <c r="GB32" s="289">
        <f t="shared" si="96"/>
        <v>0</v>
      </c>
      <c r="GC32" s="257">
        <f t="shared" si="97"/>
        <v>0</v>
      </c>
      <c r="GD32" s="257">
        <f t="shared" si="98"/>
        <v>0</v>
      </c>
      <c r="GE32" s="257">
        <f t="shared" si="99"/>
        <v>0</v>
      </c>
      <c r="GF32" s="575">
        <f t="shared" si="100"/>
        <v>3</v>
      </c>
      <c r="GG32" s="506">
        <f t="shared" si="101"/>
        <v>0</v>
      </c>
      <c r="GH32" s="39" t="str">
        <f t="shared" si="102"/>
        <v/>
      </c>
      <c r="GI32" s="257">
        <f t="shared" si="103"/>
        <v>0</v>
      </c>
      <c r="GJ32" s="257">
        <f t="shared" si="104"/>
        <v>0</v>
      </c>
      <c r="GK32" s="257">
        <f t="shared" si="105"/>
        <v>0</v>
      </c>
      <c r="GL32" s="575">
        <f t="shared" si="106"/>
        <v>3</v>
      </c>
      <c r="GM32" s="506">
        <f t="shared" si="107"/>
        <v>0</v>
      </c>
      <c r="GN32" s="39" t="str">
        <f t="shared" si="108"/>
        <v/>
      </c>
      <c r="GO32" s="257">
        <f t="shared" si="109"/>
        <v>0</v>
      </c>
      <c r="GP32" s="257">
        <f t="shared" si="110"/>
        <v>0</v>
      </c>
      <c r="GQ32" s="257">
        <f t="shared" si="111"/>
        <v>0</v>
      </c>
      <c r="GR32" s="575">
        <f t="shared" si="112"/>
        <v>3</v>
      </c>
      <c r="GS32" s="506">
        <f t="shared" si="113"/>
        <v>0</v>
      </c>
      <c r="GT32" s="39" t="str">
        <f t="shared" si="114"/>
        <v/>
      </c>
      <c r="GU32" s="257">
        <f t="shared" si="115"/>
        <v>0</v>
      </c>
      <c r="GV32" s="257">
        <f t="shared" si="116"/>
        <v>0</v>
      </c>
      <c r="GW32" s="257">
        <f t="shared" si="117"/>
        <v>0</v>
      </c>
      <c r="GX32" s="575">
        <f t="shared" si="118"/>
        <v>3</v>
      </c>
      <c r="GY32" s="506">
        <f t="shared" si="119"/>
        <v>0</v>
      </c>
      <c r="GZ32" s="39" t="str">
        <f t="shared" si="120"/>
        <v/>
      </c>
      <c r="HA32" s="257">
        <f t="shared" si="121"/>
        <v>0</v>
      </c>
      <c r="HB32" s="257">
        <f t="shared" si="122"/>
        <v>0</v>
      </c>
      <c r="HC32" s="257">
        <f t="shared" si="123"/>
        <v>0</v>
      </c>
      <c r="HD32" s="575">
        <f t="shared" si="124"/>
        <v>3</v>
      </c>
      <c r="HE32" s="506">
        <f t="shared" si="125"/>
        <v>0</v>
      </c>
      <c r="HF32" s="39" t="str">
        <f t="shared" si="126"/>
        <v/>
      </c>
      <c r="HG32" s="257">
        <f t="shared" si="127"/>
        <v>0</v>
      </c>
      <c r="HH32" s="257">
        <f t="shared" si="128"/>
        <v>0</v>
      </c>
      <c r="HI32" s="257">
        <f t="shared" si="129"/>
        <v>0</v>
      </c>
      <c r="HJ32" s="575">
        <f t="shared" si="130"/>
        <v>3</v>
      </c>
      <c r="HK32" s="506">
        <f t="shared" si="131"/>
        <v>0</v>
      </c>
      <c r="HL32" s="39" t="str">
        <f t="shared" si="132"/>
        <v/>
      </c>
      <c r="HM32" s="257">
        <f t="shared" si="133"/>
        <v>0</v>
      </c>
      <c r="HN32" s="257">
        <f t="shared" si="134"/>
        <v>0</v>
      </c>
      <c r="HO32" s="257">
        <f t="shared" si="135"/>
        <v>0</v>
      </c>
      <c r="HP32" s="575">
        <f t="shared" si="136"/>
        <v>3</v>
      </c>
      <c r="HQ32" s="506">
        <f t="shared" si="137"/>
        <v>0</v>
      </c>
      <c r="HR32" s="39" t="str">
        <f t="shared" si="138"/>
        <v/>
      </c>
      <c r="HS32" s="257">
        <f t="shared" si="139"/>
        <v>0</v>
      </c>
      <c r="HT32" s="257">
        <f t="shared" si="140"/>
        <v>0</v>
      </c>
      <c r="HU32" s="257">
        <f t="shared" si="141"/>
        <v>0</v>
      </c>
      <c r="HV32" s="575">
        <f t="shared" si="142"/>
        <v>3</v>
      </c>
      <c r="HW32" s="506">
        <f t="shared" si="143"/>
        <v>0</v>
      </c>
      <c r="HX32" s="39" t="str">
        <f t="shared" si="144"/>
        <v/>
      </c>
      <c r="HY32" s="257">
        <f t="shared" si="145"/>
        <v>0</v>
      </c>
      <c r="HZ32" s="257">
        <f t="shared" si="146"/>
        <v>0</v>
      </c>
      <c r="IA32" s="257">
        <f t="shared" si="147"/>
        <v>0</v>
      </c>
      <c r="IB32" s="575">
        <f t="shared" si="148"/>
        <v>3</v>
      </c>
      <c r="IC32" s="506">
        <f t="shared" si="149"/>
        <v>0</v>
      </c>
      <c r="ID32" s="39" t="str">
        <f t="shared" si="150"/>
        <v/>
      </c>
      <c r="IE32" s="39"/>
      <c r="IF32" s="39"/>
      <c r="IG32" s="39"/>
      <c r="IH32" s="39" t="str">
        <f t="shared" si="151"/>
        <v/>
      </c>
      <c r="II32" s="39" t="str">
        <f t="shared" si="152"/>
        <v/>
      </c>
      <c r="IJ32" s="39" t="str">
        <f t="shared" si="153"/>
        <v/>
      </c>
      <c r="IK32" s="39" t="str">
        <f t="shared" si="154"/>
        <v/>
      </c>
      <c r="IL32" s="39" t="str">
        <f t="shared" si="155"/>
        <v/>
      </c>
      <c r="IM32" s="767" t="str">
        <f t="shared" si="156"/>
        <v/>
      </c>
      <c r="IN32" s="579" t="str">
        <f t="shared" si="157"/>
        <v/>
      </c>
      <c r="IO32" s="579" t="str">
        <f t="shared" si="158"/>
        <v/>
      </c>
      <c r="IP32" s="579" t="str">
        <f t="shared" si="159"/>
        <v/>
      </c>
      <c r="IQ32" s="579"/>
      <c r="IR32" s="579" t="str">
        <f t="shared" si="160"/>
        <v/>
      </c>
      <c r="IS32" s="289">
        <f t="shared" si="161"/>
        <v>0</v>
      </c>
      <c r="IT32" s="289">
        <f t="shared" si="162"/>
        <v>0</v>
      </c>
      <c r="IU32" s="223">
        <f>SISWA!E30</f>
        <v>0</v>
      </c>
      <c r="IV32" s="223" t="str">
        <f t="shared" si="163"/>
        <v/>
      </c>
      <c r="IW32" s="580" t="str">
        <f t="shared" si="164"/>
        <v/>
      </c>
      <c r="IX32" s="580" t="str">
        <f t="shared" si="165"/>
        <v/>
      </c>
      <c r="IY32" s="580" t="str">
        <f t="shared" si="166"/>
        <v/>
      </c>
      <c r="IZ32" s="580" t="str">
        <f t="shared" si="167"/>
        <v/>
      </c>
      <c r="JA32" s="580" t="str">
        <f t="shared" si="168"/>
        <v/>
      </c>
      <c r="JB32" s="580" t="str">
        <f t="shared" si="169"/>
        <v/>
      </c>
      <c r="JC32" s="580" t="str">
        <f t="shared" si="170"/>
        <v/>
      </c>
      <c r="JD32" s="580" t="str">
        <f t="shared" si="171"/>
        <v/>
      </c>
      <c r="JE32" s="580" t="str">
        <f t="shared" si="172"/>
        <v/>
      </c>
      <c r="JF32" s="580"/>
      <c r="JG32" s="580"/>
      <c r="JH32" s="223">
        <f t="shared" si="173"/>
        <v>0</v>
      </c>
      <c r="JI32" s="289" t="e">
        <f t="shared" si="174"/>
        <v>#N/A</v>
      </c>
      <c r="JJ32" s="576" t="e">
        <f>IF(IS32&gt;100,"",IF(IS32&gt;EV$1,"sangat baik dalam "&amp;JI32,IF(IS32&gt;=EV$2,"baik dalam "&amp;JI32,IF(IS32&gt;=EV$3,"cukup dalam "&amp;JI32,IF(IS32&lt;EV$3,"dengan bimbingan dapat meningkatkan dalam "&amp;JI32,IF(IS32&lt;1," ",””))))))</f>
        <v>#N/A</v>
      </c>
      <c r="JK32" s="223"/>
      <c r="JL32" s="223" t="str">
        <f t="shared" si="175"/>
        <v/>
      </c>
      <c r="JM32" s="223" t="str">
        <f t="shared" si="176"/>
        <v/>
      </c>
      <c r="JN32" s="223" t="str">
        <f t="shared" si="177"/>
        <v/>
      </c>
      <c r="JO32" s="223" t="str">
        <f t="shared" si="178"/>
        <v/>
      </c>
      <c r="JP32" s="223" t="str">
        <f t="shared" si="179"/>
        <v/>
      </c>
      <c r="JQ32" s="223" t="str">
        <f t="shared" si="180"/>
        <v/>
      </c>
      <c r="JR32" s="223" t="str">
        <f t="shared" si="181"/>
        <v/>
      </c>
      <c r="JS32" s="223" t="str">
        <f t="shared" si="182"/>
        <v/>
      </c>
      <c r="JT32" s="223" t="str">
        <f t="shared" si="183"/>
        <v/>
      </c>
      <c r="JU32" s="223"/>
      <c r="JV32" s="223"/>
      <c r="JW32" s="223" t="e">
        <f t="shared" si="184"/>
        <v>#N/A</v>
      </c>
      <c r="JX32" s="577" t="e">
        <f>IF(IT32&gt;100,"",IF(IT32&gt;=EV$1,"sangat baik dalam "&amp;JW32,IF(IT32&gt;=EV$2,"baik dalam "&amp;JW32,IF(IT32&gt;=EV$3,"cukup dalam "&amp;JW32,IF(IT32&lt;EV$3,"dengan bimbingan dapat meningkatkan dalam "&amp;JW32,IF(IT32&lt;1," ",””))))))</f>
        <v>#N/A</v>
      </c>
      <c r="JY32" s="223" t="e">
        <f t="shared" si="185"/>
        <v>#N/A</v>
      </c>
    </row>
    <row r="33" spans="1:285">
      <c r="A33" s="39">
        <v>26</v>
      </c>
      <c r="B33" s="223">
        <f>SISWA!B31</f>
        <v>0</v>
      </c>
      <c r="C33" s="123"/>
      <c r="D33" s="123"/>
      <c r="E33" s="123"/>
      <c r="F33" s="123"/>
      <c r="G33" s="123"/>
      <c r="H33" s="123"/>
      <c r="I33" s="123"/>
      <c r="J33" s="123"/>
      <c r="K33" s="123"/>
      <c r="L33" s="255"/>
      <c r="M33" s="255"/>
      <c r="N33" s="255"/>
      <c r="O33" s="255"/>
      <c r="P33" s="255"/>
      <c r="Q33" s="255"/>
      <c r="R33" s="255"/>
      <c r="S33" s="255"/>
      <c r="T33" s="255"/>
      <c r="U33" s="256"/>
      <c r="V33" s="256"/>
      <c r="W33" s="256"/>
      <c r="X33" s="256"/>
      <c r="Y33" s="256"/>
      <c r="Z33" s="256"/>
      <c r="AA33" s="256"/>
      <c r="AB33" s="256"/>
      <c r="AC33" s="256"/>
      <c r="AD33" s="123"/>
      <c r="AE33" s="123"/>
      <c r="AF33" s="123"/>
      <c r="AG33" s="123"/>
      <c r="AH33" s="123"/>
      <c r="AI33" s="123"/>
      <c r="AJ33" s="123"/>
      <c r="AK33" s="123"/>
      <c r="AL33" s="123"/>
      <c r="AM33" s="255"/>
      <c r="AN33" s="255"/>
      <c r="AO33" s="255"/>
      <c r="AP33" s="255"/>
      <c r="AQ33" s="255"/>
      <c r="AR33" s="255"/>
      <c r="AS33" s="255"/>
      <c r="AT33" s="255"/>
      <c r="AU33" s="255"/>
      <c r="AV33" s="256"/>
      <c r="AW33" s="256"/>
      <c r="AX33" s="256"/>
      <c r="AY33" s="256"/>
      <c r="AZ33" s="256"/>
      <c r="BA33" s="256"/>
      <c r="BB33" s="256"/>
      <c r="BC33" s="256"/>
      <c r="BD33" s="256"/>
      <c r="BE33" s="123"/>
      <c r="BF33" s="123"/>
      <c r="BG33" s="123"/>
      <c r="BH33" s="123"/>
      <c r="BI33" s="123"/>
      <c r="BJ33" s="123"/>
      <c r="BK33" s="123"/>
      <c r="BL33" s="123"/>
      <c r="BM33" s="123"/>
      <c r="BN33" s="255"/>
      <c r="BO33" s="255"/>
      <c r="BP33" s="255"/>
      <c r="BQ33" s="255"/>
      <c r="BR33" s="255"/>
      <c r="BS33" s="255"/>
      <c r="BT33" s="255"/>
      <c r="BU33" s="255"/>
      <c r="BV33" s="255"/>
      <c r="BW33" s="256"/>
      <c r="BX33" s="256"/>
      <c r="BY33" s="256"/>
      <c r="BZ33" s="256"/>
      <c r="CA33" s="256"/>
      <c r="CB33" s="256"/>
      <c r="CC33" s="256"/>
      <c r="CD33" s="256"/>
      <c r="CE33" s="256"/>
      <c r="CF33" s="123"/>
      <c r="CG33" s="123"/>
      <c r="CH33" s="123"/>
      <c r="CI33" s="123"/>
      <c r="CJ33" s="123"/>
      <c r="CK33" s="123"/>
      <c r="CL33" s="123"/>
      <c r="CM33" s="123"/>
      <c r="CN33" s="123"/>
      <c r="CO33" s="255"/>
      <c r="CP33" s="255"/>
      <c r="CQ33" s="255"/>
      <c r="CR33" s="255"/>
      <c r="CS33" s="255"/>
      <c r="CT33" s="255"/>
      <c r="CU33" s="255"/>
      <c r="CV33" s="255"/>
      <c r="CW33" s="255"/>
      <c r="CX33" s="256"/>
      <c r="CY33" s="256"/>
      <c r="CZ33" s="256"/>
      <c r="DA33" s="256"/>
      <c r="DB33" s="256"/>
      <c r="DC33" s="256"/>
      <c r="DD33" s="256"/>
      <c r="DE33" s="256"/>
      <c r="DF33" s="256"/>
      <c r="DG33" s="458"/>
      <c r="DH33" s="458"/>
      <c r="DI33" s="458"/>
      <c r="DJ33" s="458"/>
      <c r="DK33" s="458"/>
      <c r="DL33" s="458"/>
      <c r="DM33" s="458"/>
      <c r="DN33" s="458"/>
      <c r="DO33" s="458"/>
      <c r="DP33" s="457"/>
      <c r="DQ33" s="457"/>
      <c r="DR33" s="457"/>
      <c r="DS33" s="457"/>
      <c r="DT33" s="457"/>
      <c r="DU33" s="457"/>
      <c r="DV33" s="457"/>
      <c r="DW33" s="457"/>
      <c r="DX33" s="457"/>
      <c r="DY33" s="256"/>
      <c r="DZ33" s="256"/>
      <c r="EA33" s="256"/>
      <c r="EB33" s="256"/>
      <c r="EC33" s="256"/>
      <c r="ED33" s="256"/>
      <c r="EE33" s="256"/>
      <c r="EF33" s="256"/>
      <c r="EG33" s="256"/>
      <c r="EH33" s="257" t="str">
        <f t="shared" si="55"/>
        <v/>
      </c>
      <c r="EI33" s="257" t="str">
        <f t="shared" si="56"/>
        <v/>
      </c>
      <c r="EJ33" s="257" t="str">
        <f t="shared" si="57"/>
        <v/>
      </c>
      <c r="EK33" s="257" t="str">
        <f t="shared" si="58"/>
        <v/>
      </c>
      <c r="EL33" s="257" t="str">
        <f t="shared" si="59"/>
        <v/>
      </c>
      <c r="EM33" s="257" t="str">
        <f t="shared" si="60"/>
        <v/>
      </c>
      <c r="EN33" s="257" t="str">
        <f t="shared" si="61"/>
        <v/>
      </c>
      <c r="EO33" s="257" t="str">
        <f t="shared" si="62"/>
        <v/>
      </c>
      <c r="EP33" s="257" t="str">
        <f t="shared" si="63"/>
        <v/>
      </c>
      <c r="EQ33" s="579" t="str">
        <f t="shared" si="64"/>
        <v/>
      </c>
      <c r="ER33" s="291" t="str">
        <f t="shared" si="65"/>
        <v xml:space="preserve">  </v>
      </c>
      <c r="ES33" s="243" t="str">
        <f t="shared" si="66"/>
        <v xml:space="preserve"> </v>
      </c>
      <c r="ET33" s="39"/>
      <c r="EU33" s="39"/>
      <c r="EV33" s="257">
        <f t="shared" si="67"/>
        <v>0</v>
      </c>
      <c r="EW33" s="257">
        <f t="shared" si="68"/>
        <v>0</v>
      </c>
      <c r="EX33" s="257">
        <f t="shared" si="69"/>
        <v>0</v>
      </c>
      <c r="EY33" s="257">
        <f t="shared" si="70"/>
        <v>0</v>
      </c>
      <c r="EZ33" s="257">
        <f t="shared" si="71"/>
        <v>0</v>
      </c>
      <c r="FA33" s="257">
        <f t="shared" si="72"/>
        <v>0</v>
      </c>
      <c r="FB33" s="257">
        <f t="shared" si="73"/>
        <v>0</v>
      </c>
      <c r="FC33" s="257">
        <f t="shared" si="74"/>
        <v>0</v>
      </c>
      <c r="FD33" s="257">
        <f t="shared" si="75"/>
        <v>0</v>
      </c>
      <c r="FE33" s="257"/>
      <c r="FF33" s="289">
        <f t="shared" si="76"/>
        <v>0</v>
      </c>
      <c r="FG33" s="575">
        <f t="shared" si="77"/>
        <v>0</v>
      </c>
      <c r="FH33" s="575">
        <f t="shared" si="78"/>
        <v>0</v>
      </c>
      <c r="FI33" s="575">
        <f t="shared" si="79"/>
        <v>0</v>
      </c>
      <c r="FJ33" s="575">
        <f t="shared" si="80"/>
        <v>0</v>
      </c>
      <c r="FK33" s="575">
        <f t="shared" si="81"/>
        <v>0</v>
      </c>
      <c r="FL33" s="575">
        <f t="shared" si="82"/>
        <v>0</v>
      </c>
      <c r="FM33" s="575">
        <f t="shared" si="83"/>
        <v>0</v>
      </c>
      <c r="FN33" s="575">
        <f t="shared" si="84"/>
        <v>0</v>
      </c>
      <c r="FO33" s="575">
        <f t="shared" si="85"/>
        <v>0</v>
      </c>
      <c r="FP33" s="258"/>
      <c r="FQ33" s="289">
        <f t="shared" si="86"/>
        <v>0</v>
      </c>
      <c r="FR33" s="765">
        <f t="shared" si="87"/>
        <v>0</v>
      </c>
      <c r="FS33" s="765">
        <f t="shared" si="88"/>
        <v>0</v>
      </c>
      <c r="FT33" s="765">
        <f t="shared" si="89"/>
        <v>0</v>
      </c>
      <c r="FU33" s="765">
        <f t="shared" si="90"/>
        <v>0</v>
      </c>
      <c r="FV33" s="765">
        <f t="shared" si="91"/>
        <v>0</v>
      </c>
      <c r="FW33" s="765">
        <f t="shared" si="92"/>
        <v>0</v>
      </c>
      <c r="FX33" s="765">
        <f t="shared" si="93"/>
        <v>0</v>
      </c>
      <c r="FY33" s="765">
        <f t="shared" si="94"/>
        <v>0</v>
      </c>
      <c r="FZ33" s="765">
        <f t="shared" si="95"/>
        <v>0</v>
      </c>
      <c r="GA33" s="766"/>
      <c r="GB33" s="289">
        <f t="shared" si="96"/>
        <v>0</v>
      </c>
      <c r="GC33" s="257">
        <f t="shared" si="97"/>
        <v>0</v>
      </c>
      <c r="GD33" s="257">
        <f t="shared" si="98"/>
        <v>0</v>
      </c>
      <c r="GE33" s="257">
        <f t="shared" si="99"/>
        <v>0</v>
      </c>
      <c r="GF33" s="575">
        <f t="shared" si="100"/>
        <v>3</v>
      </c>
      <c r="GG33" s="506">
        <f t="shared" si="101"/>
        <v>0</v>
      </c>
      <c r="GH33" s="39" t="str">
        <f t="shared" si="102"/>
        <v/>
      </c>
      <c r="GI33" s="257">
        <f t="shared" si="103"/>
        <v>0</v>
      </c>
      <c r="GJ33" s="257">
        <f t="shared" si="104"/>
        <v>0</v>
      </c>
      <c r="GK33" s="257">
        <f t="shared" si="105"/>
        <v>0</v>
      </c>
      <c r="GL33" s="575">
        <f t="shared" si="106"/>
        <v>3</v>
      </c>
      <c r="GM33" s="506">
        <f t="shared" si="107"/>
        <v>0</v>
      </c>
      <c r="GN33" s="39" t="str">
        <f t="shared" si="108"/>
        <v/>
      </c>
      <c r="GO33" s="257">
        <f t="shared" si="109"/>
        <v>0</v>
      </c>
      <c r="GP33" s="257">
        <f t="shared" si="110"/>
        <v>0</v>
      </c>
      <c r="GQ33" s="257">
        <f t="shared" si="111"/>
        <v>0</v>
      </c>
      <c r="GR33" s="575">
        <f t="shared" si="112"/>
        <v>3</v>
      </c>
      <c r="GS33" s="506">
        <f t="shared" si="113"/>
        <v>0</v>
      </c>
      <c r="GT33" s="39" t="str">
        <f t="shared" si="114"/>
        <v/>
      </c>
      <c r="GU33" s="257">
        <f t="shared" si="115"/>
        <v>0</v>
      </c>
      <c r="GV33" s="257">
        <f t="shared" si="116"/>
        <v>0</v>
      </c>
      <c r="GW33" s="257">
        <f t="shared" si="117"/>
        <v>0</v>
      </c>
      <c r="GX33" s="575">
        <f t="shared" si="118"/>
        <v>3</v>
      </c>
      <c r="GY33" s="506">
        <f t="shared" si="119"/>
        <v>0</v>
      </c>
      <c r="GZ33" s="39" t="str">
        <f t="shared" si="120"/>
        <v/>
      </c>
      <c r="HA33" s="257">
        <f t="shared" si="121"/>
        <v>0</v>
      </c>
      <c r="HB33" s="257">
        <f t="shared" si="122"/>
        <v>0</v>
      </c>
      <c r="HC33" s="257">
        <f t="shared" si="123"/>
        <v>0</v>
      </c>
      <c r="HD33" s="575">
        <f t="shared" si="124"/>
        <v>3</v>
      </c>
      <c r="HE33" s="506">
        <f t="shared" si="125"/>
        <v>0</v>
      </c>
      <c r="HF33" s="39" t="str">
        <f t="shared" si="126"/>
        <v/>
      </c>
      <c r="HG33" s="257">
        <f t="shared" si="127"/>
        <v>0</v>
      </c>
      <c r="HH33" s="257">
        <f t="shared" si="128"/>
        <v>0</v>
      </c>
      <c r="HI33" s="257">
        <f t="shared" si="129"/>
        <v>0</v>
      </c>
      <c r="HJ33" s="575">
        <f t="shared" si="130"/>
        <v>3</v>
      </c>
      <c r="HK33" s="506">
        <f t="shared" si="131"/>
        <v>0</v>
      </c>
      <c r="HL33" s="39" t="str">
        <f t="shared" si="132"/>
        <v/>
      </c>
      <c r="HM33" s="257">
        <f t="shared" si="133"/>
        <v>0</v>
      </c>
      <c r="HN33" s="257">
        <f t="shared" si="134"/>
        <v>0</v>
      </c>
      <c r="HO33" s="257">
        <f t="shared" si="135"/>
        <v>0</v>
      </c>
      <c r="HP33" s="575">
        <f t="shared" si="136"/>
        <v>3</v>
      </c>
      <c r="HQ33" s="506">
        <f t="shared" si="137"/>
        <v>0</v>
      </c>
      <c r="HR33" s="39" t="str">
        <f t="shared" si="138"/>
        <v/>
      </c>
      <c r="HS33" s="257">
        <f t="shared" si="139"/>
        <v>0</v>
      </c>
      <c r="HT33" s="257">
        <f t="shared" si="140"/>
        <v>0</v>
      </c>
      <c r="HU33" s="257">
        <f t="shared" si="141"/>
        <v>0</v>
      </c>
      <c r="HV33" s="575">
        <f t="shared" si="142"/>
        <v>3</v>
      </c>
      <c r="HW33" s="506">
        <f t="shared" si="143"/>
        <v>0</v>
      </c>
      <c r="HX33" s="39" t="str">
        <f t="shared" si="144"/>
        <v/>
      </c>
      <c r="HY33" s="257">
        <f t="shared" si="145"/>
        <v>0</v>
      </c>
      <c r="HZ33" s="257">
        <f t="shared" si="146"/>
        <v>0</v>
      </c>
      <c r="IA33" s="257">
        <f t="shared" si="147"/>
        <v>0</v>
      </c>
      <c r="IB33" s="575">
        <f t="shared" si="148"/>
        <v>3</v>
      </c>
      <c r="IC33" s="506">
        <f t="shared" si="149"/>
        <v>0</v>
      </c>
      <c r="ID33" s="39" t="str">
        <f t="shared" si="150"/>
        <v/>
      </c>
      <c r="IE33" s="39"/>
      <c r="IF33" s="39"/>
      <c r="IG33" s="39"/>
      <c r="IH33" s="39" t="str">
        <f t="shared" si="151"/>
        <v/>
      </c>
      <c r="II33" s="39" t="str">
        <f t="shared" si="152"/>
        <v/>
      </c>
      <c r="IJ33" s="39" t="str">
        <f t="shared" si="153"/>
        <v/>
      </c>
      <c r="IK33" s="39" t="str">
        <f t="shared" si="154"/>
        <v/>
      </c>
      <c r="IL33" s="39" t="str">
        <f t="shared" si="155"/>
        <v/>
      </c>
      <c r="IM33" s="767" t="str">
        <f t="shared" si="156"/>
        <v/>
      </c>
      <c r="IN33" s="579" t="str">
        <f t="shared" si="157"/>
        <v/>
      </c>
      <c r="IO33" s="579" t="str">
        <f t="shared" si="158"/>
        <v/>
      </c>
      <c r="IP33" s="579" t="str">
        <f t="shared" si="159"/>
        <v/>
      </c>
      <c r="IQ33" s="579"/>
      <c r="IR33" s="579" t="str">
        <f t="shared" si="160"/>
        <v/>
      </c>
      <c r="IS33" s="289">
        <f t="shared" si="161"/>
        <v>0</v>
      </c>
      <c r="IT33" s="289">
        <f t="shared" si="162"/>
        <v>0</v>
      </c>
      <c r="IU33" s="223">
        <f>SISWA!E31</f>
        <v>0</v>
      </c>
      <c r="IV33" s="223" t="str">
        <f t="shared" si="163"/>
        <v/>
      </c>
      <c r="IW33" s="580" t="str">
        <f t="shared" si="164"/>
        <v/>
      </c>
      <c r="IX33" s="580" t="str">
        <f t="shared" si="165"/>
        <v/>
      </c>
      <c r="IY33" s="580" t="str">
        <f t="shared" si="166"/>
        <v/>
      </c>
      <c r="IZ33" s="580" t="str">
        <f t="shared" si="167"/>
        <v/>
      </c>
      <c r="JA33" s="580" t="str">
        <f t="shared" si="168"/>
        <v/>
      </c>
      <c r="JB33" s="580" t="str">
        <f t="shared" si="169"/>
        <v/>
      </c>
      <c r="JC33" s="580" t="str">
        <f t="shared" si="170"/>
        <v/>
      </c>
      <c r="JD33" s="580" t="str">
        <f t="shared" si="171"/>
        <v/>
      </c>
      <c r="JE33" s="580" t="str">
        <f t="shared" si="172"/>
        <v/>
      </c>
      <c r="JF33" s="580"/>
      <c r="JG33" s="580"/>
      <c r="JH33" s="223">
        <f t="shared" si="173"/>
        <v>0</v>
      </c>
      <c r="JI33" s="289" t="e">
        <f t="shared" si="174"/>
        <v>#N/A</v>
      </c>
      <c r="JJ33" s="576" t="e">
        <f>IF(IS33&gt;100,"",IF(IS33&gt;EV$1,"sangat baik dalam "&amp;JI33,IF(IS33&gt;=EV$2,"baik dalam "&amp;JI33,IF(IS33&gt;=EV$3,"cukup dalam "&amp;JI33,IF(IS33&lt;EV$3,"dengan bimbingan dapat meningkatkan dalam "&amp;JI33,IF(IS33&lt;1," ",””))))))</f>
        <v>#N/A</v>
      </c>
      <c r="JK33" s="223"/>
      <c r="JL33" s="223" t="str">
        <f t="shared" si="175"/>
        <v/>
      </c>
      <c r="JM33" s="223" t="str">
        <f t="shared" si="176"/>
        <v/>
      </c>
      <c r="JN33" s="223" t="str">
        <f t="shared" si="177"/>
        <v/>
      </c>
      <c r="JO33" s="223" t="str">
        <f t="shared" si="178"/>
        <v/>
      </c>
      <c r="JP33" s="223" t="str">
        <f t="shared" si="179"/>
        <v/>
      </c>
      <c r="JQ33" s="223" t="str">
        <f t="shared" si="180"/>
        <v/>
      </c>
      <c r="JR33" s="223" t="str">
        <f t="shared" si="181"/>
        <v/>
      </c>
      <c r="JS33" s="223" t="str">
        <f t="shared" si="182"/>
        <v/>
      </c>
      <c r="JT33" s="223" t="str">
        <f t="shared" si="183"/>
        <v/>
      </c>
      <c r="JU33" s="223"/>
      <c r="JV33" s="223"/>
      <c r="JW33" s="223" t="e">
        <f t="shared" si="184"/>
        <v>#N/A</v>
      </c>
      <c r="JX33" s="577" t="e">
        <f>IF(IT33&gt;100,"",IF(IT33&gt;=EV$1,"sangat baik dalam "&amp;JW33,IF(IT33&gt;=EV$2,"baik dalam "&amp;JW33,IF(IT33&gt;=EV$3,"cukup dalam "&amp;JW33,IF(IT33&lt;EV$3,"dengan bimbingan dapat meningkatkan dalam "&amp;JW33,IF(IT33&lt;1," ",””))))))</f>
        <v>#N/A</v>
      </c>
      <c r="JY33" s="223" t="e">
        <f t="shared" si="185"/>
        <v>#N/A</v>
      </c>
    </row>
    <row r="34" spans="1:285">
      <c r="A34" s="39">
        <v>27</v>
      </c>
      <c r="B34" s="223">
        <f>SISWA!B32</f>
        <v>0</v>
      </c>
      <c r="C34" s="123"/>
      <c r="D34" s="123"/>
      <c r="E34" s="123"/>
      <c r="F34" s="123"/>
      <c r="G34" s="123"/>
      <c r="H34" s="123"/>
      <c r="I34" s="123"/>
      <c r="J34" s="123"/>
      <c r="K34" s="123"/>
      <c r="L34" s="255"/>
      <c r="M34" s="255"/>
      <c r="N34" s="255"/>
      <c r="O34" s="255"/>
      <c r="P34" s="255"/>
      <c r="Q34" s="255"/>
      <c r="R34" s="255"/>
      <c r="S34" s="255"/>
      <c r="T34" s="255"/>
      <c r="U34" s="256"/>
      <c r="V34" s="256"/>
      <c r="W34" s="256"/>
      <c r="X34" s="256"/>
      <c r="Y34" s="256"/>
      <c r="Z34" s="256"/>
      <c r="AA34" s="256"/>
      <c r="AB34" s="256"/>
      <c r="AC34" s="256"/>
      <c r="AD34" s="123"/>
      <c r="AE34" s="123"/>
      <c r="AF34" s="123"/>
      <c r="AG34" s="123"/>
      <c r="AH34" s="123"/>
      <c r="AI34" s="123"/>
      <c r="AJ34" s="123"/>
      <c r="AK34" s="123"/>
      <c r="AL34" s="123"/>
      <c r="AM34" s="255"/>
      <c r="AN34" s="255"/>
      <c r="AO34" s="255"/>
      <c r="AP34" s="255"/>
      <c r="AQ34" s="255"/>
      <c r="AR34" s="255"/>
      <c r="AS34" s="255"/>
      <c r="AT34" s="255"/>
      <c r="AU34" s="255"/>
      <c r="AV34" s="256"/>
      <c r="AW34" s="256"/>
      <c r="AX34" s="256"/>
      <c r="AY34" s="256"/>
      <c r="AZ34" s="256"/>
      <c r="BA34" s="256"/>
      <c r="BB34" s="256"/>
      <c r="BC34" s="256"/>
      <c r="BD34" s="256"/>
      <c r="BE34" s="123"/>
      <c r="BF34" s="123"/>
      <c r="BG34" s="123"/>
      <c r="BH34" s="123"/>
      <c r="BI34" s="123"/>
      <c r="BJ34" s="123"/>
      <c r="BK34" s="123"/>
      <c r="BL34" s="123"/>
      <c r="BM34" s="123"/>
      <c r="BN34" s="255"/>
      <c r="BO34" s="255"/>
      <c r="BP34" s="255"/>
      <c r="BQ34" s="255"/>
      <c r="BR34" s="255"/>
      <c r="BS34" s="255"/>
      <c r="BT34" s="255"/>
      <c r="BU34" s="255"/>
      <c r="BV34" s="255"/>
      <c r="BW34" s="256"/>
      <c r="BX34" s="256"/>
      <c r="BY34" s="256"/>
      <c r="BZ34" s="256"/>
      <c r="CA34" s="256"/>
      <c r="CB34" s="256"/>
      <c r="CC34" s="256"/>
      <c r="CD34" s="256"/>
      <c r="CE34" s="256"/>
      <c r="CF34" s="123"/>
      <c r="CG34" s="123"/>
      <c r="CH34" s="123"/>
      <c r="CI34" s="123"/>
      <c r="CJ34" s="123"/>
      <c r="CK34" s="123"/>
      <c r="CL34" s="123"/>
      <c r="CM34" s="123"/>
      <c r="CN34" s="123"/>
      <c r="CO34" s="255"/>
      <c r="CP34" s="255"/>
      <c r="CQ34" s="255"/>
      <c r="CR34" s="255"/>
      <c r="CS34" s="255"/>
      <c r="CT34" s="255"/>
      <c r="CU34" s="255"/>
      <c r="CV34" s="255"/>
      <c r="CW34" s="255"/>
      <c r="CX34" s="256"/>
      <c r="CY34" s="256"/>
      <c r="CZ34" s="256"/>
      <c r="DA34" s="256"/>
      <c r="DB34" s="256"/>
      <c r="DC34" s="256"/>
      <c r="DD34" s="256"/>
      <c r="DE34" s="256"/>
      <c r="DF34" s="256"/>
      <c r="DG34" s="458"/>
      <c r="DH34" s="458"/>
      <c r="DI34" s="458"/>
      <c r="DJ34" s="458"/>
      <c r="DK34" s="458"/>
      <c r="DL34" s="458"/>
      <c r="DM34" s="458"/>
      <c r="DN34" s="458"/>
      <c r="DO34" s="458"/>
      <c r="DP34" s="457"/>
      <c r="DQ34" s="457"/>
      <c r="DR34" s="457"/>
      <c r="DS34" s="457"/>
      <c r="DT34" s="457"/>
      <c r="DU34" s="457"/>
      <c r="DV34" s="457"/>
      <c r="DW34" s="457"/>
      <c r="DX34" s="457"/>
      <c r="DY34" s="256"/>
      <c r="DZ34" s="256"/>
      <c r="EA34" s="256"/>
      <c r="EB34" s="256"/>
      <c r="EC34" s="256"/>
      <c r="ED34" s="256"/>
      <c r="EE34" s="256"/>
      <c r="EF34" s="256"/>
      <c r="EG34" s="256"/>
      <c r="EH34" s="257" t="str">
        <f t="shared" si="55"/>
        <v/>
      </c>
      <c r="EI34" s="257" t="str">
        <f t="shared" si="56"/>
        <v/>
      </c>
      <c r="EJ34" s="257" t="str">
        <f t="shared" si="57"/>
        <v/>
      </c>
      <c r="EK34" s="257" t="str">
        <f t="shared" si="58"/>
        <v/>
      </c>
      <c r="EL34" s="257" t="str">
        <f t="shared" si="59"/>
        <v/>
      </c>
      <c r="EM34" s="257" t="str">
        <f t="shared" si="60"/>
        <v/>
      </c>
      <c r="EN34" s="257" t="str">
        <f t="shared" si="61"/>
        <v/>
      </c>
      <c r="EO34" s="257" t="str">
        <f t="shared" si="62"/>
        <v/>
      </c>
      <c r="EP34" s="257" t="str">
        <f t="shared" si="63"/>
        <v/>
      </c>
      <c r="EQ34" s="579" t="str">
        <f t="shared" si="64"/>
        <v/>
      </c>
      <c r="ER34" s="291" t="str">
        <f t="shared" si="65"/>
        <v xml:space="preserve">  </v>
      </c>
      <c r="ES34" s="243" t="str">
        <f t="shared" si="66"/>
        <v xml:space="preserve"> </v>
      </c>
      <c r="ET34" s="39"/>
      <c r="EU34" s="39"/>
      <c r="EV34" s="257">
        <f t="shared" si="67"/>
        <v>0</v>
      </c>
      <c r="EW34" s="257">
        <f t="shared" si="68"/>
        <v>0</v>
      </c>
      <c r="EX34" s="257">
        <f t="shared" si="69"/>
        <v>0</v>
      </c>
      <c r="EY34" s="257">
        <f t="shared" si="70"/>
        <v>0</v>
      </c>
      <c r="EZ34" s="257">
        <f t="shared" si="71"/>
        <v>0</v>
      </c>
      <c r="FA34" s="257">
        <f t="shared" si="72"/>
        <v>0</v>
      </c>
      <c r="FB34" s="257">
        <f t="shared" si="73"/>
        <v>0</v>
      </c>
      <c r="FC34" s="257">
        <f t="shared" si="74"/>
        <v>0</v>
      </c>
      <c r="FD34" s="257">
        <f t="shared" si="75"/>
        <v>0</v>
      </c>
      <c r="FE34" s="257"/>
      <c r="FF34" s="289">
        <f t="shared" si="76"/>
        <v>0</v>
      </c>
      <c r="FG34" s="575">
        <f t="shared" si="77"/>
        <v>0</v>
      </c>
      <c r="FH34" s="575">
        <f t="shared" si="78"/>
        <v>0</v>
      </c>
      <c r="FI34" s="575">
        <f t="shared" si="79"/>
        <v>0</v>
      </c>
      <c r="FJ34" s="575">
        <f t="shared" si="80"/>
        <v>0</v>
      </c>
      <c r="FK34" s="575">
        <f t="shared" si="81"/>
        <v>0</v>
      </c>
      <c r="FL34" s="575">
        <f t="shared" si="82"/>
        <v>0</v>
      </c>
      <c r="FM34" s="575">
        <f t="shared" si="83"/>
        <v>0</v>
      </c>
      <c r="FN34" s="575">
        <f t="shared" si="84"/>
        <v>0</v>
      </c>
      <c r="FO34" s="575">
        <f t="shared" si="85"/>
        <v>0</v>
      </c>
      <c r="FP34" s="258"/>
      <c r="FQ34" s="289">
        <f t="shared" si="86"/>
        <v>0</v>
      </c>
      <c r="FR34" s="765">
        <f t="shared" si="87"/>
        <v>0</v>
      </c>
      <c r="FS34" s="765">
        <f t="shared" si="88"/>
        <v>0</v>
      </c>
      <c r="FT34" s="765">
        <f t="shared" si="89"/>
        <v>0</v>
      </c>
      <c r="FU34" s="765">
        <f t="shared" si="90"/>
        <v>0</v>
      </c>
      <c r="FV34" s="765">
        <f t="shared" si="91"/>
        <v>0</v>
      </c>
      <c r="FW34" s="765">
        <f t="shared" si="92"/>
        <v>0</v>
      </c>
      <c r="FX34" s="765">
        <f t="shared" si="93"/>
        <v>0</v>
      </c>
      <c r="FY34" s="765">
        <f t="shared" si="94"/>
        <v>0</v>
      </c>
      <c r="FZ34" s="765">
        <f t="shared" si="95"/>
        <v>0</v>
      </c>
      <c r="GA34" s="766"/>
      <c r="GB34" s="289">
        <f t="shared" si="96"/>
        <v>0</v>
      </c>
      <c r="GC34" s="257">
        <f t="shared" si="97"/>
        <v>0</v>
      </c>
      <c r="GD34" s="257">
        <f t="shared" si="98"/>
        <v>0</v>
      </c>
      <c r="GE34" s="257">
        <f t="shared" si="99"/>
        <v>0</v>
      </c>
      <c r="GF34" s="575">
        <f t="shared" si="100"/>
        <v>3</v>
      </c>
      <c r="GG34" s="506">
        <f t="shared" si="101"/>
        <v>0</v>
      </c>
      <c r="GH34" s="39" t="str">
        <f t="shared" si="102"/>
        <v/>
      </c>
      <c r="GI34" s="257">
        <f t="shared" si="103"/>
        <v>0</v>
      </c>
      <c r="GJ34" s="257">
        <f t="shared" si="104"/>
        <v>0</v>
      </c>
      <c r="GK34" s="257">
        <f t="shared" si="105"/>
        <v>0</v>
      </c>
      <c r="GL34" s="575">
        <f t="shared" si="106"/>
        <v>3</v>
      </c>
      <c r="GM34" s="506">
        <f t="shared" si="107"/>
        <v>0</v>
      </c>
      <c r="GN34" s="39" t="str">
        <f t="shared" si="108"/>
        <v/>
      </c>
      <c r="GO34" s="257">
        <f t="shared" si="109"/>
        <v>0</v>
      </c>
      <c r="GP34" s="257">
        <f t="shared" si="110"/>
        <v>0</v>
      </c>
      <c r="GQ34" s="257">
        <f t="shared" si="111"/>
        <v>0</v>
      </c>
      <c r="GR34" s="575">
        <f t="shared" si="112"/>
        <v>3</v>
      </c>
      <c r="GS34" s="506">
        <f t="shared" si="113"/>
        <v>0</v>
      </c>
      <c r="GT34" s="39" t="str">
        <f t="shared" si="114"/>
        <v/>
      </c>
      <c r="GU34" s="257">
        <f t="shared" si="115"/>
        <v>0</v>
      </c>
      <c r="GV34" s="257">
        <f t="shared" si="116"/>
        <v>0</v>
      </c>
      <c r="GW34" s="257">
        <f t="shared" si="117"/>
        <v>0</v>
      </c>
      <c r="GX34" s="575">
        <f t="shared" si="118"/>
        <v>3</v>
      </c>
      <c r="GY34" s="506">
        <f t="shared" si="119"/>
        <v>0</v>
      </c>
      <c r="GZ34" s="39" t="str">
        <f t="shared" si="120"/>
        <v/>
      </c>
      <c r="HA34" s="257">
        <f t="shared" si="121"/>
        <v>0</v>
      </c>
      <c r="HB34" s="257">
        <f t="shared" si="122"/>
        <v>0</v>
      </c>
      <c r="HC34" s="257">
        <f t="shared" si="123"/>
        <v>0</v>
      </c>
      <c r="HD34" s="575">
        <f t="shared" si="124"/>
        <v>3</v>
      </c>
      <c r="HE34" s="506">
        <f t="shared" si="125"/>
        <v>0</v>
      </c>
      <c r="HF34" s="39" t="str">
        <f t="shared" si="126"/>
        <v/>
      </c>
      <c r="HG34" s="257">
        <f t="shared" si="127"/>
        <v>0</v>
      </c>
      <c r="HH34" s="257">
        <f t="shared" si="128"/>
        <v>0</v>
      </c>
      <c r="HI34" s="257">
        <f t="shared" si="129"/>
        <v>0</v>
      </c>
      <c r="HJ34" s="575">
        <f t="shared" si="130"/>
        <v>3</v>
      </c>
      <c r="HK34" s="506">
        <f t="shared" si="131"/>
        <v>0</v>
      </c>
      <c r="HL34" s="39" t="str">
        <f t="shared" si="132"/>
        <v/>
      </c>
      <c r="HM34" s="257">
        <f t="shared" si="133"/>
        <v>0</v>
      </c>
      <c r="HN34" s="257">
        <f t="shared" si="134"/>
        <v>0</v>
      </c>
      <c r="HO34" s="257">
        <f t="shared" si="135"/>
        <v>0</v>
      </c>
      <c r="HP34" s="575">
        <f t="shared" si="136"/>
        <v>3</v>
      </c>
      <c r="HQ34" s="506">
        <f t="shared" si="137"/>
        <v>0</v>
      </c>
      <c r="HR34" s="39" t="str">
        <f t="shared" si="138"/>
        <v/>
      </c>
      <c r="HS34" s="257">
        <f t="shared" si="139"/>
        <v>0</v>
      </c>
      <c r="HT34" s="257">
        <f t="shared" si="140"/>
        <v>0</v>
      </c>
      <c r="HU34" s="257">
        <f t="shared" si="141"/>
        <v>0</v>
      </c>
      <c r="HV34" s="575">
        <f t="shared" si="142"/>
        <v>3</v>
      </c>
      <c r="HW34" s="506">
        <f t="shared" si="143"/>
        <v>0</v>
      </c>
      <c r="HX34" s="39" t="str">
        <f t="shared" si="144"/>
        <v/>
      </c>
      <c r="HY34" s="257">
        <f t="shared" si="145"/>
        <v>0</v>
      </c>
      <c r="HZ34" s="257">
        <f t="shared" si="146"/>
        <v>0</v>
      </c>
      <c r="IA34" s="257">
        <f t="shared" si="147"/>
        <v>0</v>
      </c>
      <c r="IB34" s="575">
        <f t="shared" si="148"/>
        <v>3</v>
      </c>
      <c r="IC34" s="506">
        <f t="shared" si="149"/>
        <v>0</v>
      </c>
      <c r="ID34" s="39" t="str">
        <f t="shared" si="150"/>
        <v/>
      </c>
      <c r="IE34" s="39"/>
      <c r="IF34" s="39"/>
      <c r="IG34" s="39"/>
      <c r="IH34" s="39" t="str">
        <f t="shared" si="151"/>
        <v/>
      </c>
      <c r="II34" s="39" t="str">
        <f t="shared" si="152"/>
        <v/>
      </c>
      <c r="IJ34" s="39" t="str">
        <f t="shared" si="153"/>
        <v/>
      </c>
      <c r="IK34" s="39" t="str">
        <f t="shared" si="154"/>
        <v/>
      </c>
      <c r="IL34" s="39" t="str">
        <f t="shared" si="155"/>
        <v/>
      </c>
      <c r="IM34" s="767" t="str">
        <f t="shared" si="156"/>
        <v/>
      </c>
      <c r="IN34" s="579" t="str">
        <f t="shared" si="157"/>
        <v/>
      </c>
      <c r="IO34" s="579" t="str">
        <f t="shared" si="158"/>
        <v/>
      </c>
      <c r="IP34" s="579" t="str">
        <f t="shared" si="159"/>
        <v/>
      </c>
      <c r="IQ34" s="579"/>
      <c r="IR34" s="579" t="str">
        <f t="shared" si="160"/>
        <v/>
      </c>
      <c r="IS34" s="289">
        <f t="shared" si="161"/>
        <v>0</v>
      </c>
      <c r="IT34" s="289">
        <f t="shared" si="162"/>
        <v>0</v>
      </c>
      <c r="IU34" s="223">
        <f>SISWA!E32</f>
        <v>0</v>
      </c>
      <c r="IV34" s="223" t="str">
        <f t="shared" si="163"/>
        <v/>
      </c>
      <c r="IW34" s="580" t="str">
        <f t="shared" si="164"/>
        <v/>
      </c>
      <c r="IX34" s="580" t="str">
        <f t="shared" si="165"/>
        <v/>
      </c>
      <c r="IY34" s="580" t="str">
        <f t="shared" si="166"/>
        <v/>
      </c>
      <c r="IZ34" s="580" t="str">
        <f t="shared" si="167"/>
        <v/>
      </c>
      <c r="JA34" s="580" t="str">
        <f t="shared" si="168"/>
        <v/>
      </c>
      <c r="JB34" s="580" t="str">
        <f t="shared" si="169"/>
        <v/>
      </c>
      <c r="JC34" s="580" t="str">
        <f t="shared" si="170"/>
        <v/>
      </c>
      <c r="JD34" s="580" t="str">
        <f t="shared" si="171"/>
        <v/>
      </c>
      <c r="JE34" s="580" t="str">
        <f t="shared" si="172"/>
        <v/>
      </c>
      <c r="JF34" s="580"/>
      <c r="JG34" s="580"/>
      <c r="JH34" s="223">
        <f t="shared" si="173"/>
        <v>0</v>
      </c>
      <c r="JI34" s="289" t="e">
        <f t="shared" si="174"/>
        <v>#N/A</v>
      </c>
      <c r="JJ34" s="576" t="e">
        <f>IF(IS34&gt;100,"",IF(IS34&gt;EV$1,"sangat baik dalam "&amp;JI34,IF(IS34&gt;=EV$2,"baik dalam "&amp;JI34,IF(IS34&gt;=EV$3,"cukup dalam "&amp;JI34,IF(IS34&lt;EV$3,"dengan bimbingan dapat meningkatkan dalam "&amp;JI34,IF(IS34&lt;1," ",””))))))</f>
        <v>#N/A</v>
      </c>
      <c r="JK34" s="223"/>
      <c r="JL34" s="223" t="str">
        <f t="shared" si="175"/>
        <v/>
      </c>
      <c r="JM34" s="223" t="str">
        <f t="shared" si="176"/>
        <v/>
      </c>
      <c r="JN34" s="223" t="str">
        <f t="shared" si="177"/>
        <v/>
      </c>
      <c r="JO34" s="223" t="str">
        <f t="shared" si="178"/>
        <v/>
      </c>
      <c r="JP34" s="223" t="str">
        <f t="shared" si="179"/>
        <v/>
      </c>
      <c r="JQ34" s="223" t="str">
        <f t="shared" si="180"/>
        <v/>
      </c>
      <c r="JR34" s="223" t="str">
        <f t="shared" si="181"/>
        <v/>
      </c>
      <c r="JS34" s="223" t="str">
        <f t="shared" si="182"/>
        <v/>
      </c>
      <c r="JT34" s="223" t="str">
        <f t="shared" si="183"/>
        <v/>
      </c>
      <c r="JU34" s="223"/>
      <c r="JV34" s="223"/>
      <c r="JW34" s="223" t="e">
        <f t="shared" si="184"/>
        <v>#N/A</v>
      </c>
      <c r="JX34" s="577" t="e">
        <f>IF(IT34&gt;100,"",IF(IT34&gt;=EV$1,"sangat baik dalam "&amp;JW34,IF(IT34&gt;=EV$2,"baik dalam "&amp;JW34,IF(IT34&gt;=EV$3,"cukup dalam "&amp;JW34,IF(IT34&lt;EV$3,"dengan bimbingan dapat meningkatkan dalam "&amp;JW34,IF(IT34&lt;1," ",””))))))</f>
        <v>#N/A</v>
      </c>
      <c r="JY34" s="223" t="e">
        <f t="shared" si="185"/>
        <v>#N/A</v>
      </c>
    </row>
    <row r="35" spans="1:285">
      <c r="A35" s="39">
        <v>28</v>
      </c>
      <c r="B35" s="223">
        <f>SISWA!B33</f>
        <v>0</v>
      </c>
      <c r="C35" s="123"/>
      <c r="D35" s="123"/>
      <c r="E35" s="123"/>
      <c r="F35" s="123"/>
      <c r="G35" s="123"/>
      <c r="H35" s="123"/>
      <c r="I35" s="123"/>
      <c r="J35" s="123"/>
      <c r="K35" s="123"/>
      <c r="L35" s="255"/>
      <c r="M35" s="255"/>
      <c r="N35" s="255"/>
      <c r="O35" s="255"/>
      <c r="P35" s="255"/>
      <c r="Q35" s="255"/>
      <c r="R35" s="255"/>
      <c r="S35" s="255"/>
      <c r="T35" s="255"/>
      <c r="U35" s="256"/>
      <c r="V35" s="256"/>
      <c r="W35" s="256"/>
      <c r="X35" s="256"/>
      <c r="Y35" s="256"/>
      <c r="Z35" s="256"/>
      <c r="AA35" s="256"/>
      <c r="AB35" s="256"/>
      <c r="AC35" s="256"/>
      <c r="AD35" s="123"/>
      <c r="AE35" s="123"/>
      <c r="AF35" s="123"/>
      <c r="AG35" s="123"/>
      <c r="AH35" s="123"/>
      <c r="AI35" s="123"/>
      <c r="AJ35" s="123"/>
      <c r="AK35" s="123"/>
      <c r="AL35" s="123"/>
      <c r="AM35" s="255"/>
      <c r="AN35" s="255"/>
      <c r="AO35" s="255"/>
      <c r="AP35" s="255"/>
      <c r="AQ35" s="255"/>
      <c r="AR35" s="255"/>
      <c r="AS35" s="255"/>
      <c r="AT35" s="255"/>
      <c r="AU35" s="255"/>
      <c r="AV35" s="256"/>
      <c r="AW35" s="256"/>
      <c r="AX35" s="256"/>
      <c r="AY35" s="256"/>
      <c r="AZ35" s="256"/>
      <c r="BA35" s="256"/>
      <c r="BB35" s="256"/>
      <c r="BC35" s="256"/>
      <c r="BD35" s="256"/>
      <c r="BE35" s="123"/>
      <c r="BF35" s="123"/>
      <c r="BG35" s="123"/>
      <c r="BH35" s="123"/>
      <c r="BI35" s="123"/>
      <c r="BJ35" s="123"/>
      <c r="BK35" s="123"/>
      <c r="BL35" s="123"/>
      <c r="BM35" s="123"/>
      <c r="BN35" s="255"/>
      <c r="BO35" s="255"/>
      <c r="BP35" s="255"/>
      <c r="BQ35" s="255"/>
      <c r="BR35" s="255"/>
      <c r="BS35" s="255"/>
      <c r="BT35" s="255"/>
      <c r="BU35" s="255"/>
      <c r="BV35" s="255"/>
      <c r="BW35" s="256"/>
      <c r="BX35" s="256"/>
      <c r="BY35" s="256"/>
      <c r="BZ35" s="256"/>
      <c r="CA35" s="256"/>
      <c r="CB35" s="256"/>
      <c r="CC35" s="256"/>
      <c r="CD35" s="256"/>
      <c r="CE35" s="256"/>
      <c r="CF35" s="123"/>
      <c r="CG35" s="123"/>
      <c r="CH35" s="123"/>
      <c r="CI35" s="123"/>
      <c r="CJ35" s="123"/>
      <c r="CK35" s="123"/>
      <c r="CL35" s="123"/>
      <c r="CM35" s="123"/>
      <c r="CN35" s="123"/>
      <c r="CO35" s="255"/>
      <c r="CP35" s="255"/>
      <c r="CQ35" s="255"/>
      <c r="CR35" s="255"/>
      <c r="CS35" s="255"/>
      <c r="CT35" s="255"/>
      <c r="CU35" s="255"/>
      <c r="CV35" s="255"/>
      <c r="CW35" s="255"/>
      <c r="CX35" s="256"/>
      <c r="CY35" s="256"/>
      <c r="CZ35" s="256"/>
      <c r="DA35" s="256"/>
      <c r="DB35" s="256"/>
      <c r="DC35" s="256"/>
      <c r="DD35" s="256"/>
      <c r="DE35" s="256"/>
      <c r="DF35" s="256"/>
      <c r="DG35" s="458"/>
      <c r="DH35" s="458"/>
      <c r="DI35" s="458"/>
      <c r="DJ35" s="458"/>
      <c r="DK35" s="458"/>
      <c r="DL35" s="458"/>
      <c r="DM35" s="458"/>
      <c r="DN35" s="458"/>
      <c r="DO35" s="458"/>
      <c r="DP35" s="457"/>
      <c r="DQ35" s="457"/>
      <c r="DR35" s="457"/>
      <c r="DS35" s="457"/>
      <c r="DT35" s="457"/>
      <c r="DU35" s="457"/>
      <c r="DV35" s="457"/>
      <c r="DW35" s="457"/>
      <c r="DX35" s="457"/>
      <c r="DY35" s="256"/>
      <c r="DZ35" s="256"/>
      <c r="EA35" s="256"/>
      <c r="EB35" s="256"/>
      <c r="EC35" s="256"/>
      <c r="ED35" s="256"/>
      <c r="EE35" s="256"/>
      <c r="EF35" s="256"/>
      <c r="EG35" s="256"/>
      <c r="EH35" s="257" t="str">
        <f t="shared" si="55"/>
        <v/>
      </c>
      <c r="EI35" s="257" t="str">
        <f t="shared" si="56"/>
        <v/>
      </c>
      <c r="EJ35" s="257" t="str">
        <f t="shared" si="57"/>
        <v/>
      </c>
      <c r="EK35" s="257" t="str">
        <f t="shared" si="58"/>
        <v/>
      </c>
      <c r="EL35" s="257" t="str">
        <f t="shared" si="59"/>
        <v/>
      </c>
      <c r="EM35" s="257" t="str">
        <f t="shared" si="60"/>
        <v/>
      </c>
      <c r="EN35" s="257" t="str">
        <f t="shared" si="61"/>
        <v/>
      </c>
      <c r="EO35" s="257" t="str">
        <f t="shared" si="62"/>
        <v/>
      </c>
      <c r="EP35" s="257" t="str">
        <f t="shared" si="63"/>
        <v/>
      </c>
      <c r="EQ35" s="579" t="str">
        <f t="shared" si="64"/>
        <v/>
      </c>
      <c r="ER35" s="291" t="str">
        <f t="shared" si="65"/>
        <v xml:space="preserve">  </v>
      </c>
      <c r="ES35" s="243" t="str">
        <f t="shared" si="66"/>
        <v xml:space="preserve"> </v>
      </c>
      <c r="ET35" s="39"/>
      <c r="EU35" s="39"/>
      <c r="EV35" s="257">
        <f t="shared" si="67"/>
        <v>0</v>
      </c>
      <c r="EW35" s="257">
        <f t="shared" si="68"/>
        <v>0</v>
      </c>
      <c r="EX35" s="257">
        <f t="shared" si="69"/>
        <v>0</v>
      </c>
      <c r="EY35" s="257">
        <f t="shared" si="70"/>
        <v>0</v>
      </c>
      <c r="EZ35" s="257">
        <f t="shared" si="71"/>
        <v>0</v>
      </c>
      <c r="FA35" s="257">
        <f t="shared" si="72"/>
        <v>0</v>
      </c>
      <c r="FB35" s="257">
        <f t="shared" si="73"/>
        <v>0</v>
      </c>
      <c r="FC35" s="257">
        <f t="shared" si="74"/>
        <v>0</v>
      </c>
      <c r="FD35" s="257">
        <f t="shared" si="75"/>
        <v>0</v>
      </c>
      <c r="FE35" s="257"/>
      <c r="FF35" s="289">
        <f t="shared" si="76"/>
        <v>0</v>
      </c>
      <c r="FG35" s="575">
        <f t="shared" si="77"/>
        <v>0</v>
      </c>
      <c r="FH35" s="575">
        <f t="shared" si="78"/>
        <v>0</v>
      </c>
      <c r="FI35" s="575">
        <f t="shared" si="79"/>
        <v>0</v>
      </c>
      <c r="FJ35" s="575">
        <f t="shared" si="80"/>
        <v>0</v>
      </c>
      <c r="FK35" s="575">
        <f t="shared" si="81"/>
        <v>0</v>
      </c>
      <c r="FL35" s="575">
        <f t="shared" si="82"/>
        <v>0</v>
      </c>
      <c r="FM35" s="575">
        <f t="shared" si="83"/>
        <v>0</v>
      </c>
      <c r="FN35" s="575">
        <f t="shared" si="84"/>
        <v>0</v>
      </c>
      <c r="FO35" s="575">
        <f t="shared" si="85"/>
        <v>0</v>
      </c>
      <c r="FP35" s="258"/>
      <c r="FQ35" s="289">
        <f t="shared" si="86"/>
        <v>0</v>
      </c>
      <c r="FR35" s="765">
        <f t="shared" si="87"/>
        <v>0</v>
      </c>
      <c r="FS35" s="765">
        <f t="shared" si="88"/>
        <v>0</v>
      </c>
      <c r="FT35" s="765">
        <f t="shared" si="89"/>
        <v>0</v>
      </c>
      <c r="FU35" s="765">
        <f t="shared" si="90"/>
        <v>0</v>
      </c>
      <c r="FV35" s="765">
        <f t="shared" si="91"/>
        <v>0</v>
      </c>
      <c r="FW35" s="765">
        <f t="shared" si="92"/>
        <v>0</v>
      </c>
      <c r="FX35" s="765">
        <f t="shared" si="93"/>
        <v>0</v>
      </c>
      <c r="FY35" s="765">
        <f t="shared" si="94"/>
        <v>0</v>
      </c>
      <c r="FZ35" s="765">
        <f t="shared" si="95"/>
        <v>0</v>
      </c>
      <c r="GA35" s="766"/>
      <c r="GB35" s="289">
        <f t="shared" si="96"/>
        <v>0</v>
      </c>
      <c r="GC35" s="257">
        <f t="shared" si="97"/>
        <v>0</v>
      </c>
      <c r="GD35" s="257">
        <f t="shared" si="98"/>
        <v>0</v>
      </c>
      <c r="GE35" s="257">
        <f t="shared" si="99"/>
        <v>0</v>
      </c>
      <c r="GF35" s="575">
        <f t="shared" si="100"/>
        <v>3</v>
      </c>
      <c r="GG35" s="506">
        <f t="shared" si="101"/>
        <v>0</v>
      </c>
      <c r="GH35" s="39" t="str">
        <f t="shared" si="102"/>
        <v/>
      </c>
      <c r="GI35" s="257">
        <f t="shared" si="103"/>
        <v>0</v>
      </c>
      <c r="GJ35" s="257">
        <f t="shared" si="104"/>
        <v>0</v>
      </c>
      <c r="GK35" s="257">
        <f t="shared" si="105"/>
        <v>0</v>
      </c>
      <c r="GL35" s="575">
        <f t="shared" si="106"/>
        <v>3</v>
      </c>
      <c r="GM35" s="506">
        <f t="shared" si="107"/>
        <v>0</v>
      </c>
      <c r="GN35" s="39" t="str">
        <f t="shared" si="108"/>
        <v/>
      </c>
      <c r="GO35" s="257">
        <f t="shared" si="109"/>
        <v>0</v>
      </c>
      <c r="GP35" s="257">
        <f t="shared" si="110"/>
        <v>0</v>
      </c>
      <c r="GQ35" s="257">
        <f t="shared" si="111"/>
        <v>0</v>
      </c>
      <c r="GR35" s="575">
        <f t="shared" si="112"/>
        <v>3</v>
      </c>
      <c r="GS35" s="506">
        <f t="shared" si="113"/>
        <v>0</v>
      </c>
      <c r="GT35" s="39" t="str">
        <f t="shared" si="114"/>
        <v/>
      </c>
      <c r="GU35" s="257">
        <f t="shared" si="115"/>
        <v>0</v>
      </c>
      <c r="GV35" s="257">
        <f t="shared" si="116"/>
        <v>0</v>
      </c>
      <c r="GW35" s="257">
        <f t="shared" si="117"/>
        <v>0</v>
      </c>
      <c r="GX35" s="575">
        <f t="shared" si="118"/>
        <v>3</v>
      </c>
      <c r="GY35" s="506">
        <f t="shared" si="119"/>
        <v>0</v>
      </c>
      <c r="GZ35" s="39" t="str">
        <f t="shared" si="120"/>
        <v/>
      </c>
      <c r="HA35" s="257">
        <f t="shared" si="121"/>
        <v>0</v>
      </c>
      <c r="HB35" s="257">
        <f t="shared" si="122"/>
        <v>0</v>
      </c>
      <c r="HC35" s="257">
        <f t="shared" si="123"/>
        <v>0</v>
      </c>
      <c r="HD35" s="575">
        <f t="shared" si="124"/>
        <v>3</v>
      </c>
      <c r="HE35" s="506">
        <f t="shared" si="125"/>
        <v>0</v>
      </c>
      <c r="HF35" s="39" t="str">
        <f t="shared" si="126"/>
        <v/>
      </c>
      <c r="HG35" s="257">
        <f t="shared" si="127"/>
        <v>0</v>
      </c>
      <c r="HH35" s="257">
        <f t="shared" si="128"/>
        <v>0</v>
      </c>
      <c r="HI35" s="257">
        <f t="shared" si="129"/>
        <v>0</v>
      </c>
      <c r="HJ35" s="575">
        <f t="shared" si="130"/>
        <v>3</v>
      </c>
      <c r="HK35" s="506">
        <f t="shared" si="131"/>
        <v>0</v>
      </c>
      <c r="HL35" s="39" t="str">
        <f t="shared" si="132"/>
        <v/>
      </c>
      <c r="HM35" s="257">
        <f t="shared" si="133"/>
        <v>0</v>
      </c>
      <c r="HN35" s="257">
        <f t="shared" si="134"/>
        <v>0</v>
      </c>
      <c r="HO35" s="257">
        <f t="shared" si="135"/>
        <v>0</v>
      </c>
      <c r="HP35" s="575">
        <f t="shared" si="136"/>
        <v>3</v>
      </c>
      <c r="HQ35" s="506">
        <f t="shared" si="137"/>
        <v>0</v>
      </c>
      <c r="HR35" s="39" t="str">
        <f t="shared" si="138"/>
        <v/>
      </c>
      <c r="HS35" s="257">
        <f t="shared" si="139"/>
        <v>0</v>
      </c>
      <c r="HT35" s="257">
        <f t="shared" si="140"/>
        <v>0</v>
      </c>
      <c r="HU35" s="257">
        <f t="shared" si="141"/>
        <v>0</v>
      </c>
      <c r="HV35" s="575">
        <f t="shared" si="142"/>
        <v>3</v>
      </c>
      <c r="HW35" s="506">
        <f t="shared" si="143"/>
        <v>0</v>
      </c>
      <c r="HX35" s="39" t="str">
        <f t="shared" si="144"/>
        <v/>
      </c>
      <c r="HY35" s="257">
        <f t="shared" si="145"/>
        <v>0</v>
      </c>
      <c r="HZ35" s="257">
        <f t="shared" si="146"/>
        <v>0</v>
      </c>
      <c r="IA35" s="257">
        <f t="shared" si="147"/>
        <v>0</v>
      </c>
      <c r="IB35" s="575">
        <f t="shared" si="148"/>
        <v>3</v>
      </c>
      <c r="IC35" s="506">
        <f t="shared" si="149"/>
        <v>0</v>
      </c>
      <c r="ID35" s="39" t="str">
        <f t="shared" si="150"/>
        <v/>
      </c>
      <c r="IE35" s="39"/>
      <c r="IF35" s="39"/>
      <c r="IG35" s="39"/>
      <c r="IH35" s="39" t="str">
        <f t="shared" si="151"/>
        <v/>
      </c>
      <c r="II35" s="39" t="str">
        <f t="shared" si="152"/>
        <v/>
      </c>
      <c r="IJ35" s="39" t="str">
        <f t="shared" si="153"/>
        <v/>
      </c>
      <c r="IK35" s="39" t="str">
        <f t="shared" si="154"/>
        <v/>
      </c>
      <c r="IL35" s="39" t="str">
        <f t="shared" si="155"/>
        <v/>
      </c>
      <c r="IM35" s="767" t="str">
        <f t="shared" si="156"/>
        <v/>
      </c>
      <c r="IN35" s="579" t="str">
        <f t="shared" si="157"/>
        <v/>
      </c>
      <c r="IO35" s="579" t="str">
        <f t="shared" si="158"/>
        <v/>
      </c>
      <c r="IP35" s="579" t="str">
        <f t="shared" si="159"/>
        <v/>
      </c>
      <c r="IQ35" s="579"/>
      <c r="IR35" s="579" t="str">
        <f t="shared" si="160"/>
        <v/>
      </c>
      <c r="IS35" s="289">
        <f t="shared" si="161"/>
        <v>0</v>
      </c>
      <c r="IT35" s="289">
        <f t="shared" si="162"/>
        <v>0</v>
      </c>
      <c r="IU35" s="223">
        <f>SISWA!E33</f>
        <v>0</v>
      </c>
      <c r="IV35" s="223" t="str">
        <f t="shared" si="163"/>
        <v/>
      </c>
      <c r="IW35" s="580" t="str">
        <f t="shared" si="164"/>
        <v/>
      </c>
      <c r="IX35" s="580" t="str">
        <f t="shared" si="165"/>
        <v/>
      </c>
      <c r="IY35" s="580" t="str">
        <f t="shared" si="166"/>
        <v/>
      </c>
      <c r="IZ35" s="580" t="str">
        <f t="shared" si="167"/>
        <v/>
      </c>
      <c r="JA35" s="580" t="str">
        <f t="shared" si="168"/>
        <v/>
      </c>
      <c r="JB35" s="580" t="str">
        <f t="shared" si="169"/>
        <v/>
      </c>
      <c r="JC35" s="580" t="str">
        <f t="shared" si="170"/>
        <v/>
      </c>
      <c r="JD35" s="580" t="str">
        <f t="shared" si="171"/>
        <v/>
      </c>
      <c r="JE35" s="580" t="str">
        <f t="shared" si="172"/>
        <v/>
      </c>
      <c r="JF35" s="580"/>
      <c r="JG35" s="580"/>
      <c r="JH35" s="223">
        <f t="shared" si="173"/>
        <v>0</v>
      </c>
      <c r="JI35" s="289" t="e">
        <f t="shared" si="174"/>
        <v>#N/A</v>
      </c>
      <c r="JJ35" s="576" t="e">
        <f>IF(IS35&gt;100,"",IF(IS35&gt;EV$1,"sangat baik dalam "&amp;JI35,IF(IS35&gt;=EV$2,"baik dalam "&amp;JI35,IF(IS35&gt;=EV$3,"cukup dalam "&amp;JI35,IF(IS35&lt;EV$3,"dengan bimbingan dapat meningkatkan dalam "&amp;JI35,IF(IS35&lt;1," ",””))))))</f>
        <v>#N/A</v>
      </c>
      <c r="JK35" s="223"/>
      <c r="JL35" s="223" t="str">
        <f t="shared" si="175"/>
        <v/>
      </c>
      <c r="JM35" s="223" t="str">
        <f t="shared" si="176"/>
        <v/>
      </c>
      <c r="JN35" s="223" t="str">
        <f t="shared" si="177"/>
        <v/>
      </c>
      <c r="JO35" s="223" t="str">
        <f t="shared" si="178"/>
        <v/>
      </c>
      <c r="JP35" s="223" t="str">
        <f t="shared" si="179"/>
        <v/>
      </c>
      <c r="JQ35" s="223" t="str">
        <f t="shared" si="180"/>
        <v/>
      </c>
      <c r="JR35" s="223" t="str">
        <f t="shared" si="181"/>
        <v/>
      </c>
      <c r="JS35" s="223" t="str">
        <f t="shared" si="182"/>
        <v/>
      </c>
      <c r="JT35" s="223" t="str">
        <f t="shared" si="183"/>
        <v/>
      </c>
      <c r="JU35" s="223"/>
      <c r="JV35" s="223"/>
      <c r="JW35" s="223" t="e">
        <f t="shared" si="184"/>
        <v>#N/A</v>
      </c>
      <c r="JX35" s="577" t="e">
        <f>IF(IT35&gt;100,"",IF(IT35&gt;=EV$1,"sangat baik dalam "&amp;JW35,IF(IT35&gt;=EV$2,"baik dalam "&amp;JW35,IF(IT35&gt;=EV$3,"cukup dalam "&amp;JW35,IF(IT35&lt;EV$3,"dengan bimbingan dapat meningkatkan dalam "&amp;JW35,IF(IT35&lt;1," ",””))))))</f>
        <v>#N/A</v>
      </c>
      <c r="JY35" s="223" t="e">
        <f t="shared" si="185"/>
        <v>#N/A</v>
      </c>
    </row>
    <row r="36" spans="1:285">
      <c r="A36" s="39">
        <v>29</v>
      </c>
      <c r="B36" s="223">
        <f>SISWA!B34</f>
        <v>0</v>
      </c>
      <c r="C36" s="123"/>
      <c r="D36" s="123"/>
      <c r="E36" s="123"/>
      <c r="F36" s="123"/>
      <c r="G36" s="123"/>
      <c r="H36" s="123"/>
      <c r="I36" s="123"/>
      <c r="J36" s="123"/>
      <c r="K36" s="123"/>
      <c r="L36" s="255"/>
      <c r="M36" s="255"/>
      <c r="N36" s="255"/>
      <c r="O36" s="255"/>
      <c r="P36" s="255"/>
      <c r="Q36" s="255"/>
      <c r="R36" s="255"/>
      <c r="S36" s="255"/>
      <c r="T36" s="255"/>
      <c r="U36" s="256"/>
      <c r="V36" s="256"/>
      <c r="W36" s="256"/>
      <c r="X36" s="256"/>
      <c r="Y36" s="256"/>
      <c r="Z36" s="256"/>
      <c r="AA36" s="256"/>
      <c r="AB36" s="256"/>
      <c r="AC36" s="256"/>
      <c r="AD36" s="123"/>
      <c r="AE36" s="123"/>
      <c r="AF36" s="123"/>
      <c r="AG36" s="123"/>
      <c r="AH36" s="123"/>
      <c r="AI36" s="123"/>
      <c r="AJ36" s="123"/>
      <c r="AK36" s="123"/>
      <c r="AL36" s="123"/>
      <c r="AM36" s="255"/>
      <c r="AN36" s="255"/>
      <c r="AO36" s="255"/>
      <c r="AP36" s="255"/>
      <c r="AQ36" s="255"/>
      <c r="AR36" s="255"/>
      <c r="AS36" s="255"/>
      <c r="AT36" s="255"/>
      <c r="AU36" s="255"/>
      <c r="AV36" s="256"/>
      <c r="AW36" s="256"/>
      <c r="AX36" s="256"/>
      <c r="AY36" s="256"/>
      <c r="AZ36" s="256"/>
      <c r="BA36" s="256"/>
      <c r="BB36" s="256"/>
      <c r="BC36" s="256"/>
      <c r="BD36" s="256"/>
      <c r="BE36" s="123"/>
      <c r="BF36" s="123"/>
      <c r="BG36" s="123"/>
      <c r="BH36" s="123"/>
      <c r="BI36" s="123"/>
      <c r="BJ36" s="123"/>
      <c r="BK36" s="123"/>
      <c r="BL36" s="123"/>
      <c r="BM36" s="123"/>
      <c r="BN36" s="255"/>
      <c r="BO36" s="255"/>
      <c r="BP36" s="255"/>
      <c r="BQ36" s="255"/>
      <c r="BR36" s="255"/>
      <c r="BS36" s="255"/>
      <c r="BT36" s="255"/>
      <c r="BU36" s="255"/>
      <c r="BV36" s="255"/>
      <c r="BW36" s="256"/>
      <c r="BX36" s="256"/>
      <c r="BY36" s="256"/>
      <c r="BZ36" s="256"/>
      <c r="CA36" s="256"/>
      <c r="CB36" s="256"/>
      <c r="CC36" s="256"/>
      <c r="CD36" s="256"/>
      <c r="CE36" s="256"/>
      <c r="CF36" s="123"/>
      <c r="CG36" s="123"/>
      <c r="CH36" s="123"/>
      <c r="CI36" s="123"/>
      <c r="CJ36" s="123"/>
      <c r="CK36" s="123"/>
      <c r="CL36" s="123"/>
      <c r="CM36" s="123"/>
      <c r="CN36" s="123"/>
      <c r="CO36" s="255"/>
      <c r="CP36" s="255"/>
      <c r="CQ36" s="255"/>
      <c r="CR36" s="255"/>
      <c r="CS36" s="255"/>
      <c r="CT36" s="255"/>
      <c r="CU36" s="255"/>
      <c r="CV36" s="255"/>
      <c r="CW36" s="255"/>
      <c r="CX36" s="256"/>
      <c r="CY36" s="256"/>
      <c r="CZ36" s="256"/>
      <c r="DA36" s="256"/>
      <c r="DB36" s="256"/>
      <c r="DC36" s="256"/>
      <c r="DD36" s="256"/>
      <c r="DE36" s="256"/>
      <c r="DF36" s="256"/>
      <c r="DG36" s="458"/>
      <c r="DH36" s="458"/>
      <c r="DI36" s="458"/>
      <c r="DJ36" s="458"/>
      <c r="DK36" s="458"/>
      <c r="DL36" s="458"/>
      <c r="DM36" s="458"/>
      <c r="DN36" s="458"/>
      <c r="DO36" s="458"/>
      <c r="DP36" s="457"/>
      <c r="DQ36" s="457"/>
      <c r="DR36" s="457"/>
      <c r="DS36" s="457"/>
      <c r="DT36" s="457"/>
      <c r="DU36" s="457"/>
      <c r="DV36" s="457"/>
      <c r="DW36" s="457"/>
      <c r="DX36" s="457"/>
      <c r="DY36" s="256"/>
      <c r="DZ36" s="256"/>
      <c r="EA36" s="256"/>
      <c r="EB36" s="256"/>
      <c r="EC36" s="256"/>
      <c r="ED36" s="256"/>
      <c r="EE36" s="256"/>
      <c r="EF36" s="256"/>
      <c r="EG36" s="256"/>
      <c r="EH36" s="257" t="str">
        <f t="shared" si="55"/>
        <v/>
      </c>
      <c r="EI36" s="257" t="str">
        <f t="shared" si="56"/>
        <v/>
      </c>
      <c r="EJ36" s="257" t="str">
        <f t="shared" si="57"/>
        <v/>
      </c>
      <c r="EK36" s="257" t="str">
        <f t="shared" si="58"/>
        <v/>
      </c>
      <c r="EL36" s="257" t="str">
        <f t="shared" si="59"/>
        <v/>
      </c>
      <c r="EM36" s="257" t="str">
        <f t="shared" si="60"/>
        <v/>
      </c>
      <c r="EN36" s="257" t="str">
        <f t="shared" si="61"/>
        <v/>
      </c>
      <c r="EO36" s="257" t="str">
        <f t="shared" si="62"/>
        <v/>
      </c>
      <c r="EP36" s="257" t="str">
        <f t="shared" si="63"/>
        <v/>
      </c>
      <c r="EQ36" s="579" t="str">
        <f t="shared" si="64"/>
        <v/>
      </c>
      <c r="ER36" s="291" t="str">
        <f t="shared" si="65"/>
        <v xml:space="preserve">  </v>
      </c>
      <c r="ES36" s="243" t="str">
        <f t="shared" si="66"/>
        <v xml:space="preserve"> </v>
      </c>
      <c r="ET36" s="39"/>
      <c r="EU36" s="39"/>
      <c r="EV36" s="257">
        <f t="shared" si="67"/>
        <v>0</v>
      </c>
      <c r="EW36" s="257">
        <f t="shared" si="68"/>
        <v>0</v>
      </c>
      <c r="EX36" s="257">
        <f t="shared" si="69"/>
        <v>0</v>
      </c>
      <c r="EY36" s="257">
        <f t="shared" si="70"/>
        <v>0</v>
      </c>
      <c r="EZ36" s="257">
        <f t="shared" si="71"/>
        <v>0</v>
      </c>
      <c r="FA36" s="257">
        <f t="shared" si="72"/>
        <v>0</v>
      </c>
      <c r="FB36" s="257">
        <f t="shared" si="73"/>
        <v>0</v>
      </c>
      <c r="FC36" s="257">
        <f t="shared" si="74"/>
        <v>0</v>
      </c>
      <c r="FD36" s="257">
        <f t="shared" si="75"/>
        <v>0</v>
      </c>
      <c r="FE36" s="257"/>
      <c r="FF36" s="289">
        <f t="shared" si="76"/>
        <v>0</v>
      </c>
      <c r="FG36" s="575">
        <f t="shared" si="77"/>
        <v>0</v>
      </c>
      <c r="FH36" s="575">
        <f t="shared" si="78"/>
        <v>0</v>
      </c>
      <c r="FI36" s="575">
        <f t="shared" si="79"/>
        <v>0</v>
      </c>
      <c r="FJ36" s="575">
        <f t="shared" si="80"/>
        <v>0</v>
      </c>
      <c r="FK36" s="575">
        <f t="shared" si="81"/>
        <v>0</v>
      </c>
      <c r="FL36" s="575">
        <f t="shared" si="82"/>
        <v>0</v>
      </c>
      <c r="FM36" s="575">
        <f t="shared" si="83"/>
        <v>0</v>
      </c>
      <c r="FN36" s="575">
        <f t="shared" si="84"/>
        <v>0</v>
      </c>
      <c r="FO36" s="575">
        <f t="shared" si="85"/>
        <v>0</v>
      </c>
      <c r="FP36" s="258"/>
      <c r="FQ36" s="289">
        <f t="shared" si="86"/>
        <v>0</v>
      </c>
      <c r="FR36" s="765">
        <f t="shared" si="87"/>
        <v>0</v>
      </c>
      <c r="FS36" s="765">
        <f t="shared" si="88"/>
        <v>0</v>
      </c>
      <c r="FT36" s="765">
        <f t="shared" si="89"/>
        <v>0</v>
      </c>
      <c r="FU36" s="765">
        <f t="shared" si="90"/>
        <v>0</v>
      </c>
      <c r="FV36" s="765">
        <f t="shared" si="91"/>
        <v>0</v>
      </c>
      <c r="FW36" s="765">
        <f t="shared" si="92"/>
        <v>0</v>
      </c>
      <c r="FX36" s="765">
        <f t="shared" si="93"/>
        <v>0</v>
      </c>
      <c r="FY36" s="765">
        <f t="shared" si="94"/>
        <v>0</v>
      </c>
      <c r="FZ36" s="765">
        <f t="shared" si="95"/>
        <v>0</v>
      </c>
      <c r="GA36" s="766"/>
      <c r="GB36" s="289">
        <f t="shared" si="96"/>
        <v>0</v>
      </c>
      <c r="GC36" s="257">
        <f t="shared" si="97"/>
        <v>0</v>
      </c>
      <c r="GD36" s="257">
        <f t="shared" si="98"/>
        <v>0</v>
      </c>
      <c r="GE36" s="257">
        <f t="shared" si="99"/>
        <v>0</v>
      </c>
      <c r="GF36" s="575">
        <f t="shared" si="100"/>
        <v>3</v>
      </c>
      <c r="GG36" s="506">
        <f t="shared" si="101"/>
        <v>0</v>
      </c>
      <c r="GH36" s="39" t="str">
        <f t="shared" si="102"/>
        <v/>
      </c>
      <c r="GI36" s="257">
        <f t="shared" si="103"/>
        <v>0</v>
      </c>
      <c r="GJ36" s="257">
        <f t="shared" si="104"/>
        <v>0</v>
      </c>
      <c r="GK36" s="257">
        <f t="shared" si="105"/>
        <v>0</v>
      </c>
      <c r="GL36" s="575">
        <f t="shared" si="106"/>
        <v>3</v>
      </c>
      <c r="GM36" s="506">
        <f t="shared" si="107"/>
        <v>0</v>
      </c>
      <c r="GN36" s="39" t="str">
        <f t="shared" si="108"/>
        <v/>
      </c>
      <c r="GO36" s="257">
        <f t="shared" si="109"/>
        <v>0</v>
      </c>
      <c r="GP36" s="257">
        <f t="shared" si="110"/>
        <v>0</v>
      </c>
      <c r="GQ36" s="257">
        <f t="shared" si="111"/>
        <v>0</v>
      </c>
      <c r="GR36" s="575">
        <f t="shared" si="112"/>
        <v>3</v>
      </c>
      <c r="GS36" s="506">
        <f t="shared" si="113"/>
        <v>0</v>
      </c>
      <c r="GT36" s="39" t="str">
        <f t="shared" si="114"/>
        <v/>
      </c>
      <c r="GU36" s="257">
        <f t="shared" si="115"/>
        <v>0</v>
      </c>
      <c r="GV36" s="257">
        <f t="shared" si="116"/>
        <v>0</v>
      </c>
      <c r="GW36" s="257">
        <f t="shared" si="117"/>
        <v>0</v>
      </c>
      <c r="GX36" s="575">
        <f t="shared" si="118"/>
        <v>3</v>
      </c>
      <c r="GY36" s="506">
        <f t="shared" si="119"/>
        <v>0</v>
      </c>
      <c r="GZ36" s="39" t="str">
        <f t="shared" si="120"/>
        <v/>
      </c>
      <c r="HA36" s="257">
        <f t="shared" si="121"/>
        <v>0</v>
      </c>
      <c r="HB36" s="257">
        <f t="shared" si="122"/>
        <v>0</v>
      </c>
      <c r="HC36" s="257">
        <f t="shared" si="123"/>
        <v>0</v>
      </c>
      <c r="HD36" s="575">
        <f t="shared" si="124"/>
        <v>3</v>
      </c>
      <c r="HE36" s="506">
        <f t="shared" si="125"/>
        <v>0</v>
      </c>
      <c r="HF36" s="39" t="str">
        <f t="shared" si="126"/>
        <v/>
      </c>
      <c r="HG36" s="257">
        <f t="shared" si="127"/>
        <v>0</v>
      </c>
      <c r="HH36" s="257">
        <f t="shared" si="128"/>
        <v>0</v>
      </c>
      <c r="HI36" s="257">
        <f t="shared" si="129"/>
        <v>0</v>
      </c>
      <c r="HJ36" s="575">
        <f t="shared" si="130"/>
        <v>3</v>
      </c>
      <c r="HK36" s="506">
        <f t="shared" si="131"/>
        <v>0</v>
      </c>
      <c r="HL36" s="39" t="str">
        <f t="shared" si="132"/>
        <v/>
      </c>
      <c r="HM36" s="257">
        <f t="shared" si="133"/>
        <v>0</v>
      </c>
      <c r="HN36" s="257">
        <f t="shared" si="134"/>
        <v>0</v>
      </c>
      <c r="HO36" s="257">
        <f t="shared" si="135"/>
        <v>0</v>
      </c>
      <c r="HP36" s="575">
        <f t="shared" si="136"/>
        <v>3</v>
      </c>
      <c r="HQ36" s="506">
        <f t="shared" si="137"/>
        <v>0</v>
      </c>
      <c r="HR36" s="39" t="str">
        <f t="shared" si="138"/>
        <v/>
      </c>
      <c r="HS36" s="257">
        <f t="shared" si="139"/>
        <v>0</v>
      </c>
      <c r="HT36" s="257">
        <f t="shared" si="140"/>
        <v>0</v>
      </c>
      <c r="HU36" s="257">
        <f t="shared" si="141"/>
        <v>0</v>
      </c>
      <c r="HV36" s="575">
        <f t="shared" si="142"/>
        <v>3</v>
      </c>
      <c r="HW36" s="506">
        <f t="shared" si="143"/>
        <v>0</v>
      </c>
      <c r="HX36" s="39" t="str">
        <f t="shared" si="144"/>
        <v/>
      </c>
      <c r="HY36" s="257">
        <f t="shared" si="145"/>
        <v>0</v>
      </c>
      <c r="HZ36" s="257">
        <f t="shared" si="146"/>
        <v>0</v>
      </c>
      <c r="IA36" s="257">
        <f t="shared" si="147"/>
        <v>0</v>
      </c>
      <c r="IB36" s="575">
        <f t="shared" si="148"/>
        <v>3</v>
      </c>
      <c r="IC36" s="506">
        <f t="shared" si="149"/>
        <v>0</v>
      </c>
      <c r="ID36" s="39" t="str">
        <f t="shared" si="150"/>
        <v/>
      </c>
      <c r="IE36" s="39"/>
      <c r="IF36" s="39"/>
      <c r="IG36" s="39"/>
      <c r="IH36" s="39" t="str">
        <f t="shared" si="151"/>
        <v/>
      </c>
      <c r="II36" s="39" t="str">
        <f t="shared" si="152"/>
        <v/>
      </c>
      <c r="IJ36" s="39" t="str">
        <f t="shared" si="153"/>
        <v/>
      </c>
      <c r="IK36" s="39" t="str">
        <f t="shared" si="154"/>
        <v/>
      </c>
      <c r="IL36" s="39" t="str">
        <f t="shared" si="155"/>
        <v/>
      </c>
      <c r="IM36" s="767" t="str">
        <f t="shared" si="156"/>
        <v/>
      </c>
      <c r="IN36" s="579" t="str">
        <f t="shared" si="157"/>
        <v/>
      </c>
      <c r="IO36" s="579" t="str">
        <f t="shared" si="158"/>
        <v/>
      </c>
      <c r="IP36" s="579" t="str">
        <f t="shared" si="159"/>
        <v/>
      </c>
      <c r="IQ36" s="579"/>
      <c r="IR36" s="579" t="str">
        <f t="shared" si="160"/>
        <v/>
      </c>
      <c r="IS36" s="289">
        <f t="shared" si="161"/>
        <v>0</v>
      </c>
      <c r="IT36" s="289">
        <f t="shared" si="162"/>
        <v>0</v>
      </c>
      <c r="IU36" s="223">
        <f>SISWA!E34</f>
        <v>0</v>
      </c>
      <c r="IV36" s="223" t="str">
        <f t="shared" si="163"/>
        <v/>
      </c>
      <c r="IW36" s="580" t="str">
        <f t="shared" si="164"/>
        <v/>
      </c>
      <c r="IX36" s="580" t="str">
        <f t="shared" si="165"/>
        <v/>
      </c>
      <c r="IY36" s="580" t="str">
        <f t="shared" si="166"/>
        <v/>
      </c>
      <c r="IZ36" s="580" t="str">
        <f t="shared" si="167"/>
        <v/>
      </c>
      <c r="JA36" s="580" t="str">
        <f t="shared" si="168"/>
        <v/>
      </c>
      <c r="JB36" s="580" t="str">
        <f t="shared" si="169"/>
        <v/>
      </c>
      <c r="JC36" s="580" t="str">
        <f t="shared" si="170"/>
        <v/>
      </c>
      <c r="JD36" s="580" t="str">
        <f t="shared" si="171"/>
        <v/>
      </c>
      <c r="JE36" s="580" t="str">
        <f t="shared" si="172"/>
        <v/>
      </c>
      <c r="JF36" s="580"/>
      <c r="JG36" s="580"/>
      <c r="JH36" s="223">
        <f t="shared" si="173"/>
        <v>0</v>
      </c>
      <c r="JI36" s="289" t="e">
        <f t="shared" si="174"/>
        <v>#N/A</v>
      </c>
      <c r="JJ36" s="576" t="e">
        <f>IF(IS36&gt;100,"",IF(IS36&gt;EV$1,"sangat baik dalam "&amp;JI36,IF(IS36&gt;=EV$2,"baik dalam "&amp;JI36,IF(IS36&gt;=EV$3,"cukup dalam "&amp;JI36,IF(IS36&lt;EV$3,"dengan bimbingan dapat meningkatkan dalam "&amp;JI36,IF(IS36&lt;1," ",””))))))</f>
        <v>#N/A</v>
      </c>
      <c r="JK36" s="223"/>
      <c r="JL36" s="223" t="str">
        <f t="shared" si="175"/>
        <v/>
      </c>
      <c r="JM36" s="223" t="str">
        <f t="shared" si="176"/>
        <v/>
      </c>
      <c r="JN36" s="223" t="str">
        <f t="shared" si="177"/>
        <v/>
      </c>
      <c r="JO36" s="223" t="str">
        <f t="shared" si="178"/>
        <v/>
      </c>
      <c r="JP36" s="223" t="str">
        <f t="shared" si="179"/>
        <v/>
      </c>
      <c r="JQ36" s="223" t="str">
        <f t="shared" si="180"/>
        <v/>
      </c>
      <c r="JR36" s="223" t="str">
        <f t="shared" si="181"/>
        <v/>
      </c>
      <c r="JS36" s="223" t="str">
        <f t="shared" si="182"/>
        <v/>
      </c>
      <c r="JT36" s="223" t="str">
        <f t="shared" si="183"/>
        <v/>
      </c>
      <c r="JU36" s="223"/>
      <c r="JV36" s="223"/>
      <c r="JW36" s="223" t="e">
        <f t="shared" si="184"/>
        <v>#N/A</v>
      </c>
      <c r="JX36" s="577" t="e">
        <f>IF(IT36&gt;100,"",IF(IT36&gt;=EV$1,"sangat baik dalam "&amp;JW36,IF(IT36&gt;=EV$2,"baik dalam "&amp;JW36,IF(IT36&gt;=EV$3,"cukup dalam "&amp;JW36,IF(IT36&lt;EV$3,"dengan bimbingan dapat meningkatkan dalam "&amp;JW36,IF(IT36&lt;1," ",””))))))</f>
        <v>#N/A</v>
      </c>
      <c r="JY36" s="223" t="e">
        <f t="shared" si="185"/>
        <v>#N/A</v>
      </c>
    </row>
    <row r="37" spans="1:285">
      <c r="A37" s="39">
        <v>30</v>
      </c>
      <c r="B37" s="223">
        <f>SISWA!B35</f>
        <v>0</v>
      </c>
      <c r="C37" s="123"/>
      <c r="D37" s="123"/>
      <c r="E37" s="123"/>
      <c r="F37" s="123"/>
      <c r="G37" s="123"/>
      <c r="H37" s="123"/>
      <c r="I37" s="123"/>
      <c r="J37" s="123"/>
      <c r="K37" s="123"/>
      <c r="L37" s="255"/>
      <c r="M37" s="255"/>
      <c r="N37" s="255"/>
      <c r="O37" s="255"/>
      <c r="P37" s="255"/>
      <c r="Q37" s="255"/>
      <c r="R37" s="255"/>
      <c r="S37" s="255"/>
      <c r="T37" s="255"/>
      <c r="U37" s="256"/>
      <c r="V37" s="256"/>
      <c r="W37" s="256"/>
      <c r="X37" s="256"/>
      <c r="Y37" s="256"/>
      <c r="Z37" s="256"/>
      <c r="AA37" s="256"/>
      <c r="AB37" s="256"/>
      <c r="AC37" s="256"/>
      <c r="AD37" s="123"/>
      <c r="AE37" s="123"/>
      <c r="AF37" s="123"/>
      <c r="AG37" s="123"/>
      <c r="AH37" s="123"/>
      <c r="AI37" s="123"/>
      <c r="AJ37" s="123"/>
      <c r="AK37" s="123"/>
      <c r="AL37" s="123"/>
      <c r="AM37" s="255"/>
      <c r="AN37" s="255"/>
      <c r="AO37" s="255"/>
      <c r="AP37" s="255"/>
      <c r="AQ37" s="255"/>
      <c r="AR37" s="255"/>
      <c r="AS37" s="255"/>
      <c r="AT37" s="255"/>
      <c r="AU37" s="255"/>
      <c r="AV37" s="256"/>
      <c r="AW37" s="256"/>
      <c r="AX37" s="256"/>
      <c r="AY37" s="256"/>
      <c r="AZ37" s="256"/>
      <c r="BA37" s="256"/>
      <c r="BB37" s="256"/>
      <c r="BC37" s="256"/>
      <c r="BD37" s="256"/>
      <c r="BE37" s="123"/>
      <c r="BF37" s="123"/>
      <c r="BG37" s="123"/>
      <c r="BH37" s="123"/>
      <c r="BI37" s="123"/>
      <c r="BJ37" s="123"/>
      <c r="BK37" s="123"/>
      <c r="BL37" s="123"/>
      <c r="BM37" s="123"/>
      <c r="BN37" s="255"/>
      <c r="BO37" s="255"/>
      <c r="BP37" s="255"/>
      <c r="BQ37" s="255"/>
      <c r="BR37" s="255"/>
      <c r="BS37" s="255"/>
      <c r="BT37" s="255"/>
      <c r="BU37" s="255"/>
      <c r="BV37" s="255"/>
      <c r="BW37" s="256"/>
      <c r="BX37" s="256"/>
      <c r="BY37" s="256"/>
      <c r="BZ37" s="256"/>
      <c r="CA37" s="256"/>
      <c r="CB37" s="256"/>
      <c r="CC37" s="256"/>
      <c r="CD37" s="256"/>
      <c r="CE37" s="256"/>
      <c r="CF37" s="123"/>
      <c r="CG37" s="123"/>
      <c r="CH37" s="123"/>
      <c r="CI37" s="123"/>
      <c r="CJ37" s="123"/>
      <c r="CK37" s="123"/>
      <c r="CL37" s="123"/>
      <c r="CM37" s="123"/>
      <c r="CN37" s="123"/>
      <c r="CO37" s="255"/>
      <c r="CP37" s="255"/>
      <c r="CQ37" s="255"/>
      <c r="CR37" s="255"/>
      <c r="CS37" s="255"/>
      <c r="CT37" s="255"/>
      <c r="CU37" s="255"/>
      <c r="CV37" s="255"/>
      <c r="CW37" s="255"/>
      <c r="CX37" s="256"/>
      <c r="CY37" s="256"/>
      <c r="CZ37" s="256"/>
      <c r="DA37" s="256"/>
      <c r="DB37" s="256"/>
      <c r="DC37" s="256"/>
      <c r="DD37" s="256"/>
      <c r="DE37" s="256"/>
      <c r="DF37" s="256"/>
      <c r="DG37" s="458"/>
      <c r="DH37" s="458"/>
      <c r="DI37" s="458"/>
      <c r="DJ37" s="458"/>
      <c r="DK37" s="458"/>
      <c r="DL37" s="458"/>
      <c r="DM37" s="458"/>
      <c r="DN37" s="458"/>
      <c r="DO37" s="458"/>
      <c r="DP37" s="457"/>
      <c r="DQ37" s="457"/>
      <c r="DR37" s="457"/>
      <c r="DS37" s="457"/>
      <c r="DT37" s="457"/>
      <c r="DU37" s="457"/>
      <c r="DV37" s="457"/>
      <c r="DW37" s="457"/>
      <c r="DX37" s="457"/>
      <c r="DY37" s="256"/>
      <c r="DZ37" s="256"/>
      <c r="EA37" s="256"/>
      <c r="EB37" s="256"/>
      <c r="EC37" s="256"/>
      <c r="ED37" s="256"/>
      <c r="EE37" s="256"/>
      <c r="EF37" s="256"/>
      <c r="EG37" s="256"/>
      <c r="EH37" s="257" t="str">
        <f t="shared" si="55"/>
        <v/>
      </c>
      <c r="EI37" s="257" t="str">
        <f t="shared" si="56"/>
        <v/>
      </c>
      <c r="EJ37" s="257" t="str">
        <f t="shared" si="57"/>
        <v/>
      </c>
      <c r="EK37" s="257" t="str">
        <f t="shared" si="58"/>
        <v/>
      </c>
      <c r="EL37" s="257" t="str">
        <f t="shared" si="59"/>
        <v/>
      </c>
      <c r="EM37" s="257" t="str">
        <f t="shared" si="60"/>
        <v/>
      </c>
      <c r="EN37" s="257" t="str">
        <f t="shared" si="61"/>
        <v/>
      </c>
      <c r="EO37" s="257" t="str">
        <f t="shared" si="62"/>
        <v/>
      </c>
      <c r="EP37" s="257" t="str">
        <f t="shared" si="63"/>
        <v/>
      </c>
      <c r="EQ37" s="579" t="str">
        <f t="shared" si="64"/>
        <v/>
      </c>
      <c r="ER37" s="291" t="str">
        <f t="shared" si="65"/>
        <v xml:space="preserve">  </v>
      </c>
      <c r="ES37" s="243" t="str">
        <f t="shared" si="66"/>
        <v xml:space="preserve"> </v>
      </c>
      <c r="ET37" s="39"/>
      <c r="EU37" s="39"/>
      <c r="EV37" s="257">
        <f t="shared" si="67"/>
        <v>0</v>
      </c>
      <c r="EW37" s="257">
        <f t="shared" si="68"/>
        <v>0</v>
      </c>
      <c r="EX37" s="257">
        <f t="shared" si="69"/>
        <v>0</v>
      </c>
      <c r="EY37" s="257">
        <f t="shared" si="70"/>
        <v>0</v>
      </c>
      <c r="EZ37" s="257">
        <f t="shared" si="71"/>
        <v>0</v>
      </c>
      <c r="FA37" s="257">
        <f t="shared" si="72"/>
        <v>0</v>
      </c>
      <c r="FB37" s="257">
        <f t="shared" si="73"/>
        <v>0</v>
      </c>
      <c r="FC37" s="257">
        <f t="shared" si="74"/>
        <v>0</v>
      </c>
      <c r="FD37" s="257">
        <f t="shared" si="75"/>
        <v>0</v>
      </c>
      <c r="FE37" s="257"/>
      <c r="FF37" s="289">
        <f t="shared" si="76"/>
        <v>0</v>
      </c>
      <c r="FG37" s="575">
        <f t="shared" si="77"/>
        <v>0</v>
      </c>
      <c r="FH37" s="575">
        <f t="shared" si="78"/>
        <v>0</v>
      </c>
      <c r="FI37" s="575">
        <f t="shared" si="79"/>
        <v>0</v>
      </c>
      <c r="FJ37" s="575">
        <f t="shared" si="80"/>
        <v>0</v>
      </c>
      <c r="FK37" s="575">
        <f t="shared" si="81"/>
        <v>0</v>
      </c>
      <c r="FL37" s="575">
        <f t="shared" si="82"/>
        <v>0</v>
      </c>
      <c r="FM37" s="575">
        <f t="shared" si="83"/>
        <v>0</v>
      </c>
      <c r="FN37" s="575">
        <f t="shared" si="84"/>
        <v>0</v>
      </c>
      <c r="FO37" s="575">
        <f t="shared" si="85"/>
        <v>0</v>
      </c>
      <c r="FP37" s="258"/>
      <c r="FQ37" s="289">
        <f t="shared" si="86"/>
        <v>0</v>
      </c>
      <c r="FR37" s="765">
        <f t="shared" si="87"/>
        <v>0</v>
      </c>
      <c r="FS37" s="765">
        <f t="shared" si="88"/>
        <v>0</v>
      </c>
      <c r="FT37" s="765">
        <f t="shared" si="89"/>
        <v>0</v>
      </c>
      <c r="FU37" s="765">
        <f t="shared" si="90"/>
        <v>0</v>
      </c>
      <c r="FV37" s="765">
        <f t="shared" si="91"/>
        <v>0</v>
      </c>
      <c r="FW37" s="765">
        <f t="shared" si="92"/>
        <v>0</v>
      </c>
      <c r="FX37" s="765">
        <f t="shared" si="93"/>
        <v>0</v>
      </c>
      <c r="FY37" s="765">
        <f t="shared" si="94"/>
        <v>0</v>
      </c>
      <c r="FZ37" s="765">
        <f t="shared" si="95"/>
        <v>0</v>
      </c>
      <c r="GA37" s="766"/>
      <c r="GB37" s="289">
        <f t="shared" si="96"/>
        <v>0</v>
      </c>
      <c r="GC37" s="257">
        <f t="shared" si="97"/>
        <v>0</v>
      </c>
      <c r="GD37" s="257">
        <f t="shared" si="98"/>
        <v>0</v>
      </c>
      <c r="GE37" s="257">
        <f t="shared" si="99"/>
        <v>0</v>
      </c>
      <c r="GF37" s="575">
        <f t="shared" si="100"/>
        <v>3</v>
      </c>
      <c r="GG37" s="506">
        <f t="shared" si="101"/>
        <v>0</v>
      </c>
      <c r="GH37" s="39" t="str">
        <f t="shared" si="102"/>
        <v/>
      </c>
      <c r="GI37" s="257">
        <f t="shared" si="103"/>
        <v>0</v>
      </c>
      <c r="GJ37" s="257">
        <f t="shared" si="104"/>
        <v>0</v>
      </c>
      <c r="GK37" s="257">
        <f t="shared" si="105"/>
        <v>0</v>
      </c>
      <c r="GL37" s="575">
        <f t="shared" si="106"/>
        <v>3</v>
      </c>
      <c r="GM37" s="506">
        <f t="shared" si="107"/>
        <v>0</v>
      </c>
      <c r="GN37" s="39" t="str">
        <f t="shared" si="108"/>
        <v/>
      </c>
      <c r="GO37" s="257">
        <f t="shared" si="109"/>
        <v>0</v>
      </c>
      <c r="GP37" s="257">
        <f t="shared" si="110"/>
        <v>0</v>
      </c>
      <c r="GQ37" s="257">
        <f t="shared" si="111"/>
        <v>0</v>
      </c>
      <c r="GR37" s="575">
        <f t="shared" si="112"/>
        <v>3</v>
      </c>
      <c r="GS37" s="506">
        <f t="shared" si="113"/>
        <v>0</v>
      </c>
      <c r="GT37" s="39" t="str">
        <f t="shared" si="114"/>
        <v/>
      </c>
      <c r="GU37" s="257">
        <f t="shared" si="115"/>
        <v>0</v>
      </c>
      <c r="GV37" s="257">
        <f t="shared" si="116"/>
        <v>0</v>
      </c>
      <c r="GW37" s="257">
        <f t="shared" si="117"/>
        <v>0</v>
      </c>
      <c r="GX37" s="575">
        <f t="shared" si="118"/>
        <v>3</v>
      </c>
      <c r="GY37" s="506">
        <f t="shared" si="119"/>
        <v>0</v>
      </c>
      <c r="GZ37" s="39" t="str">
        <f t="shared" si="120"/>
        <v/>
      </c>
      <c r="HA37" s="257">
        <f t="shared" si="121"/>
        <v>0</v>
      </c>
      <c r="HB37" s="257">
        <f t="shared" si="122"/>
        <v>0</v>
      </c>
      <c r="HC37" s="257">
        <f t="shared" si="123"/>
        <v>0</v>
      </c>
      <c r="HD37" s="575">
        <f t="shared" si="124"/>
        <v>3</v>
      </c>
      <c r="HE37" s="506">
        <f t="shared" si="125"/>
        <v>0</v>
      </c>
      <c r="HF37" s="39" t="str">
        <f t="shared" si="126"/>
        <v/>
      </c>
      <c r="HG37" s="257">
        <f t="shared" si="127"/>
        <v>0</v>
      </c>
      <c r="HH37" s="257">
        <f t="shared" si="128"/>
        <v>0</v>
      </c>
      <c r="HI37" s="257">
        <f t="shared" si="129"/>
        <v>0</v>
      </c>
      <c r="HJ37" s="575">
        <f t="shared" si="130"/>
        <v>3</v>
      </c>
      <c r="HK37" s="506">
        <f t="shared" si="131"/>
        <v>0</v>
      </c>
      <c r="HL37" s="39" t="str">
        <f t="shared" si="132"/>
        <v/>
      </c>
      <c r="HM37" s="257">
        <f t="shared" si="133"/>
        <v>0</v>
      </c>
      <c r="HN37" s="257">
        <f t="shared" si="134"/>
        <v>0</v>
      </c>
      <c r="HO37" s="257">
        <f t="shared" si="135"/>
        <v>0</v>
      </c>
      <c r="HP37" s="575">
        <f t="shared" si="136"/>
        <v>3</v>
      </c>
      <c r="HQ37" s="506">
        <f t="shared" si="137"/>
        <v>0</v>
      </c>
      <c r="HR37" s="39" t="str">
        <f t="shared" si="138"/>
        <v/>
      </c>
      <c r="HS37" s="257">
        <f t="shared" si="139"/>
        <v>0</v>
      </c>
      <c r="HT37" s="257">
        <f t="shared" si="140"/>
        <v>0</v>
      </c>
      <c r="HU37" s="257">
        <f t="shared" si="141"/>
        <v>0</v>
      </c>
      <c r="HV37" s="575">
        <f t="shared" si="142"/>
        <v>3</v>
      </c>
      <c r="HW37" s="506">
        <f t="shared" si="143"/>
        <v>0</v>
      </c>
      <c r="HX37" s="39" t="str">
        <f t="shared" si="144"/>
        <v/>
      </c>
      <c r="HY37" s="257">
        <f t="shared" si="145"/>
        <v>0</v>
      </c>
      <c r="HZ37" s="257">
        <f t="shared" si="146"/>
        <v>0</v>
      </c>
      <c r="IA37" s="257">
        <f t="shared" si="147"/>
        <v>0</v>
      </c>
      <c r="IB37" s="575">
        <f t="shared" si="148"/>
        <v>3</v>
      </c>
      <c r="IC37" s="506">
        <f t="shared" si="149"/>
        <v>0</v>
      </c>
      <c r="ID37" s="39" t="str">
        <f t="shared" si="150"/>
        <v/>
      </c>
      <c r="IE37" s="39"/>
      <c r="IF37" s="39"/>
      <c r="IG37" s="39"/>
      <c r="IH37" s="39" t="str">
        <f t="shared" si="151"/>
        <v/>
      </c>
      <c r="II37" s="39" t="str">
        <f t="shared" si="152"/>
        <v/>
      </c>
      <c r="IJ37" s="39" t="str">
        <f t="shared" si="153"/>
        <v/>
      </c>
      <c r="IK37" s="39" t="str">
        <f t="shared" si="154"/>
        <v/>
      </c>
      <c r="IL37" s="39" t="str">
        <f t="shared" si="155"/>
        <v/>
      </c>
      <c r="IM37" s="767" t="str">
        <f t="shared" si="156"/>
        <v/>
      </c>
      <c r="IN37" s="579" t="str">
        <f t="shared" si="157"/>
        <v/>
      </c>
      <c r="IO37" s="579" t="str">
        <f t="shared" si="158"/>
        <v/>
      </c>
      <c r="IP37" s="579" t="str">
        <f t="shared" si="159"/>
        <v/>
      </c>
      <c r="IQ37" s="579"/>
      <c r="IR37" s="579" t="str">
        <f t="shared" si="160"/>
        <v/>
      </c>
      <c r="IS37" s="289">
        <f t="shared" si="161"/>
        <v>0</v>
      </c>
      <c r="IT37" s="289">
        <f t="shared" si="162"/>
        <v>0</v>
      </c>
      <c r="IU37" s="223">
        <f>SISWA!E35</f>
        <v>0</v>
      </c>
      <c r="IV37" s="223" t="str">
        <f t="shared" si="163"/>
        <v/>
      </c>
      <c r="IW37" s="580" t="str">
        <f t="shared" si="164"/>
        <v/>
      </c>
      <c r="IX37" s="580" t="str">
        <f t="shared" si="165"/>
        <v/>
      </c>
      <c r="IY37" s="580" t="str">
        <f t="shared" si="166"/>
        <v/>
      </c>
      <c r="IZ37" s="580" t="str">
        <f t="shared" si="167"/>
        <v/>
      </c>
      <c r="JA37" s="580" t="str">
        <f t="shared" si="168"/>
        <v/>
      </c>
      <c r="JB37" s="580" t="str">
        <f t="shared" si="169"/>
        <v/>
      </c>
      <c r="JC37" s="580" t="str">
        <f t="shared" si="170"/>
        <v/>
      </c>
      <c r="JD37" s="580" t="str">
        <f t="shared" si="171"/>
        <v/>
      </c>
      <c r="JE37" s="580" t="str">
        <f t="shared" si="172"/>
        <v/>
      </c>
      <c r="JF37" s="580"/>
      <c r="JG37" s="580"/>
      <c r="JH37" s="223">
        <f t="shared" si="173"/>
        <v>0</v>
      </c>
      <c r="JI37" s="289" t="e">
        <f t="shared" si="174"/>
        <v>#N/A</v>
      </c>
      <c r="JJ37" s="576" t="e">
        <f>IF(IS37&gt;100,"",IF(IS37&gt;EV$1,"sangat baik dalam "&amp;JI37,IF(IS37&gt;=EV$2,"baik dalam "&amp;JI37,IF(IS37&gt;=EV$3,"cukup dalam "&amp;JI37,IF(IS37&lt;EV$3,"dengan bimbingan dapat meningkatkan dalam "&amp;JI37,IF(IS37&lt;1," ",””))))))</f>
        <v>#N/A</v>
      </c>
      <c r="JK37" s="223"/>
      <c r="JL37" s="223" t="str">
        <f t="shared" si="175"/>
        <v/>
      </c>
      <c r="JM37" s="223" t="str">
        <f t="shared" si="176"/>
        <v/>
      </c>
      <c r="JN37" s="223" t="str">
        <f t="shared" si="177"/>
        <v/>
      </c>
      <c r="JO37" s="223" t="str">
        <f t="shared" si="178"/>
        <v/>
      </c>
      <c r="JP37" s="223" t="str">
        <f t="shared" si="179"/>
        <v/>
      </c>
      <c r="JQ37" s="223" t="str">
        <f t="shared" si="180"/>
        <v/>
      </c>
      <c r="JR37" s="223" t="str">
        <f t="shared" si="181"/>
        <v/>
      </c>
      <c r="JS37" s="223" t="str">
        <f t="shared" si="182"/>
        <v/>
      </c>
      <c r="JT37" s="223" t="str">
        <f t="shared" si="183"/>
        <v/>
      </c>
      <c r="JU37" s="223"/>
      <c r="JV37" s="223"/>
      <c r="JW37" s="223" t="e">
        <f t="shared" si="184"/>
        <v>#N/A</v>
      </c>
      <c r="JX37" s="577" t="e">
        <f>IF(IT37&gt;100,"",IF(IT37&gt;=EV$1,"sangat baik dalam "&amp;JW37,IF(IT37&gt;=EV$2,"baik dalam "&amp;JW37,IF(IT37&gt;=EV$3,"cukup dalam "&amp;JW37,IF(IT37&lt;EV$3,"dengan bimbingan dapat meningkatkan dalam "&amp;JW37,IF(IT37&lt;1," ",””))))))</f>
        <v>#N/A</v>
      </c>
      <c r="JY37" s="223" t="e">
        <f t="shared" si="185"/>
        <v>#N/A</v>
      </c>
    </row>
    <row r="38" spans="1:285">
      <c r="A38" s="39">
        <v>31</v>
      </c>
      <c r="B38" s="223">
        <f>SISWA!B36</f>
        <v>0</v>
      </c>
      <c r="C38" s="123"/>
      <c r="D38" s="123"/>
      <c r="E38" s="123"/>
      <c r="F38" s="123"/>
      <c r="G38" s="123"/>
      <c r="H38" s="123"/>
      <c r="I38" s="123"/>
      <c r="J38" s="123"/>
      <c r="K38" s="123"/>
      <c r="L38" s="255"/>
      <c r="M38" s="255"/>
      <c r="N38" s="255"/>
      <c r="O38" s="255"/>
      <c r="P38" s="255"/>
      <c r="Q38" s="255"/>
      <c r="R38" s="255"/>
      <c r="S38" s="255"/>
      <c r="T38" s="255"/>
      <c r="U38" s="256"/>
      <c r="V38" s="256"/>
      <c r="W38" s="256"/>
      <c r="X38" s="256"/>
      <c r="Y38" s="256"/>
      <c r="Z38" s="256"/>
      <c r="AA38" s="256"/>
      <c r="AB38" s="256"/>
      <c r="AC38" s="256"/>
      <c r="AD38" s="123"/>
      <c r="AE38" s="123"/>
      <c r="AF38" s="123"/>
      <c r="AG38" s="123"/>
      <c r="AH38" s="123"/>
      <c r="AI38" s="123"/>
      <c r="AJ38" s="123"/>
      <c r="AK38" s="123"/>
      <c r="AL38" s="123"/>
      <c r="AM38" s="255"/>
      <c r="AN38" s="255"/>
      <c r="AO38" s="255"/>
      <c r="AP38" s="255"/>
      <c r="AQ38" s="255"/>
      <c r="AR38" s="255"/>
      <c r="AS38" s="255"/>
      <c r="AT38" s="255"/>
      <c r="AU38" s="255"/>
      <c r="AV38" s="256"/>
      <c r="AW38" s="256"/>
      <c r="AX38" s="256"/>
      <c r="AY38" s="256"/>
      <c r="AZ38" s="256"/>
      <c r="BA38" s="256"/>
      <c r="BB38" s="256"/>
      <c r="BC38" s="256"/>
      <c r="BD38" s="256"/>
      <c r="BE38" s="123"/>
      <c r="BF38" s="123"/>
      <c r="BG38" s="123"/>
      <c r="BH38" s="123"/>
      <c r="BI38" s="123"/>
      <c r="BJ38" s="123"/>
      <c r="BK38" s="123"/>
      <c r="BL38" s="123"/>
      <c r="BM38" s="123"/>
      <c r="BN38" s="255"/>
      <c r="BO38" s="255"/>
      <c r="BP38" s="255"/>
      <c r="BQ38" s="255"/>
      <c r="BR38" s="255"/>
      <c r="BS38" s="255"/>
      <c r="BT38" s="255"/>
      <c r="BU38" s="255"/>
      <c r="BV38" s="255"/>
      <c r="BW38" s="256"/>
      <c r="BX38" s="256"/>
      <c r="BY38" s="256"/>
      <c r="BZ38" s="256"/>
      <c r="CA38" s="256"/>
      <c r="CB38" s="256"/>
      <c r="CC38" s="256"/>
      <c r="CD38" s="256"/>
      <c r="CE38" s="256"/>
      <c r="CF38" s="123"/>
      <c r="CG38" s="123"/>
      <c r="CH38" s="123"/>
      <c r="CI38" s="123"/>
      <c r="CJ38" s="123"/>
      <c r="CK38" s="123"/>
      <c r="CL38" s="123"/>
      <c r="CM38" s="123"/>
      <c r="CN38" s="123"/>
      <c r="CO38" s="255"/>
      <c r="CP38" s="255"/>
      <c r="CQ38" s="255"/>
      <c r="CR38" s="255"/>
      <c r="CS38" s="255"/>
      <c r="CT38" s="255"/>
      <c r="CU38" s="255"/>
      <c r="CV38" s="255"/>
      <c r="CW38" s="255"/>
      <c r="CX38" s="256"/>
      <c r="CY38" s="256"/>
      <c r="CZ38" s="256"/>
      <c r="DA38" s="256"/>
      <c r="DB38" s="256"/>
      <c r="DC38" s="256"/>
      <c r="DD38" s="256"/>
      <c r="DE38" s="256"/>
      <c r="DF38" s="256"/>
      <c r="DG38" s="458"/>
      <c r="DH38" s="458"/>
      <c r="DI38" s="458"/>
      <c r="DJ38" s="458"/>
      <c r="DK38" s="458"/>
      <c r="DL38" s="458"/>
      <c r="DM38" s="458"/>
      <c r="DN38" s="458"/>
      <c r="DO38" s="458"/>
      <c r="DP38" s="457"/>
      <c r="DQ38" s="457"/>
      <c r="DR38" s="457"/>
      <c r="DS38" s="457"/>
      <c r="DT38" s="457"/>
      <c r="DU38" s="457"/>
      <c r="DV38" s="457"/>
      <c r="DW38" s="457"/>
      <c r="DX38" s="457"/>
      <c r="DY38" s="256"/>
      <c r="DZ38" s="256"/>
      <c r="EA38" s="256"/>
      <c r="EB38" s="256"/>
      <c r="EC38" s="256"/>
      <c r="ED38" s="256"/>
      <c r="EE38" s="256"/>
      <c r="EF38" s="256"/>
      <c r="EG38" s="256"/>
      <c r="EH38" s="257" t="str">
        <f t="shared" si="55"/>
        <v/>
      </c>
      <c r="EI38" s="257" t="str">
        <f t="shared" si="56"/>
        <v/>
      </c>
      <c r="EJ38" s="257" t="str">
        <f t="shared" si="57"/>
        <v/>
      </c>
      <c r="EK38" s="257" t="str">
        <f t="shared" si="58"/>
        <v/>
      </c>
      <c r="EL38" s="257" t="str">
        <f t="shared" si="59"/>
        <v/>
      </c>
      <c r="EM38" s="257" t="str">
        <f t="shared" si="60"/>
        <v/>
      </c>
      <c r="EN38" s="257" t="str">
        <f t="shared" si="61"/>
        <v/>
      </c>
      <c r="EO38" s="257" t="str">
        <f t="shared" si="62"/>
        <v/>
      </c>
      <c r="EP38" s="257" t="str">
        <f t="shared" si="63"/>
        <v/>
      </c>
      <c r="EQ38" s="579" t="str">
        <f t="shared" si="64"/>
        <v/>
      </c>
      <c r="ER38" s="291" t="str">
        <f t="shared" si="65"/>
        <v xml:space="preserve">  </v>
      </c>
      <c r="ES38" s="243" t="str">
        <f t="shared" si="66"/>
        <v xml:space="preserve"> </v>
      </c>
      <c r="ET38" s="39"/>
      <c r="EU38" s="39"/>
      <c r="EV38" s="257">
        <f t="shared" si="67"/>
        <v>0</v>
      </c>
      <c r="EW38" s="257">
        <f t="shared" si="68"/>
        <v>0</v>
      </c>
      <c r="EX38" s="257">
        <f t="shared" si="69"/>
        <v>0</v>
      </c>
      <c r="EY38" s="257">
        <f t="shared" si="70"/>
        <v>0</v>
      </c>
      <c r="EZ38" s="257">
        <f t="shared" si="71"/>
        <v>0</v>
      </c>
      <c r="FA38" s="257">
        <f t="shared" si="72"/>
        <v>0</v>
      </c>
      <c r="FB38" s="257">
        <f t="shared" si="73"/>
        <v>0</v>
      </c>
      <c r="FC38" s="257">
        <f t="shared" si="74"/>
        <v>0</v>
      </c>
      <c r="FD38" s="257">
        <f t="shared" si="75"/>
        <v>0</v>
      </c>
      <c r="FE38" s="257"/>
      <c r="FF38" s="289">
        <f t="shared" si="76"/>
        <v>0</v>
      </c>
      <c r="FG38" s="575">
        <f t="shared" si="77"/>
        <v>0</v>
      </c>
      <c r="FH38" s="575">
        <f t="shared" si="78"/>
        <v>0</v>
      </c>
      <c r="FI38" s="575">
        <f t="shared" si="79"/>
        <v>0</v>
      </c>
      <c r="FJ38" s="575">
        <f t="shared" si="80"/>
        <v>0</v>
      </c>
      <c r="FK38" s="575">
        <f t="shared" si="81"/>
        <v>0</v>
      </c>
      <c r="FL38" s="575">
        <f t="shared" si="82"/>
        <v>0</v>
      </c>
      <c r="FM38" s="575">
        <f t="shared" si="83"/>
        <v>0</v>
      </c>
      <c r="FN38" s="575">
        <f t="shared" si="84"/>
        <v>0</v>
      </c>
      <c r="FO38" s="575">
        <f t="shared" si="85"/>
        <v>0</v>
      </c>
      <c r="FP38" s="258"/>
      <c r="FQ38" s="289">
        <f t="shared" si="86"/>
        <v>0</v>
      </c>
      <c r="FR38" s="765">
        <f t="shared" si="87"/>
        <v>0</v>
      </c>
      <c r="FS38" s="765">
        <f t="shared" si="88"/>
        <v>0</v>
      </c>
      <c r="FT38" s="765">
        <f t="shared" si="89"/>
        <v>0</v>
      </c>
      <c r="FU38" s="765">
        <f t="shared" si="90"/>
        <v>0</v>
      </c>
      <c r="FV38" s="765">
        <f t="shared" si="91"/>
        <v>0</v>
      </c>
      <c r="FW38" s="765">
        <f t="shared" si="92"/>
        <v>0</v>
      </c>
      <c r="FX38" s="765">
        <f t="shared" si="93"/>
        <v>0</v>
      </c>
      <c r="FY38" s="765">
        <f t="shared" si="94"/>
        <v>0</v>
      </c>
      <c r="FZ38" s="765">
        <f t="shared" si="95"/>
        <v>0</v>
      </c>
      <c r="GA38" s="766"/>
      <c r="GB38" s="289">
        <f t="shared" si="96"/>
        <v>0</v>
      </c>
      <c r="GC38" s="257">
        <f t="shared" si="97"/>
        <v>0</v>
      </c>
      <c r="GD38" s="257">
        <f t="shared" si="98"/>
        <v>0</v>
      </c>
      <c r="GE38" s="257">
        <f t="shared" si="99"/>
        <v>0</v>
      </c>
      <c r="GF38" s="575">
        <f t="shared" si="100"/>
        <v>3</v>
      </c>
      <c r="GG38" s="506">
        <f t="shared" si="101"/>
        <v>0</v>
      </c>
      <c r="GH38" s="39" t="str">
        <f t="shared" si="102"/>
        <v/>
      </c>
      <c r="GI38" s="257">
        <f t="shared" si="103"/>
        <v>0</v>
      </c>
      <c r="GJ38" s="257">
        <f t="shared" si="104"/>
        <v>0</v>
      </c>
      <c r="GK38" s="257">
        <f t="shared" si="105"/>
        <v>0</v>
      </c>
      <c r="GL38" s="575">
        <f t="shared" si="106"/>
        <v>3</v>
      </c>
      <c r="GM38" s="506">
        <f t="shared" si="107"/>
        <v>0</v>
      </c>
      <c r="GN38" s="39" t="str">
        <f t="shared" si="108"/>
        <v/>
      </c>
      <c r="GO38" s="257">
        <f t="shared" si="109"/>
        <v>0</v>
      </c>
      <c r="GP38" s="257">
        <f t="shared" si="110"/>
        <v>0</v>
      </c>
      <c r="GQ38" s="257">
        <f t="shared" si="111"/>
        <v>0</v>
      </c>
      <c r="GR38" s="575">
        <f t="shared" si="112"/>
        <v>3</v>
      </c>
      <c r="GS38" s="506">
        <f t="shared" si="113"/>
        <v>0</v>
      </c>
      <c r="GT38" s="39" t="str">
        <f t="shared" si="114"/>
        <v/>
      </c>
      <c r="GU38" s="257">
        <f t="shared" si="115"/>
        <v>0</v>
      </c>
      <c r="GV38" s="257">
        <f t="shared" si="116"/>
        <v>0</v>
      </c>
      <c r="GW38" s="257">
        <f t="shared" si="117"/>
        <v>0</v>
      </c>
      <c r="GX38" s="575">
        <f t="shared" si="118"/>
        <v>3</v>
      </c>
      <c r="GY38" s="506">
        <f t="shared" si="119"/>
        <v>0</v>
      </c>
      <c r="GZ38" s="39" t="str">
        <f t="shared" si="120"/>
        <v/>
      </c>
      <c r="HA38" s="257">
        <f t="shared" si="121"/>
        <v>0</v>
      </c>
      <c r="HB38" s="257">
        <f t="shared" si="122"/>
        <v>0</v>
      </c>
      <c r="HC38" s="257">
        <f t="shared" si="123"/>
        <v>0</v>
      </c>
      <c r="HD38" s="575">
        <f t="shared" si="124"/>
        <v>3</v>
      </c>
      <c r="HE38" s="506">
        <f t="shared" si="125"/>
        <v>0</v>
      </c>
      <c r="HF38" s="39" t="str">
        <f t="shared" si="126"/>
        <v/>
      </c>
      <c r="HG38" s="257">
        <f t="shared" si="127"/>
        <v>0</v>
      </c>
      <c r="HH38" s="257">
        <f t="shared" si="128"/>
        <v>0</v>
      </c>
      <c r="HI38" s="257">
        <f t="shared" si="129"/>
        <v>0</v>
      </c>
      <c r="HJ38" s="575">
        <f t="shared" si="130"/>
        <v>3</v>
      </c>
      <c r="HK38" s="506">
        <f t="shared" si="131"/>
        <v>0</v>
      </c>
      <c r="HL38" s="39" t="str">
        <f t="shared" si="132"/>
        <v/>
      </c>
      <c r="HM38" s="257">
        <f t="shared" si="133"/>
        <v>0</v>
      </c>
      <c r="HN38" s="257">
        <f t="shared" si="134"/>
        <v>0</v>
      </c>
      <c r="HO38" s="257">
        <f t="shared" si="135"/>
        <v>0</v>
      </c>
      <c r="HP38" s="575">
        <f t="shared" si="136"/>
        <v>3</v>
      </c>
      <c r="HQ38" s="506">
        <f t="shared" si="137"/>
        <v>0</v>
      </c>
      <c r="HR38" s="39" t="str">
        <f t="shared" si="138"/>
        <v/>
      </c>
      <c r="HS38" s="257">
        <f t="shared" si="139"/>
        <v>0</v>
      </c>
      <c r="HT38" s="257">
        <f t="shared" si="140"/>
        <v>0</v>
      </c>
      <c r="HU38" s="257">
        <f t="shared" si="141"/>
        <v>0</v>
      </c>
      <c r="HV38" s="575">
        <f t="shared" si="142"/>
        <v>3</v>
      </c>
      <c r="HW38" s="506">
        <f t="shared" si="143"/>
        <v>0</v>
      </c>
      <c r="HX38" s="39" t="str">
        <f t="shared" si="144"/>
        <v/>
      </c>
      <c r="HY38" s="257">
        <f t="shared" si="145"/>
        <v>0</v>
      </c>
      <c r="HZ38" s="257">
        <f t="shared" si="146"/>
        <v>0</v>
      </c>
      <c r="IA38" s="257">
        <f t="shared" si="147"/>
        <v>0</v>
      </c>
      <c r="IB38" s="575">
        <f t="shared" si="148"/>
        <v>3</v>
      </c>
      <c r="IC38" s="506">
        <f t="shared" si="149"/>
        <v>0</v>
      </c>
      <c r="ID38" s="39" t="str">
        <f t="shared" si="150"/>
        <v/>
      </c>
      <c r="IE38" s="39"/>
      <c r="IF38" s="39"/>
      <c r="IG38" s="39"/>
      <c r="IH38" s="39" t="str">
        <f t="shared" si="151"/>
        <v/>
      </c>
      <c r="II38" s="39" t="str">
        <f t="shared" si="152"/>
        <v/>
      </c>
      <c r="IJ38" s="39" t="str">
        <f t="shared" si="153"/>
        <v/>
      </c>
      <c r="IK38" s="39" t="str">
        <f t="shared" si="154"/>
        <v/>
      </c>
      <c r="IL38" s="39" t="str">
        <f t="shared" si="155"/>
        <v/>
      </c>
      <c r="IM38" s="767" t="str">
        <f t="shared" si="156"/>
        <v/>
      </c>
      <c r="IN38" s="579" t="str">
        <f t="shared" si="157"/>
        <v/>
      </c>
      <c r="IO38" s="579" t="str">
        <f t="shared" si="158"/>
        <v/>
      </c>
      <c r="IP38" s="579" t="str">
        <f t="shared" si="159"/>
        <v/>
      </c>
      <c r="IQ38" s="579"/>
      <c r="IR38" s="579" t="str">
        <f t="shared" si="160"/>
        <v/>
      </c>
      <c r="IS38" s="289">
        <f t="shared" si="161"/>
        <v>0</v>
      </c>
      <c r="IT38" s="289">
        <f t="shared" si="162"/>
        <v>0</v>
      </c>
      <c r="IU38" s="223">
        <f>SISWA!E36</f>
        <v>0</v>
      </c>
      <c r="IV38" s="223" t="str">
        <f t="shared" si="163"/>
        <v/>
      </c>
      <c r="IW38" s="580" t="str">
        <f t="shared" si="164"/>
        <v/>
      </c>
      <c r="IX38" s="580" t="str">
        <f t="shared" si="165"/>
        <v/>
      </c>
      <c r="IY38" s="580" t="str">
        <f t="shared" si="166"/>
        <v/>
      </c>
      <c r="IZ38" s="580" t="str">
        <f t="shared" si="167"/>
        <v/>
      </c>
      <c r="JA38" s="580" t="str">
        <f t="shared" si="168"/>
        <v/>
      </c>
      <c r="JB38" s="580" t="str">
        <f t="shared" si="169"/>
        <v/>
      </c>
      <c r="JC38" s="580" t="str">
        <f t="shared" si="170"/>
        <v/>
      </c>
      <c r="JD38" s="580" t="str">
        <f t="shared" si="171"/>
        <v/>
      </c>
      <c r="JE38" s="580" t="str">
        <f t="shared" si="172"/>
        <v/>
      </c>
      <c r="JF38" s="580"/>
      <c r="JG38" s="580"/>
      <c r="JH38" s="223">
        <f t="shared" si="173"/>
        <v>0</v>
      </c>
      <c r="JI38" s="289" t="e">
        <f t="shared" si="174"/>
        <v>#N/A</v>
      </c>
      <c r="JJ38" s="576" t="e">
        <f>IF(IS38&gt;100,"",IF(IS38&gt;EV$1,"sangat baik dalam "&amp;JI38,IF(IS38&gt;=EV$2,"baik dalam "&amp;JI38,IF(IS38&gt;=EV$3,"cukup dalam "&amp;JI38,IF(IS38&lt;EV$3,"dengan bimbingan dapat meningkatkan dalam "&amp;JI38,IF(IS38&lt;1," ",””))))))</f>
        <v>#N/A</v>
      </c>
      <c r="JK38" s="223"/>
      <c r="JL38" s="223" t="str">
        <f t="shared" si="175"/>
        <v/>
      </c>
      <c r="JM38" s="223" t="str">
        <f t="shared" si="176"/>
        <v/>
      </c>
      <c r="JN38" s="223" t="str">
        <f t="shared" si="177"/>
        <v/>
      </c>
      <c r="JO38" s="223" t="str">
        <f t="shared" si="178"/>
        <v/>
      </c>
      <c r="JP38" s="223" t="str">
        <f t="shared" si="179"/>
        <v/>
      </c>
      <c r="JQ38" s="223" t="str">
        <f t="shared" si="180"/>
        <v/>
      </c>
      <c r="JR38" s="223" t="str">
        <f t="shared" si="181"/>
        <v/>
      </c>
      <c r="JS38" s="223" t="str">
        <f t="shared" si="182"/>
        <v/>
      </c>
      <c r="JT38" s="223" t="str">
        <f t="shared" si="183"/>
        <v/>
      </c>
      <c r="JU38" s="223"/>
      <c r="JV38" s="223"/>
      <c r="JW38" s="223" t="e">
        <f t="shared" si="184"/>
        <v>#N/A</v>
      </c>
      <c r="JX38" s="577" t="e">
        <f>IF(IT38&gt;100,"",IF(IT38&gt;=EV$1,"sangat baik dalam "&amp;JW38,IF(IT38&gt;=EV$2,"baik dalam "&amp;JW38,IF(IT38&gt;=EV$3,"cukup dalam "&amp;JW38,IF(IT38&lt;EV$3,"dengan bimbingan dapat meningkatkan dalam "&amp;JW38,IF(IT38&lt;1," ",””))))))</f>
        <v>#N/A</v>
      </c>
      <c r="JY38" s="223" t="e">
        <f t="shared" si="185"/>
        <v>#N/A</v>
      </c>
    </row>
    <row r="39" spans="1:285">
      <c r="A39" s="39">
        <v>32</v>
      </c>
      <c r="B39" s="223">
        <f>SISWA!B37</f>
        <v>0</v>
      </c>
      <c r="C39" s="123"/>
      <c r="D39" s="123"/>
      <c r="E39" s="123"/>
      <c r="F39" s="123"/>
      <c r="G39" s="123"/>
      <c r="H39" s="123"/>
      <c r="I39" s="123"/>
      <c r="J39" s="123"/>
      <c r="K39" s="123"/>
      <c r="L39" s="255"/>
      <c r="M39" s="255"/>
      <c r="N39" s="255"/>
      <c r="O39" s="255"/>
      <c r="P39" s="255"/>
      <c r="Q39" s="255"/>
      <c r="R39" s="255"/>
      <c r="S39" s="255"/>
      <c r="T39" s="255"/>
      <c r="U39" s="256"/>
      <c r="V39" s="256"/>
      <c r="W39" s="256"/>
      <c r="X39" s="256"/>
      <c r="Y39" s="256"/>
      <c r="Z39" s="256"/>
      <c r="AA39" s="256"/>
      <c r="AB39" s="256"/>
      <c r="AC39" s="256"/>
      <c r="AD39" s="123"/>
      <c r="AE39" s="123"/>
      <c r="AF39" s="123"/>
      <c r="AG39" s="123"/>
      <c r="AH39" s="123"/>
      <c r="AI39" s="123"/>
      <c r="AJ39" s="123"/>
      <c r="AK39" s="123"/>
      <c r="AL39" s="123"/>
      <c r="AM39" s="255"/>
      <c r="AN39" s="255"/>
      <c r="AO39" s="255"/>
      <c r="AP39" s="255"/>
      <c r="AQ39" s="255"/>
      <c r="AR39" s="255"/>
      <c r="AS39" s="255"/>
      <c r="AT39" s="255"/>
      <c r="AU39" s="255"/>
      <c r="AV39" s="256"/>
      <c r="AW39" s="256"/>
      <c r="AX39" s="256"/>
      <c r="AY39" s="256"/>
      <c r="AZ39" s="256"/>
      <c r="BA39" s="256"/>
      <c r="BB39" s="256"/>
      <c r="BC39" s="256"/>
      <c r="BD39" s="256"/>
      <c r="BE39" s="123"/>
      <c r="BF39" s="123"/>
      <c r="BG39" s="123"/>
      <c r="BH39" s="123"/>
      <c r="BI39" s="123"/>
      <c r="BJ39" s="123"/>
      <c r="BK39" s="123"/>
      <c r="BL39" s="123"/>
      <c r="BM39" s="123"/>
      <c r="BN39" s="255"/>
      <c r="BO39" s="255"/>
      <c r="BP39" s="255"/>
      <c r="BQ39" s="255"/>
      <c r="BR39" s="255"/>
      <c r="BS39" s="255"/>
      <c r="BT39" s="255"/>
      <c r="BU39" s="255"/>
      <c r="BV39" s="255"/>
      <c r="BW39" s="256"/>
      <c r="BX39" s="256"/>
      <c r="BY39" s="256"/>
      <c r="BZ39" s="256"/>
      <c r="CA39" s="256"/>
      <c r="CB39" s="256"/>
      <c r="CC39" s="256"/>
      <c r="CD39" s="256"/>
      <c r="CE39" s="256"/>
      <c r="CF39" s="123"/>
      <c r="CG39" s="123"/>
      <c r="CH39" s="123"/>
      <c r="CI39" s="123"/>
      <c r="CJ39" s="123"/>
      <c r="CK39" s="123"/>
      <c r="CL39" s="123"/>
      <c r="CM39" s="123"/>
      <c r="CN39" s="123"/>
      <c r="CO39" s="255"/>
      <c r="CP39" s="255"/>
      <c r="CQ39" s="255"/>
      <c r="CR39" s="255"/>
      <c r="CS39" s="255"/>
      <c r="CT39" s="255"/>
      <c r="CU39" s="255"/>
      <c r="CV39" s="255"/>
      <c r="CW39" s="255"/>
      <c r="CX39" s="256"/>
      <c r="CY39" s="256"/>
      <c r="CZ39" s="256"/>
      <c r="DA39" s="256"/>
      <c r="DB39" s="256"/>
      <c r="DC39" s="256"/>
      <c r="DD39" s="256"/>
      <c r="DE39" s="256"/>
      <c r="DF39" s="256"/>
      <c r="DG39" s="458"/>
      <c r="DH39" s="458"/>
      <c r="DI39" s="458"/>
      <c r="DJ39" s="458"/>
      <c r="DK39" s="458"/>
      <c r="DL39" s="458"/>
      <c r="DM39" s="458"/>
      <c r="DN39" s="458"/>
      <c r="DO39" s="458"/>
      <c r="DP39" s="457"/>
      <c r="DQ39" s="457"/>
      <c r="DR39" s="457"/>
      <c r="DS39" s="457"/>
      <c r="DT39" s="457"/>
      <c r="DU39" s="457"/>
      <c r="DV39" s="457"/>
      <c r="DW39" s="457"/>
      <c r="DX39" s="457"/>
      <c r="DY39" s="256"/>
      <c r="DZ39" s="256"/>
      <c r="EA39" s="256"/>
      <c r="EB39" s="256"/>
      <c r="EC39" s="256"/>
      <c r="ED39" s="256"/>
      <c r="EE39" s="256"/>
      <c r="EF39" s="256"/>
      <c r="EG39" s="256"/>
      <c r="EH39" s="257" t="str">
        <f t="shared" si="55"/>
        <v/>
      </c>
      <c r="EI39" s="257" t="str">
        <f t="shared" si="56"/>
        <v/>
      </c>
      <c r="EJ39" s="257" t="str">
        <f t="shared" si="57"/>
        <v/>
      </c>
      <c r="EK39" s="257" t="str">
        <f t="shared" si="58"/>
        <v/>
      </c>
      <c r="EL39" s="257" t="str">
        <f t="shared" si="59"/>
        <v/>
      </c>
      <c r="EM39" s="257" t="str">
        <f t="shared" si="60"/>
        <v/>
      </c>
      <c r="EN39" s="257" t="str">
        <f t="shared" si="61"/>
        <v/>
      </c>
      <c r="EO39" s="257" t="str">
        <f t="shared" si="62"/>
        <v/>
      </c>
      <c r="EP39" s="257" t="str">
        <f t="shared" si="63"/>
        <v/>
      </c>
      <c r="EQ39" s="579" t="str">
        <f t="shared" si="64"/>
        <v/>
      </c>
      <c r="ER39" s="291" t="str">
        <f t="shared" si="65"/>
        <v xml:space="preserve">  </v>
      </c>
      <c r="ES39" s="243" t="str">
        <f t="shared" si="66"/>
        <v xml:space="preserve"> </v>
      </c>
      <c r="ET39" s="39"/>
      <c r="EU39" s="39"/>
      <c r="EV39" s="257">
        <f t="shared" si="67"/>
        <v>0</v>
      </c>
      <c r="EW39" s="257">
        <f t="shared" si="68"/>
        <v>0</v>
      </c>
      <c r="EX39" s="257">
        <f t="shared" si="69"/>
        <v>0</v>
      </c>
      <c r="EY39" s="257">
        <f t="shared" si="70"/>
        <v>0</v>
      </c>
      <c r="EZ39" s="257">
        <f t="shared" si="71"/>
        <v>0</v>
      </c>
      <c r="FA39" s="257">
        <f t="shared" si="72"/>
        <v>0</v>
      </c>
      <c r="FB39" s="257">
        <f t="shared" si="73"/>
        <v>0</v>
      </c>
      <c r="FC39" s="257">
        <f t="shared" si="74"/>
        <v>0</v>
      </c>
      <c r="FD39" s="257">
        <f t="shared" si="75"/>
        <v>0</v>
      </c>
      <c r="FE39" s="257"/>
      <c r="FF39" s="289">
        <f t="shared" si="76"/>
        <v>0</v>
      </c>
      <c r="FG39" s="575">
        <f t="shared" si="77"/>
        <v>0</v>
      </c>
      <c r="FH39" s="575">
        <f t="shared" si="78"/>
        <v>0</v>
      </c>
      <c r="FI39" s="575">
        <f t="shared" si="79"/>
        <v>0</v>
      </c>
      <c r="FJ39" s="575">
        <f t="shared" si="80"/>
        <v>0</v>
      </c>
      <c r="FK39" s="575">
        <f t="shared" si="81"/>
        <v>0</v>
      </c>
      <c r="FL39" s="575">
        <f t="shared" si="82"/>
        <v>0</v>
      </c>
      <c r="FM39" s="575">
        <f t="shared" si="83"/>
        <v>0</v>
      </c>
      <c r="FN39" s="575">
        <f t="shared" si="84"/>
        <v>0</v>
      </c>
      <c r="FO39" s="575">
        <f t="shared" si="85"/>
        <v>0</v>
      </c>
      <c r="FP39" s="258"/>
      <c r="FQ39" s="289">
        <f t="shared" si="86"/>
        <v>0</v>
      </c>
      <c r="FR39" s="765">
        <f t="shared" si="87"/>
        <v>0</v>
      </c>
      <c r="FS39" s="765">
        <f t="shared" si="88"/>
        <v>0</v>
      </c>
      <c r="FT39" s="765">
        <f t="shared" si="89"/>
        <v>0</v>
      </c>
      <c r="FU39" s="765">
        <f t="shared" si="90"/>
        <v>0</v>
      </c>
      <c r="FV39" s="765">
        <f t="shared" si="91"/>
        <v>0</v>
      </c>
      <c r="FW39" s="765">
        <f t="shared" si="92"/>
        <v>0</v>
      </c>
      <c r="FX39" s="765">
        <f t="shared" si="93"/>
        <v>0</v>
      </c>
      <c r="FY39" s="765">
        <f t="shared" si="94"/>
        <v>0</v>
      </c>
      <c r="FZ39" s="765">
        <f t="shared" si="95"/>
        <v>0</v>
      </c>
      <c r="GA39" s="766"/>
      <c r="GB39" s="289">
        <f t="shared" si="96"/>
        <v>0</v>
      </c>
      <c r="GC39" s="257">
        <f t="shared" si="97"/>
        <v>0</v>
      </c>
      <c r="GD39" s="257">
        <f t="shared" si="98"/>
        <v>0</v>
      </c>
      <c r="GE39" s="257">
        <f t="shared" si="99"/>
        <v>0</v>
      </c>
      <c r="GF39" s="575">
        <f t="shared" si="100"/>
        <v>3</v>
      </c>
      <c r="GG39" s="506">
        <f t="shared" si="101"/>
        <v>0</v>
      </c>
      <c r="GH39" s="39" t="str">
        <f t="shared" si="102"/>
        <v/>
      </c>
      <c r="GI39" s="257">
        <f t="shared" si="103"/>
        <v>0</v>
      </c>
      <c r="GJ39" s="257">
        <f t="shared" si="104"/>
        <v>0</v>
      </c>
      <c r="GK39" s="257">
        <f t="shared" si="105"/>
        <v>0</v>
      </c>
      <c r="GL39" s="575">
        <f t="shared" si="106"/>
        <v>3</v>
      </c>
      <c r="GM39" s="506">
        <f t="shared" si="107"/>
        <v>0</v>
      </c>
      <c r="GN39" s="39" t="str">
        <f t="shared" si="108"/>
        <v/>
      </c>
      <c r="GO39" s="257">
        <f t="shared" si="109"/>
        <v>0</v>
      </c>
      <c r="GP39" s="257">
        <f t="shared" si="110"/>
        <v>0</v>
      </c>
      <c r="GQ39" s="257">
        <f t="shared" si="111"/>
        <v>0</v>
      </c>
      <c r="GR39" s="575">
        <f t="shared" si="112"/>
        <v>3</v>
      </c>
      <c r="GS39" s="506">
        <f t="shared" si="113"/>
        <v>0</v>
      </c>
      <c r="GT39" s="39" t="str">
        <f t="shared" si="114"/>
        <v/>
      </c>
      <c r="GU39" s="257">
        <f t="shared" si="115"/>
        <v>0</v>
      </c>
      <c r="GV39" s="257">
        <f t="shared" si="116"/>
        <v>0</v>
      </c>
      <c r="GW39" s="257">
        <f t="shared" si="117"/>
        <v>0</v>
      </c>
      <c r="GX39" s="575">
        <f t="shared" si="118"/>
        <v>3</v>
      </c>
      <c r="GY39" s="506">
        <f t="shared" si="119"/>
        <v>0</v>
      </c>
      <c r="GZ39" s="39" t="str">
        <f t="shared" si="120"/>
        <v/>
      </c>
      <c r="HA39" s="257">
        <f t="shared" si="121"/>
        <v>0</v>
      </c>
      <c r="HB39" s="257">
        <f t="shared" si="122"/>
        <v>0</v>
      </c>
      <c r="HC39" s="257">
        <f t="shared" si="123"/>
        <v>0</v>
      </c>
      <c r="HD39" s="575">
        <f t="shared" si="124"/>
        <v>3</v>
      </c>
      <c r="HE39" s="506">
        <f t="shared" si="125"/>
        <v>0</v>
      </c>
      <c r="HF39" s="39" t="str">
        <f t="shared" si="126"/>
        <v/>
      </c>
      <c r="HG39" s="257">
        <f t="shared" si="127"/>
        <v>0</v>
      </c>
      <c r="HH39" s="257">
        <f t="shared" si="128"/>
        <v>0</v>
      </c>
      <c r="HI39" s="257">
        <f t="shared" si="129"/>
        <v>0</v>
      </c>
      <c r="HJ39" s="575">
        <f t="shared" si="130"/>
        <v>3</v>
      </c>
      <c r="HK39" s="506">
        <f t="shared" si="131"/>
        <v>0</v>
      </c>
      <c r="HL39" s="39" t="str">
        <f t="shared" si="132"/>
        <v/>
      </c>
      <c r="HM39" s="257">
        <f t="shared" si="133"/>
        <v>0</v>
      </c>
      <c r="HN39" s="257">
        <f t="shared" si="134"/>
        <v>0</v>
      </c>
      <c r="HO39" s="257">
        <f t="shared" si="135"/>
        <v>0</v>
      </c>
      <c r="HP39" s="575">
        <f t="shared" si="136"/>
        <v>3</v>
      </c>
      <c r="HQ39" s="506">
        <f t="shared" si="137"/>
        <v>0</v>
      </c>
      <c r="HR39" s="39" t="str">
        <f t="shared" si="138"/>
        <v/>
      </c>
      <c r="HS39" s="257">
        <f t="shared" si="139"/>
        <v>0</v>
      </c>
      <c r="HT39" s="257">
        <f t="shared" si="140"/>
        <v>0</v>
      </c>
      <c r="HU39" s="257">
        <f t="shared" si="141"/>
        <v>0</v>
      </c>
      <c r="HV39" s="575">
        <f t="shared" si="142"/>
        <v>3</v>
      </c>
      <c r="HW39" s="506">
        <f t="shared" si="143"/>
        <v>0</v>
      </c>
      <c r="HX39" s="39" t="str">
        <f t="shared" si="144"/>
        <v/>
      </c>
      <c r="HY39" s="257">
        <f t="shared" si="145"/>
        <v>0</v>
      </c>
      <c r="HZ39" s="257">
        <f t="shared" si="146"/>
        <v>0</v>
      </c>
      <c r="IA39" s="257">
        <f t="shared" si="147"/>
        <v>0</v>
      </c>
      <c r="IB39" s="575">
        <f t="shared" si="148"/>
        <v>3</v>
      </c>
      <c r="IC39" s="506">
        <f t="shared" si="149"/>
        <v>0</v>
      </c>
      <c r="ID39" s="39" t="str">
        <f t="shared" si="150"/>
        <v/>
      </c>
      <c r="IE39" s="39"/>
      <c r="IF39" s="39"/>
      <c r="IG39" s="39"/>
      <c r="IH39" s="39" t="str">
        <f t="shared" si="151"/>
        <v/>
      </c>
      <c r="II39" s="39" t="str">
        <f t="shared" si="152"/>
        <v/>
      </c>
      <c r="IJ39" s="39" t="str">
        <f t="shared" si="153"/>
        <v/>
      </c>
      <c r="IK39" s="39" t="str">
        <f t="shared" si="154"/>
        <v/>
      </c>
      <c r="IL39" s="39" t="str">
        <f t="shared" si="155"/>
        <v/>
      </c>
      <c r="IM39" s="767" t="str">
        <f t="shared" si="156"/>
        <v/>
      </c>
      <c r="IN39" s="579" t="str">
        <f t="shared" si="157"/>
        <v/>
      </c>
      <c r="IO39" s="579" t="str">
        <f t="shared" si="158"/>
        <v/>
      </c>
      <c r="IP39" s="579" t="str">
        <f t="shared" si="159"/>
        <v/>
      </c>
      <c r="IQ39" s="579"/>
      <c r="IR39" s="579" t="str">
        <f t="shared" si="160"/>
        <v/>
      </c>
      <c r="IS39" s="289">
        <f t="shared" si="161"/>
        <v>0</v>
      </c>
      <c r="IT39" s="289">
        <f t="shared" si="162"/>
        <v>0</v>
      </c>
      <c r="IU39" s="223">
        <f>SISWA!E37</f>
        <v>0</v>
      </c>
      <c r="IV39" s="223" t="str">
        <f t="shared" si="163"/>
        <v/>
      </c>
      <c r="IW39" s="580" t="str">
        <f t="shared" si="164"/>
        <v/>
      </c>
      <c r="IX39" s="580" t="str">
        <f t="shared" si="165"/>
        <v/>
      </c>
      <c r="IY39" s="580" t="str">
        <f t="shared" si="166"/>
        <v/>
      </c>
      <c r="IZ39" s="580" t="str">
        <f t="shared" si="167"/>
        <v/>
      </c>
      <c r="JA39" s="580" t="str">
        <f t="shared" si="168"/>
        <v/>
      </c>
      <c r="JB39" s="580" t="str">
        <f t="shared" si="169"/>
        <v/>
      </c>
      <c r="JC39" s="580" t="str">
        <f t="shared" si="170"/>
        <v/>
      </c>
      <c r="JD39" s="580" t="str">
        <f t="shared" si="171"/>
        <v/>
      </c>
      <c r="JE39" s="580" t="str">
        <f t="shared" si="172"/>
        <v/>
      </c>
      <c r="JF39" s="580"/>
      <c r="JG39" s="580"/>
      <c r="JH39" s="223">
        <f t="shared" si="173"/>
        <v>0</v>
      </c>
      <c r="JI39" s="289" t="e">
        <f t="shared" si="174"/>
        <v>#N/A</v>
      </c>
      <c r="JJ39" s="576" t="e">
        <f>IF(IS39&gt;100,"",IF(IS39&gt;EV$1,"sangat baik dalam "&amp;JI39,IF(IS39&gt;=EV$2,"baik dalam "&amp;JI39,IF(IS39&gt;=EV$3,"cukup dalam "&amp;JI39,IF(IS39&lt;EV$3,"dengan bimbingan dapat meningkatkan dalam "&amp;JI39,IF(IS39&lt;1," ",””))))))</f>
        <v>#N/A</v>
      </c>
      <c r="JK39" s="223"/>
      <c r="JL39" s="223" t="str">
        <f t="shared" si="175"/>
        <v/>
      </c>
      <c r="JM39" s="223" t="str">
        <f t="shared" si="176"/>
        <v/>
      </c>
      <c r="JN39" s="223" t="str">
        <f t="shared" si="177"/>
        <v/>
      </c>
      <c r="JO39" s="223" t="str">
        <f t="shared" si="178"/>
        <v/>
      </c>
      <c r="JP39" s="223" t="str">
        <f t="shared" si="179"/>
        <v/>
      </c>
      <c r="JQ39" s="223" t="str">
        <f t="shared" si="180"/>
        <v/>
      </c>
      <c r="JR39" s="223" t="str">
        <f t="shared" si="181"/>
        <v/>
      </c>
      <c r="JS39" s="223" t="str">
        <f t="shared" si="182"/>
        <v/>
      </c>
      <c r="JT39" s="223" t="str">
        <f t="shared" si="183"/>
        <v/>
      </c>
      <c r="JU39" s="223"/>
      <c r="JV39" s="223"/>
      <c r="JW39" s="223" t="e">
        <f t="shared" si="184"/>
        <v>#N/A</v>
      </c>
      <c r="JX39" s="577" t="e">
        <f>IF(IT39&gt;100,"",IF(IT39&gt;=EV$1,"sangat baik dalam "&amp;JW39,IF(IT39&gt;=EV$2,"baik dalam "&amp;JW39,IF(IT39&gt;=EV$3,"cukup dalam "&amp;JW39,IF(IT39&lt;EV$3,"dengan bimbingan dapat meningkatkan dalam "&amp;JW39,IF(IT39&lt;1," ",””))))))</f>
        <v>#N/A</v>
      </c>
      <c r="JY39" s="223" t="e">
        <f t="shared" si="185"/>
        <v>#N/A</v>
      </c>
    </row>
    <row r="40" spans="1:285">
      <c r="A40" s="39">
        <v>33</v>
      </c>
      <c r="B40" s="223">
        <f>SISWA!B38</f>
        <v>0</v>
      </c>
      <c r="C40" s="123"/>
      <c r="D40" s="123"/>
      <c r="E40" s="123"/>
      <c r="F40" s="123"/>
      <c r="G40" s="123"/>
      <c r="H40" s="123"/>
      <c r="I40" s="123"/>
      <c r="J40" s="123"/>
      <c r="K40" s="123"/>
      <c r="L40" s="255"/>
      <c r="M40" s="255"/>
      <c r="N40" s="255"/>
      <c r="O40" s="255"/>
      <c r="P40" s="255"/>
      <c r="Q40" s="255"/>
      <c r="R40" s="255"/>
      <c r="S40" s="255"/>
      <c r="T40" s="255"/>
      <c r="U40" s="256"/>
      <c r="V40" s="256"/>
      <c r="W40" s="256"/>
      <c r="X40" s="256"/>
      <c r="Y40" s="256"/>
      <c r="Z40" s="256"/>
      <c r="AA40" s="256"/>
      <c r="AB40" s="256"/>
      <c r="AC40" s="256"/>
      <c r="AD40" s="123"/>
      <c r="AE40" s="123"/>
      <c r="AF40" s="123"/>
      <c r="AG40" s="123"/>
      <c r="AH40" s="123"/>
      <c r="AI40" s="123"/>
      <c r="AJ40" s="123"/>
      <c r="AK40" s="123"/>
      <c r="AL40" s="123"/>
      <c r="AM40" s="255"/>
      <c r="AN40" s="255"/>
      <c r="AO40" s="255"/>
      <c r="AP40" s="255"/>
      <c r="AQ40" s="255"/>
      <c r="AR40" s="255"/>
      <c r="AS40" s="255"/>
      <c r="AT40" s="255"/>
      <c r="AU40" s="255"/>
      <c r="AV40" s="256"/>
      <c r="AW40" s="256"/>
      <c r="AX40" s="256"/>
      <c r="AY40" s="256"/>
      <c r="AZ40" s="256"/>
      <c r="BA40" s="256"/>
      <c r="BB40" s="256"/>
      <c r="BC40" s="256"/>
      <c r="BD40" s="256"/>
      <c r="BE40" s="123"/>
      <c r="BF40" s="123"/>
      <c r="BG40" s="123"/>
      <c r="BH40" s="123"/>
      <c r="BI40" s="123"/>
      <c r="BJ40" s="123"/>
      <c r="BK40" s="123"/>
      <c r="BL40" s="123"/>
      <c r="BM40" s="123"/>
      <c r="BN40" s="255"/>
      <c r="BO40" s="255"/>
      <c r="BP40" s="255"/>
      <c r="BQ40" s="255"/>
      <c r="BR40" s="255"/>
      <c r="BS40" s="255"/>
      <c r="BT40" s="255"/>
      <c r="BU40" s="255"/>
      <c r="BV40" s="255"/>
      <c r="BW40" s="256"/>
      <c r="BX40" s="256"/>
      <c r="BY40" s="256"/>
      <c r="BZ40" s="256"/>
      <c r="CA40" s="256"/>
      <c r="CB40" s="256"/>
      <c r="CC40" s="256"/>
      <c r="CD40" s="256"/>
      <c r="CE40" s="256"/>
      <c r="CF40" s="123"/>
      <c r="CG40" s="123"/>
      <c r="CH40" s="123"/>
      <c r="CI40" s="123"/>
      <c r="CJ40" s="123"/>
      <c r="CK40" s="123"/>
      <c r="CL40" s="123"/>
      <c r="CM40" s="123"/>
      <c r="CN40" s="123"/>
      <c r="CO40" s="255"/>
      <c r="CP40" s="255"/>
      <c r="CQ40" s="255"/>
      <c r="CR40" s="255"/>
      <c r="CS40" s="255"/>
      <c r="CT40" s="255"/>
      <c r="CU40" s="255"/>
      <c r="CV40" s="255"/>
      <c r="CW40" s="255"/>
      <c r="CX40" s="256"/>
      <c r="CY40" s="256"/>
      <c r="CZ40" s="256"/>
      <c r="DA40" s="256"/>
      <c r="DB40" s="256"/>
      <c r="DC40" s="256"/>
      <c r="DD40" s="256"/>
      <c r="DE40" s="256"/>
      <c r="DF40" s="256"/>
      <c r="DG40" s="458"/>
      <c r="DH40" s="458"/>
      <c r="DI40" s="458"/>
      <c r="DJ40" s="458"/>
      <c r="DK40" s="458"/>
      <c r="DL40" s="458"/>
      <c r="DM40" s="458"/>
      <c r="DN40" s="458"/>
      <c r="DO40" s="458"/>
      <c r="DP40" s="457"/>
      <c r="DQ40" s="457"/>
      <c r="DR40" s="457"/>
      <c r="DS40" s="457"/>
      <c r="DT40" s="457"/>
      <c r="DU40" s="457"/>
      <c r="DV40" s="457"/>
      <c r="DW40" s="457"/>
      <c r="DX40" s="457"/>
      <c r="DY40" s="256"/>
      <c r="DZ40" s="256"/>
      <c r="EA40" s="256"/>
      <c r="EB40" s="256"/>
      <c r="EC40" s="256"/>
      <c r="ED40" s="256"/>
      <c r="EE40" s="256"/>
      <c r="EF40" s="256"/>
      <c r="EG40" s="256"/>
      <c r="EH40" s="257" t="str">
        <f t="shared" si="55"/>
        <v/>
      </c>
      <c r="EI40" s="257" t="str">
        <f t="shared" si="56"/>
        <v/>
      </c>
      <c r="EJ40" s="257" t="str">
        <f t="shared" si="57"/>
        <v/>
      </c>
      <c r="EK40" s="257" t="str">
        <f t="shared" si="58"/>
        <v/>
      </c>
      <c r="EL40" s="257" t="str">
        <f t="shared" si="59"/>
        <v/>
      </c>
      <c r="EM40" s="257" t="str">
        <f t="shared" si="60"/>
        <v/>
      </c>
      <c r="EN40" s="257" t="str">
        <f t="shared" si="61"/>
        <v/>
      </c>
      <c r="EO40" s="257" t="str">
        <f t="shared" si="62"/>
        <v/>
      </c>
      <c r="EP40" s="257" t="str">
        <f t="shared" si="63"/>
        <v/>
      </c>
      <c r="EQ40" s="579" t="str">
        <f t="shared" si="64"/>
        <v/>
      </c>
      <c r="ER40" s="291" t="str">
        <f t="shared" si="65"/>
        <v xml:space="preserve">  </v>
      </c>
      <c r="ES40" s="243" t="str">
        <f t="shared" si="66"/>
        <v xml:space="preserve"> </v>
      </c>
      <c r="ET40" s="39"/>
      <c r="EU40" s="39"/>
      <c r="EV40" s="257">
        <f t="shared" si="67"/>
        <v>0</v>
      </c>
      <c r="EW40" s="257">
        <f t="shared" si="68"/>
        <v>0</v>
      </c>
      <c r="EX40" s="257">
        <f t="shared" si="69"/>
        <v>0</v>
      </c>
      <c r="EY40" s="257">
        <f t="shared" si="70"/>
        <v>0</v>
      </c>
      <c r="EZ40" s="257">
        <f t="shared" si="71"/>
        <v>0</v>
      </c>
      <c r="FA40" s="257">
        <f t="shared" si="72"/>
        <v>0</v>
      </c>
      <c r="FB40" s="257">
        <f t="shared" si="73"/>
        <v>0</v>
      </c>
      <c r="FC40" s="257">
        <f t="shared" si="74"/>
        <v>0</v>
      </c>
      <c r="FD40" s="257">
        <f t="shared" si="75"/>
        <v>0</v>
      </c>
      <c r="FE40" s="257"/>
      <c r="FF40" s="289">
        <f t="shared" si="76"/>
        <v>0</v>
      </c>
      <c r="FG40" s="575">
        <f t="shared" si="77"/>
        <v>0</v>
      </c>
      <c r="FH40" s="575">
        <f t="shared" si="78"/>
        <v>0</v>
      </c>
      <c r="FI40" s="575">
        <f t="shared" si="79"/>
        <v>0</v>
      </c>
      <c r="FJ40" s="575">
        <f t="shared" si="80"/>
        <v>0</v>
      </c>
      <c r="FK40" s="575">
        <f t="shared" si="81"/>
        <v>0</v>
      </c>
      <c r="FL40" s="575">
        <f t="shared" si="82"/>
        <v>0</v>
      </c>
      <c r="FM40" s="575">
        <f t="shared" si="83"/>
        <v>0</v>
      </c>
      <c r="FN40" s="575">
        <f t="shared" si="84"/>
        <v>0</v>
      </c>
      <c r="FO40" s="575">
        <f t="shared" si="85"/>
        <v>0</v>
      </c>
      <c r="FP40" s="258"/>
      <c r="FQ40" s="289">
        <f t="shared" si="86"/>
        <v>0</v>
      </c>
      <c r="FR40" s="765">
        <f t="shared" si="87"/>
        <v>0</v>
      </c>
      <c r="FS40" s="765">
        <f t="shared" si="88"/>
        <v>0</v>
      </c>
      <c r="FT40" s="765">
        <f t="shared" si="89"/>
        <v>0</v>
      </c>
      <c r="FU40" s="765">
        <f t="shared" si="90"/>
        <v>0</v>
      </c>
      <c r="FV40" s="765">
        <f t="shared" si="91"/>
        <v>0</v>
      </c>
      <c r="FW40" s="765">
        <f t="shared" si="92"/>
        <v>0</v>
      </c>
      <c r="FX40" s="765">
        <f t="shared" si="93"/>
        <v>0</v>
      </c>
      <c r="FY40" s="765">
        <f t="shared" si="94"/>
        <v>0</v>
      </c>
      <c r="FZ40" s="765">
        <f t="shared" si="95"/>
        <v>0</v>
      </c>
      <c r="GA40" s="766"/>
      <c r="GB40" s="289">
        <f t="shared" si="96"/>
        <v>0</v>
      </c>
      <c r="GC40" s="257">
        <f t="shared" si="97"/>
        <v>0</v>
      </c>
      <c r="GD40" s="257">
        <f t="shared" si="98"/>
        <v>0</v>
      </c>
      <c r="GE40" s="257">
        <f t="shared" si="99"/>
        <v>0</v>
      </c>
      <c r="GF40" s="575">
        <f t="shared" si="100"/>
        <v>3</v>
      </c>
      <c r="GG40" s="506">
        <f t="shared" si="101"/>
        <v>0</v>
      </c>
      <c r="GH40" s="39" t="str">
        <f t="shared" si="102"/>
        <v/>
      </c>
      <c r="GI40" s="257">
        <f t="shared" si="103"/>
        <v>0</v>
      </c>
      <c r="GJ40" s="257">
        <f t="shared" si="104"/>
        <v>0</v>
      </c>
      <c r="GK40" s="257">
        <f t="shared" si="105"/>
        <v>0</v>
      </c>
      <c r="GL40" s="575">
        <f t="shared" si="106"/>
        <v>3</v>
      </c>
      <c r="GM40" s="506">
        <f t="shared" si="107"/>
        <v>0</v>
      </c>
      <c r="GN40" s="39" t="str">
        <f t="shared" si="108"/>
        <v/>
      </c>
      <c r="GO40" s="257">
        <f t="shared" si="109"/>
        <v>0</v>
      </c>
      <c r="GP40" s="257">
        <f t="shared" si="110"/>
        <v>0</v>
      </c>
      <c r="GQ40" s="257">
        <f t="shared" si="111"/>
        <v>0</v>
      </c>
      <c r="GR40" s="575">
        <f t="shared" si="112"/>
        <v>3</v>
      </c>
      <c r="GS40" s="506">
        <f t="shared" si="113"/>
        <v>0</v>
      </c>
      <c r="GT40" s="39" t="str">
        <f t="shared" si="114"/>
        <v/>
      </c>
      <c r="GU40" s="257">
        <f t="shared" si="115"/>
        <v>0</v>
      </c>
      <c r="GV40" s="257">
        <f t="shared" si="116"/>
        <v>0</v>
      </c>
      <c r="GW40" s="257">
        <f t="shared" si="117"/>
        <v>0</v>
      </c>
      <c r="GX40" s="575">
        <f t="shared" si="118"/>
        <v>3</v>
      </c>
      <c r="GY40" s="506">
        <f t="shared" si="119"/>
        <v>0</v>
      </c>
      <c r="GZ40" s="39" t="str">
        <f t="shared" si="120"/>
        <v/>
      </c>
      <c r="HA40" s="257">
        <f t="shared" si="121"/>
        <v>0</v>
      </c>
      <c r="HB40" s="257">
        <f t="shared" si="122"/>
        <v>0</v>
      </c>
      <c r="HC40" s="257">
        <f t="shared" si="123"/>
        <v>0</v>
      </c>
      <c r="HD40" s="575">
        <f t="shared" si="124"/>
        <v>3</v>
      </c>
      <c r="HE40" s="506">
        <f t="shared" si="125"/>
        <v>0</v>
      </c>
      <c r="HF40" s="39" t="str">
        <f t="shared" si="126"/>
        <v/>
      </c>
      <c r="HG40" s="257">
        <f t="shared" si="127"/>
        <v>0</v>
      </c>
      <c r="HH40" s="257">
        <f t="shared" si="128"/>
        <v>0</v>
      </c>
      <c r="HI40" s="257">
        <f t="shared" si="129"/>
        <v>0</v>
      </c>
      <c r="HJ40" s="575">
        <f t="shared" si="130"/>
        <v>3</v>
      </c>
      <c r="HK40" s="506">
        <f t="shared" si="131"/>
        <v>0</v>
      </c>
      <c r="HL40" s="39" t="str">
        <f t="shared" si="132"/>
        <v/>
      </c>
      <c r="HM40" s="257">
        <f t="shared" si="133"/>
        <v>0</v>
      </c>
      <c r="HN40" s="257">
        <f t="shared" si="134"/>
        <v>0</v>
      </c>
      <c r="HO40" s="257">
        <f t="shared" si="135"/>
        <v>0</v>
      </c>
      <c r="HP40" s="575">
        <f t="shared" si="136"/>
        <v>3</v>
      </c>
      <c r="HQ40" s="506">
        <f t="shared" si="137"/>
        <v>0</v>
      </c>
      <c r="HR40" s="39" t="str">
        <f t="shared" si="138"/>
        <v/>
      </c>
      <c r="HS40" s="257">
        <f t="shared" si="139"/>
        <v>0</v>
      </c>
      <c r="HT40" s="257">
        <f t="shared" si="140"/>
        <v>0</v>
      </c>
      <c r="HU40" s="257">
        <f t="shared" si="141"/>
        <v>0</v>
      </c>
      <c r="HV40" s="575">
        <f t="shared" si="142"/>
        <v>3</v>
      </c>
      <c r="HW40" s="506">
        <f t="shared" si="143"/>
        <v>0</v>
      </c>
      <c r="HX40" s="39" t="str">
        <f t="shared" si="144"/>
        <v/>
      </c>
      <c r="HY40" s="257">
        <f t="shared" si="145"/>
        <v>0</v>
      </c>
      <c r="HZ40" s="257">
        <f t="shared" si="146"/>
        <v>0</v>
      </c>
      <c r="IA40" s="257">
        <f t="shared" si="147"/>
        <v>0</v>
      </c>
      <c r="IB40" s="575">
        <f t="shared" si="148"/>
        <v>3</v>
      </c>
      <c r="IC40" s="506">
        <f t="shared" si="149"/>
        <v>0</v>
      </c>
      <c r="ID40" s="39" t="str">
        <f t="shared" si="150"/>
        <v/>
      </c>
      <c r="IE40" s="39"/>
      <c r="IF40" s="39"/>
      <c r="IG40" s="39"/>
      <c r="IH40" s="39" t="str">
        <f t="shared" si="151"/>
        <v/>
      </c>
      <c r="II40" s="39" t="str">
        <f t="shared" si="152"/>
        <v/>
      </c>
      <c r="IJ40" s="39" t="str">
        <f t="shared" si="153"/>
        <v/>
      </c>
      <c r="IK40" s="39" t="str">
        <f t="shared" si="154"/>
        <v/>
      </c>
      <c r="IL40" s="39" t="str">
        <f t="shared" si="155"/>
        <v/>
      </c>
      <c r="IM40" s="767" t="str">
        <f t="shared" si="156"/>
        <v/>
      </c>
      <c r="IN40" s="579" t="str">
        <f t="shared" si="157"/>
        <v/>
      </c>
      <c r="IO40" s="579" t="str">
        <f t="shared" si="158"/>
        <v/>
      </c>
      <c r="IP40" s="579" t="str">
        <f t="shared" si="159"/>
        <v/>
      </c>
      <c r="IQ40" s="579"/>
      <c r="IR40" s="579" t="str">
        <f t="shared" si="160"/>
        <v/>
      </c>
      <c r="IS40" s="289">
        <f t="shared" si="161"/>
        <v>0</v>
      </c>
      <c r="IT40" s="289">
        <f t="shared" si="162"/>
        <v>0</v>
      </c>
      <c r="IU40" s="223">
        <f>SISWA!E38</f>
        <v>0</v>
      </c>
      <c r="IV40" s="223" t="str">
        <f t="shared" si="163"/>
        <v/>
      </c>
      <c r="IW40" s="580" t="str">
        <f t="shared" si="164"/>
        <v/>
      </c>
      <c r="IX40" s="580" t="str">
        <f t="shared" si="165"/>
        <v/>
      </c>
      <c r="IY40" s="580" t="str">
        <f t="shared" si="166"/>
        <v/>
      </c>
      <c r="IZ40" s="580" t="str">
        <f t="shared" si="167"/>
        <v/>
      </c>
      <c r="JA40" s="580" t="str">
        <f t="shared" si="168"/>
        <v/>
      </c>
      <c r="JB40" s="580" t="str">
        <f t="shared" si="169"/>
        <v/>
      </c>
      <c r="JC40" s="580" t="str">
        <f t="shared" si="170"/>
        <v/>
      </c>
      <c r="JD40" s="580" t="str">
        <f t="shared" si="171"/>
        <v/>
      </c>
      <c r="JE40" s="580" t="str">
        <f t="shared" si="172"/>
        <v/>
      </c>
      <c r="JF40" s="580"/>
      <c r="JG40" s="580"/>
      <c r="JH40" s="223">
        <f t="shared" si="173"/>
        <v>0</v>
      </c>
      <c r="JI40" s="289" t="e">
        <f t="shared" si="174"/>
        <v>#N/A</v>
      </c>
      <c r="JJ40" s="576" t="e">
        <f>IF(IS40&gt;100,"",IF(IS40&gt;EV$1,"sangat baik dalam "&amp;JI40,IF(IS40&gt;=EV$2,"baik dalam "&amp;JI40,IF(IS40&gt;=EV$3,"cukup dalam "&amp;JI40,IF(IS40&lt;EV$3,"dengan bimbingan dapat meningkatkan dalam "&amp;JI40,IF(IS40&lt;1," ",””))))))</f>
        <v>#N/A</v>
      </c>
      <c r="JK40" s="223"/>
      <c r="JL40" s="223" t="str">
        <f t="shared" si="175"/>
        <v/>
      </c>
      <c r="JM40" s="223" t="str">
        <f t="shared" si="176"/>
        <v/>
      </c>
      <c r="JN40" s="223" t="str">
        <f t="shared" si="177"/>
        <v/>
      </c>
      <c r="JO40" s="223" t="str">
        <f t="shared" si="178"/>
        <v/>
      </c>
      <c r="JP40" s="223" t="str">
        <f t="shared" si="179"/>
        <v/>
      </c>
      <c r="JQ40" s="223" t="str">
        <f t="shared" si="180"/>
        <v/>
      </c>
      <c r="JR40" s="223" t="str">
        <f t="shared" si="181"/>
        <v/>
      </c>
      <c r="JS40" s="223" t="str">
        <f t="shared" si="182"/>
        <v/>
      </c>
      <c r="JT40" s="223" t="str">
        <f t="shared" si="183"/>
        <v/>
      </c>
      <c r="JU40" s="223"/>
      <c r="JV40" s="223"/>
      <c r="JW40" s="223" t="e">
        <f t="shared" si="184"/>
        <v>#N/A</v>
      </c>
      <c r="JX40" s="577" t="e">
        <f>IF(IT40&gt;100,"",IF(IT40&gt;=EV$1,"sangat baik dalam "&amp;JW40,IF(IT40&gt;=EV$2,"baik dalam "&amp;JW40,IF(IT40&gt;=EV$3,"cukup dalam "&amp;JW40,IF(IT40&lt;EV$3,"dengan bimbingan dapat meningkatkan dalam "&amp;JW40,IF(IT40&lt;1," ",””))))))</f>
        <v>#N/A</v>
      </c>
      <c r="JY40" s="223" t="e">
        <f t="shared" si="185"/>
        <v>#N/A</v>
      </c>
    </row>
    <row r="41" spans="1:285">
      <c r="A41" s="39">
        <v>34</v>
      </c>
      <c r="B41" s="223">
        <f>SISWA!B39</f>
        <v>0</v>
      </c>
      <c r="C41" s="123"/>
      <c r="D41" s="123"/>
      <c r="E41" s="123"/>
      <c r="F41" s="123"/>
      <c r="G41" s="123"/>
      <c r="H41" s="123"/>
      <c r="I41" s="123"/>
      <c r="J41" s="123"/>
      <c r="K41" s="123"/>
      <c r="L41" s="255"/>
      <c r="M41" s="255"/>
      <c r="N41" s="255"/>
      <c r="O41" s="255"/>
      <c r="P41" s="255"/>
      <c r="Q41" s="255"/>
      <c r="R41" s="255"/>
      <c r="S41" s="255"/>
      <c r="T41" s="255"/>
      <c r="U41" s="256"/>
      <c r="V41" s="256"/>
      <c r="W41" s="256"/>
      <c r="X41" s="256"/>
      <c r="Y41" s="256"/>
      <c r="Z41" s="256"/>
      <c r="AA41" s="256"/>
      <c r="AB41" s="256"/>
      <c r="AC41" s="256"/>
      <c r="AD41" s="123"/>
      <c r="AE41" s="123"/>
      <c r="AF41" s="123"/>
      <c r="AG41" s="123"/>
      <c r="AH41" s="123"/>
      <c r="AI41" s="123"/>
      <c r="AJ41" s="123"/>
      <c r="AK41" s="123"/>
      <c r="AL41" s="123"/>
      <c r="AM41" s="255"/>
      <c r="AN41" s="255"/>
      <c r="AO41" s="255"/>
      <c r="AP41" s="255"/>
      <c r="AQ41" s="255"/>
      <c r="AR41" s="255"/>
      <c r="AS41" s="255"/>
      <c r="AT41" s="255"/>
      <c r="AU41" s="255"/>
      <c r="AV41" s="256"/>
      <c r="AW41" s="256"/>
      <c r="AX41" s="256"/>
      <c r="AY41" s="256"/>
      <c r="AZ41" s="256"/>
      <c r="BA41" s="256"/>
      <c r="BB41" s="256"/>
      <c r="BC41" s="256"/>
      <c r="BD41" s="256"/>
      <c r="BE41" s="123"/>
      <c r="BF41" s="123"/>
      <c r="BG41" s="123"/>
      <c r="BH41" s="123"/>
      <c r="BI41" s="123"/>
      <c r="BJ41" s="123"/>
      <c r="BK41" s="123"/>
      <c r="BL41" s="123"/>
      <c r="BM41" s="123"/>
      <c r="BN41" s="255"/>
      <c r="BO41" s="255"/>
      <c r="BP41" s="255"/>
      <c r="BQ41" s="255"/>
      <c r="BR41" s="255"/>
      <c r="BS41" s="255"/>
      <c r="BT41" s="255"/>
      <c r="BU41" s="255"/>
      <c r="BV41" s="255"/>
      <c r="BW41" s="256"/>
      <c r="BX41" s="256"/>
      <c r="BY41" s="256"/>
      <c r="BZ41" s="256"/>
      <c r="CA41" s="256"/>
      <c r="CB41" s="256"/>
      <c r="CC41" s="256"/>
      <c r="CD41" s="256"/>
      <c r="CE41" s="256"/>
      <c r="CF41" s="123"/>
      <c r="CG41" s="123"/>
      <c r="CH41" s="123"/>
      <c r="CI41" s="123"/>
      <c r="CJ41" s="123"/>
      <c r="CK41" s="123"/>
      <c r="CL41" s="123"/>
      <c r="CM41" s="123"/>
      <c r="CN41" s="123"/>
      <c r="CO41" s="255"/>
      <c r="CP41" s="255"/>
      <c r="CQ41" s="255"/>
      <c r="CR41" s="255"/>
      <c r="CS41" s="255"/>
      <c r="CT41" s="255"/>
      <c r="CU41" s="255"/>
      <c r="CV41" s="255"/>
      <c r="CW41" s="255"/>
      <c r="CX41" s="256"/>
      <c r="CY41" s="256"/>
      <c r="CZ41" s="256"/>
      <c r="DA41" s="256"/>
      <c r="DB41" s="256"/>
      <c r="DC41" s="256"/>
      <c r="DD41" s="256"/>
      <c r="DE41" s="256"/>
      <c r="DF41" s="256"/>
      <c r="DG41" s="458"/>
      <c r="DH41" s="458"/>
      <c r="DI41" s="458"/>
      <c r="DJ41" s="458"/>
      <c r="DK41" s="458"/>
      <c r="DL41" s="458"/>
      <c r="DM41" s="458"/>
      <c r="DN41" s="458"/>
      <c r="DO41" s="458"/>
      <c r="DP41" s="457"/>
      <c r="DQ41" s="457"/>
      <c r="DR41" s="457"/>
      <c r="DS41" s="457"/>
      <c r="DT41" s="457"/>
      <c r="DU41" s="457"/>
      <c r="DV41" s="457"/>
      <c r="DW41" s="457"/>
      <c r="DX41" s="457"/>
      <c r="DY41" s="256"/>
      <c r="DZ41" s="256"/>
      <c r="EA41" s="256"/>
      <c r="EB41" s="256"/>
      <c r="EC41" s="256"/>
      <c r="ED41" s="256"/>
      <c r="EE41" s="256"/>
      <c r="EF41" s="256"/>
      <c r="EG41" s="256"/>
      <c r="EH41" s="257" t="str">
        <f t="shared" si="55"/>
        <v/>
      </c>
      <c r="EI41" s="257" t="str">
        <f t="shared" si="56"/>
        <v/>
      </c>
      <c r="EJ41" s="257" t="str">
        <f t="shared" si="57"/>
        <v/>
      </c>
      <c r="EK41" s="257" t="str">
        <f t="shared" si="58"/>
        <v/>
      </c>
      <c r="EL41" s="257" t="str">
        <f t="shared" si="59"/>
        <v/>
      </c>
      <c r="EM41" s="257" t="str">
        <f t="shared" si="60"/>
        <v/>
      </c>
      <c r="EN41" s="257" t="str">
        <f t="shared" si="61"/>
        <v/>
      </c>
      <c r="EO41" s="257" t="str">
        <f t="shared" si="62"/>
        <v/>
      </c>
      <c r="EP41" s="257" t="str">
        <f t="shared" si="63"/>
        <v/>
      </c>
      <c r="EQ41" s="579" t="str">
        <f t="shared" si="64"/>
        <v/>
      </c>
      <c r="ER41" s="291" t="str">
        <f t="shared" si="65"/>
        <v xml:space="preserve">  </v>
      </c>
      <c r="ES41" s="243" t="str">
        <f t="shared" si="66"/>
        <v xml:space="preserve"> </v>
      </c>
      <c r="ET41" s="39"/>
      <c r="EU41" s="39"/>
      <c r="EV41" s="257">
        <f t="shared" si="67"/>
        <v>0</v>
      </c>
      <c r="EW41" s="257">
        <f t="shared" si="68"/>
        <v>0</v>
      </c>
      <c r="EX41" s="257">
        <f t="shared" si="69"/>
        <v>0</v>
      </c>
      <c r="EY41" s="257">
        <f t="shared" si="70"/>
        <v>0</v>
      </c>
      <c r="EZ41" s="257">
        <f t="shared" si="71"/>
        <v>0</v>
      </c>
      <c r="FA41" s="257">
        <f t="shared" si="72"/>
        <v>0</v>
      </c>
      <c r="FB41" s="257">
        <f t="shared" si="73"/>
        <v>0</v>
      </c>
      <c r="FC41" s="257">
        <f t="shared" si="74"/>
        <v>0</v>
      </c>
      <c r="FD41" s="257">
        <f t="shared" si="75"/>
        <v>0</v>
      </c>
      <c r="FE41" s="257"/>
      <c r="FF41" s="289">
        <f t="shared" si="76"/>
        <v>0</v>
      </c>
      <c r="FG41" s="575">
        <f t="shared" si="77"/>
        <v>0</v>
      </c>
      <c r="FH41" s="575">
        <f t="shared" si="78"/>
        <v>0</v>
      </c>
      <c r="FI41" s="575">
        <f t="shared" si="79"/>
        <v>0</v>
      </c>
      <c r="FJ41" s="575">
        <f t="shared" si="80"/>
        <v>0</v>
      </c>
      <c r="FK41" s="575">
        <f t="shared" si="81"/>
        <v>0</v>
      </c>
      <c r="FL41" s="575">
        <f t="shared" si="82"/>
        <v>0</v>
      </c>
      <c r="FM41" s="575">
        <f t="shared" si="83"/>
        <v>0</v>
      </c>
      <c r="FN41" s="575">
        <f t="shared" si="84"/>
        <v>0</v>
      </c>
      <c r="FO41" s="575">
        <f t="shared" si="85"/>
        <v>0</v>
      </c>
      <c r="FP41" s="258"/>
      <c r="FQ41" s="289">
        <f t="shared" si="86"/>
        <v>0</v>
      </c>
      <c r="FR41" s="765">
        <f t="shared" si="87"/>
        <v>0</v>
      </c>
      <c r="FS41" s="765">
        <f t="shared" si="88"/>
        <v>0</v>
      </c>
      <c r="FT41" s="765">
        <f t="shared" si="89"/>
        <v>0</v>
      </c>
      <c r="FU41" s="765">
        <f t="shared" si="90"/>
        <v>0</v>
      </c>
      <c r="FV41" s="765">
        <f t="shared" si="91"/>
        <v>0</v>
      </c>
      <c r="FW41" s="765">
        <f t="shared" si="92"/>
        <v>0</v>
      </c>
      <c r="FX41" s="765">
        <f t="shared" si="93"/>
        <v>0</v>
      </c>
      <c r="FY41" s="765">
        <f t="shared" si="94"/>
        <v>0</v>
      </c>
      <c r="FZ41" s="765">
        <f t="shared" si="95"/>
        <v>0</v>
      </c>
      <c r="GA41" s="766"/>
      <c r="GB41" s="289">
        <f t="shared" si="96"/>
        <v>0</v>
      </c>
      <c r="GC41" s="257">
        <f t="shared" si="97"/>
        <v>0</v>
      </c>
      <c r="GD41" s="257">
        <f t="shared" si="98"/>
        <v>0</v>
      </c>
      <c r="GE41" s="257">
        <f t="shared" si="99"/>
        <v>0</v>
      </c>
      <c r="GF41" s="575">
        <f t="shared" si="100"/>
        <v>3</v>
      </c>
      <c r="GG41" s="506">
        <f t="shared" si="101"/>
        <v>0</v>
      </c>
      <c r="GH41" s="39" t="str">
        <f t="shared" si="102"/>
        <v/>
      </c>
      <c r="GI41" s="257">
        <f t="shared" si="103"/>
        <v>0</v>
      </c>
      <c r="GJ41" s="257">
        <f t="shared" si="104"/>
        <v>0</v>
      </c>
      <c r="GK41" s="257">
        <f t="shared" si="105"/>
        <v>0</v>
      </c>
      <c r="GL41" s="575">
        <f t="shared" si="106"/>
        <v>3</v>
      </c>
      <c r="GM41" s="506">
        <f t="shared" si="107"/>
        <v>0</v>
      </c>
      <c r="GN41" s="39" t="str">
        <f t="shared" si="108"/>
        <v/>
      </c>
      <c r="GO41" s="257">
        <f t="shared" si="109"/>
        <v>0</v>
      </c>
      <c r="GP41" s="257">
        <f t="shared" si="110"/>
        <v>0</v>
      </c>
      <c r="GQ41" s="257">
        <f t="shared" si="111"/>
        <v>0</v>
      </c>
      <c r="GR41" s="575">
        <f t="shared" si="112"/>
        <v>3</v>
      </c>
      <c r="GS41" s="506">
        <f t="shared" si="113"/>
        <v>0</v>
      </c>
      <c r="GT41" s="39" t="str">
        <f t="shared" si="114"/>
        <v/>
      </c>
      <c r="GU41" s="257">
        <f t="shared" si="115"/>
        <v>0</v>
      </c>
      <c r="GV41" s="257">
        <f t="shared" si="116"/>
        <v>0</v>
      </c>
      <c r="GW41" s="257">
        <f t="shared" si="117"/>
        <v>0</v>
      </c>
      <c r="GX41" s="575">
        <f t="shared" si="118"/>
        <v>3</v>
      </c>
      <c r="GY41" s="506">
        <f t="shared" si="119"/>
        <v>0</v>
      </c>
      <c r="GZ41" s="39" t="str">
        <f t="shared" si="120"/>
        <v/>
      </c>
      <c r="HA41" s="257">
        <f t="shared" si="121"/>
        <v>0</v>
      </c>
      <c r="HB41" s="257">
        <f t="shared" si="122"/>
        <v>0</v>
      </c>
      <c r="HC41" s="257">
        <f t="shared" si="123"/>
        <v>0</v>
      </c>
      <c r="HD41" s="575">
        <f t="shared" si="124"/>
        <v>3</v>
      </c>
      <c r="HE41" s="506">
        <f t="shared" si="125"/>
        <v>0</v>
      </c>
      <c r="HF41" s="39" t="str">
        <f t="shared" si="126"/>
        <v/>
      </c>
      <c r="HG41" s="257">
        <f t="shared" si="127"/>
        <v>0</v>
      </c>
      <c r="HH41" s="257">
        <f t="shared" si="128"/>
        <v>0</v>
      </c>
      <c r="HI41" s="257">
        <f t="shared" si="129"/>
        <v>0</v>
      </c>
      <c r="HJ41" s="575">
        <f t="shared" si="130"/>
        <v>3</v>
      </c>
      <c r="HK41" s="506">
        <f t="shared" si="131"/>
        <v>0</v>
      </c>
      <c r="HL41" s="39" t="str">
        <f t="shared" si="132"/>
        <v/>
      </c>
      <c r="HM41" s="257">
        <f t="shared" si="133"/>
        <v>0</v>
      </c>
      <c r="HN41" s="257">
        <f t="shared" si="134"/>
        <v>0</v>
      </c>
      <c r="HO41" s="257">
        <f t="shared" si="135"/>
        <v>0</v>
      </c>
      <c r="HP41" s="575">
        <f t="shared" si="136"/>
        <v>3</v>
      </c>
      <c r="HQ41" s="506">
        <f t="shared" si="137"/>
        <v>0</v>
      </c>
      <c r="HR41" s="39" t="str">
        <f t="shared" si="138"/>
        <v/>
      </c>
      <c r="HS41" s="257">
        <f t="shared" si="139"/>
        <v>0</v>
      </c>
      <c r="HT41" s="257">
        <f t="shared" si="140"/>
        <v>0</v>
      </c>
      <c r="HU41" s="257">
        <f t="shared" si="141"/>
        <v>0</v>
      </c>
      <c r="HV41" s="575">
        <f t="shared" si="142"/>
        <v>3</v>
      </c>
      <c r="HW41" s="506">
        <f t="shared" si="143"/>
        <v>0</v>
      </c>
      <c r="HX41" s="39" t="str">
        <f t="shared" si="144"/>
        <v/>
      </c>
      <c r="HY41" s="257">
        <f t="shared" si="145"/>
        <v>0</v>
      </c>
      <c r="HZ41" s="257">
        <f t="shared" si="146"/>
        <v>0</v>
      </c>
      <c r="IA41" s="257">
        <f t="shared" si="147"/>
        <v>0</v>
      </c>
      <c r="IB41" s="575">
        <f t="shared" si="148"/>
        <v>3</v>
      </c>
      <c r="IC41" s="506">
        <f t="shared" si="149"/>
        <v>0</v>
      </c>
      <c r="ID41" s="39" t="str">
        <f t="shared" si="150"/>
        <v/>
      </c>
      <c r="IE41" s="39"/>
      <c r="IF41" s="39"/>
      <c r="IG41" s="39"/>
      <c r="IH41" s="39" t="str">
        <f t="shared" si="151"/>
        <v/>
      </c>
      <c r="II41" s="39" t="str">
        <f t="shared" si="152"/>
        <v/>
      </c>
      <c r="IJ41" s="39" t="str">
        <f t="shared" si="153"/>
        <v/>
      </c>
      <c r="IK41" s="39" t="str">
        <f t="shared" si="154"/>
        <v/>
      </c>
      <c r="IL41" s="39" t="str">
        <f t="shared" si="155"/>
        <v/>
      </c>
      <c r="IM41" s="767" t="str">
        <f t="shared" si="156"/>
        <v/>
      </c>
      <c r="IN41" s="579" t="str">
        <f t="shared" si="157"/>
        <v/>
      </c>
      <c r="IO41" s="579" t="str">
        <f t="shared" si="158"/>
        <v/>
      </c>
      <c r="IP41" s="579" t="str">
        <f t="shared" si="159"/>
        <v/>
      </c>
      <c r="IQ41" s="579"/>
      <c r="IR41" s="579" t="str">
        <f t="shared" si="160"/>
        <v/>
      </c>
      <c r="IS41" s="289">
        <f t="shared" si="161"/>
        <v>0</v>
      </c>
      <c r="IT41" s="289">
        <f t="shared" si="162"/>
        <v>0</v>
      </c>
      <c r="IU41" s="223">
        <f>SISWA!E39</f>
        <v>0</v>
      </c>
      <c r="IV41" s="223" t="str">
        <f t="shared" si="163"/>
        <v/>
      </c>
      <c r="IW41" s="580" t="str">
        <f t="shared" si="164"/>
        <v/>
      </c>
      <c r="IX41" s="580" t="str">
        <f t="shared" si="165"/>
        <v/>
      </c>
      <c r="IY41" s="580" t="str">
        <f t="shared" si="166"/>
        <v/>
      </c>
      <c r="IZ41" s="580" t="str">
        <f t="shared" si="167"/>
        <v/>
      </c>
      <c r="JA41" s="580" t="str">
        <f t="shared" si="168"/>
        <v/>
      </c>
      <c r="JB41" s="580" t="str">
        <f t="shared" si="169"/>
        <v/>
      </c>
      <c r="JC41" s="580" t="str">
        <f t="shared" si="170"/>
        <v/>
      </c>
      <c r="JD41" s="580" t="str">
        <f t="shared" si="171"/>
        <v/>
      </c>
      <c r="JE41" s="580" t="str">
        <f t="shared" si="172"/>
        <v/>
      </c>
      <c r="JF41" s="580"/>
      <c r="JG41" s="580"/>
      <c r="JH41" s="223">
        <f t="shared" si="173"/>
        <v>0</v>
      </c>
      <c r="JI41" s="289" t="e">
        <f t="shared" si="174"/>
        <v>#N/A</v>
      </c>
      <c r="JJ41" s="576" t="e">
        <f>IF(IS41&gt;100,"",IF(IS41&gt;EV$1,"sangat baik dalam "&amp;JI41,IF(IS41&gt;=EV$2,"baik dalam "&amp;JI41,IF(IS41&gt;=EV$3,"cukup dalam "&amp;JI41,IF(IS41&lt;EV$3,"dengan bimbingan dapat meningkatkan dalam "&amp;JI41,IF(IS41&lt;1," ",””))))))</f>
        <v>#N/A</v>
      </c>
      <c r="JK41" s="223"/>
      <c r="JL41" s="223" t="str">
        <f t="shared" si="175"/>
        <v/>
      </c>
      <c r="JM41" s="223" t="str">
        <f t="shared" si="176"/>
        <v/>
      </c>
      <c r="JN41" s="223" t="str">
        <f t="shared" si="177"/>
        <v/>
      </c>
      <c r="JO41" s="223" t="str">
        <f t="shared" si="178"/>
        <v/>
      </c>
      <c r="JP41" s="223" t="str">
        <f t="shared" si="179"/>
        <v/>
      </c>
      <c r="JQ41" s="223" t="str">
        <f t="shared" si="180"/>
        <v/>
      </c>
      <c r="JR41" s="223" t="str">
        <f t="shared" si="181"/>
        <v/>
      </c>
      <c r="JS41" s="223" t="str">
        <f t="shared" si="182"/>
        <v/>
      </c>
      <c r="JT41" s="223" t="str">
        <f t="shared" si="183"/>
        <v/>
      </c>
      <c r="JU41" s="223"/>
      <c r="JV41" s="223"/>
      <c r="JW41" s="223" t="e">
        <f t="shared" si="184"/>
        <v>#N/A</v>
      </c>
      <c r="JX41" s="577" t="e">
        <f>IF(IT41&gt;100,"",IF(IT41&gt;=EV$1,"sangat baik dalam "&amp;JW41,IF(IT41&gt;=EV$2,"baik dalam "&amp;JW41,IF(IT41&gt;=EV$3,"cukup dalam "&amp;JW41,IF(IT41&lt;EV$3,"dengan bimbingan dapat meningkatkan dalam "&amp;JW41,IF(IT41&lt;1," ",””))))))</f>
        <v>#N/A</v>
      </c>
      <c r="JY41" s="223" t="e">
        <f t="shared" si="185"/>
        <v>#N/A</v>
      </c>
    </row>
    <row r="42" spans="1:285">
      <c r="A42" s="39">
        <v>35</v>
      </c>
      <c r="B42" s="223">
        <f>SISWA!B40</f>
        <v>0</v>
      </c>
      <c r="C42" s="123"/>
      <c r="D42" s="123"/>
      <c r="E42" s="123"/>
      <c r="F42" s="123"/>
      <c r="G42" s="123"/>
      <c r="H42" s="123"/>
      <c r="I42" s="123"/>
      <c r="J42" s="123"/>
      <c r="K42" s="123"/>
      <c r="L42" s="255"/>
      <c r="M42" s="255"/>
      <c r="N42" s="255"/>
      <c r="O42" s="255"/>
      <c r="P42" s="255"/>
      <c r="Q42" s="255"/>
      <c r="R42" s="255"/>
      <c r="S42" s="255"/>
      <c r="T42" s="255"/>
      <c r="U42" s="256"/>
      <c r="V42" s="256"/>
      <c r="W42" s="256"/>
      <c r="X42" s="256"/>
      <c r="Y42" s="256"/>
      <c r="Z42" s="256"/>
      <c r="AA42" s="256"/>
      <c r="AB42" s="256"/>
      <c r="AC42" s="256"/>
      <c r="AD42" s="123"/>
      <c r="AE42" s="123"/>
      <c r="AF42" s="123"/>
      <c r="AG42" s="123"/>
      <c r="AH42" s="123"/>
      <c r="AI42" s="123"/>
      <c r="AJ42" s="123"/>
      <c r="AK42" s="123"/>
      <c r="AL42" s="123"/>
      <c r="AM42" s="255"/>
      <c r="AN42" s="255"/>
      <c r="AO42" s="255"/>
      <c r="AP42" s="255"/>
      <c r="AQ42" s="255"/>
      <c r="AR42" s="255"/>
      <c r="AS42" s="255"/>
      <c r="AT42" s="255"/>
      <c r="AU42" s="255"/>
      <c r="AV42" s="256"/>
      <c r="AW42" s="256"/>
      <c r="AX42" s="256"/>
      <c r="AY42" s="256"/>
      <c r="AZ42" s="256"/>
      <c r="BA42" s="256"/>
      <c r="BB42" s="256"/>
      <c r="BC42" s="256"/>
      <c r="BD42" s="256"/>
      <c r="BE42" s="123"/>
      <c r="BF42" s="123"/>
      <c r="BG42" s="123"/>
      <c r="BH42" s="123"/>
      <c r="BI42" s="123"/>
      <c r="BJ42" s="123"/>
      <c r="BK42" s="123"/>
      <c r="BL42" s="123"/>
      <c r="BM42" s="123"/>
      <c r="BN42" s="255"/>
      <c r="BO42" s="255"/>
      <c r="BP42" s="255"/>
      <c r="BQ42" s="255"/>
      <c r="BR42" s="255"/>
      <c r="BS42" s="255"/>
      <c r="BT42" s="255"/>
      <c r="BU42" s="255"/>
      <c r="BV42" s="255"/>
      <c r="BW42" s="256"/>
      <c r="BX42" s="256"/>
      <c r="BY42" s="256"/>
      <c r="BZ42" s="256"/>
      <c r="CA42" s="256"/>
      <c r="CB42" s="256"/>
      <c r="CC42" s="256"/>
      <c r="CD42" s="256"/>
      <c r="CE42" s="256"/>
      <c r="CF42" s="123"/>
      <c r="CG42" s="123"/>
      <c r="CH42" s="123"/>
      <c r="CI42" s="123"/>
      <c r="CJ42" s="123"/>
      <c r="CK42" s="123"/>
      <c r="CL42" s="123"/>
      <c r="CM42" s="123"/>
      <c r="CN42" s="123"/>
      <c r="CO42" s="255"/>
      <c r="CP42" s="255"/>
      <c r="CQ42" s="255"/>
      <c r="CR42" s="255"/>
      <c r="CS42" s="255"/>
      <c r="CT42" s="255"/>
      <c r="CU42" s="255"/>
      <c r="CV42" s="255"/>
      <c r="CW42" s="255"/>
      <c r="CX42" s="256"/>
      <c r="CY42" s="256"/>
      <c r="CZ42" s="256"/>
      <c r="DA42" s="256"/>
      <c r="DB42" s="256"/>
      <c r="DC42" s="256"/>
      <c r="DD42" s="256"/>
      <c r="DE42" s="256"/>
      <c r="DF42" s="256"/>
      <c r="DG42" s="458"/>
      <c r="DH42" s="458"/>
      <c r="DI42" s="458"/>
      <c r="DJ42" s="458"/>
      <c r="DK42" s="458"/>
      <c r="DL42" s="458"/>
      <c r="DM42" s="458"/>
      <c r="DN42" s="458"/>
      <c r="DO42" s="458"/>
      <c r="DP42" s="457"/>
      <c r="DQ42" s="457"/>
      <c r="DR42" s="457"/>
      <c r="DS42" s="457"/>
      <c r="DT42" s="457"/>
      <c r="DU42" s="457"/>
      <c r="DV42" s="457"/>
      <c r="DW42" s="457"/>
      <c r="DX42" s="457"/>
      <c r="DY42" s="256"/>
      <c r="DZ42" s="256"/>
      <c r="EA42" s="256"/>
      <c r="EB42" s="256"/>
      <c r="EC42" s="256"/>
      <c r="ED42" s="256"/>
      <c r="EE42" s="256"/>
      <c r="EF42" s="256"/>
      <c r="EG42" s="256"/>
      <c r="EH42" s="257" t="str">
        <f t="shared" ref="EH42" si="186">IFERROR(AVERAGE(C42,L42,U42,AD42,AM42,AV42,BE42,BN42,BW42,CF42,CO42,CX42,DG42,DP42,DY42)," ")</f>
        <v xml:space="preserve"> </v>
      </c>
      <c r="EI42" s="257" t="str">
        <f t="shared" ref="EI42" si="187">IFERROR(AVERAGE(D42,M42,V42,AE42,AN42,AW42,BF42,BO42,BX42,CG42,CP42,CY42,DH42,DQ42,DZ42)," ")</f>
        <v xml:space="preserve"> </v>
      </c>
      <c r="EJ42" s="257" t="str">
        <f t="shared" ref="EJ42" si="188">IFERROR(AVERAGE(E42,N42,W42,AF42,AO42,AX42,BG42,BP42,BY42,CH42,CQ42,CZ42,DI42,DR42,EA42)," ")</f>
        <v xml:space="preserve"> </v>
      </c>
      <c r="EK42" s="257" t="str">
        <f t="shared" ref="EK42" si="189">IFERROR(AVERAGE(F42,O42,X42,AG42,AP42,AY42,BH42,BQ42,BZ42,CI42,CR42,DA42,DJ42,DS42,EB42)," ")</f>
        <v xml:space="preserve"> </v>
      </c>
      <c r="EL42" s="257" t="str">
        <f t="shared" ref="EL42" si="190">IFERROR(AVERAGE(G42,P42,Y42,AH42,AQ42,AZ42,BI42,BR42,CA42,CJ42,CS42,DB42,DK42,DT42,EC42)," ")</f>
        <v xml:space="preserve"> </v>
      </c>
      <c r="EM42" s="257" t="str">
        <f t="shared" ref="EM42" si="191">IFERROR(AVERAGE(H42,Q42,Z42,AI42,AR42,BA42,BJ42,BS42,CB42,CK42,CT42,DC42,DL42,DU42,ED42)," ")</f>
        <v xml:space="preserve"> </v>
      </c>
      <c r="EN42" s="257" t="str">
        <f t="shared" ref="EN42" si="192">IFERROR(AVERAGE(I42,R42,AA42,AJ42,AS42,BB42,BK42,BT42,CC42,CL42,CU42,DD42,DM42,DV42,EE42)," ")</f>
        <v xml:space="preserve"> </v>
      </c>
      <c r="EO42" s="257">
        <f t="shared" si="62"/>
        <v>0</v>
      </c>
      <c r="EP42" s="257">
        <f t="shared" si="63"/>
        <v>0</v>
      </c>
      <c r="EQ42" s="579">
        <f t="shared" si="64"/>
        <v>0</v>
      </c>
      <c r="ER42" s="291" t="str">
        <f t="shared" ref="ER42" si="193">IF(EQ42&gt;100,"  ",IF(EQ42&gt;=EW$1,"A",IF(EQ42&gt;=EW$2,"B",IF(EQ42&gt;=EW$3,"C",IF(EQ42&gt;=1,"D","")))))</f>
        <v>A</v>
      </c>
      <c r="ES42" s="243">
        <f t="shared" si="66"/>
        <v>0</v>
      </c>
      <c r="ET42" s="39"/>
      <c r="EU42" s="39"/>
      <c r="EV42" s="257">
        <f t="shared" si="67"/>
        <v>0</v>
      </c>
      <c r="EW42" s="257">
        <f t="shared" si="68"/>
        <v>0</v>
      </c>
      <c r="EX42" s="257">
        <f t="shared" si="69"/>
        <v>0</v>
      </c>
      <c r="EY42" s="257">
        <f t="shared" si="70"/>
        <v>0</v>
      </c>
      <c r="EZ42" s="257">
        <f t="shared" si="71"/>
        <v>0</v>
      </c>
      <c r="FA42" s="257">
        <f t="shared" si="72"/>
        <v>0</v>
      </c>
      <c r="FB42" s="257">
        <f t="shared" si="73"/>
        <v>0</v>
      </c>
      <c r="FC42" s="257">
        <f t="shared" si="74"/>
        <v>0</v>
      </c>
      <c r="FD42" s="257">
        <f t="shared" si="75"/>
        <v>0</v>
      </c>
      <c r="FE42" s="257"/>
      <c r="FF42" s="289">
        <f t="shared" si="76"/>
        <v>0</v>
      </c>
      <c r="FG42" s="575">
        <f t="shared" si="77"/>
        <v>0</v>
      </c>
      <c r="FH42" s="575">
        <f t="shared" si="78"/>
        <v>0</v>
      </c>
      <c r="FI42" s="575">
        <f t="shared" si="79"/>
        <v>0</v>
      </c>
      <c r="FJ42" s="575">
        <f t="shared" si="80"/>
        <v>0</v>
      </c>
      <c r="FK42" s="575">
        <f t="shared" si="81"/>
        <v>0</v>
      </c>
      <c r="FL42" s="575">
        <f t="shared" si="82"/>
        <v>0</v>
      </c>
      <c r="FM42" s="575">
        <f t="shared" si="83"/>
        <v>0</v>
      </c>
      <c r="FN42" s="575">
        <f t="shared" si="84"/>
        <v>0</v>
      </c>
      <c r="FO42" s="575">
        <f t="shared" si="85"/>
        <v>0</v>
      </c>
      <c r="FP42" s="258"/>
      <c r="FQ42" s="289">
        <f t="shared" si="86"/>
        <v>0</v>
      </c>
      <c r="FR42" s="765">
        <f t="shared" si="87"/>
        <v>0</v>
      </c>
      <c r="FS42" s="765">
        <f t="shared" si="88"/>
        <v>0</v>
      </c>
      <c r="FT42" s="765">
        <f t="shared" si="89"/>
        <v>0</v>
      </c>
      <c r="FU42" s="765">
        <f t="shared" si="90"/>
        <v>0</v>
      </c>
      <c r="FV42" s="765">
        <f t="shared" si="91"/>
        <v>0</v>
      </c>
      <c r="FW42" s="765">
        <f t="shared" si="92"/>
        <v>0</v>
      </c>
      <c r="FX42" s="765">
        <f t="shared" si="93"/>
        <v>0</v>
      </c>
      <c r="FY42" s="765">
        <f t="shared" si="94"/>
        <v>0</v>
      </c>
      <c r="FZ42" s="765">
        <f t="shared" si="95"/>
        <v>0</v>
      </c>
      <c r="GA42" s="766"/>
      <c r="GC42" s="62" t="str">
        <f t="shared" ref="GC42" si="194">CONCATENATE(FL42&amp;", "&amp;GA42)</f>
        <v xml:space="preserve">0, </v>
      </c>
      <c r="GD42" s="39"/>
    </row>
    <row r="43" spans="1:285">
      <c r="DH43" s="221"/>
      <c r="DI43" s="221"/>
      <c r="DJ43" s="221"/>
      <c r="DK43" s="221"/>
      <c r="DL43" s="221"/>
      <c r="DM43" s="221"/>
      <c r="DN43" s="221"/>
      <c r="DO43" s="221"/>
    </row>
    <row r="44" spans="1:285">
      <c r="B44" s="244" t="str">
        <f>"Kompetensi Dasar "&amp;C2&amp;" :"</f>
        <v>Kompetensi Dasar BAHASA INDONESIA :</v>
      </c>
      <c r="DH44" s="221"/>
      <c r="DI44" s="221"/>
      <c r="DJ44" s="221"/>
      <c r="DK44" s="221"/>
      <c r="DL44" s="221"/>
      <c r="DM44" s="221"/>
      <c r="DN44" s="221"/>
      <c r="DO44" s="221"/>
    </row>
    <row r="45" spans="1:285">
      <c r="A45" s="341" t="str">
        <f>'KDKI-4'!A13</f>
        <v>4.1</v>
      </c>
      <c r="B45" s="341" t="str">
        <f>'KDKI-4'!B13</f>
        <v>menyajikan hasil identifikasi pokok pikiran dalam teks tulis dan lisan secara lisan, tulis, dan visual</v>
      </c>
      <c r="C45" s="338"/>
      <c r="D45" s="338"/>
      <c r="E45" s="338"/>
      <c r="F45" s="338"/>
      <c r="G45" s="338"/>
      <c r="H45" s="338"/>
      <c r="I45" s="338"/>
      <c r="J45" s="338"/>
      <c r="K45" s="338"/>
      <c r="L45" s="246"/>
      <c r="M45" s="246"/>
      <c r="N45" s="246"/>
      <c r="O45" s="246"/>
      <c r="P45" s="246"/>
      <c r="Q45" s="246"/>
      <c r="R45" s="246"/>
      <c r="S45" s="246"/>
      <c r="T45" s="246"/>
      <c r="U45" s="246"/>
      <c r="V45" s="246"/>
      <c r="W45" s="246"/>
      <c r="X45" s="246"/>
      <c r="Y45" s="246"/>
      <c r="Z45" s="246"/>
      <c r="AA45" s="246"/>
      <c r="AB45" s="246"/>
      <c r="AC45" s="246"/>
      <c r="AD45" s="246"/>
      <c r="AE45" s="246"/>
      <c r="AF45" s="246"/>
      <c r="AG45" s="246"/>
      <c r="AH45" s="246"/>
      <c r="AI45" s="246"/>
      <c r="AJ45" s="246"/>
      <c r="AK45" s="246"/>
      <c r="AL45" s="246"/>
      <c r="AM45" s="246"/>
      <c r="AN45" s="246"/>
      <c r="AO45" s="246"/>
      <c r="AP45" s="246"/>
      <c r="AQ45" s="246"/>
      <c r="AR45" s="246"/>
      <c r="AS45" s="247"/>
      <c r="AT45" s="250"/>
      <c r="AU45" s="250"/>
      <c r="DH45" s="221"/>
      <c r="DI45" s="221"/>
      <c r="DJ45" s="221"/>
      <c r="DK45" s="221"/>
      <c r="DL45" s="221"/>
      <c r="DM45" s="221"/>
      <c r="DN45" s="221"/>
      <c r="DO45" s="221"/>
    </row>
    <row r="46" spans="1:285">
      <c r="A46" s="341" t="str">
        <f>'KDKI-4'!A14</f>
        <v>4.2</v>
      </c>
      <c r="B46" s="341" t="str">
        <f>'KDKI-4'!B14</f>
        <v xml:space="preserve">menyajikan hasil klasifikasi informasi yang didapat dari buku yang dikelompokkan dalam aspek: apa, di mana, kapan, siapa, mengapa, dan bagaimana </v>
      </c>
      <c r="C46" s="339"/>
      <c r="D46" s="339"/>
      <c r="E46" s="339"/>
      <c r="F46" s="339"/>
      <c r="G46" s="339"/>
      <c r="H46" s="339"/>
      <c r="I46" s="339"/>
      <c r="J46" s="339"/>
      <c r="K46" s="339"/>
      <c r="L46" s="248"/>
      <c r="M46" s="248"/>
      <c r="N46" s="248"/>
      <c r="O46" s="248"/>
      <c r="P46" s="248"/>
      <c r="Q46" s="248"/>
      <c r="R46" s="248"/>
      <c r="S46" s="248"/>
      <c r="T46" s="248"/>
      <c r="U46" s="248"/>
      <c r="V46" s="248"/>
      <c r="W46" s="248"/>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9"/>
      <c r="AT46" s="250"/>
      <c r="AU46" s="250"/>
      <c r="DH46" s="221"/>
      <c r="DI46" s="221"/>
      <c r="DJ46" s="221"/>
      <c r="DK46" s="221"/>
      <c r="DL46" s="221"/>
      <c r="DM46" s="221"/>
      <c r="DN46" s="221"/>
      <c r="DO46" s="221"/>
    </row>
    <row r="47" spans="1:285">
      <c r="A47" s="341" t="str">
        <f>'KDKI-4'!A15</f>
        <v>4.3</v>
      </c>
      <c r="B47" s="341" t="str">
        <f>'KDKI-4'!B15</f>
        <v>menyajikan ringkasan teks penjelasan (eksplanasi) dari media cetak atau elektronik dengan menggunakan kosakata baku dan kalimat efektif secara lisan, tulis, dan visual</v>
      </c>
      <c r="C47" s="340"/>
      <c r="D47" s="340"/>
      <c r="E47" s="340"/>
      <c r="F47" s="340"/>
      <c r="G47" s="340"/>
      <c r="H47" s="340"/>
      <c r="I47" s="340"/>
      <c r="J47" s="340"/>
      <c r="K47" s="340"/>
      <c r="L47" s="250"/>
      <c r="M47" s="250"/>
      <c r="N47" s="250"/>
      <c r="O47" s="250"/>
      <c r="P47" s="250"/>
      <c r="Q47" s="250"/>
      <c r="R47" s="250"/>
      <c r="S47" s="250"/>
      <c r="T47" s="250"/>
      <c r="U47" s="250"/>
      <c r="V47" s="250"/>
      <c r="W47" s="250"/>
      <c r="X47" s="250"/>
      <c r="Y47" s="250"/>
      <c r="Z47" s="250"/>
      <c r="AA47" s="250"/>
      <c r="AB47" s="250"/>
      <c r="AC47" s="250"/>
      <c r="AD47" s="250"/>
      <c r="AE47" s="250"/>
      <c r="AF47" s="250"/>
      <c r="AG47" s="250"/>
      <c r="AH47" s="250"/>
      <c r="AI47" s="250"/>
      <c r="AJ47" s="250"/>
      <c r="AK47" s="250"/>
      <c r="AL47" s="250"/>
      <c r="AM47" s="250"/>
      <c r="AN47" s="250"/>
      <c r="AO47" s="250"/>
      <c r="AP47" s="250"/>
      <c r="AQ47" s="250"/>
      <c r="AR47" s="250"/>
      <c r="AS47" s="251"/>
      <c r="AT47" s="250"/>
      <c r="AU47" s="250"/>
      <c r="DH47" s="221"/>
      <c r="DI47" s="221"/>
      <c r="DJ47" s="221"/>
      <c r="DK47" s="221"/>
      <c r="DL47" s="221"/>
      <c r="DM47" s="221"/>
      <c r="DN47" s="221"/>
      <c r="DO47" s="221"/>
    </row>
    <row r="48" spans="1:285">
      <c r="A48" s="341" t="str">
        <f>'KDKI-4'!A16</f>
        <v>4.4</v>
      </c>
      <c r="B48" s="341" t="str">
        <f>'KDKI-4'!B16</f>
        <v>memeragakan kembali informasi yang disampaikan paparan iklan dari media cetak atau elektronik dengan bantuan lisan, tulis, dan visual</v>
      </c>
      <c r="C48" s="339"/>
      <c r="D48" s="339"/>
      <c r="E48" s="339"/>
      <c r="F48" s="339"/>
      <c r="G48" s="339"/>
      <c r="H48" s="339"/>
      <c r="I48" s="339"/>
      <c r="J48" s="339"/>
      <c r="K48" s="339"/>
      <c r="L48" s="248"/>
      <c r="M48" s="248"/>
      <c r="N48" s="248"/>
      <c r="O48" s="248"/>
      <c r="P48" s="248"/>
      <c r="Q48" s="248"/>
      <c r="R48" s="248"/>
      <c r="S48" s="248"/>
      <c r="T48" s="248"/>
      <c r="U48" s="248"/>
      <c r="V48" s="248"/>
      <c r="W48" s="248"/>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9"/>
      <c r="AT48" s="250"/>
      <c r="AU48" s="250"/>
      <c r="DH48" s="221"/>
      <c r="DI48" s="221"/>
      <c r="DJ48" s="221"/>
      <c r="DK48" s="221"/>
      <c r="DL48" s="221"/>
      <c r="DM48" s="221"/>
      <c r="DN48" s="221"/>
      <c r="DO48" s="221"/>
    </row>
    <row r="49" spans="1:119">
      <c r="A49" s="341" t="str">
        <f>'KDKI-4'!A17</f>
        <v>4.5</v>
      </c>
      <c r="B49" s="341" t="str">
        <f>'KDKI-4'!B17</f>
        <v>memaparkan informasi penting dari teks narasi sejarah menggunakan aspek: apa, di mana, kapan, siapa, mengapa, dan bagaimana serta kosakata baku dan kalimat efektif</v>
      </c>
      <c r="C49" s="340"/>
      <c r="D49" s="340"/>
      <c r="E49" s="340"/>
      <c r="F49" s="340"/>
      <c r="G49" s="340"/>
      <c r="H49" s="340"/>
      <c r="I49" s="340"/>
      <c r="J49" s="340"/>
      <c r="K49" s="340"/>
      <c r="L49" s="250"/>
      <c r="M49" s="250"/>
      <c r="N49" s="250"/>
      <c r="O49" s="250"/>
      <c r="P49" s="250"/>
      <c r="Q49" s="250"/>
      <c r="R49" s="250"/>
      <c r="S49" s="250"/>
      <c r="T49" s="250"/>
      <c r="U49" s="250"/>
      <c r="V49" s="250"/>
      <c r="W49" s="250"/>
      <c r="X49" s="250"/>
      <c r="Y49" s="250"/>
      <c r="Z49" s="250"/>
      <c r="AA49" s="250"/>
      <c r="AB49" s="250"/>
      <c r="AC49" s="250"/>
      <c r="AD49" s="250"/>
      <c r="AE49" s="250"/>
      <c r="AF49" s="250"/>
      <c r="AG49" s="250"/>
      <c r="AH49" s="250"/>
      <c r="AI49" s="250"/>
      <c r="AJ49" s="250"/>
      <c r="AK49" s="250"/>
      <c r="AL49" s="250"/>
      <c r="AM49" s="250"/>
      <c r="AN49" s="250"/>
      <c r="AO49" s="250"/>
      <c r="AP49" s="250"/>
      <c r="AQ49" s="250"/>
      <c r="AR49" s="250"/>
      <c r="AS49" s="251"/>
      <c r="AT49" s="250"/>
      <c r="AU49" s="250"/>
      <c r="DH49" s="221"/>
      <c r="DI49" s="221"/>
      <c r="DJ49" s="221"/>
      <c r="DK49" s="221"/>
      <c r="DL49" s="221"/>
      <c r="DM49" s="221"/>
      <c r="DN49" s="221"/>
      <c r="DO49" s="221"/>
    </row>
    <row r="50" spans="1:119">
      <c r="A50" s="341" t="str">
        <f>'KDKI-4'!A18</f>
        <v>4.6</v>
      </c>
      <c r="B50" s="341" t="str">
        <f>'KDKI-4'!B18</f>
        <v>melisankan pantun hasil karya pribadi dengan lafal, intonasi, dan ekspresi yang tepat sebagai bentuk ungkapan diri</v>
      </c>
      <c r="C50" s="339"/>
      <c r="D50" s="339"/>
      <c r="E50" s="339"/>
      <c r="F50" s="339"/>
      <c r="G50" s="339"/>
      <c r="H50" s="339"/>
      <c r="I50" s="339"/>
      <c r="J50" s="339"/>
      <c r="K50" s="339"/>
      <c r="L50" s="248"/>
      <c r="M50" s="248"/>
      <c r="N50" s="248"/>
      <c r="O50" s="248"/>
      <c r="P50" s="248"/>
      <c r="Q50" s="248"/>
      <c r="R50" s="248"/>
      <c r="S50" s="248"/>
      <c r="T50" s="248"/>
      <c r="U50" s="248"/>
      <c r="V50" s="248"/>
      <c r="W50" s="248"/>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9"/>
      <c r="AT50" s="250"/>
      <c r="AU50" s="250"/>
    </row>
    <row r="51" spans="1:119">
      <c r="A51" s="341" t="str">
        <f>'KDKI-4'!A19</f>
        <v>4.7</v>
      </c>
      <c r="B51" s="341" t="str">
        <f>'KDKI-4'!B19</f>
        <v>menyajikan konsep-konsep yang saling berkaitan pada teks nonfiksi ke dalam tulisan dengan bahasa sendiri</v>
      </c>
      <c r="C51" s="340"/>
      <c r="D51" s="340"/>
      <c r="E51" s="340"/>
      <c r="F51" s="340"/>
      <c r="G51" s="340"/>
      <c r="H51" s="340"/>
      <c r="I51" s="340"/>
      <c r="J51" s="340"/>
      <c r="K51" s="340"/>
      <c r="L51" s="250"/>
      <c r="M51" s="250"/>
      <c r="N51" s="250"/>
      <c r="O51" s="250"/>
      <c r="P51" s="250"/>
      <c r="Q51" s="250"/>
      <c r="R51" s="250"/>
      <c r="S51" s="250"/>
      <c r="T51" s="250"/>
      <c r="U51" s="250"/>
      <c r="V51" s="250"/>
      <c r="W51" s="250"/>
      <c r="X51" s="250"/>
      <c r="Y51" s="250"/>
      <c r="Z51" s="250"/>
      <c r="AA51" s="250"/>
      <c r="AB51" s="250"/>
      <c r="AC51" s="250"/>
      <c r="AD51" s="250"/>
      <c r="AE51" s="250"/>
      <c r="AF51" s="250"/>
      <c r="AG51" s="250"/>
      <c r="AH51" s="250"/>
      <c r="AI51" s="250"/>
      <c r="AJ51" s="250"/>
      <c r="AK51" s="250"/>
      <c r="AL51" s="250"/>
      <c r="AM51" s="250"/>
      <c r="AN51" s="250"/>
      <c r="AO51" s="250"/>
      <c r="AP51" s="250"/>
      <c r="AQ51" s="250"/>
      <c r="AR51" s="250"/>
      <c r="AS51" s="251"/>
      <c r="AT51" s="250"/>
      <c r="AU51" s="250"/>
    </row>
    <row r="52" spans="1:119">
      <c r="A52" s="341" t="str">
        <f>'KDKI-4'!A20</f>
        <v>4.8</v>
      </c>
      <c r="B52" s="341" t="str">
        <f>'KDKI-4'!B20</f>
        <v>menyajikan kembali peristiwa atau tindakan dengan memperhatikan latar cerita yang terdapat pada teks fiksi</v>
      </c>
      <c r="C52" s="339"/>
      <c r="D52" s="339"/>
      <c r="E52" s="339"/>
      <c r="F52" s="339"/>
      <c r="G52" s="339"/>
      <c r="H52" s="339"/>
      <c r="I52" s="339"/>
      <c r="J52" s="339"/>
      <c r="K52" s="339"/>
      <c r="L52" s="248"/>
      <c r="M52" s="248"/>
      <c r="N52" s="248"/>
      <c r="O52" s="248"/>
      <c r="P52" s="248"/>
      <c r="Q52" s="248"/>
      <c r="R52" s="248"/>
      <c r="S52" s="248"/>
      <c r="T52" s="248"/>
      <c r="U52" s="248"/>
      <c r="V52" s="248"/>
      <c r="W52" s="248"/>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9"/>
      <c r="AT52" s="250"/>
      <c r="AU52" s="250"/>
    </row>
    <row r="53" spans="1:119">
      <c r="A53" s="341" t="str">
        <f>'KDKI-4'!A21</f>
        <v>4.9</v>
      </c>
      <c r="B53" s="341" t="str">
        <f>'KDKI-4'!B21</f>
        <v>membuat surat undangan (ulang tahun, kegiatan sekolah, kenaikan kelas, dll.) dengan kalimat efektif dan memperhati-kan penggunaan ejaan</v>
      </c>
      <c r="C53" s="340"/>
      <c r="D53" s="340"/>
      <c r="E53" s="340"/>
      <c r="F53" s="340"/>
      <c r="G53" s="340"/>
      <c r="H53" s="340"/>
      <c r="I53" s="340"/>
      <c r="J53" s="340"/>
      <c r="K53" s="340"/>
      <c r="L53" s="250"/>
      <c r="M53" s="250"/>
      <c r="N53" s="250"/>
      <c r="O53" s="250"/>
      <c r="P53" s="250"/>
      <c r="Q53" s="250"/>
      <c r="R53" s="250"/>
      <c r="S53" s="250"/>
      <c r="T53" s="250"/>
      <c r="U53" s="250"/>
      <c r="V53" s="250"/>
      <c r="W53" s="250"/>
      <c r="X53" s="250"/>
      <c r="Y53" s="250"/>
      <c r="Z53" s="250"/>
      <c r="AA53" s="250"/>
      <c r="AB53" s="250"/>
      <c r="AC53" s="250"/>
      <c r="AD53" s="250"/>
      <c r="AE53" s="250"/>
      <c r="AF53" s="250"/>
      <c r="AG53" s="250"/>
      <c r="AH53" s="250"/>
      <c r="AI53" s="250"/>
      <c r="AJ53" s="250"/>
      <c r="AK53" s="250"/>
      <c r="AL53" s="250"/>
      <c r="AM53" s="250"/>
      <c r="AN53" s="250"/>
      <c r="AO53" s="250"/>
      <c r="AP53" s="250"/>
      <c r="AQ53" s="250"/>
      <c r="AR53" s="250"/>
      <c r="AS53" s="251"/>
      <c r="AT53" s="250"/>
      <c r="AU53" s="250"/>
    </row>
    <row r="54" spans="1:119">
      <c r="A54" s="296"/>
      <c r="B54" s="757"/>
      <c r="C54" s="758"/>
      <c r="D54" s="758"/>
      <c r="E54" s="758"/>
      <c r="F54" s="758"/>
      <c r="G54" s="758"/>
      <c r="H54" s="758"/>
      <c r="I54" s="758"/>
      <c r="J54" s="758"/>
      <c r="K54" s="758"/>
      <c r="L54" s="759"/>
      <c r="M54" s="759"/>
      <c r="N54" s="759"/>
      <c r="O54" s="759"/>
      <c r="P54" s="759"/>
      <c r="Q54" s="759"/>
      <c r="R54" s="759"/>
      <c r="S54" s="759"/>
      <c r="T54" s="759"/>
      <c r="U54" s="759"/>
      <c r="V54" s="759"/>
      <c r="W54" s="759"/>
      <c r="X54" s="759"/>
      <c r="Y54" s="759"/>
      <c r="Z54" s="759"/>
      <c r="AA54" s="759"/>
      <c r="AB54" s="759"/>
      <c r="AC54" s="759"/>
      <c r="AD54" s="759"/>
      <c r="AE54" s="759"/>
      <c r="AF54" s="759"/>
      <c r="AG54" s="759"/>
      <c r="AH54" s="759"/>
      <c r="AI54" s="759"/>
      <c r="AJ54" s="759"/>
      <c r="AK54" s="759"/>
      <c r="AL54" s="759"/>
      <c r="AM54" s="759"/>
      <c r="AN54" s="759"/>
      <c r="AO54" s="759"/>
      <c r="AP54" s="759"/>
      <c r="AQ54" s="759"/>
      <c r="AR54" s="759"/>
      <c r="AS54" s="760"/>
      <c r="AT54" s="656"/>
      <c r="AU54" s="656"/>
      <c r="AV54" s="221"/>
      <c r="AW54" s="221"/>
      <c r="AX54" s="221"/>
      <c r="AY54" s="221"/>
      <c r="AZ54" s="221"/>
      <c r="BA54" s="221"/>
      <c r="BB54" s="221"/>
      <c r="BC54" s="221"/>
      <c r="BD54" s="221"/>
    </row>
    <row r="55" spans="1:119">
      <c r="A55" s="296"/>
      <c r="B55" s="761"/>
      <c r="C55" s="574"/>
      <c r="D55" s="574"/>
      <c r="E55" s="574"/>
      <c r="F55" s="574"/>
      <c r="G55" s="574"/>
      <c r="H55" s="574"/>
      <c r="I55" s="574"/>
      <c r="J55" s="574"/>
      <c r="K55" s="574"/>
      <c r="L55" s="762"/>
      <c r="M55" s="762"/>
      <c r="N55" s="762"/>
      <c r="O55" s="762"/>
      <c r="P55" s="762"/>
      <c r="Q55" s="762"/>
      <c r="R55" s="762"/>
      <c r="S55" s="762"/>
      <c r="T55" s="762"/>
      <c r="U55" s="762"/>
      <c r="V55" s="762"/>
      <c r="W55" s="762"/>
      <c r="X55" s="762"/>
      <c r="Y55" s="762"/>
      <c r="Z55" s="762"/>
      <c r="AA55" s="762"/>
      <c r="AB55" s="762"/>
      <c r="AC55" s="762"/>
      <c r="AD55" s="762"/>
      <c r="AE55" s="762"/>
      <c r="AF55" s="762"/>
      <c r="AG55" s="762"/>
      <c r="AH55" s="762"/>
      <c r="AI55" s="762"/>
      <c r="AJ55" s="762"/>
      <c r="AK55" s="762"/>
      <c r="AL55" s="762"/>
      <c r="AM55" s="762"/>
      <c r="AN55" s="762"/>
      <c r="AO55" s="762"/>
      <c r="AP55" s="762"/>
      <c r="AQ55" s="762"/>
      <c r="AR55" s="762"/>
      <c r="AS55" s="763"/>
      <c r="AT55" s="656"/>
      <c r="AU55" s="656"/>
      <c r="AV55" s="221"/>
      <c r="AW55" s="221"/>
      <c r="AX55" s="221"/>
      <c r="AY55" s="221"/>
      <c r="AZ55" s="221"/>
      <c r="BA55" s="221"/>
      <c r="BB55" s="221"/>
      <c r="BC55" s="221"/>
      <c r="BD55" s="221"/>
    </row>
    <row r="56" spans="1:119"/>
    <row r="57" spans="1:119"/>
    <row r="58" spans="1:119"/>
    <row r="59" spans="1:119"/>
    <row r="60" spans="1:119"/>
    <row r="61" spans="1:119"/>
    <row r="62" spans="1:119"/>
  </sheetData>
  <sheetProtection password="CA9C" sheet="1" objects="1" scenarios="1" formatCells="0" formatRows="0"/>
  <mergeCells count="98">
    <mergeCell ref="JY6:JY7"/>
    <mergeCell ref="JR6:JR7"/>
    <mergeCell ref="JS6:JS7"/>
    <mergeCell ref="JT6:JT7"/>
    <mergeCell ref="JU6:JU7"/>
    <mergeCell ref="JW6:JW7"/>
    <mergeCell ref="JM6:JM7"/>
    <mergeCell ref="JN6:JN7"/>
    <mergeCell ref="JO6:JO7"/>
    <mergeCell ref="JP6:JP7"/>
    <mergeCell ref="JQ6:JQ7"/>
    <mergeCell ref="JG6:JG7"/>
    <mergeCell ref="JH6:JH7"/>
    <mergeCell ref="JI6:JI7"/>
    <mergeCell ref="JJ6:JJ7"/>
    <mergeCell ref="JL6:JL7"/>
    <mergeCell ref="JB6:JB7"/>
    <mergeCell ref="JC6:JC7"/>
    <mergeCell ref="JD6:JD7"/>
    <mergeCell ref="JE6:JE7"/>
    <mergeCell ref="JF6:JF7"/>
    <mergeCell ref="IW6:IW7"/>
    <mergeCell ref="IX6:IX7"/>
    <mergeCell ref="IY6:IY7"/>
    <mergeCell ref="IZ6:IZ7"/>
    <mergeCell ref="JA6:JA7"/>
    <mergeCell ref="HP6:HP7"/>
    <mergeCell ref="HQ6:HQ7"/>
    <mergeCell ref="HR6:HR7"/>
    <mergeCell ref="IU6:IU7"/>
    <mergeCell ref="HY6:IA7"/>
    <mergeCell ref="IB6:IB7"/>
    <mergeCell ref="IC6:IC7"/>
    <mergeCell ref="ID6:ID7"/>
    <mergeCell ref="HS6:HU7"/>
    <mergeCell ref="HV6:HV7"/>
    <mergeCell ref="HW6:HW7"/>
    <mergeCell ref="HX6:HX7"/>
    <mergeCell ref="HG6:HI7"/>
    <mergeCell ref="HJ6:HJ7"/>
    <mergeCell ref="HK6:HK7"/>
    <mergeCell ref="HL6:HL7"/>
    <mergeCell ref="HM6:HO7"/>
    <mergeCell ref="GZ6:GZ7"/>
    <mergeCell ref="HA6:HC7"/>
    <mergeCell ref="HD6:HD7"/>
    <mergeCell ref="HE6:HE7"/>
    <mergeCell ref="HF6:HF7"/>
    <mergeCell ref="GS6:GS7"/>
    <mergeCell ref="GT6:GT7"/>
    <mergeCell ref="GU6:GW7"/>
    <mergeCell ref="GX6:GX7"/>
    <mergeCell ref="GY6:GY7"/>
    <mergeCell ref="GL6:GL7"/>
    <mergeCell ref="GM6:GM7"/>
    <mergeCell ref="GN6:GN7"/>
    <mergeCell ref="GO6:GQ7"/>
    <mergeCell ref="GR6:GR7"/>
    <mergeCell ref="B1:AX1"/>
    <mergeCell ref="C2:U2"/>
    <mergeCell ref="ES5:ES7"/>
    <mergeCell ref="BE5:CC5"/>
    <mergeCell ref="CF5:DD5"/>
    <mergeCell ref="EH5:EN5"/>
    <mergeCell ref="C4:G4"/>
    <mergeCell ref="CO6:CW6"/>
    <mergeCell ref="CX6:DF6"/>
    <mergeCell ref="DG6:DO6"/>
    <mergeCell ref="DP6:DX6"/>
    <mergeCell ref="DY6:EG6"/>
    <mergeCell ref="DG5:EG5"/>
    <mergeCell ref="A5:A7"/>
    <mergeCell ref="B5:B7"/>
    <mergeCell ref="C5:AA5"/>
    <mergeCell ref="AD5:BB5"/>
    <mergeCell ref="ER5:ER7"/>
    <mergeCell ref="EQ5:EQ7"/>
    <mergeCell ref="C6:K6"/>
    <mergeCell ref="L6:T6"/>
    <mergeCell ref="U6:AC6"/>
    <mergeCell ref="AD6:AL6"/>
    <mergeCell ref="AM6:AU6"/>
    <mergeCell ref="AV6:BD6"/>
    <mergeCell ref="BE6:BM6"/>
    <mergeCell ref="BN6:BV6"/>
    <mergeCell ref="BW6:CE6"/>
    <mergeCell ref="CF6:CN6"/>
    <mergeCell ref="FQ6:FQ7"/>
    <mergeCell ref="FR6:GA6"/>
    <mergeCell ref="FF6:FF7"/>
    <mergeCell ref="EV6:FE6"/>
    <mergeCell ref="FG6:FP6"/>
    <mergeCell ref="GI6:GK7"/>
    <mergeCell ref="GB6:GB7"/>
    <mergeCell ref="GC6:GE7"/>
    <mergeCell ref="GF6:GF7"/>
    <mergeCell ref="GG6:GG7"/>
    <mergeCell ref="GH6:GH7"/>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00B0F0"/>
  </sheetPr>
  <dimension ref="A1:LW63"/>
  <sheetViews>
    <sheetView showRowColHeaders="0" showZeros="0" workbookViewId="0">
      <pane xSplit="2" ySplit="7" topLeftCell="AJ19" activePane="bottomRight" state="frozen"/>
      <selection pane="topRight" activeCell="C1" sqref="C1"/>
      <selection pane="bottomLeft" activeCell="A9" sqref="A9"/>
      <selection pane="bottomRight" activeCell="T21" sqref="T21"/>
    </sheetView>
  </sheetViews>
  <sheetFormatPr defaultColWidth="0" defaultRowHeight="15" zeroHeight="1"/>
  <cols>
    <col min="1" max="1" width="4.7109375" customWidth="1"/>
    <col min="2" max="2" width="31" customWidth="1"/>
    <col min="3" max="50" width="3.7109375" customWidth="1"/>
    <col min="51" max="51" width="7.140625" customWidth="1"/>
    <col min="52" max="52" width="4.140625" customWidth="1"/>
    <col min="53" max="53" width="93.85546875" customWidth="1"/>
    <col min="54" max="54" width="3.7109375" customWidth="1"/>
    <col min="55" max="335" width="3.7109375" hidden="1" customWidth="1"/>
    <col min="336" max="16384" width="9.140625" hidden="1"/>
  </cols>
  <sheetData>
    <row r="1" spans="1:215">
      <c r="A1" s="170"/>
      <c r="B1" s="894" t="s">
        <v>176</v>
      </c>
      <c r="C1" s="894"/>
      <c r="D1" s="894"/>
      <c r="E1" s="894"/>
      <c r="F1" s="894"/>
      <c r="G1" s="894"/>
      <c r="H1" s="894"/>
      <c r="I1" s="894"/>
      <c r="J1" s="894"/>
      <c r="K1" s="894"/>
      <c r="L1" s="894"/>
      <c r="M1" s="894"/>
      <c r="N1" s="894"/>
      <c r="O1" s="894"/>
      <c r="P1" s="894"/>
      <c r="Q1" s="894"/>
      <c r="R1" s="894"/>
      <c r="S1" s="894"/>
      <c r="T1" s="894"/>
      <c r="U1" s="894"/>
      <c r="V1" s="894"/>
      <c r="W1" s="894"/>
      <c r="X1" s="894"/>
      <c r="Y1" s="894"/>
      <c r="Z1" s="894"/>
      <c r="AA1" s="894"/>
      <c r="AB1" s="894"/>
      <c r="AC1" s="894"/>
      <c r="AD1" s="894"/>
      <c r="AE1" s="894"/>
      <c r="AF1" s="894"/>
      <c r="AG1" s="894"/>
      <c r="AH1" s="894"/>
      <c r="AI1" s="894"/>
      <c r="AJ1" s="894"/>
      <c r="AK1" s="894"/>
      <c r="AL1" s="894"/>
      <c r="BD1" t="s">
        <v>255</v>
      </c>
      <c r="BE1">
        <f>KKM!D29</f>
        <v>92</v>
      </c>
      <c r="BH1">
        <v>100</v>
      </c>
    </row>
    <row r="2" spans="1:215">
      <c r="A2" s="170"/>
      <c r="B2" s="7" t="s">
        <v>3</v>
      </c>
      <c r="C2" s="943" t="s">
        <v>191</v>
      </c>
      <c r="D2" s="943"/>
      <c r="E2" s="943"/>
      <c r="F2" s="943"/>
      <c r="G2" s="943"/>
      <c r="H2" s="943"/>
      <c r="I2" s="943"/>
      <c r="J2" s="943"/>
      <c r="K2" s="943"/>
      <c r="L2" s="943"/>
      <c r="M2" s="943"/>
      <c r="N2" s="943"/>
      <c r="O2" s="943"/>
      <c r="P2" s="943"/>
      <c r="Q2" s="943"/>
      <c r="R2" s="943"/>
      <c r="S2" s="943"/>
      <c r="T2" s="943"/>
      <c r="U2" s="943"/>
      <c r="V2" s="943"/>
      <c r="W2" s="943"/>
      <c r="X2" s="943"/>
      <c r="Y2" s="943"/>
      <c r="Z2" s="943"/>
      <c r="AA2" s="943"/>
      <c r="AB2" s="8"/>
      <c r="AC2" s="9"/>
      <c r="AD2" s="9"/>
      <c r="AE2" s="9"/>
      <c r="AF2" s="9"/>
      <c r="AG2" s="9"/>
      <c r="AH2" s="9"/>
      <c r="AI2" s="9"/>
      <c r="AJ2" s="9"/>
      <c r="AK2" s="9"/>
      <c r="AL2" s="9"/>
      <c r="BD2" t="s">
        <v>207</v>
      </c>
      <c r="BE2">
        <f>KKM!D30</f>
        <v>83</v>
      </c>
      <c r="BH2">
        <f>(BH1-BE2)/2</f>
        <v>8.5</v>
      </c>
    </row>
    <row r="3" spans="1:215">
      <c r="A3" s="170"/>
      <c r="B3" s="7" t="s">
        <v>177</v>
      </c>
      <c r="C3" s="236" t="str">
        <f>MENU!N20</f>
        <v>V ( Lima )</v>
      </c>
      <c r="D3" s="10"/>
      <c r="E3" s="10"/>
      <c r="F3" s="237"/>
      <c r="G3" s="231" t="s">
        <v>188</v>
      </c>
      <c r="H3" s="231" t="s">
        <v>35</v>
      </c>
      <c r="I3" s="237" t="str">
        <f>MENU!N21</f>
        <v>1 ( satu )</v>
      </c>
      <c r="J3" s="237"/>
      <c r="K3" s="237"/>
      <c r="L3" s="237"/>
      <c r="M3" s="741"/>
      <c r="N3" s="741"/>
      <c r="O3" s="231"/>
      <c r="P3" s="231"/>
      <c r="Q3" s="231" t="s">
        <v>159</v>
      </c>
      <c r="R3" s="231" t="s">
        <v>35</v>
      </c>
      <c r="S3" s="237" t="str">
        <f>MENU!N22</f>
        <v>2019/2020</v>
      </c>
      <c r="T3" s="231"/>
      <c r="U3" s="231"/>
      <c r="V3" s="231"/>
      <c r="W3" s="231"/>
      <c r="X3" s="231"/>
      <c r="Y3" s="231"/>
      <c r="Z3" s="231"/>
      <c r="AA3" s="20"/>
      <c r="AB3" s="20"/>
      <c r="AC3" s="20"/>
      <c r="AD3" s="20"/>
      <c r="BD3" t="s">
        <v>394</v>
      </c>
      <c r="BE3">
        <f>KKM!D31</f>
        <v>75</v>
      </c>
    </row>
    <row r="4" spans="1:215">
      <c r="B4" s="419" t="s">
        <v>383</v>
      </c>
      <c r="C4" s="27">
        <f>KKM!D20</f>
        <v>75</v>
      </c>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BA4" s="46"/>
      <c r="BD4" t="s">
        <v>395</v>
      </c>
      <c r="BE4">
        <f>KKM!D32</f>
        <v>75</v>
      </c>
    </row>
    <row r="5" spans="1:215" ht="15" customHeight="1">
      <c r="A5" s="900" t="s">
        <v>9</v>
      </c>
      <c r="B5" s="900" t="s">
        <v>10</v>
      </c>
      <c r="C5" s="1211" t="s">
        <v>469</v>
      </c>
      <c r="D5" s="1212"/>
      <c r="E5" s="1212"/>
      <c r="F5" s="1212"/>
      <c r="G5" s="1212"/>
      <c r="H5" s="1212"/>
      <c r="I5" s="1212"/>
      <c r="J5" s="1212"/>
      <c r="K5" s="1212"/>
      <c r="L5" s="1212"/>
      <c r="M5" s="1212"/>
      <c r="N5" s="1212"/>
      <c r="O5" s="1212"/>
      <c r="P5" s="1212"/>
      <c r="Q5" s="1212"/>
      <c r="R5" s="1212"/>
      <c r="S5" s="1212"/>
      <c r="T5" s="1212"/>
      <c r="U5" s="1212"/>
      <c r="V5" s="1212"/>
      <c r="W5" s="1212"/>
      <c r="X5" s="1212"/>
      <c r="Y5" s="1212"/>
      <c r="Z5" s="1212"/>
      <c r="AA5" s="1212"/>
      <c r="AB5" s="1212"/>
      <c r="AC5" s="1212"/>
      <c r="AD5" s="1212"/>
      <c r="AE5" s="1212"/>
      <c r="AF5" s="1212"/>
      <c r="AG5" s="1212"/>
      <c r="AH5" s="1212"/>
      <c r="AI5" s="1212"/>
      <c r="AJ5" s="1212"/>
      <c r="AK5" s="1212"/>
      <c r="AL5" s="1212"/>
      <c r="AM5" s="1219" t="s">
        <v>13</v>
      </c>
      <c r="AN5" s="1220"/>
      <c r="AO5" s="1220"/>
      <c r="AP5" s="1220"/>
      <c r="AQ5" s="1220"/>
      <c r="AR5" s="1220"/>
      <c r="AS5" s="1220"/>
      <c r="AT5" s="1220"/>
      <c r="AU5" s="1220"/>
      <c r="AV5" s="1221"/>
      <c r="AW5" s="777"/>
      <c r="AX5" s="777"/>
      <c r="AY5" s="968" t="s">
        <v>179</v>
      </c>
      <c r="AZ5" s="966" t="s">
        <v>15</v>
      </c>
      <c r="BA5" s="944" t="s">
        <v>180</v>
      </c>
      <c r="BQ5" t="s">
        <v>398</v>
      </c>
      <c r="GC5">
        <v>1</v>
      </c>
      <c r="GD5">
        <v>2</v>
      </c>
      <c r="GE5">
        <v>3</v>
      </c>
      <c r="GF5">
        <v>4</v>
      </c>
      <c r="GG5">
        <v>5</v>
      </c>
      <c r="GH5">
        <v>6</v>
      </c>
      <c r="GI5">
        <v>7</v>
      </c>
      <c r="GJ5">
        <v>8</v>
      </c>
      <c r="GK5">
        <v>9</v>
      </c>
      <c r="GL5">
        <v>10</v>
      </c>
      <c r="GM5">
        <v>11</v>
      </c>
      <c r="GN5">
        <v>12</v>
      </c>
      <c r="GS5">
        <f>GC5</f>
        <v>1</v>
      </c>
      <c r="GT5">
        <f t="shared" ref="GT5:HC5" si="0">GD5</f>
        <v>2</v>
      </c>
      <c r="GU5">
        <f t="shared" si="0"/>
        <v>3</v>
      </c>
      <c r="GV5">
        <f t="shared" si="0"/>
        <v>4</v>
      </c>
      <c r="GW5">
        <f t="shared" si="0"/>
        <v>5</v>
      </c>
      <c r="GX5">
        <f t="shared" si="0"/>
        <v>6</v>
      </c>
      <c r="GY5">
        <f t="shared" si="0"/>
        <v>7</v>
      </c>
      <c r="GZ5">
        <f t="shared" si="0"/>
        <v>8</v>
      </c>
      <c r="HA5">
        <f t="shared" si="0"/>
        <v>9</v>
      </c>
      <c r="HB5">
        <f t="shared" si="0"/>
        <v>10</v>
      </c>
      <c r="HC5">
        <f t="shared" si="0"/>
        <v>11</v>
      </c>
      <c r="HD5">
        <f>GN5</f>
        <v>12</v>
      </c>
    </row>
    <row r="6" spans="1:215" ht="15" customHeight="1">
      <c r="A6" s="900"/>
      <c r="B6" s="900"/>
      <c r="C6" s="1208" t="s">
        <v>181</v>
      </c>
      <c r="D6" s="1209"/>
      <c r="E6" s="1209"/>
      <c r="F6" s="1209"/>
      <c r="G6" s="1209"/>
      <c r="H6" s="1209"/>
      <c r="I6" s="1209"/>
      <c r="J6" s="1209"/>
      <c r="K6" s="1209"/>
      <c r="L6" s="1209"/>
      <c r="M6" s="1209"/>
      <c r="N6" s="1210"/>
      <c r="O6" s="1213" t="s">
        <v>532</v>
      </c>
      <c r="P6" s="1214"/>
      <c r="Q6" s="1214"/>
      <c r="R6" s="1214"/>
      <c r="S6" s="1214"/>
      <c r="T6" s="1214"/>
      <c r="U6" s="1214"/>
      <c r="V6" s="1214"/>
      <c r="W6" s="1214"/>
      <c r="X6" s="1214"/>
      <c r="Y6" s="1214"/>
      <c r="Z6" s="1215"/>
      <c r="AA6" s="1216" t="s">
        <v>182</v>
      </c>
      <c r="AB6" s="1216"/>
      <c r="AC6" s="1216"/>
      <c r="AD6" s="1216"/>
      <c r="AE6" s="1216"/>
      <c r="AF6" s="1216"/>
      <c r="AG6" s="1216"/>
      <c r="AH6" s="1216"/>
      <c r="AI6" s="1216"/>
      <c r="AJ6" s="1216"/>
      <c r="AK6" s="1216"/>
      <c r="AL6" s="1216"/>
      <c r="AM6" s="466" t="s">
        <v>19</v>
      </c>
      <c r="AN6" s="466" t="s">
        <v>19</v>
      </c>
      <c r="AO6" s="466" t="s">
        <v>19</v>
      </c>
      <c r="AP6" s="466" t="s">
        <v>19</v>
      </c>
      <c r="AQ6" s="466" t="s">
        <v>19</v>
      </c>
      <c r="AR6" s="466" t="s">
        <v>19</v>
      </c>
      <c r="AS6" s="466" t="s">
        <v>19</v>
      </c>
      <c r="AT6" s="466" t="s">
        <v>19</v>
      </c>
      <c r="AU6" s="466" t="s">
        <v>19</v>
      </c>
      <c r="AV6" s="466" t="s">
        <v>19</v>
      </c>
      <c r="AW6" s="466" t="s">
        <v>19</v>
      </c>
      <c r="AX6" s="466" t="s">
        <v>19</v>
      </c>
      <c r="AY6" s="969"/>
      <c r="AZ6" s="967"/>
      <c r="BA6" s="944"/>
      <c r="BD6" s="931" t="s">
        <v>279</v>
      </c>
      <c r="BE6" s="932"/>
      <c r="BF6" s="932"/>
      <c r="BG6" s="932"/>
      <c r="BH6" s="932"/>
      <c r="BI6" s="932"/>
      <c r="BJ6" s="932"/>
      <c r="BK6" s="932"/>
      <c r="BL6" s="932"/>
      <c r="BM6" s="933"/>
      <c r="BN6" s="570"/>
      <c r="BO6" s="570"/>
      <c r="BP6" s="1217" t="s">
        <v>399</v>
      </c>
      <c r="BQ6" s="934" t="s">
        <v>280</v>
      </c>
      <c r="BR6" s="935"/>
      <c r="BS6" s="935"/>
      <c r="BT6" s="935"/>
      <c r="BU6" s="935"/>
      <c r="BV6" s="935"/>
      <c r="BW6" s="935"/>
      <c r="BX6" s="935"/>
      <c r="BY6" s="935"/>
      <c r="BZ6" s="936"/>
      <c r="CA6" s="571"/>
      <c r="CB6" s="571"/>
      <c r="CC6" s="1217" t="s">
        <v>399</v>
      </c>
      <c r="CD6" s="939" t="s">
        <v>400</v>
      </c>
      <c r="CE6" s="940"/>
      <c r="CF6" s="940"/>
      <c r="CG6" s="940"/>
      <c r="CH6" s="940"/>
      <c r="CI6" s="940"/>
      <c r="CJ6" s="940"/>
      <c r="CK6" s="940"/>
      <c r="CL6" s="940"/>
      <c r="CM6" s="941"/>
      <c r="CN6" s="572"/>
      <c r="CO6" s="728"/>
      <c r="CP6" s="1222" t="s">
        <v>399</v>
      </c>
      <c r="CQ6" s="972">
        <v>1</v>
      </c>
      <c r="CR6" s="973"/>
      <c r="CS6" s="973"/>
      <c r="CT6" s="976"/>
      <c r="CU6" s="976"/>
      <c r="CV6" s="976"/>
      <c r="CW6" s="972">
        <v>2</v>
      </c>
      <c r="CX6" s="973"/>
      <c r="CY6" s="973"/>
      <c r="CZ6" s="976"/>
      <c r="DA6" s="976"/>
      <c r="DB6" s="976"/>
      <c r="DC6" s="972">
        <v>3</v>
      </c>
      <c r="DD6" s="973"/>
      <c r="DE6" s="973"/>
      <c r="DF6" s="976"/>
      <c r="DG6" s="976"/>
      <c r="DH6" s="976"/>
      <c r="DI6" s="972">
        <v>4</v>
      </c>
      <c r="DJ6" s="973"/>
      <c r="DK6" s="973"/>
      <c r="DL6" s="976"/>
      <c r="DM6" s="976"/>
      <c r="DN6" s="976"/>
      <c r="DO6" s="972">
        <v>5</v>
      </c>
      <c r="DP6" s="973"/>
      <c r="DQ6" s="973"/>
      <c r="DR6" s="976"/>
      <c r="DS6" s="976"/>
      <c r="DT6" s="976"/>
      <c r="DU6" s="972">
        <v>6</v>
      </c>
      <c r="DV6" s="973"/>
      <c r="DW6" s="973"/>
      <c r="DX6" s="976"/>
      <c r="DY6" s="976"/>
      <c r="DZ6" s="976"/>
      <c r="EA6" s="972">
        <v>7</v>
      </c>
      <c r="EB6" s="973"/>
      <c r="EC6" s="973"/>
      <c r="ED6" s="976"/>
      <c r="EE6" s="976"/>
      <c r="EF6" s="976"/>
      <c r="EG6" s="972">
        <v>8</v>
      </c>
      <c r="EH6" s="973"/>
      <c r="EI6" s="973"/>
      <c r="EJ6" s="976"/>
      <c r="EK6" s="976"/>
      <c r="EL6" s="976"/>
      <c r="EM6" s="972">
        <v>9</v>
      </c>
      <c r="EN6" s="973"/>
      <c r="EO6" s="973"/>
      <c r="EP6" s="976"/>
      <c r="EQ6" s="976"/>
      <c r="ER6" s="976"/>
      <c r="ES6" s="972">
        <v>10</v>
      </c>
      <c r="ET6" s="973"/>
      <c r="EU6" s="973"/>
      <c r="EV6" s="976"/>
      <c r="EW6" s="976"/>
      <c r="EX6" s="976"/>
      <c r="EY6" s="972">
        <v>11</v>
      </c>
      <c r="EZ6" s="973"/>
      <c r="FA6" s="973"/>
      <c r="FB6" s="976"/>
      <c r="FC6" s="976"/>
      <c r="FD6" s="976"/>
      <c r="FE6" s="972">
        <v>12</v>
      </c>
      <c r="FF6" s="973"/>
      <c r="FG6" s="973"/>
      <c r="FH6" s="976"/>
      <c r="FI6" s="976"/>
      <c r="FJ6" s="976"/>
      <c r="FK6" s="573"/>
      <c r="FL6" s="573">
        <v>1</v>
      </c>
      <c r="FM6" s="573">
        <v>2</v>
      </c>
      <c r="FN6" s="573">
        <v>3</v>
      </c>
      <c r="FO6" s="573">
        <v>4</v>
      </c>
      <c r="FP6" s="573">
        <v>5</v>
      </c>
      <c r="FQ6" s="573">
        <v>6</v>
      </c>
      <c r="FR6" s="573">
        <v>7</v>
      </c>
      <c r="FS6" s="573">
        <v>8</v>
      </c>
      <c r="FT6" s="573">
        <v>9</v>
      </c>
      <c r="FU6" s="573">
        <v>10</v>
      </c>
      <c r="FV6" s="573">
        <v>11</v>
      </c>
      <c r="FW6" s="573">
        <v>12</v>
      </c>
      <c r="FX6" s="573"/>
      <c r="FY6" s="68" t="s">
        <v>184</v>
      </c>
      <c r="FZ6" s="68" t="s">
        <v>185</v>
      </c>
      <c r="GA6" s="984"/>
      <c r="GB6" s="736"/>
      <c r="GC6" s="980" t="str">
        <f>B45</f>
        <v>menyelesaikan masalah yang berkaitan dengan penjumlahan dan pengurangan dua pecahan dengan penyebut berbeda</v>
      </c>
      <c r="GD6" s="980" t="str">
        <f>B46</f>
        <v>menyelesaikan masalah yang berkaitan dengan perkalian dan pembagian pecahan dan desimal</v>
      </c>
      <c r="GE6" s="980" t="str">
        <f>B47</f>
        <v>menyelesaikan masalah yang berkaitan dengan perbandingan dua besaran yang berbeda (kecepatan, debit)</v>
      </c>
      <c r="GF6" s="980" t="str">
        <f>B48</f>
        <v>menyelesaikan masalah yang berkaitan dengan skala pada denah</v>
      </c>
      <c r="GG6" s="980" t="str">
        <f>B49</f>
        <v>menyelesaikan masalah yang berkaitan dengan volume bangun ruang dengan menggunakan satuan volume (seperti kubus satuan) melibatkan pangkat tiga dan akar pangkat tiga</v>
      </c>
      <c r="GH6" s="980" t="str">
        <f>B50</f>
        <v>membuat jaring-jaring bangun ruang sederhana (kubus dan balok)</v>
      </c>
      <c r="GI6" s="980" t="str">
        <f>B51</f>
        <v>menganalisis data yang berkaitan dengan diri peserta didik atau lingkungan sekitar serta cara pengumpulannya</v>
      </c>
      <c r="GJ6" s="980" t="str">
        <f>B52</f>
        <v>mengorganisasikan dan menyajikan data yang berkaitan dengan diri peserta didik dan membandingkan dengan data dari lingkungan sekitar dalam bentuk daftar, tabel, diagram gambar (piktogram), diagram batang, atau diagram garis</v>
      </c>
      <c r="GK6" s="980">
        <f>B53</f>
        <v>0</v>
      </c>
      <c r="GL6" s="980">
        <f>B54</f>
        <v>0</v>
      </c>
      <c r="GM6" s="980"/>
      <c r="GN6" s="735"/>
      <c r="GO6" s="981"/>
      <c r="GP6" s="981" t="s">
        <v>186</v>
      </c>
      <c r="GQ6" s="981" t="s">
        <v>187</v>
      </c>
      <c r="GS6" s="983" t="str">
        <f>GC$6</f>
        <v>menyelesaikan masalah yang berkaitan dengan penjumlahan dan pengurangan dua pecahan dengan penyebut berbeda</v>
      </c>
      <c r="GT6" s="983" t="str">
        <f t="shared" ref="GT6:HB6" si="1">GD$6</f>
        <v>menyelesaikan masalah yang berkaitan dengan perkalian dan pembagian pecahan dan desimal</v>
      </c>
      <c r="GU6" s="983" t="str">
        <f t="shared" si="1"/>
        <v>menyelesaikan masalah yang berkaitan dengan perbandingan dua besaran yang berbeda (kecepatan, debit)</v>
      </c>
      <c r="GV6" s="983" t="str">
        <f t="shared" si="1"/>
        <v>menyelesaikan masalah yang berkaitan dengan skala pada denah</v>
      </c>
      <c r="GW6" s="983" t="str">
        <f t="shared" si="1"/>
        <v>menyelesaikan masalah yang berkaitan dengan volume bangun ruang dengan menggunakan satuan volume (seperti kubus satuan) melibatkan pangkat tiga dan akar pangkat tiga</v>
      </c>
      <c r="GX6" s="983" t="str">
        <f t="shared" si="1"/>
        <v>membuat jaring-jaring bangun ruang sederhana (kubus dan balok)</v>
      </c>
      <c r="GY6" s="983" t="str">
        <f t="shared" si="1"/>
        <v>menganalisis data yang berkaitan dengan diri peserta didik atau lingkungan sekitar serta cara pengumpulannya</v>
      </c>
      <c r="GZ6" s="983" t="str">
        <f t="shared" si="1"/>
        <v>mengorganisasikan dan menyajikan data yang berkaitan dengan diri peserta didik dan membandingkan dengan data dari lingkungan sekitar dalam bentuk daftar, tabel, diagram gambar (piktogram), diagram batang, atau diagram garis</v>
      </c>
      <c r="HA6" s="983">
        <f t="shared" si="1"/>
        <v>0</v>
      </c>
      <c r="HB6" s="983">
        <f t="shared" si="1"/>
        <v>0</v>
      </c>
      <c r="HC6" s="983"/>
      <c r="HD6" s="778"/>
      <c r="HE6" s="978" t="s">
        <v>401</v>
      </c>
      <c r="HG6" s="1224" t="s">
        <v>402</v>
      </c>
    </row>
    <row r="7" spans="1:215" ht="21" customHeight="1">
      <c r="A7" s="900"/>
      <c r="B7" s="961"/>
      <c r="C7" s="467" t="str">
        <f>A45</f>
        <v>4.1</v>
      </c>
      <c r="D7" s="467" t="str">
        <f>A46</f>
        <v>4.2</v>
      </c>
      <c r="E7" s="467" t="str">
        <f>A47</f>
        <v>4.3</v>
      </c>
      <c r="F7" s="467" t="str">
        <f>A48</f>
        <v>4.4</v>
      </c>
      <c r="G7" s="395" t="str">
        <f>A49</f>
        <v>4.5</v>
      </c>
      <c r="H7" s="395" t="str">
        <f>A50</f>
        <v>4.6</v>
      </c>
      <c r="I7" s="394" t="str">
        <f>A51</f>
        <v>4.7</v>
      </c>
      <c r="J7" s="394" t="str">
        <f>A52</f>
        <v>4.8</v>
      </c>
      <c r="K7" s="394">
        <f>A53</f>
        <v>0</v>
      </c>
      <c r="L7" s="394">
        <f>A54</f>
        <v>0</v>
      </c>
      <c r="M7" s="394">
        <f>A55</f>
        <v>0</v>
      </c>
      <c r="N7" s="394">
        <f>A56</f>
        <v>0</v>
      </c>
      <c r="O7" s="467" t="str">
        <f>C7</f>
        <v>4.1</v>
      </c>
      <c r="P7" s="467" t="str">
        <f t="shared" ref="P7:Z7" si="2">D7</f>
        <v>4.2</v>
      </c>
      <c r="Q7" s="467" t="str">
        <f t="shared" si="2"/>
        <v>4.3</v>
      </c>
      <c r="R7" s="467" t="str">
        <f t="shared" si="2"/>
        <v>4.4</v>
      </c>
      <c r="S7" s="467" t="str">
        <f t="shared" si="2"/>
        <v>4.5</v>
      </c>
      <c r="T7" s="467" t="str">
        <f t="shared" si="2"/>
        <v>4.6</v>
      </c>
      <c r="U7" s="481" t="str">
        <f t="shared" si="2"/>
        <v>4.7</v>
      </c>
      <c r="V7" s="481" t="str">
        <f t="shared" si="2"/>
        <v>4.8</v>
      </c>
      <c r="W7" s="481">
        <f t="shared" si="2"/>
        <v>0</v>
      </c>
      <c r="X7" s="481">
        <f t="shared" si="2"/>
        <v>0</v>
      </c>
      <c r="Y7" s="481">
        <f t="shared" si="2"/>
        <v>0</v>
      </c>
      <c r="Z7" s="481">
        <f t="shared" si="2"/>
        <v>0</v>
      </c>
      <c r="AA7" s="467" t="str">
        <f>O7</f>
        <v>4.1</v>
      </c>
      <c r="AB7" s="467" t="str">
        <f t="shared" ref="AB7" si="3">P7</f>
        <v>4.2</v>
      </c>
      <c r="AC7" s="467" t="str">
        <f t="shared" ref="AC7" si="4">Q7</f>
        <v>4.3</v>
      </c>
      <c r="AD7" s="467" t="str">
        <f t="shared" ref="AD7" si="5">R7</f>
        <v>4.4</v>
      </c>
      <c r="AE7" s="467" t="str">
        <f t="shared" ref="AE7" si="6">S7</f>
        <v>4.5</v>
      </c>
      <c r="AF7" s="467" t="str">
        <f t="shared" ref="AF7" si="7">T7</f>
        <v>4.6</v>
      </c>
      <c r="AG7" s="467" t="str">
        <f t="shared" ref="AG7" si="8">U7</f>
        <v>4.7</v>
      </c>
      <c r="AH7" s="467" t="str">
        <f t="shared" ref="AH7" si="9">V7</f>
        <v>4.8</v>
      </c>
      <c r="AI7" s="467">
        <f t="shared" ref="AI7" si="10">W7</f>
        <v>0</v>
      </c>
      <c r="AJ7" s="467">
        <f t="shared" ref="AJ7:AL7" si="11">X7</f>
        <v>0</v>
      </c>
      <c r="AK7" s="467">
        <f t="shared" si="11"/>
        <v>0</v>
      </c>
      <c r="AL7" s="467">
        <f t="shared" si="11"/>
        <v>0</v>
      </c>
      <c r="AM7" s="468" t="str">
        <f>AA7</f>
        <v>4.1</v>
      </c>
      <c r="AN7" s="468" t="str">
        <f t="shared" ref="AN7:AV7" si="12">AB7</f>
        <v>4.2</v>
      </c>
      <c r="AO7" s="468" t="str">
        <f t="shared" si="12"/>
        <v>4.3</v>
      </c>
      <c r="AP7" s="468" t="str">
        <f t="shared" si="12"/>
        <v>4.4</v>
      </c>
      <c r="AQ7" s="468" t="str">
        <f t="shared" si="12"/>
        <v>4.5</v>
      </c>
      <c r="AR7" s="468" t="str">
        <f t="shared" si="12"/>
        <v>4.6</v>
      </c>
      <c r="AS7" s="468" t="str">
        <f t="shared" si="12"/>
        <v>4.7</v>
      </c>
      <c r="AT7" s="468" t="str">
        <f t="shared" si="12"/>
        <v>4.8</v>
      </c>
      <c r="AU7" s="468">
        <f t="shared" si="12"/>
        <v>0</v>
      </c>
      <c r="AV7" s="468">
        <f t="shared" si="12"/>
        <v>0</v>
      </c>
      <c r="AW7" s="468">
        <f t="shared" ref="AW7" si="13">AK7</f>
        <v>0</v>
      </c>
      <c r="AX7" s="468">
        <f t="shared" ref="AX7" si="14">AL7</f>
        <v>0</v>
      </c>
      <c r="AY7" s="969"/>
      <c r="AZ7" s="967"/>
      <c r="BA7" s="945"/>
      <c r="BD7" s="39">
        <v>1</v>
      </c>
      <c r="BE7" s="39">
        <v>2</v>
      </c>
      <c r="BF7" s="39">
        <v>3</v>
      </c>
      <c r="BG7" s="39">
        <v>4</v>
      </c>
      <c r="BH7" s="39">
        <v>5</v>
      </c>
      <c r="BI7" s="39">
        <v>6</v>
      </c>
      <c r="BJ7" s="39">
        <v>7</v>
      </c>
      <c r="BK7" s="39">
        <v>8</v>
      </c>
      <c r="BL7" s="39">
        <v>9</v>
      </c>
      <c r="BM7" s="39">
        <v>10</v>
      </c>
      <c r="BN7" s="39">
        <v>10</v>
      </c>
      <c r="BO7" s="39">
        <v>10</v>
      </c>
      <c r="BP7" s="1218"/>
      <c r="BQ7" s="39">
        <v>1</v>
      </c>
      <c r="BR7" s="39">
        <v>2</v>
      </c>
      <c r="BS7" s="39">
        <v>3</v>
      </c>
      <c r="BT7" s="39">
        <v>4</v>
      </c>
      <c r="BU7" s="39">
        <v>5</v>
      </c>
      <c r="BV7" s="39">
        <v>6</v>
      </c>
      <c r="BW7" s="39">
        <v>7</v>
      </c>
      <c r="BX7" s="39">
        <v>8</v>
      </c>
      <c r="BY7" s="39">
        <v>9</v>
      </c>
      <c r="BZ7" s="39">
        <v>10</v>
      </c>
      <c r="CA7" s="39">
        <v>11</v>
      </c>
      <c r="CB7" s="39">
        <v>12</v>
      </c>
      <c r="CC7" s="1218"/>
      <c r="CD7" s="39">
        <v>1</v>
      </c>
      <c r="CE7" s="39">
        <v>2</v>
      </c>
      <c r="CF7" s="39">
        <v>3</v>
      </c>
      <c r="CG7" s="39">
        <v>4</v>
      </c>
      <c r="CH7" s="39">
        <v>5</v>
      </c>
      <c r="CI7" s="39">
        <v>6</v>
      </c>
      <c r="CJ7" s="39">
        <v>7</v>
      </c>
      <c r="CK7" s="39">
        <v>8</v>
      </c>
      <c r="CL7" s="39">
        <v>9</v>
      </c>
      <c r="CM7" s="39">
        <v>10</v>
      </c>
      <c r="CN7" s="39">
        <v>11</v>
      </c>
      <c r="CO7" s="39">
        <v>12</v>
      </c>
      <c r="CP7" s="1222"/>
      <c r="CQ7" s="974"/>
      <c r="CR7" s="975"/>
      <c r="CS7" s="975"/>
      <c r="CT7" s="977"/>
      <c r="CU7" s="977"/>
      <c r="CV7" s="977"/>
      <c r="CW7" s="974"/>
      <c r="CX7" s="975"/>
      <c r="CY7" s="975"/>
      <c r="CZ7" s="977"/>
      <c r="DA7" s="977"/>
      <c r="DB7" s="977"/>
      <c r="DC7" s="974"/>
      <c r="DD7" s="975"/>
      <c r="DE7" s="975"/>
      <c r="DF7" s="977"/>
      <c r="DG7" s="977"/>
      <c r="DH7" s="977"/>
      <c r="DI7" s="974"/>
      <c r="DJ7" s="975"/>
      <c r="DK7" s="975"/>
      <c r="DL7" s="977"/>
      <c r="DM7" s="977"/>
      <c r="DN7" s="977"/>
      <c r="DO7" s="974"/>
      <c r="DP7" s="975"/>
      <c r="DQ7" s="975"/>
      <c r="DR7" s="977"/>
      <c r="DS7" s="977"/>
      <c r="DT7" s="977"/>
      <c r="DU7" s="974"/>
      <c r="DV7" s="975"/>
      <c r="DW7" s="975"/>
      <c r="DX7" s="977"/>
      <c r="DY7" s="977"/>
      <c r="DZ7" s="977"/>
      <c r="EA7" s="974"/>
      <c r="EB7" s="975"/>
      <c r="EC7" s="975"/>
      <c r="ED7" s="977"/>
      <c r="EE7" s="977"/>
      <c r="EF7" s="977"/>
      <c r="EG7" s="974"/>
      <c r="EH7" s="975"/>
      <c r="EI7" s="975"/>
      <c r="EJ7" s="977"/>
      <c r="EK7" s="977"/>
      <c r="EL7" s="977"/>
      <c r="EM7" s="974"/>
      <c r="EN7" s="975"/>
      <c r="EO7" s="975"/>
      <c r="EP7" s="977"/>
      <c r="EQ7" s="977"/>
      <c r="ER7" s="977"/>
      <c r="ES7" s="974"/>
      <c r="ET7" s="975"/>
      <c r="EU7" s="975"/>
      <c r="EV7" s="977"/>
      <c r="EW7" s="977"/>
      <c r="EX7" s="977"/>
      <c r="EY7" s="974"/>
      <c r="EZ7" s="975"/>
      <c r="FA7" s="975"/>
      <c r="FB7" s="977"/>
      <c r="FC7" s="977"/>
      <c r="FD7" s="977"/>
      <c r="FE7" s="974"/>
      <c r="FF7" s="975"/>
      <c r="FG7" s="975"/>
      <c r="FH7" s="977"/>
      <c r="FI7" s="977"/>
      <c r="FJ7" s="977"/>
      <c r="FK7" s="573"/>
      <c r="FL7" s="574"/>
      <c r="FM7" s="573"/>
      <c r="FN7" s="573"/>
      <c r="FO7" s="573"/>
      <c r="FP7" s="573"/>
      <c r="FQ7" s="573"/>
      <c r="FR7" s="573"/>
      <c r="FS7" s="573"/>
      <c r="FT7" s="573"/>
      <c r="FU7" s="573"/>
      <c r="FY7" s="242"/>
      <c r="FZ7" s="242"/>
      <c r="GA7" s="1223"/>
      <c r="GB7" s="740"/>
      <c r="GC7" s="1184"/>
      <c r="GD7" s="1184"/>
      <c r="GE7" s="1184"/>
      <c r="GF7" s="1184"/>
      <c r="GG7" s="1184"/>
      <c r="GH7" s="1184"/>
      <c r="GI7" s="1184"/>
      <c r="GJ7" s="1184"/>
      <c r="GK7" s="1184"/>
      <c r="GL7" s="1184"/>
      <c r="GM7" s="1184"/>
      <c r="GN7" s="738"/>
      <c r="GO7" s="982"/>
      <c r="GP7" s="982"/>
      <c r="GQ7" s="982"/>
      <c r="GS7" s="984"/>
      <c r="GT7" s="984"/>
      <c r="GU7" s="984"/>
      <c r="GV7" s="984"/>
      <c r="GW7" s="984"/>
      <c r="GX7" s="984"/>
      <c r="GY7" s="984"/>
      <c r="GZ7" s="984"/>
      <c r="HA7" s="984"/>
      <c r="HB7" s="984"/>
      <c r="HC7" s="984"/>
      <c r="HD7" s="778"/>
      <c r="HE7" s="978"/>
      <c r="HG7" s="1224"/>
    </row>
    <row r="8" spans="1:215" ht="30" customHeight="1">
      <c r="A8" s="223">
        <v>1</v>
      </c>
      <c r="B8" s="223" t="str">
        <f>SISWA!B6</f>
        <v>Afif Rafiudin</v>
      </c>
      <c r="C8" s="123">
        <v>75</v>
      </c>
      <c r="D8" s="123">
        <v>80</v>
      </c>
      <c r="E8" s="123">
        <v>75</v>
      </c>
      <c r="F8" s="123">
        <v>85</v>
      </c>
      <c r="G8" s="123"/>
      <c r="H8" s="123"/>
      <c r="I8" s="123"/>
      <c r="J8" s="123"/>
      <c r="K8" s="123"/>
      <c r="L8" s="123"/>
      <c r="M8" s="123"/>
      <c r="N8" s="123"/>
      <c r="O8" s="255"/>
      <c r="P8" s="255"/>
      <c r="Q8" s="255"/>
      <c r="R8" s="255"/>
      <c r="S8" s="255"/>
      <c r="T8" s="255"/>
      <c r="U8" s="255"/>
      <c r="V8" s="255"/>
      <c r="W8" s="255"/>
      <c r="X8" s="255"/>
      <c r="Y8" s="255"/>
      <c r="Z8" s="255"/>
      <c r="AA8" s="256"/>
      <c r="AB8" s="256"/>
      <c r="AC8" s="256"/>
      <c r="AD8" s="256"/>
      <c r="AE8" s="256"/>
      <c r="AF8" s="256"/>
      <c r="AG8" s="256"/>
      <c r="AH8" s="256"/>
      <c r="AI8" s="256"/>
      <c r="AJ8" s="256"/>
      <c r="AK8" s="256"/>
      <c r="AL8" s="256"/>
      <c r="AM8" s="257">
        <f>IFERROR(FL8," ")</f>
        <v>75</v>
      </c>
      <c r="AN8" s="257">
        <f t="shared" ref="AN8:AV8" si="15">IFERROR(FM8," ")</f>
        <v>80</v>
      </c>
      <c r="AO8" s="257">
        <f t="shared" si="15"/>
        <v>75</v>
      </c>
      <c r="AP8" s="257">
        <f t="shared" si="15"/>
        <v>85</v>
      </c>
      <c r="AQ8" s="257" t="str">
        <f t="shared" si="15"/>
        <v/>
      </c>
      <c r="AR8" s="257" t="str">
        <f t="shared" si="15"/>
        <v/>
      </c>
      <c r="AS8" s="257" t="str">
        <f t="shared" si="15"/>
        <v/>
      </c>
      <c r="AT8" s="257" t="str">
        <f t="shared" si="15"/>
        <v/>
      </c>
      <c r="AU8" s="257" t="str">
        <f t="shared" si="15"/>
        <v/>
      </c>
      <c r="AV8" s="257" t="str">
        <f t="shared" si="15"/>
        <v/>
      </c>
      <c r="AW8" s="257" t="str">
        <f t="shared" ref="AW8" si="16">IFERROR(FV8," ")</f>
        <v/>
      </c>
      <c r="AX8" s="257" t="str">
        <f t="shared" ref="AX8:AY8" si="17">IFERROR(FW8," ")</f>
        <v/>
      </c>
      <c r="AY8" s="756">
        <f t="shared" si="17"/>
        <v>79</v>
      </c>
      <c r="AZ8" s="291" t="str">
        <f>IF(AY8&gt;100,"  ",IF(AY8&gt;=BE$1,"A",IF(AY8&gt;=BE$2,"B",IF(AY8&gt;=BE$3,"C",IF(AY8&gt;=1,"D","")))))</f>
        <v>C</v>
      </c>
      <c r="BA8" s="243" t="str">
        <f>IFERROR(HG8," ")</f>
        <v>Ananda Afif baik dalam menyelesaikan masalah yang berkaitan dengan skala pada denah, cukup dalam menyelesaikan masalah yang berkaitan dengan perbandingan dua besaran yang berbeda (kecepatan, debit).</v>
      </c>
      <c r="BB8" s="39"/>
      <c r="BC8" s="39"/>
      <c r="BD8" s="257">
        <f>IFERROR(MAX(C8)," ")</f>
        <v>75</v>
      </c>
      <c r="BE8" s="257">
        <f t="shared" ref="BE8:BO8" si="18">IFERROR(MAX(D8)," ")</f>
        <v>80</v>
      </c>
      <c r="BF8" s="257">
        <f t="shared" si="18"/>
        <v>75</v>
      </c>
      <c r="BG8" s="257">
        <f t="shared" si="18"/>
        <v>85</v>
      </c>
      <c r="BH8" s="257">
        <f t="shared" si="18"/>
        <v>0</v>
      </c>
      <c r="BI8" s="257">
        <f t="shared" si="18"/>
        <v>0</v>
      </c>
      <c r="BJ8" s="257">
        <f t="shared" si="18"/>
        <v>0</v>
      </c>
      <c r="BK8" s="257">
        <f t="shared" si="18"/>
        <v>0</v>
      </c>
      <c r="BL8" s="257">
        <f t="shared" si="18"/>
        <v>0</v>
      </c>
      <c r="BM8" s="257">
        <f t="shared" si="18"/>
        <v>0</v>
      </c>
      <c r="BN8" s="257">
        <f t="shared" si="18"/>
        <v>0</v>
      </c>
      <c r="BO8" s="257">
        <f t="shared" si="18"/>
        <v>0</v>
      </c>
      <c r="BP8" s="232">
        <f>MAX(BD8:BN8)</f>
        <v>85</v>
      </c>
      <c r="BQ8" s="257">
        <f>IFERROR(MAX(O8)," ")</f>
        <v>0</v>
      </c>
      <c r="BR8" s="257">
        <f t="shared" ref="BR8:CB8" si="19">IFERROR(MAX(P8)," ")</f>
        <v>0</v>
      </c>
      <c r="BS8" s="257">
        <f t="shared" si="19"/>
        <v>0</v>
      </c>
      <c r="BT8" s="257">
        <f t="shared" si="19"/>
        <v>0</v>
      </c>
      <c r="BU8" s="257">
        <f t="shared" si="19"/>
        <v>0</v>
      </c>
      <c r="BV8" s="257">
        <f t="shared" si="19"/>
        <v>0</v>
      </c>
      <c r="BW8" s="257">
        <f t="shared" si="19"/>
        <v>0</v>
      </c>
      <c r="BX8" s="257">
        <f t="shared" si="19"/>
        <v>0</v>
      </c>
      <c r="BY8" s="257">
        <f t="shared" si="19"/>
        <v>0</v>
      </c>
      <c r="BZ8" s="257">
        <f t="shared" si="19"/>
        <v>0</v>
      </c>
      <c r="CA8" s="257">
        <f t="shared" si="19"/>
        <v>0</v>
      </c>
      <c r="CB8" s="257">
        <f t="shared" si="19"/>
        <v>0</v>
      </c>
      <c r="CC8" s="232">
        <f>MAX(BQ8:CA8)</f>
        <v>0</v>
      </c>
      <c r="CD8" s="257">
        <f>IFERROR(MAX(AA8)," ")</f>
        <v>0</v>
      </c>
      <c r="CE8" s="257">
        <f t="shared" ref="CE8:CO8" si="20">IFERROR(MAX(AB8)," ")</f>
        <v>0</v>
      </c>
      <c r="CF8" s="257">
        <f t="shared" si="20"/>
        <v>0</v>
      </c>
      <c r="CG8" s="257">
        <f t="shared" si="20"/>
        <v>0</v>
      </c>
      <c r="CH8" s="257">
        <f t="shared" si="20"/>
        <v>0</v>
      </c>
      <c r="CI8" s="257">
        <f t="shared" si="20"/>
        <v>0</v>
      </c>
      <c r="CJ8" s="257">
        <f t="shared" si="20"/>
        <v>0</v>
      </c>
      <c r="CK8" s="257">
        <f t="shared" si="20"/>
        <v>0</v>
      </c>
      <c r="CL8" s="257">
        <f t="shared" si="20"/>
        <v>0</v>
      </c>
      <c r="CM8" s="257">
        <f t="shared" si="20"/>
        <v>0</v>
      </c>
      <c r="CN8" s="257">
        <f t="shared" si="20"/>
        <v>0</v>
      </c>
      <c r="CO8" s="257">
        <f t="shared" si="20"/>
        <v>0</v>
      </c>
      <c r="CP8" s="232">
        <f>MAX(CD8:CN8)</f>
        <v>0</v>
      </c>
      <c r="CQ8" s="257">
        <f>BD8</f>
        <v>75</v>
      </c>
      <c r="CR8" s="257">
        <f>BQ8</f>
        <v>0</v>
      </c>
      <c r="CS8" s="257">
        <f>CD8</f>
        <v>0</v>
      </c>
      <c r="CT8" s="575">
        <f>COUNTIF(CQ8:CS8,)</f>
        <v>2</v>
      </c>
      <c r="CU8" s="506">
        <f>3-CT8</f>
        <v>1</v>
      </c>
      <c r="CV8" s="39">
        <f>IFERROR(SUM(CQ8:CS8)/CU8,"")</f>
        <v>75</v>
      </c>
      <c r="CW8" s="257">
        <f>BE8</f>
        <v>80</v>
      </c>
      <c r="CX8" s="257">
        <f>BR8</f>
        <v>0</v>
      </c>
      <c r="CY8" s="257">
        <f>CE8</f>
        <v>0</v>
      </c>
      <c r="CZ8" s="575">
        <f>COUNTIF(CW8:CY8,)</f>
        <v>2</v>
      </c>
      <c r="DA8" s="506">
        <f>3-CZ8</f>
        <v>1</v>
      </c>
      <c r="DB8" s="39">
        <f>IFERROR(SUM(CW8:CY8)/DA8,"")</f>
        <v>80</v>
      </c>
      <c r="DC8" s="257">
        <f>BF8</f>
        <v>75</v>
      </c>
      <c r="DD8" s="257">
        <f>BS8</f>
        <v>0</v>
      </c>
      <c r="DE8" s="257">
        <f>CF8</f>
        <v>0</v>
      </c>
      <c r="DF8" s="575">
        <f>COUNTIF(DC8:DE8,)</f>
        <v>2</v>
      </c>
      <c r="DG8" s="506">
        <f>3-DF8</f>
        <v>1</v>
      </c>
      <c r="DH8" s="39">
        <f>IFERROR(SUM(DC8:DE8)/DG8,"")</f>
        <v>75</v>
      </c>
      <c r="DI8" s="257">
        <f>BG8</f>
        <v>85</v>
      </c>
      <c r="DJ8" s="257">
        <f>BT8</f>
        <v>0</v>
      </c>
      <c r="DK8" s="257">
        <f>CG8</f>
        <v>0</v>
      </c>
      <c r="DL8" s="575">
        <f>COUNTIF(DI8:DK8,)</f>
        <v>2</v>
      </c>
      <c r="DM8" s="506">
        <f>3-DL8</f>
        <v>1</v>
      </c>
      <c r="DN8" s="39">
        <f>IFERROR(SUM(DI8:DK8)/DM8,"")</f>
        <v>85</v>
      </c>
      <c r="DO8" s="257">
        <f>BH8</f>
        <v>0</v>
      </c>
      <c r="DP8" s="257">
        <f>BU8</f>
        <v>0</v>
      </c>
      <c r="DQ8" s="257">
        <f>CH8</f>
        <v>0</v>
      </c>
      <c r="DR8" s="575">
        <f>COUNTIF(DO8:DQ8,)</f>
        <v>3</v>
      </c>
      <c r="DS8" s="506">
        <f>3-DR8</f>
        <v>0</v>
      </c>
      <c r="DT8" s="39" t="str">
        <f>IFERROR(SUM(DO8:DQ8)/DS8,"")</f>
        <v/>
      </c>
      <c r="DU8" s="257">
        <f>BI8</f>
        <v>0</v>
      </c>
      <c r="DV8" s="257">
        <f>BV8</f>
        <v>0</v>
      </c>
      <c r="DW8" s="257">
        <f>CI8</f>
        <v>0</v>
      </c>
      <c r="DX8" s="575">
        <f>COUNTIF(DU8:DW8,)</f>
        <v>3</v>
      </c>
      <c r="DY8" s="506">
        <f>3-DX8</f>
        <v>0</v>
      </c>
      <c r="DZ8" s="39" t="str">
        <f>IFERROR(SUM(DU8:DW8)/DY8,"")</f>
        <v/>
      </c>
      <c r="EA8" s="257">
        <f>BJ8</f>
        <v>0</v>
      </c>
      <c r="EB8" s="257">
        <f>BW8</f>
        <v>0</v>
      </c>
      <c r="EC8" s="257">
        <f>CJ8</f>
        <v>0</v>
      </c>
      <c r="ED8" s="575">
        <f>COUNTIF(EA8:EC8,)</f>
        <v>3</v>
      </c>
      <c r="EE8" s="506">
        <f>3-ED8</f>
        <v>0</v>
      </c>
      <c r="EF8" s="39" t="str">
        <f>IFERROR(SUM(EA8:EC8)/EE8,"")</f>
        <v/>
      </c>
      <c r="EG8" s="257">
        <f>BK8</f>
        <v>0</v>
      </c>
      <c r="EH8" s="257">
        <f>BX8</f>
        <v>0</v>
      </c>
      <c r="EI8" s="257">
        <f>CK8</f>
        <v>0</v>
      </c>
      <c r="EJ8" s="575">
        <f>COUNTIF(EG8:EI8,)</f>
        <v>3</v>
      </c>
      <c r="EK8" s="506">
        <f>3-EJ8</f>
        <v>0</v>
      </c>
      <c r="EL8" s="39" t="str">
        <f>IFERROR(SUM(EG8:EI8)/EK8,"")</f>
        <v/>
      </c>
      <c r="EM8" s="257">
        <f>BL8</f>
        <v>0</v>
      </c>
      <c r="EN8" s="257">
        <f>BY8</f>
        <v>0</v>
      </c>
      <c r="EO8" s="257">
        <f>CL8</f>
        <v>0</v>
      </c>
      <c r="EP8" s="575">
        <f>COUNTIF(EM8:EO8,)</f>
        <v>3</v>
      </c>
      <c r="EQ8" s="506">
        <f>3-EP8</f>
        <v>0</v>
      </c>
      <c r="ER8" s="39" t="str">
        <f>IFERROR(SUM(EM8:EO8)/EQ8,"")</f>
        <v/>
      </c>
      <c r="ES8" s="257">
        <f>BM8</f>
        <v>0</v>
      </c>
      <c r="ET8" s="257">
        <f>BZ8</f>
        <v>0</v>
      </c>
      <c r="EU8" s="257">
        <f>CM8</f>
        <v>0</v>
      </c>
      <c r="EV8" s="575">
        <f>COUNTIF(ES8:EU8,)</f>
        <v>3</v>
      </c>
      <c r="EW8" s="506">
        <f>3-EV8</f>
        <v>0</v>
      </c>
      <c r="EX8" s="39" t="str">
        <f>IFERROR(SUM(ES8:EU8)/EW8,"")</f>
        <v/>
      </c>
      <c r="EY8" s="257">
        <f>BN8</f>
        <v>0</v>
      </c>
      <c r="EZ8" s="257">
        <f>CA8</f>
        <v>0</v>
      </c>
      <c r="FA8" s="257">
        <f>CN8</f>
        <v>0</v>
      </c>
      <c r="FB8" s="575">
        <f>COUNTIF(EY8:FA8,)</f>
        <v>3</v>
      </c>
      <c r="FC8" s="506">
        <f>3-FB8</f>
        <v>0</v>
      </c>
      <c r="FD8" s="39" t="str">
        <f>IFERROR(SUM(EY8:FA8)/FC8,"")</f>
        <v/>
      </c>
      <c r="FE8" s="257">
        <f>BO8</f>
        <v>0</v>
      </c>
      <c r="FF8" s="257">
        <f>CB8</f>
        <v>0</v>
      </c>
      <c r="FG8" s="257">
        <f>CP8</f>
        <v>0</v>
      </c>
      <c r="FH8" s="575">
        <f>COUNTIF(FE8:FG8,)</f>
        <v>3</v>
      </c>
      <c r="FI8" s="506">
        <f>3-FH8</f>
        <v>0</v>
      </c>
      <c r="FJ8" s="39" t="str">
        <f>IFERROR(SUM(FE8:FG8)/FI8,"")</f>
        <v/>
      </c>
      <c r="FK8" s="39"/>
      <c r="FL8" s="39">
        <f>CV8</f>
        <v>75</v>
      </c>
      <c r="FM8" s="39">
        <f>DB8</f>
        <v>80</v>
      </c>
      <c r="FN8" s="39">
        <f>DH8</f>
        <v>75</v>
      </c>
      <c r="FO8" s="39">
        <f>DN8</f>
        <v>85</v>
      </c>
      <c r="FP8" s="39" t="str">
        <f>DT8</f>
        <v/>
      </c>
      <c r="FQ8" s="39" t="str">
        <f>DZ8</f>
        <v/>
      </c>
      <c r="FR8" s="39" t="str">
        <f>EF8</f>
        <v/>
      </c>
      <c r="FS8" s="39" t="str">
        <f>EL8</f>
        <v/>
      </c>
      <c r="FT8" s="39" t="str">
        <f>ER8</f>
        <v/>
      </c>
      <c r="FU8" s="39" t="str">
        <f>EX8</f>
        <v/>
      </c>
      <c r="FV8" s="39" t="str">
        <f>FD8</f>
        <v/>
      </c>
      <c r="FW8" s="39" t="str">
        <f>FJ8</f>
        <v/>
      </c>
      <c r="FX8" s="39">
        <f>IFERROR(ROUND(AVERAGE(FL8:FW8),0),"")</f>
        <v>79</v>
      </c>
      <c r="FY8" s="68">
        <f>MAX(FL8:FW8)</f>
        <v>85</v>
      </c>
      <c r="FZ8" s="68">
        <f>MIN(FL8:FW8)</f>
        <v>75</v>
      </c>
      <c r="GA8" s="39" t="str">
        <f>SISWA!E6</f>
        <v>Afif</v>
      </c>
      <c r="GB8" s="39" t="str">
        <f>IF(GO8&gt;1,"Ananda "&amp;GA8&amp;" ","")</f>
        <v xml:space="preserve">Ananda Afif </v>
      </c>
      <c r="GC8" s="207" t="str">
        <f t="shared" ref="GC8:GL8" si="21">IF(FL8=$FY8,$FY8,"")</f>
        <v/>
      </c>
      <c r="GD8" s="207" t="str">
        <f t="shared" si="21"/>
        <v/>
      </c>
      <c r="GE8" s="207" t="str">
        <f t="shared" si="21"/>
        <v/>
      </c>
      <c r="GF8" s="207">
        <f t="shared" si="21"/>
        <v>85</v>
      </c>
      <c r="GG8" s="207" t="str">
        <f t="shared" si="21"/>
        <v/>
      </c>
      <c r="GH8" s="207" t="str">
        <f t="shared" si="21"/>
        <v/>
      </c>
      <c r="GI8" s="207" t="str">
        <f t="shared" si="21"/>
        <v/>
      </c>
      <c r="GJ8" s="207" t="str">
        <f t="shared" si="21"/>
        <v/>
      </c>
      <c r="GK8" s="207" t="str">
        <f t="shared" si="21"/>
        <v/>
      </c>
      <c r="GL8" s="207" t="str">
        <f t="shared" si="21"/>
        <v/>
      </c>
      <c r="GM8" s="207" t="str">
        <f t="shared" ref="GM8:GN8" si="22">IF(FV8=$FY8,$FY8,"")</f>
        <v/>
      </c>
      <c r="GN8" s="207" t="str">
        <f t="shared" si="22"/>
        <v/>
      </c>
      <c r="GO8" s="39">
        <f>SUM(GC8:GN8)</f>
        <v>85</v>
      </c>
      <c r="GP8" s="68" t="str">
        <f>LOOKUP(FY8,(GC8:GN8),($GC$6:$GN$6))</f>
        <v>menyelesaikan masalah yang berkaitan dengan skala pada denah</v>
      </c>
      <c r="GQ8" s="576" t="str">
        <f>IF(FY8&gt;100,"",IF(FY8&gt;BE$1,"sangat baik dalam "&amp;GP8,IF(FY8&gt;=BE$2,"baik dalam "&amp;GP8,IF(FY8&gt;=BE$3,"cukup dalam "&amp;GP8,IF(FY8&lt;BE$3,"dengan bimbingan dapat meningkatkan dalam "&amp;GP8,IF(FY8&lt;1," ",””))))))</f>
        <v>baik dalam menyelesaikan masalah yang berkaitan dengan skala pada denah</v>
      </c>
      <c r="GR8" s="223"/>
      <c r="GS8" s="223">
        <f t="shared" ref="GS8:HB8" si="23">IF(FL8=$FZ8,$FZ8,"")</f>
        <v>75</v>
      </c>
      <c r="GT8" s="223" t="str">
        <f t="shared" si="23"/>
        <v/>
      </c>
      <c r="GU8" s="223">
        <f t="shared" si="23"/>
        <v>75</v>
      </c>
      <c r="GV8" s="223" t="str">
        <f t="shared" si="23"/>
        <v/>
      </c>
      <c r="GW8" s="223" t="str">
        <f t="shared" si="23"/>
        <v/>
      </c>
      <c r="GX8" s="223" t="str">
        <f t="shared" si="23"/>
        <v/>
      </c>
      <c r="GY8" s="223" t="str">
        <f t="shared" si="23"/>
        <v/>
      </c>
      <c r="GZ8" s="223" t="str">
        <f t="shared" si="23"/>
        <v/>
      </c>
      <c r="HA8" s="223" t="str">
        <f t="shared" si="23"/>
        <v/>
      </c>
      <c r="HB8" s="223" t="str">
        <f t="shared" si="23"/>
        <v/>
      </c>
      <c r="HC8" s="223" t="str">
        <f t="shared" ref="HC8:HD8" si="24">IF(FV8=$FZ8,$FZ8,"")</f>
        <v/>
      </c>
      <c r="HD8" s="223" t="str">
        <f t="shared" si="24"/>
        <v/>
      </c>
      <c r="HE8" s="223" t="str">
        <f>LOOKUP(FZ8,(GS8:HD8),($GS$6:$HD$6))</f>
        <v>menyelesaikan masalah yang berkaitan dengan perbandingan dua besaran yang berbeda (kecepatan, debit)</v>
      </c>
      <c r="HF8" s="577" t="str">
        <f>IF(FZ8&gt;100,"",IF(FZ8&gt;=BE$1,"sangat baik dalam "&amp;HE8,IF(FZ8&gt;=BE$2,"baik dalam "&amp;HE8,IF(FZ8&gt;=BE$3,"cukup dalam "&amp;HE8,IF(FZ8&lt;BE$3,"dengan bimbingan dapat meningkatkan dalam "&amp;HE8,IF(FZ8&lt;1," ",””))))))</f>
        <v>cukup dalam menyelesaikan masalah yang berkaitan dengan perbandingan dua besaran yang berbeda (kecepatan, debit)</v>
      </c>
      <c r="HG8" s="223" t="str">
        <f>CONCATENATE(GB8&amp;GQ8&amp;", "&amp;HF8&amp;".")</f>
        <v>Ananda Afif baik dalam menyelesaikan masalah yang berkaitan dengan skala pada denah, cukup dalam menyelesaikan masalah yang berkaitan dengan perbandingan dua besaran yang berbeda (kecepatan, debit).</v>
      </c>
    </row>
    <row r="9" spans="1:215" ht="30" customHeight="1">
      <c r="A9" s="39">
        <v>2</v>
      </c>
      <c r="B9" s="223" t="str">
        <f>SISWA!B7</f>
        <v>Ahmad Faiq Athaya</v>
      </c>
      <c r="C9" s="123">
        <v>80</v>
      </c>
      <c r="D9" s="123">
        <v>85</v>
      </c>
      <c r="E9" s="123">
        <v>80</v>
      </c>
      <c r="F9" s="123">
        <v>85</v>
      </c>
      <c r="G9" s="123"/>
      <c r="H9" s="123"/>
      <c r="I9" s="123"/>
      <c r="J9" s="123"/>
      <c r="K9" s="123"/>
      <c r="L9" s="123"/>
      <c r="M9" s="123"/>
      <c r="N9" s="123"/>
      <c r="O9" s="255"/>
      <c r="P9" s="255"/>
      <c r="Q9" s="255"/>
      <c r="R9" s="255"/>
      <c r="S9" s="255"/>
      <c r="T9" s="255"/>
      <c r="U9" s="255"/>
      <c r="V9" s="255"/>
      <c r="W9" s="255"/>
      <c r="X9" s="255"/>
      <c r="Y9" s="255"/>
      <c r="Z9" s="255"/>
      <c r="AA9" s="256"/>
      <c r="AB9" s="256"/>
      <c r="AC9" s="256"/>
      <c r="AD9" s="256"/>
      <c r="AE9" s="256"/>
      <c r="AF9" s="256"/>
      <c r="AG9" s="256"/>
      <c r="AH9" s="256"/>
      <c r="AI9" s="256"/>
      <c r="AJ9" s="256"/>
      <c r="AK9" s="256"/>
      <c r="AL9" s="256"/>
      <c r="AM9" s="257">
        <f t="shared" ref="AM9:AM42" si="25">IFERROR(FL9," ")</f>
        <v>80</v>
      </c>
      <c r="AN9" s="257">
        <f t="shared" ref="AN9:AN42" si="26">IFERROR(FM9," ")</f>
        <v>85</v>
      </c>
      <c r="AO9" s="257">
        <f t="shared" ref="AO9:AO42" si="27">IFERROR(FN9," ")</f>
        <v>80</v>
      </c>
      <c r="AP9" s="257">
        <f t="shared" ref="AP9:AP42" si="28">IFERROR(FO9," ")</f>
        <v>85</v>
      </c>
      <c r="AQ9" s="257" t="str">
        <f t="shared" ref="AQ9:AQ42" si="29">IFERROR(FP9," ")</f>
        <v/>
      </c>
      <c r="AR9" s="257" t="str">
        <f t="shared" ref="AR9:AR42" si="30">IFERROR(FQ9," ")</f>
        <v/>
      </c>
      <c r="AS9" s="257" t="str">
        <f t="shared" ref="AS9:AS42" si="31">IFERROR(FR9," ")</f>
        <v/>
      </c>
      <c r="AT9" s="257" t="str">
        <f t="shared" ref="AT9:AT42" si="32">IFERROR(FS9," ")</f>
        <v/>
      </c>
      <c r="AU9" s="257" t="str">
        <f t="shared" ref="AU9:AU42" si="33">IFERROR(FT9," ")</f>
        <v/>
      </c>
      <c r="AV9" s="257" t="str">
        <f t="shared" ref="AV9:AV42" si="34">IFERROR(FU9," ")</f>
        <v/>
      </c>
      <c r="AW9" s="257" t="str">
        <f t="shared" ref="AW9:AW42" si="35">IFERROR(FV9," ")</f>
        <v/>
      </c>
      <c r="AX9" s="257" t="str">
        <f t="shared" ref="AX9:AX42" si="36">IFERROR(FW9," ")</f>
        <v/>
      </c>
      <c r="AY9" s="756">
        <f t="shared" ref="AY9:AY42" si="37">IFERROR(FX9," ")</f>
        <v>83</v>
      </c>
      <c r="AZ9" s="291" t="str">
        <f t="shared" ref="AZ9:AZ42" si="38">IF(AY9&gt;100,"  ",IF(AY9&gt;=BE$1,"A",IF(AY9&gt;=BE$2,"B",IF(AY9&gt;=BE$3,"C",IF(AY9&gt;=1,"D","")))))</f>
        <v>B</v>
      </c>
      <c r="BA9" s="243" t="str">
        <f t="shared" ref="BA9:BA42" si="39">IFERROR(HG9," ")</f>
        <v>Ananda Athaya baik dalam menyelesaikan masalah yang berkaitan dengan skala pada denah, cukup dalam menyelesaikan masalah yang berkaitan dengan perbandingan dua besaran yang berbeda (kecepatan, debit).</v>
      </c>
      <c r="BB9" s="39"/>
      <c r="BC9" s="39"/>
      <c r="BD9" s="257">
        <f t="shared" ref="BD9:BD42" si="40">IFERROR(MAX(C9)," ")</f>
        <v>80</v>
      </c>
      <c r="BE9" s="257">
        <f t="shared" ref="BE9:BE42" si="41">IFERROR(MAX(D9)," ")</f>
        <v>85</v>
      </c>
      <c r="BF9" s="257">
        <f t="shared" ref="BF9:BF42" si="42">IFERROR(MAX(E9)," ")</f>
        <v>80</v>
      </c>
      <c r="BG9" s="257">
        <f t="shared" ref="BG9:BG42" si="43">IFERROR(MAX(F9)," ")</f>
        <v>85</v>
      </c>
      <c r="BH9" s="257">
        <f t="shared" ref="BH9:BH42" si="44">IFERROR(MAX(G9)," ")</f>
        <v>0</v>
      </c>
      <c r="BI9" s="257">
        <f t="shared" ref="BI9:BI42" si="45">IFERROR(MAX(H9)," ")</f>
        <v>0</v>
      </c>
      <c r="BJ9" s="257">
        <f t="shared" ref="BJ9:BJ42" si="46">IFERROR(MAX(I9)," ")</f>
        <v>0</v>
      </c>
      <c r="BK9" s="257">
        <f t="shared" ref="BK9:BK42" si="47">IFERROR(MAX(J9)," ")</f>
        <v>0</v>
      </c>
      <c r="BL9" s="257">
        <f t="shared" ref="BL9:BL42" si="48">IFERROR(MAX(K9)," ")</f>
        <v>0</v>
      </c>
      <c r="BM9" s="257">
        <f t="shared" ref="BM9:BM42" si="49">IFERROR(MAX(L9)," ")</f>
        <v>0</v>
      </c>
      <c r="BN9" s="257">
        <f t="shared" ref="BN9:BN42" si="50">IFERROR(MAX(M9)," ")</f>
        <v>0</v>
      </c>
      <c r="BO9" s="257">
        <f t="shared" ref="BO9:BO42" si="51">IFERROR(MAX(N9)," ")</f>
        <v>0</v>
      </c>
      <c r="BP9" s="232">
        <f t="shared" ref="BP9:BP42" si="52">MAX(BD9:BN9)</f>
        <v>85</v>
      </c>
      <c r="BQ9" s="257">
        <f t="shared" ref="BQ9:BQ42" si="53">IFERROR(MAX(O9)," ")</f>
        <v>0</v>
      </c>
      <c r="BR9" s="257">
        <f t="shared" ref="BR9:BR42" si="54">IFERROR(MAX(P9)," ")</f>
        <v>0</v>
      </c>
      <c r="BS9" s="257">
        <f t="shared" ref="BS9:BS42" si="55">IFERROR(MAX(Q9)," ")</f>
        <v>0</v>
      </c>
      <c r="BT9" s="257">
        <f t="shared" ref="BT9:BT42" si="56">IFERROR(MAX(R9)," ")</f>
        <v>0</v>
      </c>
      <c r="BU9" s="257">
        <f t="shared" ref="BU9:BU42" si="57">IFERROR(MAX(S9)," ")</f>
        <v>0</v>
      </c>
      <c r="BV9" s="257">
        <f t="shared" ref="BV9:BV42" si="58">IFERROR(MAX(T9)," ")</f>
        <v>0</v>
      </c>
      <c r="BW9" s="257">
        <f t="shared" ref="BW9:BW42" si="59">IFERROR(MAX(U9)," ")</f>
        <v>0</v>
      </c>
      <c r="BX9" s="257">
        <f t="shared" ref="BX9:BX42" si="60">IFERROR(MAX(V9)," ")</f>
        <v>0</v>
      </c>
      <c r="BY9" s="257">
        <f t="shared" ref="BY9:BY42" si="61">IFERROR(MAX(W9)," ")</f>
        <v>0</v>
      </c>
      <c r="BZ9" s="257">
        <f t="shared" ref="BZ9:BZ42" si="62">IFERROR(MAX(X9)," ")</f>
        <v>0</v>
      </c>
      <c r="CA9" s="257">
        <f t="shared" ref="CA9:CA42" si="63">IFERROR(MAX(Y9)," ")</f>
        <v>0</v>
      </c>
      <c r="CB9" s="257">
        <f t="shared" ref="CB9:CB42" si="64">IFERROR(MAX(Z9)," ")</f>
        <v>0</v>
      </c>
      <c r="CC9" s="232">
        <f t="shared" ref="CC9:CC42" si="65">MAX(BQ9:CA9)</f>
        <v>0</v>
      </c>
      <c r="CD9" s="257">
        <f t="shared" ref="CD9:CD42" si="66">IFERROR(MAX(AA9)," ")</f>
        <v>0</v>
      </c>
      <c r="CE9" s="257">
        <f t="shared" ref="CE9:CE42" si="67">IFERROR(MAX(AB9)," ")</f>
        <v>0</v>
      </c>
      <c r="CF9" s="257">
        <f t="shared" ref="CF9:CF42" si="68">IFERROR(MAX(AC9)," ")</f>
        <v>0</v>
      </c>
      <c r="CG9" s="257">
        <f t="shared" ref="CG9:CG42" si="69">IFERROR(MAX(AD9)," ")</f>
        <v>0</v>
      </c>
      <c r="CH9" s="257">
        <f t="shared" ref="CH9:CH42" si="70">IFERROR(MAX(AE9)," ")</f>
        <v>0</v>
      </c>
      <c r="CI9" s="257">
        <f t="shared" ref="CI9:CI42" si="71">IFERROR(MAX(AF9)," ")</f>
        <v>0</v>
      </c>
      <c r="CJ9" s="257">
        <f t="shared" ref="CJ9:CJ42" si="72">IFERROR(MAX(AG9)," ")</f>
        <v>0</v>
      </c>
      <c r="CK9" s="257">
        <f t="shared" ref="CK9:CK42" si="73">IFERROR(MAX(AH9)," ")</f>
        <v>0</v>
      </c>
      <c r="CL9" s="257">
        <f t="shared" ref="CL9:CL42" si="74">IFERROR(MAX(AI9)," ")</f>
        <v>0</v>
      </c>
      <c r="CM9" s="257">
        <f t="shared" ref="CM9:CM42" si="75">IFERROR(MAX(AJ9)," ")</f>
        <v>0</v>
      </c>
      <c r="CN9" s="257">
        <f t="shared" ref="CN9:CN42" si="76">IFERROR(MAX(AK9)," ")</f>
        <v>0</v>
      </c>
      <c r="CO9" s="257">
        <f t="shared" ref="CO9:CO42" si="77">IFERROR(MAX(AL9)," ")</f>
        <v>0</v>
      </c>
      <c r="CP9" s="232">
        <f t="shared" ref="CP9:CP42" si="78">MAX(CD9:CN9)</f>
        <v>0</v>
      </c>
      <c r="CQ9" s="257">
        <f t="shared" ref="CQ9:CQ42" si="79">BD9</f>
        <v>80</v>
      </c>
      <c r="CR9" s="257">
        <f t="shared" ref="CR9:CR42" si="80">BQ9</f>
        <v>0</v>
      </c>
      <c r="CS9" s="257">
        <f t="shared" ref="CS9:CS42" si="81">CD9</f>
        <v>0</v>
      </c>
      <c r="CT9" s="575">
        <f t="shared" ref="CT9:CT42" si="82">COUNTIF(CQ9:CS9,)</f>
        <v>2</v>
      </c>
      <c r="CU9" s="506">
        <f t="shared" ref="CU9:CU42" si="83">3-CT9</f>
        <v>1</v>
      </c>
      <c r="CV9" s="39">
        <f t="shared" ref="CV9:CV42" si="84">IFERROR(SUM(CQ9:CS9)/CU9,"")</f>
        <v>80</v>
      </c>
      <c r="CW9" s="257">
        <f t="shared" ref="CW9:CW42" si="85">BE9</f>
        <v>85</v>
      </c>
      <c r="CX9" s="257">
        <f t="shared" ref="CX9:CX42" si="86">BR9</f>
        <v>0</v>
      </c>
      <c r="CY9" s="257">
        <f t="shared" ref="CY9:CY42" si="87">CE9</f>
        <v>0</v>
      </c>
      <c r="CZ9" s="575">
        <f t="shared" ref="CZ9:CZ42" si="88">COUNTIF(CW9:CY9,)</f>
        <v>2</v>
      </c>
      <c r="DA9" s="506">
        <f t="shared" ref="DA9:DA42" si="89">3-CZ9</f>
        <v>1</v>
      </c>
      <c r="DB9" s="39">
        <f t="shared" ref="DB9:DB42" si="90">IFERROR(SUM(CW9:CY9)/DA9,"")</f>
        <v>85</v>
      </c>
      <c r="DC9" s="257">
        <f t="shared" ref="DC9:DC42" si="91">BF9</f>
        <v>80</v>
      </c>
      <c r="DD9" s="257">
        <f t="shared" ref="DD9:DD42" si="92">BS9</f>
        <v>0</v>
      </c>
      <c r="DE9" s="257">
        <f t="shared" ref="DE9:DE42" si="93">CF9</f>
        <v>0</v>
      </c>
      <c r="DF9" s="575">
        <f t="shared" ref="DF9:DF42" si="94">COUNTIF(DC9:DE9,)</f>
        <v>2</v>
      </c>
      <c r="DG9" s="506">
        <f t="shared" ref="DG9:DG42" si="95">3-DF9</f>
        <v>1</v>
      </c>
      <c r="DH9" s="39">
        <f t="shared" ref="DH9:DH42" si="96">IFERROR(SUM(DC9:DE9)/DG9,"")</f>
        <v>80</v>
      </c>
      <c r="DI9" s="257">
        <f t="shared" ref="DI9:DI42" si="97">BG9</f>
        <v>85</v>
      </c>
      <c r="DJ9" s="257">
        <f t="shared" ref="DJ9:DJ42" si="98">BT9</f>
        <v>0</v>
      </c>
      <c r="DK9" s="257">
        <f t="shared" ref="DK9:DK42" si="99">CG9</f>
        <v>0</v>
      </c>
      <c r="DL9" s="575">
        <f t="shared" ref="DL9:DL42" si="100">COUNTIF(DI9:DK9,)</f>
        <v>2</v>
      </c>
      <c r="DM9" s="506">
        <f t="shared" ref="DM9:DM42" si="101">3-DL9</f>
        <v>1</v>
      </c>
      <c r="DN9" s="39">
        <f t="shared" ref="DN9:DN42" si="102">IFERROR(SUM(DI9:DK9)/DM9,"")</f>
        <v>85</v>
      </c>
      <c r="DO9" s="257">
        <f t="shared" ref="DO9:DO42" si="103">BH9</f>
        <v>0</v>
      </c>
      <c r="DP9" s="257">
        <f t="shared" ref="DP9:DP42" si="104">BU9</f>
        <v>0</v>
      </c>
      <c r="DQ9" s="257">
        <f t="shared" ref="DQ9:DQ42" si="105">CH9</f>
        <v>0</v>
      </c>
      <c r="DR9" s="575">
        <f t="shared" ref="DR9:DR42" si="106">COUNTIF(DO9:DQ9,)</f>
        <v>3</v>
      </c>
      <c r="DS9" s="506">
        <f t="shared" ref="DS9:DS42" si="107">3-DR9</f>
        <v>0</v>
      </c>
      <c r="DT9" s="39" t="str">
        <f t="shared" ref="DT9:DT42" si="108">IFERROR(SUM(DO9:DQ9)/DS9,"")</f>
        <v/>
      </c>
      <c r="DU9" s="257">
        <f t="shared" ref="DU9:DU42" si="109">BI9</f>
        <v>0</v>
      </c>
      <c r="DV9" s="257">
        <f t="shared" ref="DV9:DV42" si="110">BV9</f>
        <v>0</v>
      </c>
      <c r="DW9" s="257">
        <f t="shared" ref="DW9:DW42" si="111">CI9</f>
        <v>0</v>
      </c>
      <c r="DX9" s="575">
        <f t="shared" ref="DX9:DX42" si="112">COUNTIF(DU9:DW9,)</f>
        <v>3</v>
      </c>
      <c r="DY9" s="506">
        <f t="shared" ref="DY9:DY42" si="113">3-DX9</f>
        <v>0</v>
      </c>
      <c r="DZ9" s="39" t="str">
        <f t="shared" ref="DZ9:DZ42" si="114">IFERROR(SUM(DU9:DW9)/DY9,"")</f>
        <v/>
      </c>
      <c r="EA9" s="257">
        <f t="shared" ref="EA9:EA42" si="115">BJ9</f>
        <v>0</v>
      </c>
      <c r="EB9" s="257">
        <f t="shared" ref="EB9:EB42" si="116">BW9</f>
        <v>0</v>
      </c>
      <c r="EC9" s="257">
        <f t="shared" ref="EC9:EC42" si="117">CJ9</f>
        <v>0</v>
      </c>
      <c r="ED9" s="575">
        <f t="shared" ref="ED9:ED42" si="118">COUNTIF(EA9:EC9,)</f>
        <v>3</v>
      </c>
      <c r="EE9" s="506">
        <f t="shared" ref="EE9:EE42" si="119">3-ED9</f>
        <v>0</v>
      </c>
      <c r="EF9" s="39" t="str">
        <f t="shared" ref="EF9:EF42" si="120">IFERROR(SUM(EA9:EC9)/EE9,"")</f>
        <v/>
      </c>
      <c r="EG9" s="257">
        <f t="shared" ref="EG9:EG42" si="121">BK9</f>
        <v>0</v>
      </c>
      <c r="EH9" s="257">
        <f t="shared" ref="EH9:EH42" si="122">BX9</f>
        <v>0</v>
      </c>
      <c r="EI9" s="257">
        <f t="shared" ref="EI9:EI42" si="123">CK9</f>
        <v>0</v>
      </c>
      <c r="EJ9" s="575">
        <f t="shared" ref="EJ9:EJ42" si="124">COUNTIF(EG9:EI9,)</f>
        <v>3</v>
      </c>
      <c r="EK9" s="506">
        <f t="shared" ref="EK9:EK42" si="125">3-EJ9</f>
        <v>0</v>
      </c>
      <c r="EL9" s="39" t="str">
        <f t="shared" ref="EL9:EL42" si="126">IFERROR(SUM(EG9:EI9)/EK9,"")</f>
        <v/>
      </c>
      <c r="EM9" s="257">
        <f t="shared" ref="EM9:EM42" si="127">BL9</f>
        <v>0</v>
      </c>
      <c r="EN9" s="257">
        <f t="shared" ref="EN9:EN42" si="128">BY9</f>
        <v>0</v>
      </c>
      <c r="EO9" s="257">
        <f t="shared" ref="EO9:EO42" si="129">CL9</f>
        <v>0</v>
      </c>
      <c r="EP9" s="575">
        <f t="shared" ref="EP9:EP42" si="130">COUNTIF(EM9:EO9,)</f>
        <v>3</v>
      </c>
      <c r="EQ9" s="506">
        <f t="shared" ref="EQ9:EQ42" si="131">3-EP9</f>
        <v>0</v>
      </c>
      <c r="ER9" s="39" t="str">
        <f t="shared" ref="ER9:ER42" si="132">IFERROR(SUM(EM9:EO9)/EQ9,"")</f>
        <v/>
      </c>
      <c r="ES9" s="257">
        <f t="shared" ref="ES9:ES42" si="133">BM9</f>
        <v>0</v>
      </c>
      <c r="ET9" s="257">
        <f t="shared" ref="ET9:ET42" si="134">BZ9</f>
        <v>0</v>
      </c>
      <c r="EU9" s="257">
        <f t="shared" ref="EU9:EU42" si="135">CM9</f>
        <v>0</v>
      </c>
      <c r="EV9" s="575">
        <f t="shared" ref="EV9:EV42" si="136">COUNTIF(ES9:EU9,)</f>
        <v>3</v>
      </c>
      <c r="EW9" s="506">
        <f t="shared" ref="EW9:EW42" si="137">3-EV9</f>
        <v>0</v>
      </c>
      <c r="EX9" s="39" t="str">
        <f t="shared" ref="EX9:EX42" si="138">IFERROR(SUM(ES9:EU9)/EW9,"")</f>
        <v/>
      </c>
      <c r="EY9" s="257">
        <f t="shared" ref="EY9:EY42" si="139">BN9</f>
        <v>0</v>
      </c>
      <c r="EZ9" s="257">
        <f t="shared" ref="EZ9:EZ42" si="140">CA9</f>
        <v>0</v>
      </c>
      <c r="FA9" s="257">
        <f t="shared" ref="FA9:FA42" si="141">CN9</f>
        <v>0</v>
      </c>
      <c r="FB9" s="575">
        <f t="shared" ref="FB9:FB42" si="142">COUNTIF(EY9:FA9,)</f>
        <v>3</v>
      </c>
      <c r="FC9" s="506">
        <f t="shared" ref="FC9:FC42" si="143">3-FB9</f>
        <v>0</v>
      </c>
      <c r="FD9" s="39" t="str">
        <f t="shared" ref="FD9:FD42" si="144">IFERROR(SUM(EY9:FA9)/FC9,"")</f>
        <v/>
      </c>
      <c r="FE9" s="257">
        <f t="shared" ref="FE9:FE42" si="145">BO9</f>
        <v>0</v>
      </c>
      <c r="FF9" s="257">
        <f t="shared" ref="FF9:FF42" si="146">CB9</f>
        <v>0</v>
      </c>
      <c r="FG9" s="257">
        <f t="shared" ref="FG9:FG42" si="147">CP9</f>
        <v>0</v>
      </c>
      <c r="FH9" s="575">
        <f t="shared" ref="FH9:FH42" si="148">COUNTIF(FE9:FG9,)</f>
        <v>3</v>
      </c>
      <c r="FI9" s="506">
        <f t="shared" ref="FI9:FI42" si="149">3-FH9</f>
        <v>0</v>
      </c>
      <c r="FJ9" s="39" t="str">
        <f t="shared" ref="FJ9:FJ42" si="150">IFERROR(SUM(FE9:FG9)/FI9,"")</f>
        <v/>
      </c>
      <c r="FK9" s="39"/>
      <c r="FL9" s="39">
        <f t="shared" ref="FL9:FL42" si="151">CV9</f>
        <v>80</v>
      </c>
      <c r="FM9" s="39">
        <f t="shared" ref="FM9:FM42" si="152">DB9</f>
        <v>85</v>
      </c>
      <c r="FN9" s="39">
        <f t="shared" ref="FN9:FN42" si="153">DH9</f>
        <v>80</v>
      </c>
      <c r="FO9" s="39">
        <f t="shared" ref="FO9:FO42" si="154">DN9</f>
        <v>85</v>
      </c>
      <c r="FP9" s="39" t="str">
        <f t="shared" ref="FP9:FP42" si="155">DT9</f>
        <v/>
      </c>
      <c r="FQ9" s="39" t="str">
        <f t="shared" ref="FQ9:FQ42" si="156">DZ9</f>
        <v/>
      </c>
      <c r="FR9" s="39" t="str">
        <f t="shared" ref="FR9:FR42" si="157">EF9</f>
        <v/>
      </c>
      <c r="FS9" s="39" t="str">
        <f t="shared" ref="FS9:FS42" si="158">EL9</f>
        <v/>
      </c>
      <c r="FT9" s="39" t="str">
        <f t="shared" ref="FT9:FT42" si="159">ER9</f>
        <v/>
      </c>
      <c r="FU9" s="39" t="str">
        <f t="shared" ref="FU9:FU42" si="160">EX9</f>
        <v/>
      </c>
      <c r="FV9" s="39" t="str">
        <f t="shared" ref="FV9:FV42" si="161">FD9</f>
        <v/>
      </c>
      <c r="FW9" s="39" t="str">
        <f t="shared" ref="FW9:FW42" si="162">FJ9</f>
        <v/>
      </c>
      <c r="FX9" s="39">
        <f t="shared" ref="FX9:FX42" si="163">IFERROR(ROUND(AVERAGE(FL9:FW9),0),"")</f>
        <v>83</v>
      </c>
      <c r="FY9" s="68">
        <f t="shared" ref="FY9:FY42" si="164">MAX(FL9:FW9)</f>
        <v>85</v>
      </c>
      <c r="FZ9" s="68">
        <f t="shared" ref="FZ9:FZ42" si="165">MIN(FL9:FW9)</f>
        <v>80</v>
      </c>
      <c r="GA9" s="39" t="str">
        <f>SISWA!E7</f>
        <v>Athaya</v>
      </c>
      <c r="GB9" s="39" t="str">
        <f t="shared" ref="GB9:GB42" si="166">IF(GO9&gt;1,"Ananda "&amp;GA9&amp;" ","")</f>
        <v xml:space="preserve">Ananda Athaya </v>
      </c>
      <c r="GC9" s="207" t="str">
        <f t="shared" ref="GC9:GC42" si="167">IF(FL9=$FY9,$FY9,"")</f>
        <v/>
      </c>
      <c r="GD9" s="207">
        <f t="shared" ref="GD9:GD42" si="168">IF(FM9=$FY9,$FY9,"")</f>
        <v>85</v>
      </c>
      <c r="GE9" s="207" t="str">
        <f t="shared" ref="GE9:GE42" si="169">IF(FN9=$FY9,$FY9,"")</f>
        <v/>
      </c>
      <c r="GF9" s="207">
        <f t="shared" ref="GF9:GF42" si="170">IF(FO9=$FY9,$FY9,"")</f>
        <v>85</v>
      </c>
      <c r="GG9" s="207" t="str">
        <f t="shared" ref="GG9:GG42" si="171">IF(FP9=$FY9,$FY9,"")</f>
        <v/>
      </c>
      <c r="GH9" s="207" t="str">
        <f t="shared" ref="GH9:GH42" si="172">IF(FQ9=$FY9,$FY9,"")</f>
        <v/>
      </c>
      <c r="GI9" s="207" t="str">
        <f t="shared" ref="GI9:GI42" si="173">IF(FR9=$FY9,$FY9,"")</f>
        <v/>
      </c>
      <c r="GJ9" s="207" t="str">
        <f t="shared" ref="GJ9:GJ42" si="174">IF(FS9=$FY9,$FY9,"")</f>
        <v/>
      </c>
      <c r="GK9" s="207" t="str">
        <f t="shared" ref="GK9:GK42" si="175">IF(FT9=$FY9,$FY9,"")</f>
        <v/>
      </c>
      <c r="GL9" s="207" t="str">
        <f t="shared" ref="GL9:GL42" si="176">IF(FU9=$FY9,$FY9,"")</f>
        <v/>
      </c>
      <c r="GM9" s="207" t="str">
        <f t="shared" ref="GM9:GM42" si="177">IF(FV9=$FY9,$FY9,"")</f>
        <v/>
      </c>
      <c r="GN9" s="207" t="str">
        <f t="shared" ref="GN9:GN42" si="178">IF(FW9=$FY9,$FY9,"")</f>
        <v/>
      </c>
      <c r="GO9" s="39">
        <f t="shared" ref="GO9:GO42" si="179">SUM(GC9:GN9)</f>
        <v>170</v>
      </c>
      <c r="GP9" s="68" t="str">
        <f t="shared" ref="GP9:GP42" si="180">LOOKUP(FY9,(GC9:GN9),($GC$6:$GN$6))</f>
        <v>menyelesaikan masalah yang berkaitan dengan skala pada denah</v>
      </c>
      <c r="GQ9" s="576" t="str">
        <f>IF(FY9&gt;100,"",IF(FY9&gt;BE$1,"sangat baik dalam "&amp;GP9,IF(FY9&gt;=BE$2,"baik dalam "&amp;GP9,IF(FY9&gt;=BE$3,"cukup dalam "&amp;GP9,IF(FY9&lt;BE$3,"dengan bimbingan dapat meningkatkan dalam "&amp;GP9,IF(FY9&lt;1," ",””))))))</f>
        <v>baik dalam menyelesaikan masalah yang berkaitan dengan skala pada denah</v>
      </c>
      <c r="GR9" s="223"/>
      <c r="GS9" s="223">
        <f t="shared" ref="GS9:GS42" si="181">IF(FL9=$FZ9,$FZ9,"")</f>
        <v>80</v>
      </c>
      <c r="GT9" s="223" t="str">
        <f t="shared" ref="GT9:GT42" si="182">IF(FM9=$FZ9,$FZ9,"")</f>
        <v/>
      </c>
      <c r="GU9" s="223">
        <f t="shared" ref="GU9:GU42" si="183">IF(FN9=$FZ9,$FZ9,"")</f>
        <v>80</v>
      </c>
      <c r="GV9" s="223" t="str">
        <f t="shared" ref="GV9:GV42" si="184">IF(FO9=$FZ9,$FZ9,"")</f>
        <v/>
      </c>
      <c r="GW9" s="223" t="str">
        <f t="shared" ref="GW9:GW42" si="185">IF(FP9=$FZ9,$FZ9,"")</f>
        <v/>
      </c>
      <c r="GX9" s="223" t="str">
        <f t="shared" ref="GX9:GX42" si="186">IF(FQ9=$FZ9,$FZ9,"")</f>
        <v/>
      </c>
      <c r="GY9" s="223" t="str">
        <f t="shared" ref="GY9:GY42" si="187">IF(FR9=$FZ9,$FZ9,"")</f>
        <v/>
      </c>
      <c r="GZ9" s="223" t="str">
        <f t="shared" ref="GZ9:GZ42" si="188">IF(FS9=$FZ9,$FZ9,"")</f>
        <v/>
      </c>
      <c r="HA9" s="223" t="str">
        <f t="shared" ref="HA9:HA42" si="189">IF(FT9=$FZ9,$FZ9,"")</f>
        <v/>
      </c>
      <c r="HB9" s="223" t="str">
        <f t="shared" ref="HB9:HB42" si="190">IF(FU9=$FZ9,$FZ9,"")</f>
        <v/>
      </c>
      <c r="HC9" s="223" t="str">
        <f t="shared" ref="HC9:HC42" si="191">IF(FV9=$FZ9,$FZ9,"")</f>
        <v/>
      </c>
      <c r="HD9" s="223" t="str">
        <f t="shared" ref="HD9:HD42" si="192">IF(FW9=$FZ9,$FZ9,"")</f>
        <v/>
      </c>
      <c r="HE9" s="223" t="str">
        <f t="shared" ref="HE9:HE42" si="193">LOOKUP(FZ9,(GS9:HD9),($GS$6:$HD$6))</f>
        <v>menyelesaikan masalah yang berkaitan dengan perbandingan dua besaran yang berbeda (kecepatan, debit)</v>
      </c>
      <c r="HF9" s="577" t="str">
        <f>IF(FZ9&gt;100,"",IF(FZ9&gt;=BE$1,"sangat baik dalam "&amp;HE9,IF(FZ9&gt;=BE$2,"baik dalam "&amp;HE9,IF(FZ9&gt;=BE$3,"cukup dalam "&amp;HE9,IF(FZ9&lt;BE$3,"dengan bimbingan dapat meningkatkan dalam "&amp;HE9,IF(FZ9&lt;1," ",””))))))</f>
        <v>cukup dalam menyelesaikan masalah yang berkaitan dengan perbandingan dua besaran yang berbeda (kecepatan, debit)</v>
      </c>
      <c r="HG9" s="223" t="str">
        <f t="shared" ref="HG9:HG42" si="194">CONCATENATE(GB9&amp;GQ9&amp;", "&amp;HF9&amp;".")</f>
        <v>Ananda Athaya baik dalam menyelesaikan masalah yang berkaitan dengan skala pada denah, cukup dalam menyelesaikan masalah yang berkaitan dengan perbandingan dua besaran yang berbeda (kecepatan, debit).</v>
      </c>
    </row>
    <row r="10" spans="1:215" ht="30" customHeight="1">
      <c r="A10" s="39">
        <v>3</v>
      </c>
      <c r="B10" s="223" t="str">
        <f>SISWA!B8</f>
        <v>Amira Zerlinda</v>
      </c>
      <c r="C10" s="123">
        <v>75</v>
      </c>
      <c r="D10" s="123">
        <v>80</v>
      </c>
      <c r="E10" s="123">
        <v>75</v>
      </c>
      <c r="F10" s="123">
        <v>80</v>
      </c>
      <c r="G10" s="123"/>
      <c r="H10" s="123"/>
      <c r="I10" s="123"/>
      <c r="J10" s="123"/>
      <c r="K10" s="123"/>
      <c r="L10" s="123"/>
      <c r="M10" s="123"/>
      <c r="N10" s="123"/>
      <c r="O10" s="255"/>
      <c r="P10" s="255"/>
      <c r="Q10" s="255"/>
      <c r="R10" s="255"/>
      <c r="S10" s="255"/>
      <c r="T10" s="255"/>
      <c r="U10" s="255"/>
      <c r="V10" s="255"/>
      <c r="W10" s="255"/>
      <c r="X10" s="255"/>
      <c r="Y10" s="255"/>
      <c r="Z10" s="255"/>
      <c r="AA10" s="256"/>
      <c r="AB10" s="256"/>
      <c r="AC10" s="256"/>
      <c r="AD10" s="256"/>
      <c r="AE10" s="256"/>
      <c r="AF10" s="256"/>
      <c r="AG10" s="256"/>
      <c r="AH10" s="256"/>
      <c r="AI10" s="256"/>
      <c r="AJ10" s="256"/>
      <c r="AK10" s="256"/>
      <c r="AL10" s="256"/>
      <c r="AM10" s="257">
        <f t="shared" si="25"/>
        <v>75</v>
      </c>
      <c r="AN10" s="257">
        <f t="shared" si="26"/>
        <v>80</v>
      </c>
      <c r="AO10" s="257">
        <f t="shared" si="27"/>
        <v>75</v>
      </c>
      <c r="AP10" s="257">
        <f t="shared" si="28"/>
        <v>80</v>
      </c>
      <c r="AQ10" s="257" t="str">
        <f t="shared" si="29"/>
        <v/>
      </c>
      <c r="AR10" s="257" t="str">
        <f t="shared" si="30"/>
        <v/>
      </c>
      <c r="AS10" s="257" t="str">
        <f t="shared" si="31"/>
        <v/>
      </c>
      <c r="AT10" s="257" t="str">
        <f t="shared" si="32"/>
        <v/>
      </c>
      <c r="AU10" s="257" t="str">
        <f t="shared" si="33"/>
        <v/>
      </c>
      <c r="AV10" s="257" t="str">
        <f t="shared" si="34"/>
        <v/>
      </c>
      <c r="AW10" s="257" t="str">
        <f t="shared" si="35"/>
        <v/>
      </c>
      <c r="AX10" s="257" t="str">
        <f t="shared" si="36"/>
        <v/>
      </c>
      <c r="AY10" s="756">
        <f t="shared" si="37"/>
        <v>78</v>
      </c>
      <c r="AZ10" s="291" t="str">
        <f t="shared" si="38"/>
        <v>C</v>
      </c>
      <c r="BA10" s="243" t="str">
        <f t="shared" si="39"/>
        <v>Ananda Amira cukup dalam menyelesaikan masalah yang berkaitan dengan skala pada denah, cukup dalam menyelesaikan masalah yang berkaitan dengan perbandingan dua besaran yang berbeda (kecepatan, debit).</v>
      </c>
      <c r="BB10" s="39"/>
      <c r="BC10" s="39"/>
      <c r="BD10" s="257">
        <f t="shared" si="40"/>
        <v>75</v>
      </c>
      <c r="BE10" s="257">
        <f t="shared" si="41"/>
        <v>80</v>
      </c>
      <c r="BF10" s="257">
        <f t="shared" si="42"/>
        <v>75</v>
      </c>
      <c r="BG10" s="257">
        <f t="shared" si="43"/>
        <v>80</v>
      </c>
      <c r="BH10" s="257">
        <f t="shared" si="44"/>
        <v>0</v>
      </c>
      <c r="BI10" s="257">
        <f t="shared" si="45"/>
        <v>0</v>
      </c>
      <c r="BJ10" s="257">
        <f t="shared" si="46"/>
        <v>0</v>
      </c>
      <c r="BK10" s="257">
        <f t="shared" si="47"/>
        <v>0</v>
      </c>
      <c r="BL10" s="257">
        <f t="shared" si="48"/>
        <v>0</v>
      </c>
      <c r="BM10" s="257">
        <f t="shared" si="49"/>
        <v>0</v>
      </c>
      <c r="BN10" s="257">
        <f t="shared" si="50"/>
        <v>0</v>
      </c>
      <c r="BO10" s="257">
        <f t="shared" si="51"/>
        <v>0</v>
      </c>
      <c r="BP10" s="232">
        <f t="shared" si="52"/>
        <v>80</v>
      </c>
      <c r="BQ10" s="257">
        <f t="shared" si="53"/>
        <v>0</v>
      </c>
      <c r="BR10" s="257">
        <f t="shared" si="54"/>
        <v>0</v>
      </c>
      <c r="BS10" s="257">
        <f t="shared" si="55"/>
        <v>0</v>
      </c>
      <c r="BT10" s="257">
        <f t="shared" si="56"/>
        <v>0</v>
      </c>
      <c r="BU10" s="257">
        <f t="shared" si="57"/>
        <v>0</v>
      </c>
      <c r="BV10" s="257">
        <f t="shared" si="58"/>
        <v>0</v>
      </c>
      <c r="BW10" s="257">
        <f t="shared" si="59"/>
        <v>0</v>
      </c>
      <c r="BX10" s="257">
        <f t="shared" si="60"/>
        <v>0</v>
      </c>
      <c r="BY10" s="257">
        <f t="shared" si="61"/>
        <v>0</v>
      </c>
      <c r="BZ10" s="257">
        <f t="shared" si="62"/>
        <v>0</v>
      </c>
      <c r="CA10" s="257">
        <f t="shared" si="63"/>
        <v>0</v>
      </c>
      <c r="CB10" s="257">
        <f t="shared" si="64"/>
        <v>0</v>
      </c>
      <c r="CC10" s="232">
        <f t="shared" si="65"/>
        <v>0</v>
      </c>
      <c r="CD10" s="257">
        <f t="shared" si="66"/>
        <v>0</v>
      </c>
      <c r="CE10" s="257">
        <f t="shared" si="67"/>
        <v>0</v>
      </c>
      <c r="CF10" s="257">
        <f t="shared" si="68"/>
        <v>0</v>
      </c>
      <c r="CG10" s="257">
        <f t="shared" si="69"/>
        <v>0</v>
      </c>
      <c r="CH10" s="257">
        <f t="shared" si="70"/>
        <v>0</v>
      </c>
      <c r="CI10" s="257">
        <f t="shared" si="71"/>
        <v>0</v>
      </c>
      <c r="CJ10" s="257">
        <f t="shared" si="72"/>
        <v>0</v>
      </c>
      <c r="CK10" s="257">
        <f t="shared" si="73"/>
        <v>0</v>
      </c>
      <c r="CL10" s="257">
        <f t="shared" si="74"/>
        <v>0</v>
      </c>
      <c r="CM10" s="257">
        <f t="shared" si="75"/>
        <v>0</v>
      </c>
      <c r="CN10" s="257">
        <f t="shared" si="76"/>
        <v>0</v>
      </c>
      <c r="CO10" s="257">
        <f t="shared" si="77"/>
        <v>0</v>
      </c>
      <c r="CP10" s="232">
        <f t="shared" si="78"/>
        <v>0</v>
      </c>
      <c r="CQ10" s="257">
        <f t="shared" si="79"/>
        <v>75</v>
      </c>
      <c r="CR10" s="257">
        <f t="shared" si="80"/>
        <v>0</v>
      </c>
      <c r="CS10" s="257">
        <f t="shared" si="81"/>
        <v>0</v>
      </c>
      <c r="CT10" s="575">
        <f t="shared" si="82"/>
        <v>2</v>
      </c>
      <c r="CU10" s="506">
        <f t="shared" si="83"/>
        <v>1</v>
      </c>
      <c r="CV10" s="39">
        <f t="shared" si="84"/>
        <v>75</v>
      </c>
      <c r="CW10" s="257">
        <f t="shared" si="85"/>
        <v>80</v>
      </c>
      <c r="CX10" s="257">
        <f t="shared" si="86"/>
        <v>0</v>
      </c>
      <c r="CY10" s="257">
        <f t="shared" si="87"/>
        <v>0</v>
      </c>
      <c r="CZ10" s="575">
        <f t="shared" si="88"/>
        <v>2</v>
      </c>
      <c r="DA10" s="506">
        <f t="shared" si="89"/>
        <v>1</v>
      </c>
      <c r="DB10" s="39">
        <f t="shared" si="90"/>
        <v>80</v>
      </c>
      <c r="DC10" s="257">
        <f t="shared" si="91"/>
        <v>75</v>
      </c>
      <c r="DD10" s="257">
        <f t="shared" si="92"/>
        <v>0</v>
      </c>
      <c r="DE10" s="257">
        <f t="shared" si="93"/>
        <v>0</v>
      </c>
      <c r="DF10" s="575">
        <f t="shared" si="94"/>
        <v>2</v>
      </c>
      <c r="DG10" s="506">
        <f t="shared" si="95"/>
        <v>1</v>
      </c>
      <c r="DH10" s="39">
        <f t="shared" si="96"/>
        <v>75</v>
      </c>
      <c r="DI10" s="257">
        <f t="shared" si="97"/>
        <v>80</v>
      </c>
      <c r="DJ10" s="257">
        <f t="shared" si="98"/>
        <v>0</v>
      </c>
      <c r="DK10" s="257">
        <f t="shared" si="99"/>
        <v>0</v>
      </c>
      <c r="DL10" s="575">
        <f t="shared" si="100"/>
        <v>2</v>
      </c>
      <c r="DM10" s="506">
        <f t="shared" si="101"/>
        <v>1</v>
      </c>
      <c r="DN10" s="39">
        <f t="shared" si="102"/>
        <v>80</v>
      </c>
      <c r="DO10" s="257">
        <f t="shared" si="103"/>
        <v>0</v>
      </c>
      <c r="DP10" s="257">
        <f t="shared" si="104"/>
        <v>0</v>
      </c>
      <c r="DQ10" s="257">
        <f t="shared" si="105"/>
        <v>0</v>
      </c>
      <c r="DR10" s="575">
        <f t="shared" si="106"/>
        <v>3</v>
      </c>
      <c r="DS10" s="506">
        <f t="shared" si="107"/>
        <v>0</v>
      </c>
      <c r="DT10" s="39" t="str">
        <f t="shared" si="108"/>
        <v/>
      </c>
      <c r="DU10" s="257">
        <f t="shared" si="109"/>
        <v>0</v>
      </c>
      <c r="DV10" s="257">
        <f t="shared" si="110"/>
        <v>0</v>
      </c>
      <c r="DW10" s="257">
        <f t="shared" si="111"/>
        <v>0</v>
      </c>
      <c r="DX10" s="575">
        <f t="shared" si="112"/>
        <v>3</v>
      </c>
      <c r="DY10" s="506">
        <f t="shared" si="113"/>
        <v>0</v>
      </c>
      <c r="DZ10" s="39" t="str">
        <f t="shared" si="114"/>
        <v/>
      </c>
      <c r="EA10" s="257">
        <f t="shared" si="115"/>
        <v>0</v>
      </c>
      <c r="EB10" s="257">
        <f t="shared" si="116"/>
        <v>0</v>
      </c>
      <c r="EC10" s="257">
        <f t="shared" si="117"/>
        <v>0</v>
      </c>
      <c r="ED10" s="575">
        <f t="shared" si="118"/>
        <v>3</v>
      </c>
      <c r="EE10" s="506">
        <f t="shared" si="119"/>
        <v>0</v>
      </c>
      <c r="EF10" s="39" t="str">
        <f t="shared" si="120"/>
        <v/>
      </c>
      <c r="EG10" s="257">
        <f t="shared" si="121"/>
        <v>0</v>
      </c>
      <c r="EH10" s="257">
        <f t="shared" si="122"/>
        <v>0</v>
      </c>
      <c r="EI10" s="257">
        <f t="shared" si="123"/>
        <v>0</v>
      </c>
      <c r="EJ10" s="575">
        <f t="shared" si="124"/>
        <v>3</v>
      </c>
      <c r="EK10" s="506">
        <f t="shared" si="125"/>
        <v>0</v>
      </c>
      <c r="EL10" s="39" t="str">
        <f t="shared" si="126"/>
        <v/>
      </c>
      <c r="EM10" s="257">
        <f t="shared" si="127"/>
        <v>0</v>
      </c>
      <c r="EN10" s="257">
        <f t="shared" si="128"/>
        <v>0</v>
      </c>
      <c r="EO10" s="257">
        <f t="shared" si="129"/>
        <v>0</v>
      </c>
      <c r="EP10" s="575">
        <f t="shared" si="130"/>
        <v>3</v>
      </c>
      <c r="EQ10" s="506">
        <f t="shared" si="131"/>
        <v>0</v>
      </c>
      <c r="ER10" s="39" t="str">
        <f t="shared" si="132"/>
        <v/>
      </c>
      <c r="ES10" s="257">
        <f t="shared" si="133"/>
        <v>0</v>
      </c>
      <c r="ET10" s="257">
        <f t="shared" si="134"/>
        <v>0</v>
      </c>
      <c r="EU10" s="257">
        <f t="shared" si="135"/>
        <v>0</v>
      </c>
      <c r="EV10" s="575">
        <f t="shared" si="136"/>
        <v>3</v>
      </c>
      <c r="EW10" s="506">
        <f t="shared" si="137"/>
        <v>0</v>
      </c>
      <c r="EX10" s="39" t="str">
        <f t="shared" si="138"/>
        <v/>
      </c>
      <c r="EY10" s="257">
        <f t="shared" si="139"/>
        <v>0</v>
      </c>
      <c r="EZ10" s="257">
        <f t="shared" si="140"/>
        <v>0</v>
      </c>
      <c r="FA10" s="257">
        <f t="shared" si="141"/>
        <v>0</v>
      </c>
      <c r="FB10" s="575">
        <f t="shared" si="142"/>
        <v>3</v>
      </c>
      <c r="FC10" s="506">
        <f t="shared" si="143"/>
        <v>0</v>
      </c>
      <c r="FD10" s="39" t="str">
        <f t="shared" si="144"/>
        <v/>
      </c>
      <c r="FE10" s="257">
        <f t="shared" si="145"/>
        <v>0</v>
      </c>
      <c r="FF10" s="257">
        <f t="shared" si="146"/>
        <v>0</v>
      </c>
      <c r="FG10" s="257">
        <f t="shared" si="147"/>
        <v>0</v>
      </c>
      <c r="FH10" s="575">
        <f t="shared" si="148"/>
        <v>3</v>
      </c>
      <c r="FI10" s="506">
        <f t="shared" si="149"/>
        <v>0</v>
      </c>
      <c r="FJ10" s="39" t="str">
        <f t="shared" si="150"/>
        <v/>
      </c>
      <c r="FK10" s="39"/>
      <c r="FL10" s="39">
        <f t="shared" si="151"/>
        <v>75</v>
      </c>
      <c r="FM10" s="39">
        <f t="shared" si="152"/>
        <v>80</v>
      </c>
      <c r="FN10" s="39">
        <f t="shared" si="153"/>
        <v>75</v>
      </c>
      <c r="FO10" s="39">
        <f t="shared" si="154"/>
        <v>80</v>
      </c>
      <c r="FP10" s="39" t="str">
        <f t="shared" si="155"/>
        <v/>
      </c>
      <c r="FQ10" s="39" t="str">
        <f t="shared" si="156"/>
        <v/>
      </c>
      <c r="FR10" s="39" t="str">
        <f t="shared" si="157"/>
        <v/>
      </c>
      <c r="FS10" s="39" t="str">
        <f t="shared" si="158"/>
        <v/>
      </c>
      <c r="FT10" s="39" t="str">
        <f t="shared" si="159"/>
        <v/>
      </c>
      <c r="FU10" s="39" t="str">
        <f t="shared" si="160"/>
        <v/>
      </c>
      <c r="FV10" s="39" t="str">
        <f t="shared" si="161"/>
        <v/>
      </c>
      <c r="FW10" s="39" t="str">
        <f t="shared" si="162"/>
        <v/>
      </c>
      <c r="FX10" s="39">
        <f t="shared" si="163"/>
        <v>78</v>
      </c>
      <c r="FY10" s="68">
        <f t="shared" si="164"/>
        <v>80</v>
      </c>
      <c r="FZ10" s="68">
        <f t="shared" si="165"/>
        <v>75</v>
      </c>
      <c r="GA10" s="39" t="str">
        <f>SISWA!E8</f>
        <v>Amira</v>
      </c>
      <c r="GB10" s="39" t="str">
        <f t="shared" si="166"/>
        <v xml:space="preserve">Ananda Amira </v>
      </c>
      <c r="GC10" s="207" t="str">
        <f t="shared" si="167"/>
        <v/>
      </c>
      <c r="GD10" s="207">
        <f t="shared" si="168"/>
        <v>80</v>
      </c>
      <c r="GE10" s="207" t="str">
        <f t="shared" si="169"/>
        <v/>
      </c>
      <c r="GF10" s="207">
        <f t="shared" si="170"/>
        <v>80</v>
      </c>
      <c r="GG10" s="207" t="str">
        <f t="shared" si="171"/>
        <v/>
      </c>
      <c r="GH10" s="207" t="str">
        <f t="shared" si="172"/>
        <v/>
      </c>
      <c r="GI10" s="207" t="str">
        <f t="shared" si="173"/>
        <v/>
      </c>
      <c r="GJ10" s="207" t="str">
        <f t="shared" si="174"/>
        <v/>
      </c>
      <c r="GK10" s="207" t="str">
        <f t="shared" si="175"/>
        <v/>
      </c>
      <c r="GL10" s="207" t="str">
        <f t="shared" si="176"/>
        <v/>
      </c>
      <c r="GM10" s="207" t="str">
        <f t="shared" si="177"/>
        <v/>
      </c>
      <c r="GN10" s="207" t="str">
        <f t="shared" si="178"/>
        <v/>
      </c>
      <c r="GO10" s="39">
        <f t="shared" si="179"/>
        <v>160</v>
      </c>
      <c r="GP10" s="68" t="str">
        <f t="shared" si="180"/>
        <v>menyelesaikan masalah yang berkaitan dengan skala pada denah</v>
      </c>
      <c r="GQ10" s="576" t="str">
        <f>IF(FY10&gt;100,"",IF(FY10&gt;BE$1,"sangat baik dalam "&amp;GP10,IF(FY10&gt;=BE$2,"baik dalam "&amp;GP10,IF(FY10&gt;=BE$3,"cukup dalam "&amp;GP10,IF(FY10&lt;BE$3,"dengan bimbingan dapat meningkatkan dalam "&amp;GP10,IF(FY10&lt;1," ",””))))))</f>
        <v>cukup dalam menyelesaikan masalah yang berkaitan dengan skala pada denah</v>
      </c>
      <c r="GR10" s="223"/>
      <c r="GS10" s="223">
        <f t="shared" si="181"/>
        <v>75</v>
      </c>
      <c r="GT10" s="223" t="str">
        <f t="shared" si="182"/>
        <v/>
      </c>
      <c r="GU10" s="223">
        <f t="shared" si="183"/>
        <v>75</v>
      </c>
      <c r="GV10" s="223" t="str">
        <f t="shared" si="184"/>
        <v/>
      </c>
      <c r="GW10" s="223" t="str">
        <f t="shared" si="185"/>
        <v/>
      </c>
      <c r="GX10" s="223" t="str">
        <f t="shared" si="186"/>
        <v/>
      </c>
      <c r="GY10" s="223" t="str">
        <f t="shared" si="187"/>
        <v/>
      </c>
      <c r="GZ10" s="223" t="str">
        <f t="shared" si="188"/>
        <v/>
      </c>
      <c r="HA10" s="223" t="str">
        <f t="shared" si="189"/>
        <v/>
      </c>
      <c r="HB10" s="223" t="str">
        <f t="shared" si="190"/>
        <v/>
      </c>
      <c r="HC10" s="223" t="str">
        <f t="shared" si="191"/>
        <v/>
      </c>
      <c r="HD10" s="223" t="str">
        <f t="shared" si="192"/>
        <v/>
      </c>
      <c r="HE10" s="223" t="str">
        <f t="shared" si="193"/>
        <v>menyelesaikan masalah yang berkaitan dengan perbandingan dua besaran yang berbeda (kecepatan, debit)</v>
      </c>
      <c r="HF10" s="577" t="str">
        <f>IF(FZ10&gt;100,"",IF(FZ10&gt;=BE$1,"sangat baik dalam "&amp;HE10,IF(FZ10&gt;=BE$2,"baik dalam "&amp;HE10,IF(FZ10&gt;=BE$3,"cukup dalam "&amp;HE10,IF(FZ10&lt;BE$3,"dengan bimbingan dapat meningkatkan dalam "&amp;HE10,IF(FZ10&lt;1," ",””))))))</f>
        <v>cukup dalam menyelesaikan masalah yang berkaitan dengan perbandingan dua besaran yang berbeda (kecepatan, debit)</v>
      </c>
      <c r="HG10" s="223" t="str">
        <f t="shared" si="194"/>
        <v>Ananda Amira cukup dalam menyelesaikan masalah yang berkaitan dengan skala pada denah, cukup dalam menyelesaikan masalah yang berkaitan dengan perbandingan dua besaran yang berbeda (kecepatan, debit).</v>
      </c>
    </row>
    <row r="11" spans="1:215" ht="30" customHeight="1">
      <c r="A11" s="39">
        <v>4</v>
      </c>
      <c r="B11" s="223" t="str">
        <f>SISWA!B9</f>
        <v>Andrian Putra Pangestu</v>
      </c>
      <c r="C11" s="123">
        <v>75</v>
      </c>
      <c r="D11" s="123">
        <v>80</v>
      </c>
      <c r="E11" s="123">
        <v>75</v>
      </c>
      <c r="F11" s="123">
        <v>80</v>
      </c>
      <c r="G11" s="123"/>
      <c r="H11" s="123"/>
      <c r="I11" s="123"/>
      <c r="J11" s="123"/>
      <c r="K11" s="123"/>
      <c r="L11" s="123"/>
      <c r="M11" s="123"/>
      <c r="N11" s="123"/>
      <c r="O11" s="255"/>
      <c r="P11" s="255"/>
      <c r="Q11" s="255"/>
      <c r="R11" s="255"/>
      <c r="S11" s="255"/>
      <c r="T11" s="255"/>
      <c r="U11" s="255"/>
      <c r="V11" s="255"/>
      <c r="W11" s="255"/>
      <c r="X11" s="255"/>
      <c r="Y11" s="255"/>
      <c r="Z11" s="255"/>
      <c r="AA11" s="256"/>
      <c r="AB11" s="256"/>
      <c r="AC11" s="256"/>
      <c r="AD11" s="256"/>
      <c r="AE11" s="256"/>
      <c r="AF11" s="256"/>
      <c r="AG11" s="256"/>
      <c r="AH11" s="256"/>
      <c r="AI11" s="256"/>
      <c r="AJ11" s="256"/>
      <c r="AK11" s="256"/>
      <c r="AL11" s="256"/>
      <c r="AM11" s="257">
        <f t="shared" si="25"/>
        <v>75</v>
      </c>
      <c r="AN11" s="257">
        <f t="shared" si="26"/>
        <v>80</v>
      </c>
      <c r="AO11" s="257">
        <f t="shared" si="27"/>
        <v>75</v>
      </c>
      <c r="AP11" s="257">
        <f t="shared" si="28"/>
        <v>80</v>
      </c>
      <c r="AQ11" s="257" t="str">
        <f t="shared" si="29"/>
        <v/>
      </c>
      <c r="AR11" s="257" t="str">
        <f t="shared" si="30"/>
        <v/>
      </c>
      <c r="AS11" s="257" t="str">
        <f t="shared" si="31"/>
        <v/>
      </c>
      <c r="AT11" s="257" t="str">
        <f t="shared" si="32"/>
        <v/>
      </c>
      <c r="AU11" s="257" t="str">
        <f t="shared" si="33"/>
        <v/>
      </c>
      <c r="AV11" s="257" t="str">
        <f t="shared" si="34"/>
        <v/>
      </c>
      <c r="AW11" s="257" t="str">
        <f t="shared" si="35"/>
        <v/>
      </c>
      <c r="AX11" s="257" t="str">
        <f t="shared" si="36"/>
        <v/>
      </c>
      <c r="AY11" s="756">
        <f t="shared" si="37"/>
        <v>78</v>
      </c>
      <c r="AZ11" s="291" t="str">
        <f t="shared" si="38"/>
        <v>C</v>
      </c>
      <c r="BA11" s="243" t="str">
        <f t="shared" si="39"/>
        <v>Ananda Andri cukup dalam menyelesaikan masalah yang berkaitan dengan skala pada denah, cukup dalam menyelesaikan masalah yang berkaitan dengan perbandingan dua besaran yang berbeda (kecepatan, debit).</v>
      </c>
      <c r="BB11" s="39"/>
      <c r="BC11" s="39"/>
      <c r="BD11" s="257">
        <f t="shared" si="40"/>
        <v>75</v>
      </c>
      <c r="BE11" s="257">
        <f t="shared" si="41"/>
        <v>80</v>
      </c>
      <c r="BF11" s="257">
        <f t="shared" si="42"/>
        <v>75</v>
      </c>
      <c r="BG11" s="257">
        <f t="shared" si="43"/>
        <v>80</v>
      </c>
      <c r="BH11" s="257">
        <f t="shared" si="44"/>
        <v>0</v>
      </c>
      <c r="BI11" s="257">
        <f t="shared" si="45"/>
        <v>0</v>
      </c>
      <c r="BJ11" s="257">
        <f t="shared" si="46"/>
        <v>0</v>
      </c>
      <c r="BK11" s="257">
        <f t="shared" si="47"/>
        <v>0</v>
      </c>
      <c r="BL11" s="257">
        <f t="shared" si="48"/>
        <v>0</v>
      </c>
      <c r="BM11" s="257">
        <f t="shared" si="49"/>
        <v>0</v>
      </c>
      <c r="BN11" s="257">
        <f t="shared" si="50"/>
        <v>0</v>
      </c>
      <c r="BO11" s="257">
        <f t="shared" si="51"/>
        <v>0</v>
      </c>
      <c r="BP11" s="232">
        <f t="shared" si="52"/>
        <v>80</v>
      </c>
      <c r="BQ11" s="257">
        <f t="shared" si="53"/>
        <v>0</v>
      </c>
      <c r="BR11" s="257">
        <f t="shared" si="54"/>
        <v>0</v>
      </c>
      <c r="BS11" s="257">
        <f t="shared" si="55"/>
        <v>0</v>
      </c>
      <c r="BT11" s="257">
        <f t="shared" si="56"/>
        <v>0</v>
      </c>
      <c r="BU11" s="257">
        <f t="shared" si="57"/>
        <v>0</v>
      </c>
      <c r="BV11" s="257">
        <f t="shared" si="58"/>
        <v>0</v>
      </c>
      <c r="BW11" s="257">
        <f t="shared" si="59"/>
        <v>0</v>
      </c>
      <c r="BX11" s="257">
        <f t="shared" si="60"/>
        <v>0</v>
      </c>
      <c r="BY11" s="257">
        <f t="shared" si="61"/>
        <v>0</v>
      </c>
      <c r="BZ11" s="257">
        <f t="shared" si="62"/>
        <v>0</v>
      </c>
      <c r="CA11" s="257">
        <f t="shared" si="63"/>
        <v>0</v>
      </c>
      <c r="CB11" s="257">
        <f t="shared" si="64"/>
        <v>0</v>
      </c>
      <c r="CC11" s="232">
        <f t="shared" si="65"/>
        <v>0</v>
      </c>
      <c r="CD11" s="257">
        <f t="shared" si="66"/>
        <v>0</v>
      </c>
      <c r="CE11" s="257">
        <f t="shared" si="67"/>
        <v>0</v>
      </c>
      <c r="CF11" s="257">
        <f t="shared" si="68"/>
        <v>0</v>
      </c>
      <c r="CG11" s="257">
        <f t="shared" si="69"/>
        <v>0</v>
      </c>
      <c r="CH11" s="257">
        <f t="shared" si="70"/>
        <v>0</v>
      </c>
      <c r="CI11" s="257">
        <f t="shared" si="71"/>
        <v>0</v>
      </c>
      <c r="CJ11" s="257">
        <f t="shared" si="72"/>
        <v>0</v>
      </c>
      <c r="CK11" s="257">
        <f t="shared" si="73"/>
        <v>0</v>
      </c>
      <c r="CL11" s="257">
        <f t="shared" si="74"/>
        <v>0</v>
      </c>
      <c r="CM11" s="257">
        <f t="shared" si="75"/>
        <v>0</v>
      </c>
      <c r="CN11" s="257">
        <f t="shared" si="76"/>
        <v>0</v>
      </c>
      <c r="CO11" s="257">
        <f t="shared" si="77"/>
        <v>0</v>
      </c>
      <c r="CP11" s="232">
        <f t="shared" si="78"/>
        <v>0</v>
      </c>
      <c r="CQ11" s="257">
        <f t="shared" si="79"/>
        <v>75</v>
      </c>
      <c r="CR11" s="257">
        <f t="shared" si="80"/>
        <v>0</v>
      </c>
      <c r="CS11" s="257">
        <f t="shared" si="81"/>
        <v>0</v>
      </c>
      <c r="CT11" s="575">
        <f t="shared" si="82"/>
        <v>2</v>
      </c>
      <c r="CU11" s="506">
        <f t="shared" si="83"/>
        <v>1</v>
      </c>
      <c r="CV11" s="39">
        <f t="shared" si="84"/>
        <v>75</v>
      </c>
      <c r="CW11" s="257">
        <f t="shared" si="85"/>
        <v>80</v>
      </c>
      <c r="CX11" s="257">
        <f t="shared" si="86"/>
        <v>0</v>
      </c>
      <c r="CY11" s="257">
        <f t="shared" si="87"/>
        <v>0</v>
      </c>
      <c r="CZ11" s="575">
        <f t="shared" si="88"/>
        <v>2</v>
      </c>
      <c r="DA11" s="506">
        <f t="shared" si="89"/>
        <v>1</v>
      </c>
      <c r="DB11" s="39">
        <f t="shared" si="90"/>
        <v>80</v>
      </c>
      <c r="DC11" s="257">
        <f t="shared" si="91"/>
        <v>75</v>
      </c>
      <c r="DD11" s="257">
        <f t="shared" si="92"/>
        <v>0</v>
      </c>
      <c r="DE11" s="257">
        <f t="shared" si="93"/>
        <v>0</v>
      </c>
      <c r="DF11" s="575">
        <f t="shared" si="94"/>
        <v>2</v>
      </c>
      <c r="DG11" s="506">
        <f t="shared" si="95"/>
        <v>1</v>
      </c>
      <c r="DH11" s="39">
        <f t="shared" si="96"/>
        <v>75</v>
      </c>
      <c r="DI11" s="257">
        <f t="shared" si="97"/>
        <v>80</v>
      </c>
      <c r="DJ11" s="257">
        <f t="shared" si="98"/>
        <v>0</v>
      </c>
      <c r="DK11" s="257">
        <f t="shared" si="99"/>
        <v>0</v>
      </c>
      <c r="DL11" s="575">
        <f t="shared" si="100"/>
        <v>2</v>
      </c>
      <c r="DM11" s="506">
        <f t="shared" si="101"/>
        <v>1</v>
      </c>
      <c r="DN11" s="39">
        <f t="shared" si="102"/>
        <v>80</v>
      </c>
      <c r="DO11" s="257">
        <f t="shared" si="103"/>
        <v>0</v>
      </c>
      <c r="DP11" s="257">
        <f t="shared" si="104"/>
        <v>0</v>
      </c>
      <c r="DQ11" s="257">
        <f t="shared" si="105"/>
        <v>0</v>
      </c>
      <c r="DR11" s="575">
        <f t="shared" si="106"/>
        <v>3</v>
      </c>
      <c r="DS11" s="506">
        <f t="shared" si="107"/>
        <v>0</v>
      </c>
      <c r="DT11" s="39" t="str">
        <f t="shared" si="108"/>
        <v/>
      </c>
      <c r="DU11" s="257">
        <f t="shared" si="109"/>
        <v>0</v>
      </c>
      <c r="DV11" s="257">
        <f t="shared" si="110"/>
        <v>0</v>
      </c>
      <c r="DW11" s="257">
        <f t="shared" si="111"/>
        <v>0</v>
      </c>
      <c r="DX11" s="575">
        <f t="shared" si="112"/>
        <v>3</v>
      </c>
      <c r="DY11" s="506">
        <f t="shared" si="113"/>
        <v>0</v>
      </c>
      <c r="DZ11" s="39" t="str">
        <f t="shared" si="114"/>
        <v/>
      </c>
      <c r="EA11" s="257">
        <f t="shared" si="115"/>
        <v>0</v>
      </c>
      <c r="EB11" s="257">
        <f t="shared" si="116"/>
        <v>0</v>
      </c>
      <c r="EC11" s="257">
        <f t="shared" si="117"/>
        <v>0</v>
      </c>
      <c r="ED11" s="575">
        <f t="shared" si="118"/>
        <v>3</v>
      </c>
      <c r="EE11" s="506">
        <f t="shared" si="119"/>
        <v>0</v>
      </c>
      <c r="EF11" s="39" t="str">
        <f t="shared" si="120"/>
        <v/>
      </c>
      <c r="EG11" s="257">
        <f t="shared" si="121"/>
        <v>0</v>
      </c>
      <c r="EH11" s="257">
        <f t="shared" si="122"/>
        <v>0</v>
      </c>
      <c r="EI11" s="257">
        <f t="shared" si="123"/>
        <v>0</v>
      </c>
      <c r="EJ11" s="575">
        <f t="shared" si="124"/>
        <v>3</v>
      </c>
      <c r="EK11" s="506">
        <f t="shared" si="125"/>
        <v>0</v>
      </c>
      <c r="EL11" s="39" t="str">
        <f t="shared" si="126"/>
        <v/>
      </c>
      <c r="EM11" s="257">
        <f t="shared" si="127"/>
        <v>0</v>
      </c>
      <c r="EN11" s="257">
        <f t="shared" si="128"/>
        <v>0</v>
      </c>
      <c r="EO11" s="257">
        <f t="shared" si="129"/>
        <v>0</v>
      </c>
      <c r="EP11" s="575">
        <f t="shared" si="130"/>
        <v>3</v>
      </c>
      <c r="EQ11" s="506">
        <f t="shared" si="131"/>
        <v>0</v>
      </c>
      <c r="ER11" s="39" t="str">
        <f t="shared" si="132"/>
        <v/>
      </c>
      <c r="ES11" s="257">
        <f t="shared" si="133"/>
        <v>0</v>
      </c>
      <c r="ET11" s="257">
        <f t="shared" si="134"/>
        <v>0</v>
      </c>
      <c r="EU11" s="257">
        <f t="shared" si="135"/>
        <v>0</v>
      </c>
      <c r="EV11" s="575">
        <f t="shared" si="136"/>
        <v>3</v>
      </c>
      <c r="EW11" s="506">
        <f t="shared" si="137"/>
        <v>0</v>
      </c>
      <c r="EX11" s="39" t="str">
        <f t="shared" si="138"/>
        <v/>
      </c>
      <c r="EY11" s="257">
        <f t="shared" si="139"/>
        <v>0</v>
      </c>
      <c r="EZ11" s="257">
        <f t="shared" si="140"/>
        <v>0</v>
      </c>
      <c r="FA11" s="257">
        <f t="shared" si="141"/>
        <v>0</v>
      </c>
      <c r="FB11" s="575">
        <f t="shared" si="142"/>
        <v>3</v>
      </c>
      <c r="FC11" s="506">
        <f t="shared" si="143"/>
        <v>0</v>
      </c>
      <c r="FD11" s="39" t="str">
        <f t="shared" si="144"/>
        <v/>
      </c>
      <c r="FE11" s="257">
        <f t="shared" si="145"/>
        <v>0</v>
      </c>
      <c r="FF11" s="257">
        <f t="shared" si="146"/>
        <v>0</v>
      </c>
      <c r="FG11" s="257">
        <f t="shared" si="147"/>
        <v>0</v>
      </c>
      <c r="FH11" s="575">
        <f t="shared" si="148"/>
        <v>3</v>
      </c>
      <c r="FI11" s="506">
        <f t="shared" si="149"/>
        <v>0</v>
      </c>
      <c r="FJ11" s="39" t="str">
        <f t="shared" si="150"/>
        <v/>
      </c>
      <c r="FK11" s="39"/>
      <c r="FL11" s="39">
        <f t="shared" si="151"/>
        <v>75</v>
      </c>
      <c r="FM11" s="39">
        <f t="shared" si="152"/>
        <v>80</v>
      </c>
      <c r="FN11" s="39">
        <f t="shared" si="153"/>
        <v>75</v>
      </c>
      <c r="FO11" s="39">
        <f t="shared" si="154"/>
        <v>80</v>
      </c>
      <c r="FP11" s="39" t="str">
        <f t="shared" si="155"/>
        <v/>
      </c>
      <c r="FQ11" s="39" t="str">
        <f t="shared" si="156"/>
        <v/>
      </c>
      <c r="FR11" s="39" t="str">
        <f t="shared" si="157"/>
        <v/>
      </c>
      <c r="FS11" s="39" t="str">
        <f t="shared" si="158"/>
        <v/>
      </c>
      <c r="FT11" s="39" t="str">
        <f t="shared" si="159"/>
        <v/>
      </c>
      <c r="FU11" s="39" t="str">
        <f t="shared" si="160"/>
        <v/>
      </c>
      <c r="FV11" s="39" t="str">
        <f t="shared" si="161"/>
        <v/>
      </c>
      <c r="FW11" s="39" t="str">
        <f t="shared" si="162"/>
        <v/>
      </c>
      <c r="FX11" s="39">
        <f t="shared" si="163"/>
        <v>78</v>
      </c>
      <c r="FY11" s="68">
        <f t="shared" si="164"/>
        <v>80</v>
      </c>
      <c r="FZ11" s="68">
        <f t="shared" si="165"/>
        <v>75</v>
      </c>
      <c r="GA11" s="39" t="str">
        <f>SISWA!E9</f>
        <v>Andri</v>
      </c>
      <c r="GB11" s="39" t="str">
        <f t="shared" si="166"/>
        <v xml:space="preserve">Ananda Andri </v>
      </c>
      <c r="GC11" s="207" t="str">
        <f t="shared" si="167"/>
        <v/>
      </c>
      <c r="GD11" s="207">
        <f t="shared" si="168"/>
        <v>80</v>
      </c>
      <c r="GE11" s="207" t="str">
        <f t="shared" si="169"/>
        <v/>
      </c>
      <c r="GF11" s="207">
        <f t="shared" si="170"/>
        <v>80</v>
      </c>
      <c r="GG11" s="207" t="str">
        <f t="shared" si="171"/>
        <v/>
      </c>
      <c r="GH11" s="207" t="str">
        <f t="shared" si="172"/>
        <v/>
      </c>
      <c r="GI11" s="207" t="str">
        <f t="shared" si="173"/>
        <v/>
      </c>
      <c r="GJ11" s="207" t="str">
        <f t="shared" si="174"/>
        <v/>
      </c>
      <c r="GK11" s="207" t="str">
        <f t="shared" si="175"/>
        <v/>
      </c>
      <c r="GL11" s="207" t="str">
        <f t="shared" si="176"/>
        <v/>
      </c>
      <c r="GM11" s="207" t="str">
        <f t="shared" si="177"/>
        <v/>
      </c>
      <c r="GN11" s="207" t="str">
        <f t="shared" si="178"/>
        <v/>
      </c>
      <c r="GO11" s="39">
        <f t="shared" si="179"/>
        <v>160</v>
      </c>
      <c r="GP11" s="68" t="str">
        <f t="shared" si="180"/>
        <v>menyelesaikan masalah yang berkaitan dengan skala pada denah</v>
      </c>
      <c r="GQ11" s="576" t="str">
        <f>IF(FY11&gt;100,"",IF(FY11&gt;BE$1,"sangat baik dalam "&amp;GP11,IF(FY11&gt;=BE$2,"baik dalam "&amp;GP11,IF(FY11&gt;=BE$3,"cukup dalam "&amp;GP11,IF(FY11&lt;BE$3,"dengan bimbingan dapat meningkatkan dalam "&amp;GP11,IF(FY11&lt;1," ",””))))))</f>
        <v>cukup dalam menyelesaikan masalah yang berkaitan dengan skala pada denah</v>
      </c>
      <c r="GR11" s="223"/>
      <c r="GS11" s="223">
        <f t="shared" si="181"/>
        <v>75</v>
      </c>
      <c r="GT11" s="223" t="str">
        <f t="shared" si="182"/>
        <v/>
      </c>
      <c r="GU11" s="223">
        <f t="shared" si="183"/>
        <v>75</v>
      </c>
      <c r="GV11" s="223" t="str">
        <f t="shared" si="184"/>
        <v/>
      </c>
      <c r="GW11" s="223" t="str">
        <f t="shared" si="185"/>
        <v/>
      </c>
      <c r="GX11" s="223" t="str">
        <f t="shared" si="186"/>
        <v/>
      </c>
      <c r="GY11" s="223" t="str">
        <f t="shared" si="187"/>
        <v/>
      </c>
      <c r="GZ11" s="223" t="str">
        <f t="shared" si="188"/>
        <v/>
      </c>
      <c r="HA11" s="223" t="str">
        <f t="shared" si="189"/>
        <v/>
      </c>
      <c r="HB11" s="223" t="str">
        <f t="shared" si="190"/>
        <v/>
      </c>
      <c r="HC11" s="223" t="str">
        <f t="shared" si="191"/>
        <v/>
      </c>
      <c r="HD11" s="223" t="str">
        <f t="shared" si="192"/>
        <v/>
      </c>
      <c r="HE11" s="223" t="str">
        <f t="shared" si="193"/>
        <v>menyelesaikan masalah yang berkaitan dengan perbandingan dua besaran yang berbeda (kecepatan, debit)</v>
      </c>
      <c r="HF11" s="577" t="str">
        <f>IF(FZ11&gt;100,"",IF(FZ11&gt;=BE$1,"sangat baik dalam "&amp;HE11,IF(FZ11&gt;=BE$2,"baik dalam "&amp;HE11,IF(FZ11&gt;=BE$3,"cukup dalam "&amp;HE11,IF(FZ11&lt;BE$3,"dengan bimbingan dapat meningkatkan dalam "&amp;HE11,IF(FZ11&lt;1," ",””))))))</f>
        <v>cukup dalam menyelesaikan masalah yang berkaitan dengan perbandingan dua besaran yang berbeda (kecepatan, debit)</v>
      </c>
      <c r="HG11" s="223" t="str">
        <f t="shared" si="194"/>
        <v>Ananda Andri cukup dalam menyelesaikan masalah yang berkaitan dengan skala pada denah, cukup dalam menyelesaikan masalah yang berkaitan dengan perbandingan dua besaran yang berbeda (kecepatan, debit).</v>
      </c>
    </row>
    <row r="12" spans="1:215" ht="30" customHeight="1">
      <c r="A12" s="39">
        <v>5</v>
      </c>
      <c r="B12" s="223" t="str">
        <f>SISWA!B10</f>
        <v>Gresiya Suma Safitri</v>
      </c>
      <c r="C12" s="123">
        <v>75</v>
      </c>
      <c r="D12" s="123">
        <v>75</v>
      </c>
      <c r="E12" s="123">
        <v>80</v>
      </c>
      <c r="F12" s="123">
        <v>85</v>
      </c>
      <c r="G12" s="123"/>
      <c r="H12" s="123"/>
      <c r="I12" s="123"/>
      <c r="J12" s="123"/>
      <c r="K12" s="123"/>
      <c r="L12" s="123"/>
      <c r="M12" s="123"/>
      <c r="N12" s="123"/>
      <c r="O12" s="255"/>
      <c r="P12" s="255"/>
      <c r="Q12" s="255"/>
      <c r="R12" s="255"/>
      <c r="S12" s="255"/>
      <c r="T12" s="255"/>
      <c r="U12" s="255"/>
      <c r="V12" s="255"/>
      <c r="W12" s="255"/>
      <c r="X12" s="255"/>
      <c r="Y12" s="255"/>
      <c r="Z12" s="255"/>
      <c r="AA12" s="256"/>
      <c r="AB12" s="256"/>
      <c r="AC12" s="256"/>
      <c r="AD12" s="256"/>
      <c r="AE12" s="256"/>
      <c r="AF12" s="256"/>
      <c r="AG12" s="256"/>
      <c r="AH12" s="256"/>
      <c r="AI12" s="256"/>
      <c r="AJ12" s="256"/>
      <c r="AK12" s="256"/>
      <c r="AL12" s="256"/>
      <c r="AM12" s="257">
        <f t="shared" si="25"/>
        <v>75</v>
      </c>
      <c r="AN12" s="257">
        <f t="shared" si="26"/>
        <v>75</v>
      </c>
      <c r="AO12" s="257">
        <f t="shared" si="27"/>
        <v>80</v>
      </c>
      <c r="AP12" s="257">
        <f t="shared" si="28"/>
        <v>85</v>
      </c>
      <c r="AQ12" s="257" t="str">
        <f t="shared" si="29"/>
        <v/>
      </c>
      <c r="AR12" s="257" t="str">
        <f t="shared" si="30"/>
        <v/>
      </c>
      <c r="AS12" s="257" t="str">
        <f t="shared" si="31"/>
        <v/>
      </c>
      <c r="AT12" s="257" t="str">
        <f t="shared" si="32"/>
        <v/>
      </c>
      <c r="AU12" s="257" t="str">
        <f t="shared" si="33"/>
        <v/>
      </c>
      <c r="AV12" s="257" t="str">
        <f t="shared" si="34"/>
        <v/>
      </c>
      <c r="AW12" s="257" t="str">
        <f t="shared" si="35"/>
        <v/>
      </c>
      <c r="AX12" s="257" t="str">
        <f t="shared" si="36"/>
        <v/>
      </c>
      <c r="AY12" s="756">
        <f t="shared" si="37"/>
        <v>79</v>
      </c>
      <c r="AZ12" s="291" t="str">
        <f t="shared" si="38"/>
        <v>C</v>
      </c>
      <c r="BA12" s="243" t="str">
        <f t="shared" si="39"/>
        <v>Ananda Gresia baik dalam menyelesaikan masalah yang berkaitan dengan skala pada denah, cukup dalam menyelesaikan masalah yang berkaitan dengan perkalian dan pembagian pecahan dan desimal.</v>
      </c>
      <c r="BB12" s="39"/>
      <c r="BC12" s="39"/>
      <c r="BD12" s="257">
        <f t="shared" si="40"/>
        <v>75</v>
      </c>
      <c r="BE12" s="257">
        <f t="shared" si="41"/>
        <v>75</v>
      </c>
      <c r="BF12" s="257">
        <f t="shared" si="42"/>
        <v>80</v>
      </c>
      <c r="BG12" s="257">
        <f t="shared" si="43"/>
        <v>85</v>
      </c>
      <c r="BH12" s="257">
        <f t="shared" si="44"/>
        <v>0</v>
      </c>
      <c r="BI12" s="257">
        <f t="shared" si="45"/>
        <v>0</v>
      </c>
      <c r="BJ12" s="257">
        <f t="shared" si="46"/>
        <v>0</v>
      </c>
      <c r="BK12" s="257">
        <f t="shared" si="47"/>
        <v>0</v>
      </c>
      <c r="BL12" s="257">
        <f t="shared" si="48"/>
        <v>0</v>
      </c>
      <c r="BM12" s="257">
        <f t="shared" si="49"/>
        <v>0</v>
      </c>
      <c r="BN12" s="257">
        <f t="shared" si="50"/>
        <v>0</v>
      </c>
      <c r="BO12" s="257">
        <f t="shared" si="51"/>
        <v>0</v>
      </c>
      <c r="BP12" s="232">
        <f t="shared" si="52"/>
        <v>85</v>
      </c>
      <c r="BQ12" s="257">
        <f t="shared" si="53"/>
        <v>0</v>
      </c>
      <c r="BR12" s="257">
        <f t="shared" si="54"/>
        <v>0</v>
      </c>
      <c r="BS12" s="257">
        <f t="shared" si="55"/>
        <v>0</v>
      </c>
      <c r="BT12" s="257">
        <f t="shared" si="56"/>
        <v>0</v>
      </c>
      <c r="BU12" s="257">
        <f t="shared" si="57"/>
        <v>0</v>
      </c>
      <c r="BV12" s="257">
        <f t="shared" si="58"/>
        <v>0</v>
      </c>
      <c r="BW12" s="257">
        <f t="shared" si="59"/>
        <v>0</v>
      </c>
      <c r="BX12" s="257">
        <f t="shared" si="60"/>
        <v>0</v>
      </c>
      <c r="BY12" s="257">
        <f t="shared" si="61"/>
        <v>0</v>
      </c>
      <c r="BZ12" s="257">
        <f t="shared" si="62"/>
        <v>0</v>
      </c>
      <c r="CA12" s="257">
        <f t="shared" si="63"/>
        <v>0</v>
      </c>
      <c r="CB12" s="257">
        <f t="shared" si="64"/>
        <v>0</v>
      </c>
      <c r="CC12" s="232">
        <f t="shared" si="65"/>
        <v>0</v>
      </c>
      <c r="CD12" s="257">
        <f t="shared" si="66"/>
        <v>0</v>
      </c>
      <c r="CE12" s="257">
        <f t="shared" si="67"/>
        <v>0</v>
      </c>
      <c r="CF12" s="257">
        <f t="shared" si="68"/>
        <v>0</v>
      </c>
      <c r="CG12" s="257">
        <f t="shared" si="69"/>
        <v>0</v>
      </c>
      <c r="CH12" s="257">
        <f t="shared" si="70"/>
        <v>0</v>
      </c>
      <c r="CI12" s="257">
        <f t="shared" si="71"/>
        <v>0</v>
      </c>
      <c r="CJ12" s="257">
        <f t="shared" si="72"/>
        <v>0</v>
      </c>
      <c r="CK12" s="257">
        <f t="shared" si="73"/>
        <v>0</v>
      </c>
      <c r="CL12" s="257">
        <f t="shared" si="74"/>
        <v>0</v>
      </c>
      <c r="CM12" s="257">
        <f t="shared" si="75"/>
        <v>0</v>
      </c>
      <c r="CN12" s="257">
        <f t="shared" si="76"/>
        <v>0</v>
      </c>
      <c r="CO12" s="257">
        <f t="shared" si="77"/>
        <v>0</v>
      </c>
      <c r="CP12" s="232">
        <f t="shared" si="78"/>
        <v>0</v>
      </c>
      <c r="CQ12" s="257">
        <f t="shared" si="79"/>
        <v>75</v>
      </c>
      <c r="CR12" s="257">
        <f t="shared" si="80"/>
        <v>0</v>
      </c>
      <c r="CS12" s="257">
        <f t="shared" si="81"/>
        <v>0</v>
      </c>
      <c r="CT12" s="575">
        <f t="shared" si="82"/>
        <v>2</v>
      </c>
      <c r="CU12" s="506">
        <f t="shared" si="83"/>
        <v>1</v>
      </c>
      <c r="CV12" s="39">
        <f t="shared" si="84"/>
        <v>75</v>
      </c>
      <c r="CW12" s="257">
        <f t="shared" si="85"/>
        <v>75</v>
      </c>
      <c r="CX12" s="257">
        <f t="shared" si="86"/>
        <v>0</v>
      </c>
      <c r="CY12" s="257">
        <f t="shared" si="87"/>
        <v>0</v>
      </c>
      <c r="CZ12" s="575">
        <f t="shared" si="88"/>
        <v>2</v>
      </c>
      <c r="DA12" s="506">
        <f t="shared" si="89"/>
        <v>1</v>
      </c>
      <c r="DB12" s="39">
        <f t="shared" si="90"/>
        <v>75</v>
      </c>
      <c r="DC12" s="257">
        <f t="shared" si="91"/>
        <v>80</v>
      </c>
      <c r="DD12" s="257">
        <f t="shared" si="92"/>
        <v>0</v>
      </c>
      <c r="DE12" s="257">
        <f t="shared" si="93"/>
        <v>0</v>
      </c>
      <c r="DF12" s="575">
        <f t="shared" si="94"/>
        <v>2</v>
      </c>
      <c r="DG12" s="506">
        <f t="shared" si="95"/>
        <v>1</v>
      </c>
      <c r="DH12" s="39">
        <f t="shared" si="96"/>
        <v>80</v>
      </c>
      <c r="DI12" s="257">
        <f t="shared" si="97"/>
        <v>85</v>
      </c>
      <c r="DJ12" s="257">
        <f t="shared" si="98"/>
        <v>0</v>
      </c>
      <c r="DK12" s="257">
        <f t="shared" si="99"/>
        <v>0</v>
      </c>
      <c r="DL12" s="575">
        <f t="shared" si="100"/>
        <v>2</v>
      </c>
      <c r="DM12" s="506">
        <f t="shared" si="101"/>
        <v>1</v>
      </c>
      <c r="DN12" s="39">
        <f t="shared" si="102"/>
        <v>85</v>
      </c>
      <c r="DO12" s="257">
        <f t="shared" si="103"/>
        <v>0</v>
      </c>
      <c r="DP12" s="257">
        <f t="shared" si="104"/>
        <v>0</v>
      </c>
      <c r="DQ12" s="257">
        <f t="shared" si="105"/>
        <v>0</v>
      </c>
      <c r="DR12" s="575">
        <f t="shared" si="106"/>
        <v>3</v>
      </c>
      <c r="DS12" s="506">
        <f t="shared" si="107"/>
        <v>0</v>
      </c>
      <c r="DT12" s="39" t="str">
        <f t="shared" si="108"/>
        <v/>
      </c>
      <c r="DU12" s="257">
        <f t="shared" si="109"/>
        <v>0</v>
      </c>
      <c r="DV12" s="257">
        <f t="shared" si="110"/>
        <v>0</v>
      </c>
      <c r="DW12" s="257">
        <f t="shared" si="111"/>
        <v>0</v>
      </c>
      <c r="DX12" s="575">
        <f t="shared" si="112"/>
        <v>3</v>
      </c>
      <c r="DY12" s="506">
        <f t="shared" si="113"/>
        <v>0</v>
      </c>
      <c r="DZ12" s="39" t="str">
        <f t="shared" si="114"/>
        <v/>
      </c>
      <c r="EA12" s="257">
        <f t="shared" si="115"/>
        <v>0</v>
      </c>
      <c r="EB12" s="257">
        <f t="shared" si="116"/>
        <v>0</v>
      </c>
      <c r="EC12" s="257">
        <f t="shared" si="117"/>
        <v>0</v>
      </c>
      <c r="ED12" s="575">
        <f t="shared" si="118"/>
        <v>3</v>
      </c>
      <c r="EE12" s="506">
        <f t="shared" si="119"/>
        <v>0</v>
      </c>
      <c r="EF12" s="39" t="str">
        <f t="shared" si="120"/>
        <v/>
      </c>
      <c r="EG12" s="257">
        <f t="shared" si="121"/>
        <v>0</v>
      </c>
      <c r="EH12" s="257">
        <f t="shared" si="122"/>
        <v>0</v>
      </c>
      <c r="EI12" s="257">
        <f t="shared" si="123"/>
        <v>0</v>
      </c>
      <c r="EJ12" s="575">
        <f t="shared" si="124"/>
        <v>3</v>
      </c>
      <c r="EK12" s="506">
        <f t="shared" si="125"/>
        <v>0</v>
      </c>
      <c r="EL12" s="39" t="str">
        <f t="shared" si="126"/>
        <v/>
      </c>
      <c r="EM12" s="257">
        <f t="shared" si="127"/>
        <v>0</v>
      </c>
      <c r="EN12" s="257">
        <f t="shared" si="128"/>
        <v>0</v>
      </c>
      <c r="EO12" s="257">
        <f t="shared" si="129"/>
        <v>0</v>
      </c>
      <c r="EP12" s="575">
        <f t="shared" si="130"/>
        <v>3</v>
      </c>
      <c r="EQ12" s="506">
        <f t="shared" si="131"/>
        <v>0</v>
      </c>
      <c r="ER12" s="39" t="str">
        <f t="shared" si="132"/>
        <v/>
      </c>
      <c r="ES12" s="257">
        <f t="shared" si="133"/>
        <v>0</v>
      </c>
      <c r="ET12" s="257">
        <f t="shared" si="134"/>
        <v>0</v>
      </c>
      <c r="EU12" s="257">
        <f t="shared" si="135"/>
        <v>0</v>
      </c>
      <c r="EV12" s="575">
        <f t="shared" si="136"/>
        <v>3</v>
      </c>
      <c r="EW12" s="506">
        <f t="shared" si="137"/>
        <v>0</v>
      </c>
      <c r="EX12" s="39" t="str">
        <f t="shared" si="138"/>
        <v/>
      </c>
      <c r="EY12" s="257">
        <f t="shared" si="139"/>
        <v>0</v>
      </c>
      <c r="EZ12" s="257">
        <f t="shared" si="140"/>
        <v>0</v>
      </c>
      <c r="FA12" s="257">
        <f t="shared" si="141"/>
        <v>0</v>
      </c>
      <c r="FB12" s="575">
        <f t="shared" si="142"/>
        <v>3</v>
      </c>
      <c r="FC12" s="506">
        <f t="shared" si="143"/>
        <v>0</v>
      </c>
      <c r="FD12" s="39" t="str">
        <f t="shared" si="144"/>
        <v/>
      </c>
      <c r="FE12" s="257">
        <f t="shared" si="145"/>
        <v>0</v>
      </c>
      <c r="FF12" s="257">
        <f t="shared" si="146"/>
        <v>0</v>
      </c>
      <c r="FG12" s="257">
        <f t="shared" si="147"/>
        <v>0</v>
      </c>
      <c r="FH12" s="575">
        <f t="shared" si="148"/>
        <v>3</v>
      </c>
      <c r="FI12" s="506">
        <f t="shared" si="149"/>
        <v>0</v>
      </c>
      <c r="FJ12" s="39" t="str">
        <f t="shared" si="150"/>
        <v/>
      </c>
      <c r="FK12" s="39"/>
      <c r="FL12" s="39">
        <f t="shared" si="151"/>
        <v>75</v>
      </c>
      <c r="FM12" s="39">
        <f t="shared" si="152"/>
        <v>75</v>
      </c>
      <c r="FN12" s="39">
        <f t="shared" si="153"/>
        <v>80</v>
      </c>
      <c r="FO12" s="39">
        <f t="shared" si="154"/>
        <v>85</v>
      </c>
      <c r="FP12" s="39" t="str">
        <f t="shared" si="155"/>
        <v/>
      </c>
      <c r="FQ12" s="39" t="str">
        <f t="shared" si="156"/>
        <v/>
      </c>
      <c r="FR12" s="39" t="str">
        <f t="shared" si="157"/>
        <v/>
      </c>
      <c r="FS12" s="39" t="str">
        <f t="shared" si="158"/>
        <v/>
      </c>
      <c r="FT12" s="39" t="str">
        <f t="shared" si="159"/>
        <v/>
      </c>
      <c r="FU12" s="39" t="str">
        <f t="shared" si="160"/>
        <v/>
      </c>
      <c r="FV12" s="39" t="str">
        <f t="shared" si="161"/>
        <v/>
      </c>
      <c r="FW12" s="39" t="str">
        <f t="shared" si="162"/>
        <v/>
      </c>
      <c r="FX12" s="39">
        <f t="shared" si="163"/>
        <v>79</v>
      </c>
      <c r="FY12" s="68">
        <f t="shared" si="164"/>
        <v>85</v>
      </c>
      <c r="FZ12" s="68">
        <f t="shared" si="165"/>
        <v>75</v>
      </c>
      <c r="GA12" s="39" t="str">
        <f>SISWA!E10</f>
        <v>Gresia</v>
      </c>
      <c r="GB12" s="39" t="str">
        <f t="shared" si="166"/>
        <v xml:space="preserve">Ananda Gresia </v>
      </c>
      <c r="GC12" s="207" t="str">
        <f t="shared" si="167"/>
        <v/>
      </c>
      <c r="GD12" s="207" t="str">
        <f t="shared" si="168"/>
        <v/>
      </c>
      <c r="GE12" s="207" t="str">
        <f t="shared" si="169"/>
        <v/>
      </c>
      <c r="GF12" s="207">
        <f t="shared" si="170"/>
        <v>85</v>
      </c>
      <c r="GG12" s="207" t="str">
        <f t="shared" si="171"/>
        <v/>
      </c>
      <c r="GH12" s="207" t="str">
        <f t="shared" si="172"/>
        <v/>
      </c>
      <c r="GI12" s="207" t="str">
        <f t="shared" si="173"/>
        <v/>
      </c>
      <c r="GJ12" s="207" t="str">
        <f t="shared" si="174"/>
        <v/>
      </c>
      <c r="GK12" s="207" t="str">
        <f t="shared" si="175"/>
        <v/>
      </c>
      <c r="GL12" s="207" t="str">
        <f t="shared" si="176"/>
        <v/>
      </c>
      <c r="GM12" s="207" t="str">
        <f t="shared" si="177"/>
        <v/>
      </c>
      <c r="GN12" s="207" t="str">
        <f t="shared" si="178"/>
        <v/>
      </c>
      <c r="GO12" s="39">
        <f t="shared" si="179"/>
        <v>85</v>
      </c>
      <c r="GP12" s="68" t="str">
        <f t="shared" si="180"/>
        <v>menyelesaikan masalah yang berkaitan dengan skala pada denah</v>
      </c>
      <c r="GQ12" s="576" t="str">
        <f>IF(FY12&gt;100,"",IF(FY12&gt;BE$1,"sangat baik dalam "&amp;GP12,IF(FY12&gt;=BE$2,"baik dalam "&amp;GP12,IF(FY12&gt;=BE$3,"cukup dalam "&amp;GP12,IF(FY12&lt;BE$3,"dengan bimbingan dapat meningkatkan dalam "&amp;GP12,IF(FY12&lt;1," ",””))))))</f>
        <v>baik dalam menyelesaikan masalah yang berkaitan dengan skala pada denah</v>
      </c>
      <c r="GR12" s="223"/>
      <c r="GS12" s="223">
        <f t="shared" si="181"/>
        <v>75</v>
      </c>
      <c r="GT12" s="223">
        <f t="shared" si="182"/>
        <v>75</v>
      </c>
      <c r="GU12" s="223" t="str">
        <f t="shared" si="183"/>
        <v/>
      </c>
      <c r="GV12" s="223" t="str">
        <f t="shared" si="184"/>
        <v/>
      </c>
      <c r="GW12" s="223" t="str">
        <f t="shared" si="185"/>
        <v/>
      </c>
      <c r="GX12" s="223" t="str">
        <f t="shared" si="186"/>
        <v/>
      </c>
      <c r="GY12" s="223" t="str">
        <f t="shared" si="187"/>
        <v/>
      </c>
      <c r="GZ12" s="223" t="str">
        <f t="shared" si="188"/>
        <v/>
      </c>
      <c r="HA12" s="223" t="str">
        <f t="shared" si="189"/>
        <v/>
      </c>
      <c r="HB12" s="223" t="str">
        <f t="shared" si="190"/>
        <v/>
      </c>
      <c r="HC12" s="223" t="str">
        <f t="shared" si="191"/>
        <v/>
      </c>
      <c r="HD12" s="223" t="str">
        <f t="shared" si="192"/>
        <v/>
      </c>
      <c r="HE12" s="223" t="str">
        <f t="shared" si="193"/>
        <v>menyelesaikan masalah yang berkaitan dengan perkalian dan pembagian pecahan dan desimal</v>
      </c>
      <c r="HF12" s="577" t="str">
        <f>IF(FZ12&gt;100,"",IF(FZ12&gt;=BE$1,"sangat baik dalam "&amp;HE12,IF(FZ12&gt;=BE$2,"baik dalam "&amp;HE12,IF(FZ12&gt;=BE$3,"cukup dalam "&amp;HE12,IF(FZ12&lt;BE$3,"dengan bimbingan dapat meningkatkan dalam "&amp;HE12,IF(FZ12&lt;1," ",””))))))</f>
        <v>cukup dalam menyelesaikan masalah yang berkaitan dengan perkalian dan pembagian pecahan dan desimal</v>
      </c>
      <c r="HG12" s="223" t="str">
        <f t="shared" si="194"/>
        <v>Ananda Gresia baik dalam menyelesaikan masalah yang berkaitan dengan skala pada denah, cukup dalam menyelesaikan masalah yang berkaitan dengan perkalian dan pembagian pecahan dan desimal.</v>
      </c>
    </row>
    <row r="13" spans="1:215" ht="30" customHeight="1">
      <c r="A13" s="39">
        <v>6</v>
      </c>
      <c r="B13" s="223" t="str">
        <f>SISWA!B11</f>
        <v>Hasna Fathitya Sabrina</v>
      </c>
      <c r="C13" s="123">
        <v>75</v>
      </c>
      <c r="D13" s="123">
        <v>80</v>
      </c>
      <c r="E13" s="123">
        <v>75</v>
      </c>
      <c r="F13" s="123">
        <v>85</v>
      </c>
      <c r="G13" s="123"/>
      <c r="H13" s="123"/>
      <c r="I13" s="123"/>
      <c r="J13" s="123"/>
      <c r="K13" s="123"/>
      <c r="L13" s="123"/>
      <c r="M13" s="123"/>
      <c r="N13" s="123"/>
      <c r="O13" s="255"/>
      <c r="P13" s="255"/>
      <c r="Q13" s="255"/>
      <c r="R13" s="255"/>
      <c r="S13" s="255"/>
      <c r="T13" s="255"/>
      <c r="U13" s="255"/>
      <c r="V13" s="255"/>
      <c r="W13" s="255"/>
      <c r="X13" s="255"/>
      <c r="Y13" s="255"/>
      <c r="Z13" s="255"/>
      <c r="AA13" s="256"/>
      <c r="AB13" s="256"/>
      <c r="AC13" s="256"/>
      <c r="AD13" s="256"/>
      <c r="AE13" s="256"/>
      <c r="AF13" s="256"/>
      <c r="AG13" s="256"/>
      <c r="AH13" s="256"/>
      <c r="AI13" s="256"/>
      <c r="AJ13" s="256"/>
      <c r="AK13" s="256"/>
      <c r="AL13" s="256"/>
      <c r="AM13" s="257">
        <f t="shared" si="25"/>
        <v>75</v>
      </c>
      <c r="AN13" s="257">
        <f t="shared" si="26"/>
        <v>80</v>
      </c>
      <c r="AO13" s="257">
        <f t="shared" si="27"/>
        <v>75</v>
      </c>
      <c r="AP13" s="257">
        <f t="shared" si="28"/>
        <v>85</v>
      </c>
      <c r="AQ13" s="257" t="str">
        <f t="shared" si="29"/>
        <v/>
      </c>
      <c r="AR13" s="257" t="str">
        <f t="shared" si="30"/>
        <v/>
      </c>
      <c r="AS13" s="257" t="str">
        <f t="shared" si="31"/>
        <v/>
      </c>
      <c r="AT13" s="257" t="str">
        <f t="shared" si="32"/>
        <v/>
      </c>
      <c r="AU13" s="257" t="str">
        <f t="shared" si="33"/>
        <v/>
      </c>
      <c r="AV13" s="257" t="str">
        <f t="shared" si="34"/>
        <v/>
      </c>
      <c r="AW13" s="257" t="str">
        <f t="shared" si="35"/>
        <v/>
      </c>
      <c r="AX13" s="257" t="str">
        <f t="shared" si="36"/>
        <v/>
      </c>
      <c r="AY13" s="756">
        <f t="shared" si="37"/>
        <v>79</v>
      </c>
      <c r="AZ13" s="291" t="str">
        <f t="shared" si="38"/>
        <v>C</v>
      </c>
      <c r="BA13" s="243" t="str">
        <f t="shared" si="39"/>
        <v>Ananda Hasna baik dalam menyelesaikan masalah yang berkaitan dengan skala pada denah, cukup dalam menyelesaikan masalah yang berkaitan dengan perbandingan dua besaran yang berbeda (kecepatan, debit).</v>
      </c>
      <c r="BB13" s="39"/>
      <c r="BC13" s="39"/>
      <c r="BD13" s="257">
        <f t="shared" si="40"/>
        <v>75</v>
      </c>
      <c r="BE13" s="257">
        <f t="shared" si="41"/>
        <v>80</v>
      </c>
      <c r="BF13" s="257">
        <f t="shared" si="42"/>
        <v>75</v>
      </c>
      <c r="BG13" s="257">
        <f t="shared" si="43"/>
        <v>85</v>
      </c>
      <c r="BH13" s="257">
        <f t="shared" si="44"/>
        <v>0</v>
      </c>
      <c r="BI13" s="257">
        <f t="shared" si="45"/>
        <v>0</v>
      </c>
      <c r="BJ13" s="257">
        <f t="shared" si="46"/>
        <v>0</v>
      </c>
      <c r="BK13" s="257">
        <f t="shared" si="47"/>
        <v>0</v>
      </c>
      <c r="BL13" s="257">
        <f t="shared" si="48"/>
        <v>0</v>
      </c>
      <c r="BM13" s="257">
        <f t="shared" si="49"/>
        <v>0</v>
      </c>
      <c r="BN13" s="257">
        <f t="shared" si="50"/>
        <v>0</v>
      </c>
      <c r="BO13" s="257">
        <f t="shared" si="51"/>
        <v>0</v>
      </c>
      <c r="BP13" s="232">
        <f t="shared" si="52"/>
        <v>85</v>
      </c>
      <c r="BQ13" s="257">
        <f t="shared" si="53"/>
        <v>0</v>
      </c>
      <c r="BR13" s="257">
        <f t="shared" si="54"/>
        <v>0</v>
      </c>
      <c r="BS13" s="257">
        <f t="shared" si="55"/>
        <v>0</v>
      </c>
      <c r="BT13" s="257">
        <f t="shared" si="56"/>
        <v>0</v>
      </c>
      <c r="BU13" s="257">
        <f t="shared" si="57"/>
        <v>0</v>
      </c>
      <c r="BV13" s="257">
        <f t="shared" si="58"/>
        <v>0</v>
      </c>
      <c r="BW13" s="257">
        <f t="shared" si="59"/>
        <v>0</v>
      </c>
      <c r="BX13" s="257">
        <f t="shared" si="60"/>
        <v>0</v>
      </c>
      <c r="BY13" s="257">
        <f t="shared" si="61"/>
        <v>0</v>
      </c>
      <c r="BZ13" s="257">
        <f t="shared" si="62"/>
        <v>0</v>
      </c>
      <c r="CA13" s="257">
        <f t="shared" si="63"/>
        <v>0</v>
      </c>
      <c r="CB13" s="257">
        <f t="shared" si="64"/>
        <v>0</v>
      </c>
      <c r="CC13" s="232">
        <f t="shared" si="65"/>
        <v>0</v>
      </c>
      <c r="CD13" s="257">
        <f t="shared" si="66"/>
        <v>0</v>
      </c>
      <c r="CE13" s="257">
        <f t="shared" si="67"/>
        <v>0</v>
      </c>
      <c r="CF13" s="257">
        <f t="shared" si="68"/>
        <v>0</v>
      </c>
      <c r="CG13" s="257">
        <f t="shared" si="69"/>
        <v>0</v>
      </c>
      <c r="CH13" s="257">
        <f t="shared" si="70"/>
        <v>0</v>
      </c>
      <c r="CI13" s="257">
        <f t="shared" si="71"/>
        <v>0</v>
      </c>
      <c r="CJ13" s="257">
        <f t="shared" si="72"/>
        <v>0</v>
      </c>
      <c r="CK13" s="257">
        <f t="shared" si="73"/>
        <v>0</v>
      </c>
      <c r="CL13" s="257">
        <f t="shared" si="74"/>
        <v>0</v>
      </c>
      <c r="CM13" s="257">
        <f t="shared" si="75"/>
        <v>0</v>
      </c>
      <c r="CN13" s="257">
        <f t="shared" si="76"/>
        <v>0</v>
      </c>
      <c r="CO13" s="257">
        <f t="shared" si="77"/>
        <v>0</v>
      </c>
      <c r="CP13" s="232">
        <f t="shared" si="78"/>
        <v>0</v>
      </c>
      <c r="CQ13" s="257">
        <f t="shared" si="79"/>
        <v>75</v>
      </c>
      <c r="CR13" s="257">
        <f t="shared" si="80"/>
        <v>0</v>
      </c>
      <c r="CS13" s="257">
        <f t="shared" si="81"/>
        <v>0</v>
      </c>
      <c r="CT13" s="575">
        <f t="shared" si="82"/>
        <v>2</v>
      </c>
      <c r="CU13" s="506">
        <f t="shared" si="83"/>
        <v>1</v>
      </c>
      <c r="CV13" s="39">
        <f t="shared" si="84"/>
        <v>75</v>
      </c>
      <c r="CW13" s="257">
        <f t="shared" si="85"/>
        <v>80</v>
      </c>
      <c r="CX13" s="257">
        <f t="shared" si="86"/>
        <v>0</v>
      </c>
      <c r="CY13" s="257">
        <f t="shared" si="87"/>
        <v>0</v>
      </c>
      <c r="CZ13" s="575">
        <f t="shared" si="88"/>
        <v>2</v>
      </c>
      <c r="DA13" s="506">
        <f t="shared" si="89"/>
        <v>1</v>
      </c>
      <c r="DB13" s="39">
        <f t="shared" si="90"/>
        <v>80</v>
      </c>
      <c r="DC13" s="257">
        <f t="shared" si="91"/>
        <v>75</v>
      </c>
      <c r="DD13" s="257">
        <f t="shared" si="92"/>
        <v>0</v>
      </c>
      <c r="DE13" s="257">
        <f t="shared" si="93"/>
        <v>0</v>
      </c>
      <c r="DF13" s="575">
        <f t="shared" si="94"/>
        <v>2</v>
      </c>
      <c r="DG13" s="506">
        <f t="shared" si="95"/>
        <v>1</v>
      </c>
      <c r="DH13" s="39">
        <f t="shared" si="96"/>
        <v>75</v>
      </c>
      <c r="DI13" s="257">
        <f t="shared" si="97"/>
        <v>85</v>
      </c>
      <c r="DJ13" s="257">
        <f t="shared" si="98"/>
        <v>0</v>
      </c>
      <c r="DK13" s="257">
        <f t="shared" si="99"/>
        <v>0</v>
      </c>
      <c r="DL13" s="575">
        <f t="shared" si="100"/>
        <v>2</v>
      </c>
      <c r="DM13" s="506">
        <f t="shared" si="101"/>
        <v>1</v>
      </c>
      <c r="DN13" s="39">
        <f t="shared" si="102"/>
        <v>85</v>
      </c>
      <c r="DO13" s="257">
        <f t="shared" si="103"/>
        <v>0</v>
      </c>
      <c r="DP13" s="257">
        <f t="shared" si="104"/>
        <v>0</v>
      </c>
      <c r="DQ13" s="257">
        <f t="shared" si="105"/>
        <v>0</v>
      </c>
      <c r="DR13" s="575">
        <f t="shared" si="106"/>
        <v>3</v>
      </c>
      <c r="DS13" s="506">
        <f t="shared" si="107"/>
        <v>0</v>
      </c>
      <c r="DT13" s="39" t="str">
        <f t="shared" si="108"/>
        <v/>
      </c>
      <c r="DU13" s="257">
        <f t="shared" si="109"/>
        <v>0</v>
      </c>
      <c r="DV13" s="257">
        <f t="shared" si="110"/>
        <v>0</v>
      </c>
      <c r="DW13" s="257">
        <f t="shared" si="111"/>
        <v>0</v>
      </c>
      <c r="DX13" s="575">
        <f t="shared" si="112"/>
        <v>3</v>
      </c>
      <c r="DY13" s="506">
        <f t="shared" si="113"/>
        <v>0</v>
      </c>
      <c r="DZ13" s="39" t="str">
        <f t="shared" si="114"/>
        <v/>
      </c>
      <c r="EA13" s="257">
        <f t="shared" si="115"/>
        <v>0</v>
      </c>
      <c r="EB13" s="257">
        <f t="shared" si="116"/>
        <v>0</v>
      </c>
      <c r="EC13" s="257">
        <f t="shared" si="117"/>
        <v>0</v>
      </c>
      <c r="ED13" s="575">
        <f t="shared" si="118"/>
        <v>3</v>
      </c>
      <c r="EE13" s="506">
        <f t="shared" si="119"/>
        <v>0</v>
      </c>
      <c r="EF13" s="39" t="str">
        <f t="shared" si="120"/>
        <v/>
      </c>
      <c r="EG13" s="257">
        <f t="shared" si="121"/>
        <v>0</v>
      </c>
      <c r="EH13" s="257">
        <f t="shared" si="122"/>
        <v>0</v>
      </c>
      <c r="EI13" s="257">
        <f t="shared" si="123"/>
        <v>0</v>
      </c>
      <c r="EJ13" s="575">
        <f t="shared" si="124"/>
        <v>3</v>
      </c>
      <c r="EK13" s="506">
        <f t="shared" si="125"/>
        <v>0</v>
      </c>
      <c r="EL13" s="39" t="str">
        <f t="shared" si="126"/>
        <v/>
      </c>
      <c r="EM13" s="257">
        <f t="shared" si="127"/>
        <v>0</v>
      </c>
      <c r="EN13" s="257">
        <f t="shared" si="128"/>
        <v>0</v>
      </c>
      <c r="EO13" s="257">
        <f t="shared" si="129"/>
        <v>0</v>
      </c>
      <c r="EP13" s="575">
        <f t="shared" si="130"/>
        <v>3</v>
      </c>
      <c r="EQ13" s="506">
        <f t="shared" si="131"/>
        <v>0</v>
      </c>
      <c r="ER13" s="39" t="str">
        <f t="shared" si="132"/>
        <v/>
      </c>
      <c r="ES13" s="257">
        <f t="shared" si="133"/>
        <v>0</v>
      </c>
      <c r="ET13" s="257">
        <f t="shared" si="134"/>
        <v>0</v>
      </c>
      <c r="EU13" s="257">
        <f t="shared" si="135"/>
        <v>0</v>
      </c>
      <c r="EV13" s="575">
        <f t="shared" si="136"/>
        <v>3</v>
      </c>
      <c r="EW13" s="506">
        <f t="shared" si="137"/>
        <v>0</v>
      </c>
      <c r="EX13" s="39" t="str">
        <f t="shared" si="138"/>
        <v/>
      </c>
      <c r="EY13" s="257">
        <f t="shared" si="139"/>
        <v>0</v>
      </c>
      <c r="EZ13" s="257">
        <f t="shared" si="140"/>
        <v>0</v>
      </c>
      <c r="FA13" s="257">
        <f t="shared" si="141"/>
        <v>0</v>
      </c>
      <c r="FB13" s="575">
        <f t="shared" si="142"/>
        <v>3</v>
      </c>
      <c r="FC13" s="506">
        <f t="shared" si="143"/>
        <v>0</v>
      </c>
      <c r="FD13" s="39" t="str">
        <f t="shared" si="144"/>
        <v/>
      </c>
      <c r="FE13" s="257">
        <f t="shared" si="145"/>
        <v>0</v>
      </c>
      <c r="FF13" s="257">
        <f t="shared" si="146"/>
        <v>0</v>
      </c>
      <c r="FG13" s="257">
        <f t="shared" si="147"/>
        <v>0</v>
      </c>
      <c r="FH13" s="575">
        <f t="shared" si="148"/>
        <v>3</v>
      </c>
      <c r="FI13" s="506">
        <f t="shared" si="149"/>
        <v>0</v>
      </c>
      <c r="FJ13" s="39" t="str">
        <f t="shared" si="150"/>
        <v/>
      </c>
      <c r="FK13" s="39"/>
      <c r="FL13" s="39">
        <f t="shared" si="151"/>
        <v>75</v>
      </c>
      <c r="FM13" s="39">
        <f t="shared" si="152"/>
        <v>80</v>
      </c>
      <c r="FN13" s="39">
        <f t="shared" si="153"/>
        <v>75</v>
      </c>
      <c r="FO13" s="39">
        <f t="shared" si="154"/>
        <v>85</v>
      </c>
      <c r="FP13" s="39" t="str">
        <f t="shared" si="155"/>
        <v/>
      </c>
      <c r="FQ13" s="39" t="str">
        <f t="shared" si="156"/>
        <v/>
      </c>
      <c r="FR13" s="39" t="str">
        <f t="shared" si="157"/>
        <v/>
      </c>
      <c r="FS13" s="39" t="str">
        <f t="shared" si="158"/>
        <v/>
      </c>
      <c r="FT13" s="39" t="str">
        <f t="shared" si="159"/>
        <v/>
      </c>
      <c r="FU13" s="39" t="str">
        <f t="shared" si="160"/>
        <v/>
      </c>
      <c r="FV13" s="39" t="str">
        <f t="shared" si="161"/>
        <v/>
      </c>
      <c r="FW13" s="39" t="str">
        <f t="shared" si="162"/>
        <v/>
      </c>
      <c r="FX13" s="39">
        <f t="shared" si="163"/>
        <v>79</v>
      </c>
      <c r="FY13" s="68">
        <f t="shared" si="164"/>
        <v>85</v>
      </c>
      <c r="FZ13" s="68">
        <f t="shared" si="165"/>
        <v>75</v>
      </c>
      <c r="GA13" s="39" t="str">
        <f>SISWA!E11</f>
        <v>Hasna</v>
      </c>
      <c r="GB13" s="39" t="str">
        <f t="shared" si="166"/>
        <v xml:space="preserve">Ananda Hasna </v>
      </c>
      <c r="GC13" s="207" t="str">
        <f t="shared" si="167"/>
        <v/>
      </c>
      <c r="GD13" s="207" t="str">
        <f t="shared" si="168"/>
        <v/>
      </c>
      <c r="GE13" s="207" t="str">
        <f t="shared" si="169"/>
        <v/>
      </c>
      <c r="GF13" s="207">
        <f t="shared" si="170"/>
        <v>85</v>
      </c>
      <c r="GG13" s="207" t="str">
        <f t="shared" si="171"/>
        <v/>
      </c>
      <c r="GH13" s="207" t="str">
        <f t="shared" si="172"/>
        <v/>
      </c>
      <c r="GI13" s="207" t="str">
        <f t="shared" si="173"/>
        <v/>
      </c>
      <c r="GJ13" s="207" t="str">
        <f t="shared" si="174"/>
        <v/>
      </c>
      <c r="GK13" s="207" t="str">
        <f t="shared" si="175"/>
        <v/>
      </c>
      <c r="GL13" s="207" t="str">
        <f t="shared" si="176"/>
        <v/>
      </c>
      <c r="GM13" s="207" t="str">
        <f t="shared" si="177"/>
        <v/>
      </c>
      <c r="GN13" s="207" t="str">
        <f t="shared" si="178"/>
        <v/>
      </c>
      <c r="GO13" s="39">
        <f t="shared" si="179"/>
        <v>85</v>
      </c>
      <c r="GP13" s="68" t="str">
        <f t="shared" si="180"/>
        <v>menyelesaikan masalah yang berkaitan dengan skala pada denah</v>
      </c>
      <c r="GQ13" s="576" t="str">
        <f>IF(FY13&gt;100,"",IF(FY13&gt;BE$1,"sangat baik dalam "&amp;GP13,IF(FY13&gt;=BE$2,"baik dalam "&amp;GP13,IF(FY13&gt;=BE$3,"cukup dalam "&amp;GP13,IF(FY13&lt;BE$3,"dengan bimbingan dapat meningkatkan dalam "&amp;GP13,IF(FY13&lt;1," ",””))))))</f>
        <v>baik dalam menyelesaikan masalah yang berkaitan dengan skala pada denah</v>
      </c>
      <c r="GR13" s="223"/>
      <c r="GS13" s="223">
        <f t="shared" si="181"/>
        <v>75</v>
      </c>
      <c r="GT13" s="223" t="str">
        <f t="shared" si="182"/>
        <v/>
      </c>
      <c r="GU13" s="223">
        <f t="shared" si="183"/>
        <v>75</v>
      </c>
      <c r="GV13" s="223" t="str">
        <f t="shared" si="184"/>
        <v/>
      </c>
      <c r="GW13" s="223" t="str">
        <f t="shared" si="185"/>
        <v/>
      </c>
      <c r="GX13" s="223" t="str">
        <f t="shared" si="186"/>
        <v/>
      </c>
      <c r="GY13" s="223" t="str">
        <f t="shared" si="187"/>
        <v/>
      </c>
      <c r="GZ13" s="223" t="str">
        <f t="shared" si="188"/>
        <v/>
      </c>
      <c r="HA13" s="223" t="str">
        <f t="shared" si="189"/>
        <v/>
      </c>
      <c r="HB13" s="223" t="str">
        <f t="shared" si="190"/>
        <v/>
      </c>
      <c r="HC13" s="223" t="str">
        <f t="shared" si="191"/>
        <v/>
      </c>
      <c r="HD13" s="223" t="str">
        <f t="shared" si="192"/>
        <v/>
      </c>
      <c r="HE13" s="223" t="str">
        <f t="shared" si="193"/>
        <v>menyelesaikan masalah yang berkaitan dengan perbandingan dua besaran yang berbeda (kecepatan, debit)</v>
      </c>
      <c r="HF13" s="577" t="str">
        <f>IF(FZ13&gt;100,"",IF(FZ13&gt;=BE$1,"sangat baik dalam "&amp;HE13,IF(FZ13&gt;=BE$2,"baik dalam "&amp;HE13,IF(FZ13&gt;=BE$3,"cukup dalam "&amp;HE13,IF(FZ13&lt;BE$3,"dengan bimbingan dapat meningkatkan dalam "&amp;HE13,IF(FZ13&lt;1," ",””))))))</f>
        <v>cukup dalam menyelesaikan masalah yang berkaitan dengan perbandingan dua besaran yang berbeda (kecepatan, debit)</v>
      </c>
      <c r="HG13" s="223" t="str">
        <f t="shared" si="194"/>
        <v>Ananda Hasna baik dalam menyelesaikan masalah yang berkaitan dengan skala pada denah, cukup dalam menyelesaikan masalah yang berkaitan dengan perbandingan dua besaran yang berbeda (kecepatan, debit).</v>
      </c>
    </row>
    <row r="14" spans="1:215" ht="30" customHeight="1">
      <c r="A14" s="39">
        <v>7</v>
      </c>
      <c r="B14" s="223" t="str">
        <f>SISWA!B12</f>
        <v>Indah Fitria Ningrum</v>
      </c>
      <c r="C14" s="123">
        <v>75</v>
      </c>
      <c r="D14" s="123">
        <v>85</v>
      </c>
      <c r="E14" s="123">
        <v>80</v>
      </c>
      <c r="F14" s="123">
        <v>85</v>
      </c>
      <c r="G14" s="123"/>
      <c r="H14" s="123"/>
      <c r="I14" s="123"/>
      <c r="J14" s="123"/>
      <c r="K14" s="123"/>
      <c r="L14" s="123"/>
      <c r="M14" s="123"/>
      <c r="N14" s="123"/>
      <c r="O14" s="255"/>
      <c r="P14" s="255"/>
      <c r="Q14" s="255"/>
      <c r="R14" s="255"/>
      <c r="S14" s="255"/>
      <c r="T14" s="255"/>
      <c r="U14" s="255"/>
      <c r="V14" s="255"/>
      <c r="W14" s="255"/>
      <c r="X14" s="255"/>
      <c r="Y14" s="255"/>
      <c r="Z14" s="255"/>
      <c r="AA14" s="256"/>
      <c r="AB14" s="256"/>
      <c r="AC14" s="256"/>
      <c r="AD14" s="256"/>
      <c r="AE14" s="256"/>
      <c r="AF14" s="256"/>
      <c r="AG14" s="256"/>
      <c r="AH14" s="256"/>
      <c r="AI14" s="256"/>
      <c r="AJ14" s="256"/>
      <c r="AK14" s="256"/>
      <c r="AL14" s="256"/>
      <c r="AM14" s="257">
        <f t="shared" si="25"/>
        <v>75</v>
      </c>
      <c r="AN14" s="257">
        <f t="shared" si="26"/>
        <v>85</v>
      </c>
      <c r="AO14" s="257">
        <f t="shared" si="27"/>
        <v>80</v>
      </c>
      <c r="AP14" s="257">
        <f t="shared" si="28"/>
        <v>85</v>
      </c>
      <c r="AQ14" s="257" t="str">
        <f t="shared" si="29"/>
        <v/>
      </c>
      <c r="AR14" s="257" t="str">
        <f t="shared" si="30"/>
        <v/>
      </c>
      <c r="AS14" s="257" t="str">
        <f t="shared" si="31"/>
        <v/>
      </c>
      <c r="AT14" s="257" t="str">
        <f t="shared" si="32"/>
        <v/>
      </c>
      <c r="AU14" s="257" t="str">
        <f t="shared" si="33"/>
        <v/>
      </c>
      <c r="AV14" s="257" t="str">
        <f t="shared" si="34"/>
        <v/>
      </c>
      <c r="AW14" s="257" t="str">
        <f t="shared" si="35"/>
        <v/>
      </c>
      <c r="AX14" s="257" t="str">
        <f t="shared" si="36"/>
        <v/>
      </c>
      <c r="AY14" s="756">
        <f t="shared" si="37"/>
        <v>81</v>
      </c>
      <c r="AZ14" s="291" t="str">
        <f t="shared" si="38"/>
        <v>C</v>
      </c>
      <c r="BA14" s="243" t="str">
        <f t="shared" si="39"/>
        <v>Ananda Indah baik dalam menyelesaikan masalah yang berkaitan dengan skala pada denah, cukup dalam menyelesaikan masalah yang berkaitan dengan penjumlahan dan pengurangan dua pecahan dengan penyebut berbeda.</v>
      </c>
      <c r="BB14" s="39"/>
      <c r="BC14" s="39"/>
      <c r="BD14" s="257">
        <f t="shared" si="40"/>
        <v>75</v>
      </c>
      <c r="BE14" s="257">
        <f t="shared" si="41"/>
        <v>85</v>
      </c>
      <c r="BF14" s="257">
        <f t="shared" si="42"/>
        <v>80</v>
      </c>
      <c r="BG14" s="257">
        <f t="shared" si="43"/>
        <v>85</v>
      </c>
      <c r="BH14" s="257">
        <f t="shared" si="44"/>
        <v>0</v>
      </c>
      <c r="BI14" s="257">
        <f t="shared" si="45"/>
        <v>0</v>
      </c>
      <c r="BJ14" s="257">
        <f t="shared" si="46"/>
        <v>0</v>
      </c>
      <c r="BK14" s="257">
        <f t="shared" si="47"/>
        <v>0</v>
      </c>
      <c r="BL14" s="257">
        <f t="shared" si="48"/>
        <v>0</v>
      </c>
      <c r="BM14" s="257">
        <f t="shared" si="49"/>
        <v>0</v>
      </c>
      <c r="BN14" s="257">
        <f t="shared" si="50"/>
        <v>0</v>
      </c>
      <c r="BO14" s="257">
        <f t="shared" si="51"/>
        <v>0</v>
      </c>
      <c r="BP14" s="232">
        <f t="shared" si="52"/>
        <v>85</v>
      </c>
      <c r="BQ14" s="257">
        <f t="shared" si="53"/>
        <v>0</v>
      </c>
      <c r="BR14" s="257">
        <f t="shared" si="54"/>
        <v>0</v>
      </c>
      <c r="BS14" s="257">
        <f t="shared" si="55"/>
        <v>0</v>
      </c>
      <c r="BT14" s="257">
        <f t="shared" si="56"/>
        <v>0</v>
      </c>
      <c r="BU14" s="257">
        <f t="shared" si="57"/>
        <v>0</v>
      </c>
      <c r="BV14" s="257">
        <f t="shared" si="58"/>
        <v>0</v>
      </c>
      <c r="BW14" s="257">
        <f t="shared" si="59"/>
        <v>0</v>
      </c>
      <c r="BX14" s="257">
        <f t="shared" si="60"/>
        <v>0</v>
      </c>
      <c r="BY14" s="257">
        <f t="shared" si="61"/>
        <v>0</v>
      </c>
      <c r="BZ14" s="257">
        <f t="shared" si="62"/>
        <v>0</v>
      </c>
      <c r="CA14" s="257">
        <f t="shared" si="63"/>
        <v>0</v>
      </c>
      <c r="CB14" s="257">
        <f t="shared" si="64"/>
        <v>0</v>
      </c>
      <c r="CC14" s="232">
        <f t="shared" si="65"/>
        <v>0</v>
      </c>
      <c r="CD14" s="257">
        <f t="shared" si="66"/>
        <v>0</v>
      </c>
      <c r="CE14" s="257">
        <f t="shared" si="67"/>
        <v>0</v>
      </c>
      <c r="CF14" s="257">
        <f t="shared" si="68"/>
        <v>0</v>
      </c>
      <c r="CG14" s="257">
        <f t="shared" si="69"/>
        <v>0</v>
      </c>
      <c r="CH14" s="257">
        <f t="shared" si="70"/>
        <v>0</v>
      </c>
      <c r="CI14" s="257">
        <f t="shared" si="71"/>
        <v>0</v>
      </c>
      <c r="CJ14" s="257">
        <f t="shared" si="72"/>
        <v>0</v>
      </c>
      <c r="CK14" s="257">
        <f t="shared" si="73"/>
        <v>0</v>
      </c>
      <c r="CL14" s="257">
        <f t="shared" si="74"/>
        <v>0</v>
      </c>
      <c r="CM14" s="257">
        <f t="shared" si="75"/>
        <v>0</v>
      </c>
      <c r="CN14" s="257">
        <f t="shared" si="76"/>
        <v>0</v>
      </c>
      <c r="CO14" s="257">
        <f t="shared" si="77"/>
        <v>0</v>
      </c>
      <c r="CP14" s="232">
        <f t="shared" si="78"/>
        <v>0</v>
      </c>
      <c r="CQ14" s="257">
        <f t="shared" si="79"/>
        <v>75</v>
      </c>
      <c r="CR14" s="257">
        <f t="shared" si="80"/>
        <v>0</v>
      </c>
      <c r="CS14" s="257">
        <f t="shared" si="81"/>
        <v>0</v>
      </c>
      <c r="CT14" s="575">
        <f t="shared" si="82"/>
        <v>2</v>
      </c>
      <c r="CU14" s="506">
        <f t="shared" si="83"/>
        <v>1</v>
      </c>
      <c r="CV14" s="39">
        <f t="shared" si="84"/>
        <v>75</v>
      </c>
      <c r="CW14" s="257">
        <f t="shared" si="85"/>
        <v>85</v>
      </c>
      <c r="CX14" s="257">
        <f t="shared" si="86"/>
        <v>0</v>
      </c>
      <c r="CY14" s="257">
        <f t="shared" si="87"/>
        <v>0</v>
      </c>
      <c r="CZ14" s="575">
        <f t="shared" si="88"/>
        <v>2</v>
      </c>
      <c r="DA14" s="506">
        <f t="shared" si="89"/>
        <v>1</v>
      </c>
      <c r="DB14" s="39">
        <f t="shared" si="90"/>
        <v>85</v>
      </c>
      <c r="DC14" s="257">
        <f t="shared" si="91"/>
        <v>80</v>
      </c>
      <c r="DD14" s="257">
        <f t="shared" si="92"/>
        <v>0</v>
      </c>
      <c r="DE14" s="257">
        <f t="shared" si="93"/>
        <v>0</v>
      </c>
      <c r="DF14" s="575">
        <f t="shared" si="94"/>
        <v>2</v>
      </c>
      <c r="DG14" s="506">
        <f t="shared" si="95"/>
        <v>1</v>
      </c>
      <c r="DH14" s="39">
        <f t="shared" si="96"/>
        <v>80</v>
      </c>
      <c r="DI14" s="257">
        <f t="shared" si="97"/>
        <v>85</v>
      </c>
      <c r="DJ14" s="257">
        <f t="shared" si="98"/>
        <v>0</v>
      </c>
      <c r="DK14" s="257">
        <f t="shared" si="99"/>
        <v>0</v>
      </c>
      <c r="DL14" s="575">
        <f t="shared" si="100"/>
        <v>2</v>
      </c>
      <c r="DM14" s="506">
        <f t="shared" si="101"/>
        <v>1</v>
      </c>
      <c r="DN14" s="39">
        <f t="shared" si="102"/>
        <v>85</v>
      </c>
      <c r="DO14" s="257">
        <f t="shared" si="103"/>
        <v>0</v>
      </c>
      <c r="DP14" s="257">
        <f t="shared" si="104"/>
        <v>0</v>
      </c>
      <c r="DQ14" s="257">
        <f t="shared" si="105"/>
        <v>0</v>
      </c>
      <c r="DR14" s="575">
        <f t="shared" si="106"/>
        <v>3</v>
      </c>
      <c r="DS14" s="506">
        <f t="shared" si="107"/>
        <v>0</v>
      </c>
      <c r="DT14" s="39" t="str">
        <f t="shared" si="108"/>
        <v/>
      </c>
      <c r="DU14" s="257">
        <f t="shared" si="109"/>
        <v>0</v>
      </c>
      <c r="DV14" s="257">
        <f t="shared" si="110"/>
        <v>0</v>
      </c>
      <c r="DW14" s="257">
        <f t="shared" si="111"/>
        <v>0</v>
      </c>
      <c r="DX14" s="575">
        <f t="shared" si="112"/>
        <v>3</v>
      </c>
      <c r="DY14" s="506">
        <f t="shared" si="113"/>
        <v>0</v>
      </c>
      <c r="DZ14" s="39" t="str">
        <f t="shared" si="114"/>
        <v/>
      </c>
      <c r="EA14" s="257">
        <f t="shared" si="115"/>
        <v>0</v>
      </c>
      <c r="EB14" s="257">
        <f t="shared" si="116"/>
        <v>0</v>
      </c>
      <c r="EC14" s="257">
        <f t="shared" si="117"/>
        <v>0</v>
      </c>
      <c r="ED14" s="575">
        <f t="shared" si="118"/>
        <v>3</v>
      </c>
      <c r="EE14" s="506">
        <f t="shared" si="119"/>
        <v>0</v>
      </c>
      <c r="EF14" s="39" t="str">
        <f t="shared" si="120"/>
        <v/>
      </c>
      <c r="EG14" s="257">
        <f t="shared" si="121"/>
        <v>0</v>
      </c>
      <c r="EH14" s="257">
        <f t="shared" si="122"/>
        <v>0</v>
      </c>
      <c r="EI14" s="257">
        <f t="shared" si="123"/>
        <v>0</v>
      </c>
      <c r="EJ14" s="575">
        <f t="shared" si="124"/>
        <v>3</v>
      </c>
      <c r="EK14" s="506">
        <f t="shared" si="125"/>
        <v>0</v>
      </c>
      <c r="EL14" s="39" t="str">
        <f t="shared" si="126"/>
        <v/>
      </c>
      <c r="EM14" s="257">
        <f t="shared" si="127"/>
        <v>0</v>
      </c>
      <c r="EN14" s="257">
        <f t="shared" si="128"/>
        <v>0</v>
      </c>
      <c r="EO14" s="257">
        <f t="shared" si="129"/>
        <v>0</v>
      </c>
      <c r="EP14" s="575">
        <f t="shared" si="130"/>
        <v>3</v>
      </c>
      <c r="EQ14" s="506">
        <f t="shared" si="131"/>
        <v>0</v>
      </c>
      <c r="ER14" s="39" t="str">
        <f t="shared" si="132"/>
        <v/>
      </c>
      <c r="ES14" s="257">
        <f t="shared" si="133"/>
        <v>0</v>
      </c>
      <c r="ET14" s="257">
        <f t="shared" si="134"/>
        <v>0</v>
      </c>
      <c r="EU14" s="257">
        <f t="shared" si="135"/>
        <v>0</v>
      </c>
      <c r="EV14" s="575">
        <f t="shared" si="136"/>
        <v>3</v>
      </c>
      <c r="EW14" s="506">
        <f t="shared" si="137"/>
        <v>0</v>
      </c>
      <c r="EX14" s="39" t="str">
        <f t="shared" si="138"/>
        <v/>
      </c>
      <c r="EY14" s="257">
        <f t="shared" si="139"/>
        <v>0</v>
      </c>
      <c r="EZ14" s="257">
        <f t="shared" si="140"/>
        <v>0</v>
      </c>
      <c r="FA14" s="257">
        <f t="shared" si="141"/>
        <v>0</v>
      </c>
      <c r="FB14" s="575">
        <f t="shared" si="142"/>
        <v>3</v>
      </c>
      <c r="FC14" s="506">
        <f t="shared" si="143"/>
        <v>0</v>
      </c>
      <c r="FD14" s="39" t="str">
        <f t="shared" si="144"/>
        <v/>
      </c>
      <c r="FE14" s="257">
        <f t="shared" si="145"/>
        <v>0</v>
      </c>
      <c r="FF14" s="257">
        <f t="shared" si="146"/>
        <v>0</v>
      </c>
      <c r="FG14" s="257">
        <f t="shared" si="147"/>
        <v>0</v>
      </c>
      <c r="FH14" s="575">
        <f t="shared" si="148"/>
        <v>3</v>
      </c>
      <c r="FI14" s="506">
        <f t="shared" si="149"/>
        <v>0</v>
      </c>
      <c r="FJ14" s="39" t="str">
        <f t="shared" si="150"/>
        <v/>
      </c>
      <c r="FK14" s="39"/>
      <c r="FL14" s="39">
        <f t="shared" si="151"/>
        <v>75</v>
      </c>
      <c r="FM14" s="39">
        <f t="shared" si="152"/>
        <v>85</v>
      </c>
      <c r="FN14" s="39">
        <f t="shared" si="153"/>
        <v>80</v>
      </c>
      <c r="FO14" s="39">
        <f t="shared" si="154"/>
        <v>85</v>
      </c>
      <c r="FP14" s="39" t="str">
        <f t="shared" si="155"/>
        <v/>
      </c>
      <c r="FQ14" s="39" t="str">
        <f t="shared" si="156"/>
        <v/>
      </c>
      <c r="FR14" s="39" t="str">
        <f t="shared" si="157"/>
        <v/>
      </c>
      <c r="FS14" s="39" t="str">
        <f t="shared" si="158"/>
        <v/>
      </c>
      <c r="FT14" s="39" t="str">
        <f t="shared" si="159"/>
        <v/>
      </c>
      <c r="FU14" s="39" t="str">
        <f t="shared" si="160"/>
        <v/>
      </c>
      <c r="FV14" s="39" t="str">
        <f t="shared" si="161"/>
        <v/>
      </c>
      <c r="FW14" s="39" t="str">
        <f t="shared" si="162"/>
        <v/>
      </c>
      <c r="FX14" s="39">
        <f t="shared" si="163"/>
        <v>81</v>
      </c>
      <c r="FY14" s="68">
        <f t="shared" si="164"/>
        <v>85</v>
      </c>
      <c r="FZ14" s="68">
        <f t="shared" si="165"/>
        <v>75</v>
      </c>
      <c r="GA14" s="39" t="str">
        <f>SISWA!E12</f>
        <v>Indah</v>
      </c>
      <c r="GB14" s="39" t="str">
        <f t="shared" si="166"/>
        <v xml:space="preserve">Ananda Indah </v>
      </c>
      <c r="GC14" s="207" t="str">
        <f t="shared" si="167"/>
        <v/>
      </c>
      <c r="GD14" s="207">
        <f t="shared" si="168"/>
        <v>85</v>
      </c>
      <c r="GE14" s="207" t="str">
        <f t="shared" si="169"/>
        <v/>
      </c>
      <c r="GF14" s="207">
        <f t="shared" si="170"/>
        <v>85</v>
      </c>
      <c r="GG14" s="207" t="str">
        <f t="shared" si="171"/>
        <v/>
      </c>
      <c r="GH14" s="207" t="str">
        <f t="shared" si="172"/>
        <v/>
      </c>
      <c r="GI14" s="207" t="str">
        <f t="shared" si="173"/>
        <v/>
      </c>
      <c r="GJ14" s="207" t="str">
        <f t="shared" si="174"/>
        <v/>
      </c>
      <c r="GK14" s="207" t="str">
        <f t="shared" si="175"/>
        <v/>
      </c>
      <c r="GL14" s="207" t="str">
        <f t="shared" si="176"/>
        <v/>
      </c>
      <c r="GM14" s="207" t="str">
        <f t="shared" si="177"/>
        <v/>
      </c>
      <c r="GN14" s="207" t="str">
        <f t="shared" si="178"/>
        <v/>
      </c>
      <c r="GO14" s="39">
        <f t="shared" si="179"/>
        <v>170</v>
      </c>
      <c r="GP14" s="68" t="str">
        <f t="shared" si="180"/>
        <v>menyelesaikan masalah yang berkaitan dengan skala pada denah</v>
      </c>
      <c r="GQ14" s="576" t="str">
        <f>IF(FY14&gt;100,"",IF(FY14&gt;BE$1,"sangat baik dalam "&amp;GP14,IF(FY14&gt;=BE$2,"baik dalam "&amp;GP14,IF(FY14&gt;=BE$3,"cukup dalam "&amp;GP14,IF(FY14&lt;BE$3,"dengan bimbingan dapat meningkatkan dalam "&amp;GP14,IF(FY14&lt;1," ",””))))))</f>
        <v>baik dalam menyelesaikan masalah yang berkaitan dengan skala pada denah</v>
      </c>
      <c r="GR14" s="223"/>
      <c r="GS14" s="223">
        <f t="shared" si="181"/>
        <v>75</v>
      </c>
      <c r="GT14" s="223" t="str">
        <f t="shared" si="182"/>
        <v/>
      </c>
      <c r="GU14" s="223" t="str">
        <f t="shared" si="183"/>
        <v/>
      </c>
      <c r="GV14" s="223" t="str">
        <f t="shared" si="184"/>
        <v/>
      </c>
      <c r="GW14" s="223" t="str">
        <f t="shared" si="185"/>
        <v/>
      </c>
      <c r="GX14" s="223" t="str">
        <f t="shared" si="186"/>
        <v/>
      </c>
      <c r="GY14" s="223" t="str">
        <f t="shared" si="187"/>
        <v/>
      </c>
      <c r="GZ14" s="223" t="str">
        <f t="shared" si="188"/>
        <v/>
      </c>
      <c r="HA14" s="223" t="str">
        <f t="shared" si="189"/>
        <v/>
      </c>
      <c r="HB14" s="223" t="str">
        <f t="shared" si="190"/>
        <v/>
      </c>
      <c r="HC14" s="223" t="str">
        <f t="shared" si="191"/>
        <v/>
      </c>
      <c r="HD14" s="223" t="str">
        <f t="shared" si="192"/>
        <v/>
      </c>
      <c r="HE14" s="223" t="str">
        <f t="shared" si="193"/>
        <v>menyelesaikan masalah yang berkaitan dengan penjumlahan dan pengurangan dua pecahan dengan penyebut berbeda</v>
      </c>
      <c r="HF14" s="577" t="str">
        <f>IF(FZ14&gt;100,"",IF(FZ14&gt;=BE$1,"sangat baik dalam "&amp;HE14,IF(FZ14&gt;=BE$2,"baik dalam "&amp;HE14,IF(FZ14&gt;=BE$3,"cukup dalam "&amp;HE14,IF(FZ14&lt;BE$3,"dengan bimbingan dapat meningkatkan dalam "&amp;HE14,IF(FZ14&lt;1," ",””))))))</f>
        <v>cukup dalam menyelesaikan masalah yang berkaitan dengan penjumlahan dan pengurangan dua pecahan dengan penyebut berbeda</v>
      </c>
      <c r="HG14" s="223" t="str">
        <f t="shared" si="194"/>
        <v>Ananda Indah baik dalam menyelesaikan masalah yang berkaitan dengan skala pada denah, cukup dalam menyelesaikan masalah yang berkaitan dengan penjumlahan dan pengurangan dua pecahan dengan penyebut berbeda.</v>
      </c>
    </row>
    <row r="15" spans="1:215" ht="30" customHeight="1">
      <c r="A15" s="39">
        <v>8</v>
      </c>
      <c r="B15" s="223" t="str">
        <f>SISWA!B13</f>
        <v>Muhammad Ilham Sarifuddin</v>
      </c>
      <c r="C15" s="123">
        <v>75</v>
      </c>
      <c r="D15" s="123">
        <v>80</v>
      </c>
      <c r="E15" s="123">
        <v>75</v>
      </c>
      <c r="F15" s="123">
        <v>80</v>
      </c>
      <c r="G15" s="123"/>
      <c r="H15" s="123"/>
      <c r="I15" s="123"/>
      <c r="J15" s="123"/>
      <c r="K15" s="123"/>
      <c r="L15" s="123"/>
      <c r="M15" s="123"/>
      <c r="N15" s="123"/>
      <c r="O15" s="255"/>
      <c r="P15" s="255"/>
      <c r="Q15" s="255"/>
      <c r="R15" s="255"/>
      <c r="S15" s="255"/>
      <c r="T15" s="255"/>
      <c r="U15" s="255"/>
      <c r="V15" s="255"/>
      <c r="W15" s="255"/>
      <c r="X15" s="255"/>
      <c r="Y15" s="255"/>
      <c r="Z15" s="255"/>
      <c r="AA15" s="256"/>
      <c r="AB15" s="256"/>
      <c r="AC15" s="256"/>
      <c r="AD15" s="256"/>
      <c r="AE15" s="256"/>
      <c r="AF15" s="256"/>
      <c r="AG15" s="256"/>
      <c r="AH15" s="256"/>
      <c r="AI15" s="256"/>
      <c r="AJ15" s="256"/>
      <c r="AK15" s="256"/>
      <c r="AL15" s="256"/>
      <c r="AM15" s="257">
        <f t="shared" si="25"/>
        <v>75</v>
      </c>
      <c r="AN15" s="257">
        <f t="shared" si="26"/>
        <v>80</v>
      </c>
      <c r="AO15" s="257">
        <f t="shared" si="27"/>
        <v>75</v>
      </c>
      <c r="AP15" s="257">
        <f t="shared" si="28"/>
        <v>80</v>
      </c>
      <c r="AQ15" s="257" t="str">
        <f t="shared" si="29"/>
        <v/>
      </c>
      <c r="AR15" s="257" t="str">
        <f t="shared" si="30"/>
        <v/>
      </c>
      <c r="AS15" s="257" t="str">
        <f t="shared" si="31"/>
        <v/>
      </c>
      <c r="AT15" s="257" t="str">
        <f t="shared" si="32"/>
        <v/>
      </c>
      <c r="AU15" s="257" t="str">
        <f t="shared" si="33"/>
        <v/>
      </c>
      <c r="AV15" s="257" t="str">
        <f t="shared" si="34"/>
        <v/>
      </c>
      <c r="AW15" s="257" t="str">
        <f t="shared" si="35"/>
        <v/>
      </c>
      <c r="AX15" s="257" t="str">
        <f t="shared" si="36"/>
        <v/>
      </c>
      <c r="AY15" s="756">
        <f t="shared" si="37"/>
        <v>78</v>
      </c>
      <c r="AZ15" s="291" t="str">
        <f t="shared" si="38"/>
        <v>C</v>
      </c>
      <c r="BA15" s="243" t="str">
        <f t="shared" si="39"/>
        <v>Ananda Ilham cukup dalam menyelesaikan masalah yang berkaitan dengan skala pada denah, cukup dalam menyelesaikan masalah yang berkaitan dengan perbandingan dua besaran yang berbeda (kecepatan, debit).</v>
      </c>
      <c r="BB15" s="39"/>
      <c r="BC15" s="39"/>
      <c r="BD15" s="257">
        <f t="shared" si="40"/>
        <v>75</v>
      </c>
      <c r="BE15" s="257">
        <f t="shared" si="41"/>
        <v>80</v>
      </c>
      <c r="BF15" s="257">
        <f t="shared" si="42"/>
        <v>75</v>
      </c>
      <c r="BG15" s="257">
        <f t="shared" si="43"/>
        <v>80</v>
      </c>
      <c r="BH15" s="257">
        <f t="shared" si="44"/>
        <v>0</v>
      </c>
      <c r="BI15" s="257">
        <f t="shared" si="45"/>
        <v>0</v>
      </c>
      <c r="BJ15" s="257">
        <f t="shared" si="46"/>
        <v>0</v>
      </c>
      <c r="BK15" s="257">
        <f t="shared" si="47"/>
        <v>0</v>
      </c>
      <c r="BL15" s="257">
        <f t="shared" si="48"/>
        <v>0</v>
      </c>
      <c r="BM15" s="257">
        <f t="shared" si="49"/>
        <v>0</v>
      </c>
      <c r="BN15" s="257">
        <f t="shared" si="50"/>
        <v>0</v>
      </c>
      <c r="BO15" s="257">
        <f t="shared" si="51"/>
        <v>0</v>
      </c>
      <c r="BP15" s="232">
        <f t="shared" si="52"/>
        <v>80</v>
      </c>
      <c r="BQ15" s="257">
        <f t="shared" si="53"/>
        <v>0</v>
      </c>
      <c r="BR15" s="257">
        <f t="shared" si="54"/>
        <v>0</v>
      </c>
      <c r="BS15" s="257">
        <f t="shared" si="55"/>
        <v>0</v>
      </c>
      <c r="BT15" s="257">
        <f t="shared" si="56"/>
        <v>0</v>
      </c>
      <c r="BU15" s="257">
        <f t="shared" si="57"/>
        <v>0</v>
      </c>
      <c r="BV15" s="257">
        <f t="shared" si="58"/>
        <v>0</v>
      </c>
      <c r="BW15" s="257">
        <f t="shared" si="59"/>
        <v>0</v>
      </c>
      <c r="BX15" s="257">
        <f t="shared" si="60"/>
        <v>0</v>
      </c>
      <c r="BY15" s="257">
        <f t="shared" si="61"/>
        <v>0</v>
      </c>
      <c r="BZ15" s="257">
        <f t="shared" si="62"/>
        <v>0</v>
      </c>
      <c r="CA15" s="257">
        <f t="shared" si="63"/>
        <v>0</v>
      </c>
      <c r="CB15" s="257">
        <f t="shared" si="64"/>
        <v>0</v>
      </c>
      <c r="CC15" s="232">
        <f t="shared" si="65"/>
        <v>0</v>
      </c>
      <c r="CD15" s="257">
        <f t="shared" si="66"/>
        <v>0</v>
      </c>
      <c r="CE15" s="257">
        <f t="shared" si="67"/>
        <v>0</v>
      </c>
      <c r="CF15" s="257">
        <f t="shared" si="68"/>
        <v>0</v>
      </c>
      <c r="CG15" s="257">
        <f t="shared" si="69"/>
        <v>0</v>
      </c>
      <c r="CH15" s="257">
        <f t="shared" si="70"/>
        <v>0</v>
      </c>
      <c r="CI15" s="257">
        <f t="shared" si="71"/>
        <v>0</v>
      </c>
      <c r="CJ15" s="257">
        <f t="shared" si="72"/>
        <v>0</v>
      </c>
      <c r="CK15" s="257">
        <f t="shared" si="73"/>
        <v>0</v>
      </c>
      <c r="CL15" s="257">
        <f t="shared" si="74"/>
        <v>0</v>
      </c>
      <c r="CM15" s="257">
        <f t="shared" si="75"/>
        <v>0</v>
      </c>
      <c r="CN15" s="257">
        <f t="shared" si="76"/>
        <v>0</v>
      </c>
      <c r="CO15" s="257">
        <f t="shared" si="77"/>
        <v>0</v>
      </c>
      <c r="CP15" s="232">
        <f t="shared" si="78"/>
        <v>0</v>
      </c>
      <c r="CQ15" s="257">
        <f t="shared" si="79"/>
        <v>75</v>
      </c>
      <c r="CR15" s="257">
        <f t="shared" si="80"/>
        <v>0</v>
      </c>
      <c r="CS15" s="257">
        <f t="shared" si="81"/>
        <v>0</v>
      </c>
      <c r="CT15" s="575">
        <f t="shared" si="82"/>
        <v>2</v>
      </c>
      <c r="CU15" s="506">
        <f t="shared" si="83"/>
        <v>1</v>
      </c>
      <c r="CV15" s="39">
        <f t="shared" si="84"/>
        <v>75</v>
      </c>
      <c r="CW15" s="257">
        <f t="shared" si="85"/>
        <v>80</v>
      </c>
      <c r="CX15" s="257">
        <f t="shared" si="86"/>
        <v>0</v>
      </c>
      <c r="CY15" s="257">
        <f t="shared" si="87"/>
        <v>0</v>
      </c>
      <c r="CZ15" s="575">
        <f t="shared" si="88"/>
        <v>2</v>
      </c>
      <c r="DA15" s="506">
        <f t="shared" si="89"/>
        <v>1</v>
      </c>
      <c r="DB15" s="39">
        <f t="shared" si="90"/>
        <v>80</v>
      </c>
      <c r="DC15" s="257">
        <f t="shared" si="91"/>
        <v>75</v>
      </c>
      <c r="DD15" s="257">
        <f t="shared" si="92"/>
        <v>0</v>
      </c>
      <c r="DE15" s="257">
        <f t="shared" si="93"/>
        <v>0</v>
      </c>
      <c r="DF15" s="575">
        <f t="shared" si="94"/>
        <v>2</v>
      </c>
      <c r="DG15" s="506">
        <f t="shared" si="95"/>
        <v>1</v>
      </c>
      <c r="DH15" s="39">
        <f t="shared" si="96"/>
        <v>75</v>
      </c>
      <c r="DI15" s="257">
        <f t="shared" si="97"/>
        <v>80</v>
      </c>
      <c r="DJ15" s="257">
        <f t="shared" si="98"/>
        <v>0</v>
      </c>
      <c r="DK15" s="257">
        <f t="shared" si="99"/>
        <v>0</v>
      </c>
      <c r="DL15" s="575">
        <f t="shared" si="100"/>
        <v>2</v>
      </c>
      <c r="DM15" s="506">
        <f t="shared" si="101"/>
        <v>1</v>
      </c>
      <c r="DN15" s="39">
        <f t="shared" si="102"/>
        <v>80</v>
      </c>
      <c r="DO15" s="257">
        <f t="shared" si="103"/>
        <v>0</v>
      </c>
      <c r="DP15" s="257">
        <f t="shared" si="104"/>
        <v>0</v>
      </c>
      <c r="DQ15" s="257">
        <f t="shared" si="105"/>
        <v>0</v>
      </c>
      <c r="DR15" s="575">
        <f t="shared" si="106"/>
        <v>3</v>
      </c>
      <c r="DS15" s="506">
        <f t="shared" si="107"/>
        <v>0</v>
      </c>
      <c r="DT15" s="39" t="str">
        <f t="shared" si="108"/>
        <v/>
      </c>
      <c r="DU15" s="257">
        <f t="shared" si="109"/>
        <v>0</v>
      </c>
      <c r="DV15" s="257">
        <f t="shared" si="110"/>
        <v>0</v>
      </c>
      <c r="DW15" s="257">
        <f t="shared" si="111"/>
        <v>0</v>
      </c>
      <c r="DX15" s="575">
        <f t="shared" si="112"/>
        <v>3</v>
      </c>
      <c r="DY15" s="506">
        <f t="shared" si="113"/>
        <v>0</v>
      </c>
      <c r="DZ15" s="39" t="str">
        <f t="shared" si="114"/>
        <v/>
      </c>
      <c r="EA15" s="257">
        <f t="shared" si="115"/>
        <v>0</v>
      </c>
      <c r="EB15" s="257">
        <f t="shared" si="116"/>
        <v>0</v>
      </c>
      <c r="EC15" s="257">
        <f t="shared" si="117"/>
        <v>0</v>
      </c>
      <c r="ED15" s="575">
        <f t="shared" si="118"/>
        <v>3</v>
      </c>
      <c r="EE15" s="506">
        <f t="shared" si="119"/>
        <v>0</v>
      </c>
      <c r="EF15" s="39" t="str">
        <f t="shared" si="120"/>
        <v/>
      </c>
      <c r="EG15" s="257">
        <f t="shared" si="121"/>
        <v>0</v>
      </c>
      <c r="EH15" s="257">
        <f t="shared" si="122"/>
        <v>0</v>
      </c>
      <c r="EI15" s="257">
        <f t="shared" si="123"/>
        <v>0</v>
      </c>
      <c r="EJ15" s="575">
        <f t="shared" si="124"/>
        <v>3</v>
      </c>
      <c r="EK15" s="506">
        <f t="shared" si="125"/>
        <v>0</v>
      </c>
      <c r="EL15" s="39" t="str">
        <f t="shared" si="126"/>
        <v/>
      </c>
      <c r="EM15" s="257">
        <f t="shared" si="127"/>
        <v>0</v>
      </c>
      <c r="EN15" s="257">
        <f t="shared" si="128"/>
        <v>0</v>
      </c>
      <c r="EO15" s="257">
        <f t="shared" si="129"/>
        <v>0</v>
      </c>
      <c r="EP15" s="575">
        <f t="shared" si="130"/>
        <v>3</v>
      </c>
      <c r="EQ15" s="506">
        <f t="shared" si="131"/>
        <v>0</v>
      </c>
      <c r="ER15" s="39" t="str">
        <f t="shared" si="132"/>
        <v/>
      </c>
      <c r="ES15" s="257">
        <f t="shared" si="133"/>
        <v>0</v>
      </c>
      <c r="ET15" s="257">
        <f t="shared" si="134"/>
        <v>0</v>
      </c>
      <c r="EU15" s="257">
        <f t="shared" si="135"/>
        <v>0</v>
      </c>
      <c r="EV15" s="575">
        <f t="shared" si="136"/>
        <v>3</v>
      </c>
      <c r="EW15" s="506">
        <f t="shared" si="137"/>
        <v>0</v>
      </c>
      <c r="EX15" s="39" t="str">
        <f t="shared" si="138"/>
        <v/>
      </c>
      <c r="EY15" s="257">
        <f t="shared" si="139"/>
        <v>0</v>
      </c>
      <c r="EZ15" s="257">
        <f t="shared" si="140"/>
        <v>0</v>
      </c>
      <c r="FA15" s="257">
        <f t="shared" si="141"/>
        <v>0</v>
      </c>
      <c r="FB15" s="575">
        <f t="shared" si="142"/>
        <v>3</v>
      </c>
      <c r="FC15" s="506">
        <f t="shared" si="143"/>
        <v>0</v>
      </c>
      <c r="FD15" s="39" t="str">
        <f t="shared" si="144"/>
        <v/>
      </c>
      <c r="FE15" s="257">
        <f t="shared" si="145"/>
        <v>0</v>
      </c>
      <c r="FF15" s="257">
        <f t="shared" si="146"/>
        <v>0</v>
      </c>
      <c r="FG15" s="257">
        <f t="shared" si="147"/>
        <v>0</v>
      </c>
      <c r="FH15" s="575">
        <f t="shared" si="148"/>
        <v>3</v>
      </c>
      <c r="FI15" s="506">
        <f t="shared" si="149"/>
        <v>0</v>
      </c>
      <c r="FJ15" s="39" t="str">
        <f t="shared" si="150"/>
        <v/>
      </c>
      <c r="FK15" s="39"/>
      <c r="FL15" s="39">
        <f t="shared" si="151"/>
        <v>75</v>
      </c>
      <c r="FM15" s="39">
        <f t="shared" si="152"/>
        <v>80</v>
      </c>
      <c r="FN15" s="39">
        <f t="shared" si="153"/>
        <v>75</v>
      </c>
      <c r="FO15" s="39">
        <f t="shared" si="154"/>
        <v>80</v>
      </c>
      <c r="FP15" s="39" t="str">
        <f t="shared" si="155"/>
        <v/>
      </c>
      <c r="FQ15" s="39" t="str">
        <f t="shared" si="156"/>
        <v/>
      </c>
      <c r="FR15" s="39" t="str">
        <f t="shared" si="157"/>
        <v/>
      </c>
      <c r="FS15" s="39" t="str">
        <f t="shared" si="158"/>
        <v/>
      </c>
      <c r="FT15" s="39" t="str">
        <f t="shared" si="159"/>
        <v/>
      </c>
      <c r="FU15" s="39" t="str">
        <f t="shared" si="160"/>
        <v/>
      </c>
      <c r="FV15" s="39" t="str">
        <f t="shared" si="161"/>
        <v/>
      </c>
      <c r="FW15" s="39" t="str">
        <f t="shared" si="162"/>
        <v/>
      </c>
      <c r="FX15" s="39">
        <f t="shared" si="163"/>
        <v>78</v>
      </c>
      <c r="FY15" s="68">
        <f t="shared" si="164"/>
        <v>80</v>
      </c>
      <c r="FZ15" s="68">
        <f t="shared" si="165"/>
        <v>75</v>
      </c>
      <c r="GA15" s="39" t="str">
        <f>SISWA!E13</f>
        <v>Ilham</v>
      </c>
      <c r="GB15" s="39" t="str">
        <f t="shared" si="166"/>
        <v xml:space="preserve">Ananda Ilham </v>
      </c>
      <c r="GC15" s="207" t="str">
        <f t="shared" si="167"/>
        <v/>
      </c>
      <c r="GD15" s="207">
        <f t="shared" si="168"/>
        <v>80</v>
      </c>
      <c r="GE15" s="207" t="str">
        <f t="shared" si="169"/>
        <v/>
      </c>
      <c r="GF15" s="207">
        <f t="shared" si="170"/>
        <v>80</v>
      </c>
      <c r="GG15" s="207" t="str">
        <f t="shared" si="171"/>
        <v/>
      </c>
      <c r="GH15" s="207" t="str">
        <f t="shared" si="172"/>
        <v/>
      </c>
      <c r="GI15" s="207" t="str">
        <f t="shared" si="173"/>
        <v/>
      </c>
      <c r="GJ15" s="207" t="str">
        <f t="shared" si="174"/>
        <v/>
      </c>
      <c r="GK15" s="207" t="str">
        <f t="shared" si="175"/>
        <v/>
      </c>
      <c r="GL15" s="207" t="str">
        <f t="shared" si="176"/>
        <v/>
      </c>
      <c r="GM15" s="207" t="str">
        <f t="shared" si="177"/>
        <v/>
      </c>
      <c r="GN15" s="207" t="str">
        <f t="shared" si="178"/>
        <v/>
      </c>
      <c r="GO15" s="39">
        <f t="shared" si="179"/>
        <v>160</v>
      </c>
      <c r="GP15" s="68" t="str">
        <f t="shared" si="180"/>
        <v>menyelesaikan masalah yang berkaitan dengan skala pada denah</v>
      </c>
      <c r="GQ15" s="576" t="str">
        <f>IF(FY15&gt;100,"",IF(FY15&gt;BE$1,"sangat baik dalam "&amp;GP15,IF(FY15&gt;=BE$2,"baik dalam "&amp;GP15,IF(FY15&gt;=BE$3,"cukup dalam "&amp;GP15,IF(FY15&lt;BE$3,"dengan bimbingan dapat meningkatkan dalam "&amp;GP15,IF(FY15&lt;1," ",””))))))</f>
        <v>cukup dalam menyelesaikan masalah yang berkaitan dengan skala pada denah</v>
      </c>
      <c r="GR15" s="223"/>
      <c r="GS15" s="223">
        <f t="shared" si="181"/>
        <v>75</v>
      </c>
      <c r="GT15" s="223" t="str">
        <f t="shared" si="182"/>
        <v/>
      </c>
      <c r="GU15" s="223">
        <f t="shared" si="183"/>
        <v>75</v>
      </c>
      <c r="GV15" s="223" t="str">
        <f t="shared" si="184"/>
        <v/>
      </c>
      <c r="GW15" s="223" t="str">
        <f t="shared" si="185"/>
        <v/>
      </c>
      <c r="GX15" s="223" t="str">
        <f t="shared" si="186"/>
        <v/>
      </c>
      <c r="GY15" s="223" t="str">
        <f t="shared" si="187"/>
        <v/>
      </c>
      <c r="GZ15" s="223" t="str">
        <f t="shared" si="188"/>
        <v/>
      </c>
      <c r="HA15" s="223" t="str">
        <f t="shared" si="189"/>
        <v/>
      </c>
      <c r="HB15" s="223" t="str">
        <f t="shared" si="190"/>
        <v/>
      </c>
      <c r="HC15" s="223" t="str">
        <f t="shared" si="191"/>
        <v/>
      </c>
      <c r="HD15" s="223" t="str">
        <f t="shared" si="192"/>
        <v/>
      </c>
      <c r="HE15" s="223" t="str">
        <f t="shared" si="193"/>
        <v>menyelesaikan masalah yang berkaitan dengan perbandingan dua besaran yang berbeda (kecepatan, debit)</v>
      </c>
      <c r="HF15" s="577" t="str">
        <f>IF(FZ15&gt;100,"",IF(FZ15&gt;=BE$1,"sangat baik dalam "&amp;HE15,IF(FZ15&gt;=BE$2,"baik dalam "&amp;HE15,IF(FZ15&gt;=BE$3,"cukup dalam "&amp;HE15,IF(FZ15&lt;BE$3,"dengan bimbingan dapat meningkatkan dalam "&amp;HE15,IF(FZ15&lt;1," ",””))))))</f>
        <v>cukup dalam menyelesaikan masalah yang berkaitan dengan perbandingan dua besaran yang berbeda (kecepatan, debit)</v>
      </c>
      <c r="HG15" s="223" t="str">
        <f t="shared" si="194"/>
        <v>Ananda Ilham cukup dalam menyelesaikan masalah yang berkaitan dengan skala pada denah, cukup dalam menyelesaikan masalah yang berkaitan dengan perbandingan dua besaran yang berbeda (kecepatan, debit).</v>
      </c>
    </row>
    <row r="16" spans="1:215" ht="30" customHeight="1">
      <c r="A16" s="39">
        <v>9</v>
      </c>
      <c r="B16" s="223" t="str">
        <f>SISWA!B14</f>
        <v>Muhammad Raditya Ainul Yaqin</v>
      </c>
      <c r="C16" s="123">
        <v>75</v>
      </c>
      <c r="D16" s="123">
        <v>75</v>
      </c>
      <c r="E16" s="123">
        <v>80</v>
      </c>
      <c r="F16" s="123">
        <v>80</v>
      </c>
      <c r="G16" s="123"/>
      <c r="H16" s="123"/>
      <c r="I16" s="123"/>
      <c r="J16" s="123"/>
      <c r="K16" s="123"/>
      <c r="L16" s="123"/>
      <c r="M16" s="123"/>
      <c r="N16" s="123"/>
      <c r="O16" s="255"/>
      <c r="P16" s="255"/>
      <c r="Q16" s="255"/>
      <c r="R16" s="255"/>
      <c r="S16" s="255"/>
      <c r="T16" s="255"/>
      <c r="U16" s="255"/>
      <c r="V16" s="255"/>
      <c r="W16" s="255"/>
      <c r="X16" s="255"/>
      <c r="Y16" s="255"/>
      <c r="Z16" s="255"/>
      <c r="AA16" s="256"/>
      <c r="AB16" s="256"/>
      <c r="AC16" s="256"/>
      <c r="AD16" s="256"/>
      <c r="AE16" s="256"/>
      <c r="AF16" s="256"/>
      <c r="AG16" s="256"/>
      <c r="AH16" s="256"/>
      <c r="AI16" s="256"/>
      <c r="AJ16" s="256"/>
      <c r="AK16" s="256"/>
      <c r="AL16" s="256"/>
      <c r="AM16" s="257">
        <f t="shared" si="25"/>
        <v>75</v>
      </c>
      <c r="AN16" s="257">
        <f t="shared" si="26"/>
        <v>75</v>
      </c>
      <c r="AO16" s="257">
        <f t="shared" si="27"/>
        <v>80</v>
      </c>
      <c r="AP16" s="257">
        <f t="shared" si="28"/>
        <v>80</v>
      </c>
      <c r="AQ16" s="257" t="str">
        <f t="shared" si="29"/>
        <v/>
      </c>
      <c r="AR16" s="257" t="str">
        <f t="shared" si="30"/>
        <v/>
      </c>
      <c r="AS16" s="257" t="str">
        <f t="shared" si="31"/>
        <v/>
      </c>
      <c r="AT16" s="257" t="str">
        <f t="shared" si="32"/>
        <v/>
      </c>
      <c r="AU16" s="257" t="str">
        <f t="shared" si="33"/>
        <v/>
      </c>
      <c r="AV16" s="257" t="str">
        <f t="shared" si="34"/>
        <v/>
      </c>
      <c r="AW16" s="257" t="str">
        <f t="shared" si="35"/>
        <v/>
      </c>
      <c r="AX16" s="257" t="str">
        <f t="shared" si="36"/>
        <v/>
      </c>
      <c r="AY16" s="756">
        <f t="shared" si="37"/>
        <v>78</v>
      </c>
      <c r="AZ16" s="291" t="str">
        <f t="shared" si="38"/>
        <v>C</v>
      </c>
      <c r="BA16" s="243" t="str">
        <f t="shared" si="39"/>
        <v>Ananda Radit cukup dalam menyelesaikan masalah yang berkaitan dengan skala pada denah, cukup dalam menyelesaikan masalah yang berkaitan dengan perkalian dan pembagian pecahan dan desimal.</v>
      </c>
      <c r="BB16" s="39"/>
      <c r="BC16" s="39"/>
      <c r="BD16" s="257">
        <f t="shared" si="40"/>
        <v>75</v>
      </c>
      <c r="BE16" s="257">
        <f t="shared" si="41"/>
        <v>75</v>
      </c>
      <c r="BF16" s="257">
        <f t="shared" si="42"/>
        <v>80</v>
      </c>
      <c r="BG16" s="257">
        <f t="shared" si="43"/>
        <v>80</v>
      </c>
      <c r="BH16" s="257">
        <f t="shared" si="44"/>
        <v>0</v>
      </c>
      <c r="BI16" s="257">
        <f t="shared" si="45"/>
        <v>0</v>
      </c>
      <c r="BJ16" s="257">
        <f t="shared" si="46"/>
        <v>0</v>
      </c>
      <c r="BK16" s="257">
        <f t="shared" si="47"/>
        <v>0</v>
      </c>
      <c r="BL16" s="257">
        <f t="shared" si="48"/>
        <v>0</v>
      </c>
      <c r="BM16" s="257">
        <f t="shared" si="49"/>
        <v>0</v>
      </c>
      <c r="BN16" s="257">
        <f t="shared" si="50"/>
        <v>0</v>
      </c>
      <c r="BO16" s="257">
        <f t="shared" si="51"/>
        <v>0</v>
      </c>
      <c r="BP16" s="232">
        <f t="shared" si="52"/>
        <v>80</v>
      </c>
      <c r="BQ16" s="257">
        <f t="shared" si="53"/>
        <v>0</v>
      </c>
      <c r="BR16" s="257">
        <f t="shared" si="54"/>
        <v>0</v>
      </c>
      <c r="BS16" s="257">
        <f t="shared" si="55"/>
        <v>0</v>
      </c>
      <c r="BT16" s="257">
        <f t="shared" si="56"/>
        <v>0</v>
      </c>
      <c r="BU16" s="257">
        <f t="shared" si="57"/>
        <v>0</v>
      </c>
      <c r="BV16" s="257">
        <f t="shared" si="58"/>
        <v>0</v>
      </c>
      <c r="BW16" s="257">
        <f t="shared" si="59"/>
        <v>0</v>
      </c>
      <c r="BX16" s="257">
        <f t="shared" si="60"/>
        <v>0</v>
      </c>
      <c r="BY16" s="257">
        <f t="shared" si="61"/>
        <v>0</v>
      </c>
      <c r="BZ16" s="257">
        <f t="shared" si="62"/>
        <v>0</v>
      </c>
      <c r="CA16" s="257">
        <f t="shared" si="63"/>
        <v>0</v>
      </c>
      <c r="CB16" s="257">
        <f t="shared" si="64"/>
        <v>0</v>
      </c>
      <c r="CC16" s="232">
        <f t="shared" si="65"/>
        <v>0</v>
      </c>
      <c r="CD16" s="257">
        <f t="shared" si="66"/>
        <v>0</v>
      </c>
      <c r="CE16" s="257">
        <f t="shared" si="67"/>
        <v>0</v>
      </c>
      <c r="CF16" s="257">
        <f t="shared" si="68"/>
        <v>0</v>
      </c>
      <c r="CG16" s="257">
        <f t="shared" si="69"/>
        <v>0</v>
      </c>
      <c r="CH16" s="257">
        <f t="shared" si="70"/>
        <v>0</v>
      </c>
      <c r="CI16" s="257">
        <f t="shared" si="71"/>
        <v>0</v>
      </c>
      <c r="CJ16" s="257">
        <f t="shared" si="72"/>
        <v>0</v>
      </c>
      <c r="CK16" s="257">
        <f t="shared" si="73"/>
        <v>0</v>
      </c>
      <c r="CL16" s="257">
        <f t="shared" si="74"/>
        <v>0</v>
      </c>
      <c r="CM16" s="257">
        <f t="shared" si="75"/>
        <v>0</v>
      </c>
      <c r="CN16" s="257">
        <f t="shared" si="76"/>
        <v>0</v>
      </c>
      <c r="CO16" s="257">
        <f t="shared" si="77"/>
        <v>0</v>
      </c>
      <c r="CP16" s="232">
        <f t="shared" si="78"/>
        <v>0</v>
      </c>
      <c r="CQ16" s="257">
        <f t="shared" si="79"/>
        <v>75</v>
      </c>
      <c r="CR16" s="257">
        <f t="shared" si="80"/>
        <v>0</v>
      </c>
      <c r="CS16" s="257">
        <f t="shared" si="81"/>
        <v>0</v>
      </c>
      <c r="CT16" s="575">
        <f t="shared" si="82"/>
        <v>2</v>
      </c>
      <c r="CU16" s="506">
        <f t="shared" si="83"/>
        <v>1</v>
      </c>
      <c r="CV16" s="39">
        <f t="shared" si="84"/>
        <v>75</v>
      </c>
      <c r="CW16" s="257">
        <f t="shared" si="85"/>
        <v>75</v>
      </c>
      <c r="CX16" s="257">
        <f t="shared" si="86"/>
        <v>0</v>
      </c>
      <c r="CY16" s="257">
        <f t="shared" si="87"/>
        <v>0</v>
      </c>
      <c r="CZ16" s="575">
        <f t="shared" si="88"/>
        <v>2</v>
      </c>
      <c r="DA16" s="506">
        <f t="shared" si="89"/>
        <v>1</v>
      </c>
      <c r="DB16" s="39">
        <f t="shared" si="90"/>
        <v>75</v>
      </c>
      <c r="DC16" s="257">
        <f t="shared" si="91"/>
        <v>80</v>
      </c>
      <c r="DD16" s="257">
        <f t="shared" si="92"/>
        <v>0</v>
      </c>
      <c r="DE16" s="257">
        <f t="shared" si="93"/>
        <v>0</v>
      </c>
      <c r="DF16" s="575">
        <f t="shared" si="94"/>
        <v>2</v>
      </c>
      <c r="DG16" s="506">
        <f t="shared" si="95"/>
        <v>1</v>
      </c>
      <c r="DH16" s="39">
        <f t="shared" si="96"/>
        <v>80</v>
      </c>
      <c r="DI16" s="257">
        <f t="shared" si="97"/>
        <v>80</v>
      </c>
      <c r="DJ16" s="257">
        <f t="shared" si="98"/>
        <v>0</v>
      </c>
      <c r="DK16" s="257">
        <f t="shared" si="99"/>
        <v>0</v>
      </c>
      <c r="DL16" s="575">
        <f t="shared" si="100"/>
        <v>2</v>
      </c>
      <c r="DM16" s="506">
        <f t="shared" si="101"/>
        <v>1</v>
      </c>
      <c r="DN16" s="39">
        <f t="shared" si="102"/>
        <v>80</v>
      </c>
      <c r="DO16" s="257">
        <f t="shared" si="103"/>
        <v>0</v>
      </c>
      <c r="DP16" s="257">
        <f t="shared" si="104"/>
        <v>0</v>
      </c>
      <c r="DQ16" s="257">
        <f t="shared" si="105"/>
        <v>0</v>
      </c>
      <c r="DR16" s="575">
        <f t="shared" si="106"/>
        <v>3</v>
      </c>
      <c r="DS16" s="506">
        <f t="shared" si="107"/>
        <v>0</v>
      </c>
      <c r="DT16" s="39" t="str">
        <f t="shared" si="108"/>
        <v/>
      </c>
      <c r="DU16" s="257">
        <f t="shared" si="109"/>
        <v>0</v>
      </c>
      <c r="DV16" s="257">
        <f t="shared" si="110"/>
        <v>0</v>
      </c>
      <c r="DW16" s="257">
        <f t="shared" si="111"/>
        <v>0</v>
      </c>
      <c r="DX16" s="575">
        <f t="shared" si="112"/>
        <v>3</v>
      </c>
      <c r="DY16" s="506">
        <f t="shared" si="113"/>
        <v>0</v>
      </c>
      <c r="DZ16" s="39" t="str">
        <f t="shared" si="114"/>
        <v/>
      </c>
      <c r="EA16" s="257">
        <f t="shared" si="115"/>
        <v>0</v>
      </c>
      <c r="EB16" s="257">
        <f t="shared" si="116"/>
        <v>0</v>
      </c>
      <c r="EC16" s="257">
        <f t="shared" si="117"/>
        <v>0</v>
      </c>
      <c r="ED16" s="575">
        <f t="shared" si="118"/>
        <v>3</v>
      </c>
      <c r="EE16" s="506">
        <f t="shared" si="119"/>
        <v>0</v>
      </c>
      <c r="EF16" s="39" t="str">
        <f t="shared" si="120"/>
        <v/>
      </c>
      <c r="EG16" s="257">
        <f t="shared" si="121"/>
        <v>0</v>
      </c>
      <c r="EH16" s="257">
        <f t="shared" si="122"/>
        <v>0</v>
      </c>
      <c r="EI16" s="257">
        <f t="shared" si="123"/>
        <v>0</v>
      </c>
      <c r="EJ16" s="575">
        <f t="shared" si="124"/>
        <v>3</v>
      </c>
      <c r="EK16" s="506">
        <f t="shared" si="125"/>
        <v>0</v>
      </c>
      <c r="EL16" s="39" t="str">
        <f t="shared" si="126"/>
        <v/>
      </c>
      <c r="EM16" s="257">
        <f t="shared" si="127"/>
        <v>0</v>
      </c>
      <c r="EN16" s="257">
        <f t="shared" si="128"/>
        <v>0</v>
      </c>
      <c r="EO16" s="257">
        <f t="shared" si="129"/>
        <v>0</v>
      </c>
      <c r="EP16" s="575">
        <f t="shared" si="130"/>
        <v>3</v>
      </c>
      <c r="EQ16" s="506">
        <f t="shared" si="131"/>
        <v>0</v>
      </c>
      <c r="ER16" s="39" t="str">
        <f t="shared" si="132"/>
        <v/>
      </c>
      <c r="ES16" s="257">
        <f t="shared" si="133"/>
        <v>0</v>
      </c>
      <c r="ET16" s="257">
        <f t="shared" si="134"/>
        <v>0</v>
      </c>
      <c r="EU16" s="257">
        <f t="shared" si="135"/>
        <v>0</v>
      </c>
      <c r="EV16" s="575">
        <f t="shared" si="136"/>
        <v>3</v>
      </c>
      <c r="EW16" s="506">
        <f t="shared" si="137"/>
        <v>0</v>
      </c>
      <c r="EX16" s="39" t="str">
        <f t="shared" si="138"/>
        <v/>
      </c>
      <c r="EY16" s="257">
        <f t="shared" si="139"/>
        <v>0</v>
      </c>
      <c r="EZ16" s="257">
        <f t="shared" si="140"/>
        <v>0</v>
      </c>
      <c r="FA16" s="257">
        <f t="shared" si="141"/>
        <v>0</v>
      </c>
      <c r="FB16" s="575">
        <f t="shared" si="142"/>
        <v>3</v>
      </c>
      <c r="FC16" s="506">
        <f t="shared" si="143"/>
        <v>0</v>
      </c>
      <c r="FD16" s="39" t="str">
        <f t="shared" si="144"/>
        <v/>
      </c>
      <c r="FE16" s="257">
        <f t="shared" si="145"/>
        <v>0</v>
      </c>
      <c r="FF16" s="257">
        <f t="shared" si="146"/>
        <v>0</v>
      </c>
      <c r="FG16" s="257">
        <f t="shared" si="147"/>
        <v>0</v>
      </c>
      <c r="FH16" s="575">
        <f t="shared" si="148"/>
        <v>3</v>
      </c>
      <c r="FI16" s="506">
        <f t="shared" si="149"/>
        <v>0</v>
      </c>
      <c r="FJ16" s="39" t="str">
        <f t="shared" si="150"/>
        <v/>
      </c>
      <c r="FK16" s="39"/>
      <c r="FL16" s="39">
        <f t="shared" si="151"/>
        <v>75</v>
      </c>
      <c r="FM16" s="39">
        <f t="shared" si="152"/>
        <v>75</v>
      </c>
      <c r="FN16" s="39">
        <f t="shared" si="153"/>
        <v>80</v>
      </c>
      <c r="FO16" s="39">
        <f t="shared" si="154"/>
        <v>80</v>
      </c>
      <c r="FP16" s="39" t="str">
        <f t="shared" si="155"/>
        <v/>
      </c>
      <c r="FQ16" s="39" t="str">
        <f t="shared" si="156"/>
        <v/>
      </c>
      <c r="FR16" s="39" t="str">
        <f t="shared" si="157"/>
        <v/>
      </c>
      <c r="FS16" s="39" t="str">
        <f t="shared" si="158"/>
        <v/>
      </c>
      <c r="FT16" s="39" t="str">
        <f t="shared" si="159"/>
        <v/>
      </c>
      <c r="FU16" s="39" t="str">
        <f t="shared" si="160"/>
        <v/>
      </c>
      <c r="FV16" s="39" t="str">
        <f t="shared" si="161"/>
        <v/>
      </c>
      <c r="FW16" s="39" t="str">
        <f t="shared" si="162"/>
        <v/>
      </c>
      <c r="FX16" s="39">
        <f t="shared" si="163"/>
        <v>78</v>
      </c>
      <c r="FY16" s="68">
        <f t="shared" si="164"/>
        <v>80</v>
      </c>
      <c r="FZ16" s="68">
        <f t="shared" si="165"/>
        <v>75</v>
      </c>
      <c r="GA16" s="39" t="str">
        <f>SISWA!E14</f>
        <v>Radit</v>
      </c>
      <c r="GB16" s="39" t="str">
        <f t="shared" si="166"/>
        <v xml:space="preserve">Ananda Radit </v>
      </c>
      <c r="GC16" s="207" t="str">
        <f t="shared" si="167"/>
        <v/>
      </c>
      <c r="GD16" s="207" t="str">
        <f t="shared" si="168"/>
        <v/>
      </c>
      <c r="GE16" s="207">
        <f t="shared" si="169"/>
        <v>80</v>
      </c>
      <c r="GF16" s="207">
        <f t="shared" si="170"/>
        <v>80</v>
      </c>
      <c r="GG16" s="207" t="str">
        <f t="shared" si="171"/>
        <v/>
      </c>
      <c r="GH16" s="207" t="str">
        <f t="shared" si="172"/>
        <v/>
      </c>
      <c r="GI16" s="207" t="str">
        <f t="shared" si="173"/>
        <v/>
      </c>
      <c r="GJ16" s="207" t="str">
        <f t="shared" si="174"/>
        <v/>
      </c>
      <c r="GK16" s="207" t="str">
        <f t="shared" si="175"/>
        <v/>
      </c>
      <c r="GL16" s="207" t="str">
        <f t="shared" si="176"/>
        <v/>
      </c>
      <c r="GM16" s="207" t="str">
        <f t="shared" si="177"/>
        <v/>
      </c>
      <c r="GN16" s="207" t="str">
        <f t="shared" si="178"/>
        <v/>
      </c>
      <c r="GO16" s="39">
        <f t="shared" si="179"/>
        <v>160</v>
      </c>
      <c r="GP16" s="68" t="str">
        <f t="shared" si="180"/>
        <v>menyelesaikan masalah yang berkaitan dengan skala pada denah</v>
      </c>
      <c r="GQ16" s="576" t="str">
        <f>IF(FY16&gt;100,"",IF(FY16&gt;BE$1,"sangat baik dalam "&amp;GP16,IF(FY16&gt;=BE$2,"baik dalam "&amp;GP16,IF(FY16&gt;=BE$3,"cukup dalam "&amp;GP16,IF(FY16&lt;BE$3,"dengan bimbingan dapat meningkatkan dalam "&amp;GP16,IF(FY16&lt;1," ",””))))))</f>
        <v>cukup dalam menyelesaikan masalah yang berkaitan dengan skala pada denah</v>
      </c>
      <c r="GR16" s="223"/>
      <c r="GS16" s="223">
        <f t="shared" si="181"/>
        <v>75</v>
      </c>
      <c r="GT16" s="223">
        <f t="shared" si="182"/>
        <v>75</v>
      </c>
      <c r="GU16" s="223" t="str">
        <f t="shared" si="183"/>
        <v/>
      </c>
      <c r="GV16" s="223" t="str">
        <f t="shared" si="184"/>
        <v/>
      </c>
      <c r="GW16" s="223" t="str">
        <f t="shared" si="185"/>
        <v/>
      </c>
      <c r="GX16" s="223" t="str">
        <f t="shared" si="186"/>
        <v/>
      </c>
      <c r="GY16" s="223" t="str">
        <f t="shared" si="187"/>
        <v/>
      </c>
      <c r="GZ16" s="223" t="str">
        <f t="shared" si="188"/>
        <v/>
      </c>
      <c r="HA16" s="223" t="str">
        <f t="shared" si="189"/>
        <v/>
      </c>
      <c r="HB16" s="223" t="str">
        <f t="shared" si="190"/>
        <v/>
      </c>
      <c r="HC16" s="223" t="str">
        <f t="shared" si="191"/>
        <v/>
      </c>
      <c r="HD16" s="223" t="str">
        <f t="shared" si="192"/>
        <v/>
      </c>
      <c r="HE16" s="223" t="str">
        <f t="shared" si="193"/>
        <v>menyelesaikan masalah yang berkaitan dengan perkalian dan pembagian pecahan dan desimal</v>
      </c>
      <c r="HF16" s="577" t="str">
        <f>IF(FZ16&gt;100,"",IF(FZ16&gt;=BE$1,"sangat baik dalam "&amp;HE16,IF(FZ16&gt;=BE$2,"baik dalam "&amp;HE16,IF(FZ16&gt;=BE$3,"cukup dalam "&amp;HE16,IF(FZ16&lt;BE$3,"dengan bimbingan dapat meningkatkan dalam "&amp;HE16,IF(FZ16&lt;1," ",””))))))</f>
        <v>cukup dalam menyelesaikan masalah yang berkaitan dengan perkalian dan pembagian pecahan dan desimal</v>
      </c>
      <c r="HG16" s="223" t="str">
        <f t="shared" si="194"/>
        <v>Ananda Radit cukup dalam menyelesaikan masalah yang berkaitan dengan skala pada denah, cukup dalam menyelesaikan masalah yang berkaitan dengan perkalian dan pembagian pecahan dan desimal.</v>
      </c>
    </row>
    <row r="17" spans="1:215" ht="30" customHeight="1">
      <c r="A17" s="39">
        <v>10</v>
      </c>
      <c r="B17" s="223" t="str">
        <f>SISWA!B15</f>
        <v>Muhammad Shulhan Al-farisi</v>
      </c>
      <c r="C17" s="123">
        <v>80</v>
      </c>
      <c r="D17" s="123">
        <v>85</v>
      </c>
      <c r="E17" s="123">
        <v>80</v>
      </c>
      <c r="F17" s="123">
        <v>85</v>
      </c>
      <c r="G17" s="123"/>
      <c r="H17" s="123"/>
      <c r="I17" s="123"/>
      <c r="J17" s="123"/>
      <c r="K17" s="123"/>
      <c r="L17" s="123"/>
      <c r="M17" s="123"/>
      <c r="N17" s="123"/>
      <c r="O17" s="255"/>
      <c r="P17" s="255"/>
      <c r="Q17" s="255"/>
      <c r="R17" s="255"/>
      <c r="S17" s="255"/>
      <c r="T17" s="255"/>
      <c r="U17" s="255"/>
      <c r="V17" s="255"/>
      <c r="W17" s="255"/>
      <c r="X17" s="255"/>
      <c r="Y17" s="255"/>
      <c r="Z17" s="255"/>
      <c r="AA17" s="256"/>
      <c r="AB17" s="256"/>
      <c r="AC17" s="256"/>
      <c r="AD17" s="256"/>
      <c r="AE17" s="256"/>
      <c r="AF17" s="256"/>
      <c r="AG17" s="256"/>
      <c r="AH17" s="256"/>
      <c r="AI17" s="256"/>
      <c r="AJ17" s="256"/>
      <c r="AK17" s="256"/>
      <c r="AL17" s="256"/>
      <c r="AM17" s="257">
        <f t="shared" si="25"/>
        <v>80</v>
      </c>
      <c r="AN17" s="257">
        <f t="shared" si="26"/>
        <v>85</v>
      </c>
      <c r="AO17" s="257">
        <f t="shared" si="27"/>
        <v>80</v>
      </c>
      <c r="AP17" s="257">
        <f t="shared" si="28"/>
        <v>85</v>
      </c>
      <c r="AQ17" s="257" t="str">
        <f t="shared" si="29"/>
        <v/>
      </c>
      <c r="AR17" s="257" t="str">
        <f t="shared" si="30"/>
        <v/>
      </c>
      <c r="AS17" s="257" t="str">
        <f t="shared" si="31"/>
        <v/>
      </c>
      <c r="AT17" s="257" t="str">
        <f t="shared" si="32"/>
        <v/>
      </c>
      <c r="AU17" s="257" t="str">
        <f t="shared" si="33"/>
        <v/>
      </c>
      <c r="AV17" s="257" t="str">
        <f t="shared" si="34"/>
        <v/>
      </c>
      <c r="AW17" s="257" t="str">
        <f t="shared" si="35"/>
        <v/>
      </c>
      <c r="AX17" s="257" t="str">
        <f t="shared" si="36"/>
        <v/>
      </c>
      <c r="AY17" s="756">
        <f t="shared" si="37"/>
        <v>83</v>
      </c>
      <c r="AZ17" s="291" t="str">
        <f t="shared" si="38"/>
        <v>B</v>
      </c>
      <c r="BA17" s="243" t="str">
        <f t="shared" si="39"/>
        <v>Ananda Shulhan baik dalam menyelesaikan masalah yang berkaitan dengan skala pada denah, cukup dalam menyelesaikan masalah yang berkaitan dengan perbandingan dua besaran yang berbeda (kecepatan, debit).</v>
      </c>
      <c r="BB17" s="39"/>
      <c r="BC17" s="39"/>
      <c r="BD17" s="257">
        <f t="shared" si="40"/>
        <v>80</v>
      </c>
      <c r="BE17" s="257">
        <f t="shared" si="41"/>
        <v>85</v>
      </c>
      <c r="BF17" s="257">
        <f t="shared" si="42"/>
        <v>80</v>
      </c>
      <c r="BG17" s="257">
        <f t="shared" si="43"/>
        <v>85</v>
      </c>
      <c r="BH17" s="257">
        <f t="shared" si="44"/>
        <v>0</v>
      </c>
      <c r="BI17" s="257">
        <f t="shared" si="45"/>
        <v>0</v>
      </c>
      <c r="BJ17" s="257">
        <f t="shared" si="46"/>
        <v>0</v>
      </c>
      <c r="BK17" s="257">
        <f t="shared" si="47"/>
        <v>0</v>
      </c>
      <c r="BL17" s="257">
        <f t="shared" si="48"/>
        <v>0</v>
      </c>
      <c r="BM17" s="257">
        <f t="shared" si="49"/>
        <v>0</v>
      </c>
      <c r="BN17" s="257">
        <f t="shared" si="50"/>
        <v>0</v>
      </c>
      <c r="BO17" s="257">
        <f t="shared" si="51"/>
        <v>0</v>
      </c>
      <c r="BP17" s="232">
        <f t="shared" si="52"/>
        <v>85</v>
      </c>
      <c r="BQ17" s="257">
        <f t="shared" si="53"/>
        <v>0</v>
      </c>
      <c r="BR17" s="257">
        <f t="shared" si="54"/>
        <v>0</v>
      </c>
      <c r="BS17" s="257">
        <f t="shared" si="55"/>
        <v>0</v>
      </c>
      <c r="BT17" s="257">
        <f t="shared" si="56"/>
        <v>0</v>
      </c>
      <c r="BU17" s="257">
        <f t="shared" si="57"/>
        <v>0</v>
      </c>
      <c r="BV17" s="257">
        <f t="shared" si="58"/>
        <v>0</v>
      </c>
      <c r="BW17" s="257">
        <f t="shared" si="59"/>
        <v>0</v>
      </c>
      <c r="BX17" s="257">
        <f t="shared" si="60"/>
        <v>0</v>
      </c>
      <c r="BY17" s="257">
        <f t="shared" si="61"/>
        <v>0</v>
      </c>
      <c r="BZ17" s="257">
        <f t="shared" si="62"/>
        <v>0</v>
      </c>
      <c r="CA17" s="257">
        <f t="shared" si="63"/>
        <v>0</v>
      </c>
      <c r="CB17" s="257">
        <f t="shared" si="64"/>
        <v>0</v>
      </c>
      <c r="CC17" s="232">
        <f t="shared" si="65"/>
        <v>0</v>
      </c>
      <c r="CD17" s="257">
        <f t="shared" si="66"/>
        <v>0</v>
      </c>
      <c r="CE17" s="257">
        <f t="shared" si="67"/>
        <v>0</v>
      </c>
      <c r="CF17" s="257">
        <f t="shared" si="68"/>
        <v>0</v>
      </c>
      <c r="CG17" s="257">
        <f t="shared" si="69"/>
        <v>0</v>
      </c>
      <c r="CH17" s="257">
        <f t="shared" si="70"/>
        <v>0</v>
      </c>
      <c r="CI17" s="257">
        <f t="shared" si="71"/>
        <v>0</v>
      </c>
      <c r="CJ17" s="257">
        <f t="shared" si="72"/>
        <v>0</v>
      </c>
      <c r="CK17" s="257">
        <f t="shared" si="73"/>
        <v>0</v>
      </c>
      <c r="CL17" s="257">
        <f t="shared" si="74"/>
        <v>0</v>
      </c>
      <c r="CM17" s="257">
        <f t="shared" si="75"/>
        <v>0</v>
      </c>
      <c r="CN17" s="257">
        <f t="shared" si="76"/>
        <v>0</v>
      </c>
      <c r="CO17" s="257">
        <f t="shared" si="77"/>
        <v>0</v>
      </c>
      <c r="CP17" s="232">
        <f t="shared" si="78"/>
        <v>0</v>
      </c>
      <c r="CQ17" s="257">
        <f t="shared" si="79"/>
        <v>80</v>
      </c>
      <c r="CR17" s="257">
        <f t="shared" si="80"/>
        <v>0</v>
      </c>
      <c r="CS17" s="257">
        <f t="shared" si="81"/>
        <v>0</v>
      </c>
      <c r="CT17" s="575">
        <f t="shared" si="82"/>
        <v>2</v>
      </c>
      <c r="CU17" s="506">
        <f t="shared" si="83"/>
        <v>1</v>
      </c>
      <c r="CV17" s="39">
        <f t="shared" si="84"/>
        <v>80</v>
      </c>
      <c r="CW17" s="257">
        <f t="shared" si="85"/>
        <v>85</v>
      </c>
      <c r="CX17" s="257">
        <f t="shared" si="86"/>
        <v>0</v>
      </c>
      <c r="CY17" s="257">
        <f t="shared" si="87"/>
        <v>0</v>
      </c>
      <c r="CZ17" s="575">
        <f t="shared" si="88"/>
        <v>2</v>
      </c>
      <c r="DA17" s="506">
        <f t="shared" si="89"/>
        <v>1</v>
      </c>
      <c r="DB17" s="39">
        <f t="shared" si="90"/>
        <v>85</v>
      </c>
      <c r="DC17" s="257">
        <f t="shared" si="91"/>
        <v>80</v>
      </c>
      <c r="DD17" s="257">
        <f t="shared" si="92"/>
        <v>0</v>
      </c>
      <c r="DE17" s="257">
        <f t="shared" si="93"/>
        <v>0</v>
      </c>
      <c r="DF17" s="575">
        <f t="shared" si="94"/>
        <v>2</v>
      </c>
      <c r="DG17" s="506">
        <f t="shared" si="95"/>
        <v>1</v>
      </c>
      <c r="DH17" s="39">
        <f t="shared" si="96"/>
        <v>80</v>
      </c>
      <c r="DI17" s="257">
        <f t="shared" si="97"/>
        <v>85</v>
      </c>
      <c r="DJ17" s="257">
        <f t="shared" si="98"/>
        <v>0</v>
      </c>
      <c r="DK17" s="257">
        <f t="shared" si="99"/>
        <v>0</v>
      </c>
      <c r="DL17" s="575">
        <f t="shared" si="100"/>
        <v>2</v>
      </c>
      <c r="DM17" s="506">
        <f t="shared" si="101"/>
        <v>1</v>
      </c>
      <c r="DN17" s="39">
        <f t="shared" si="102"/>
        <v>85</v>
      </c>
      <c r="DO17" s="257">
        <f t="shared" si="103"/>
        <v>0</v>
      </c>
      <c r="DP17" s="257">
        <f t="shared" si="104"/>
        <v>0</v>
      </c>
      <c r="DQ17" s="257">
        <f t="shared" si="105"/>
        <v>0</v>
      </c>
      <c r="DR17" s="575">
        <f t="shared" si="106"/>
        <v>3</v>
      </c>
      <c r="DS17" s="506">
        <f t="shared" si="107"/>
        <v>0</v>
      </c>
      <c r="DT17" s="39" t="str">
        <f t="shared" si="108"/>
        <v/>
      </c>
      <c r="DU17" s="257">
        <f t="shared" si="109"/>
        <v>0</v>
      </c>
      <c r="DV17" s="257">
        <f t="shared" si="110"/>
        <v>0</v>
      </c>
      <c r="DW17" s="257">
        <f t="shared" si="111"/>
        <v>0</v>
      </c>
      <c r="DX17" s="575">
        <f t="shared" si="112"/>
        <v>3</v>
      </c>
      <c r="DY17" s="506">
        <f t="shared" si="113"/>
        <v>0</v>
      </c>
      <c r="DZ17" s="39" t="str">
        <f t="shared" si="114"/>
        <v/>
      </c>
      <c r="EA17" s="257">
        <f t="shared" si="115"/>
        <v>0</v>
      </c>
      <c r="EB17" s="257">
        <f t="shared" si="116"/>
        <v>0</v>
      </c>
      <c r="EC17" s="257">
        <f t="shared" si="117"/>
        <v>0</v>
      </c>
      <c r="ED17" s="575">
        <f t="shared" si="118"/>
        <v>3</v>
      </c>
      <c r="EE17" s="506">
        <f t="shared" si="119"/>
        <v>0</v>
      </c>
      <c r="EF17" s="39" t="str">
        <f t="shared" si="120"/>
        <v/>
      </c>
      <c r="EG17" s="257">
        <f t="shared" si="121"/>
        <v>0</v>
      </c>
      <c r="EH17" s="257">
        <f t="shared" si="122"/>
        <v>0</v>
      </c>
      <c r="EI17" s="257">
        <f t="shared" si="123"/>
        <v>0</v>
      </c>
      <c r="EJ17" s="575">
        <f t="shared" si="124"/>
        <v>3</v>
      </c>
      <c r="EK17" s="506">
        <f t="shared" si="125"/>
        <v>0</v>
      </c>
      <c r="EL17" s="39" t="str">
        <f t="shared" si="126"/>
        <v/>
      </c>
      <c r="EM17" s="257">
        <f t="shared" si="127"/>
        <v>0</v>
      </c>
      <c r="EN17" s="257">
        <f t="shared" si="128"/>
        <v>0</v>
      </c>
      <c r="EO17" s="257">
        <f t="shared" si="129"/>
        <v>0</v>
      </c>
      <c r="EP17" s="575">
        <f t="shared" si="130"/>
        <v>3</v>
      </c>
      <c r="EQ17" s="506">
        <f t="shared" si="131"/>
        <v>0</v>
      </c>
      <c r="ER17" s="39" t="str">
        <f t="shared" si="132"/>
        <v/>
      </c>
      <c r="ES17" s="257">
        <f t="shared" si="133"/>
        <v>0</v>
      </c>
      <c r="ET17" s="257">
        <f t="shared" si="134"/>
        <v>0</v>
      </c>
      <c r="EU17" s="257">
        <f t="shared" si="135"/>
        <v>0</v>
      </c>
      <c r="EV17" s="575">
        <f t="shared" si="136"/>
        <v>3</v>
      </c>
      <c r="EW17" s="506">
        <f t="shared" si="137"/>
        <v>0</v>
      </c>
      <c r="EX17" s="39" t="str">
        <f t="shared" si="138"/>
        <v/>
      </c>
      <c r="EY17" s="257">
        <f t="shared" si="139"/>
        <v>0</v>
      </c>
      <c r="EZ17" s="257">
        <f t="shared" si="140"/>
        <v>0</v>
      </c>
      <c r="FA17" s="257">
        <f t="shared" si="141"/>
        <v>0</v>
      </c>
      <c r="FB17" s="575">
        <f t="shared" si="142"/>
        <v>3</v>
      </c>
      <c r="FC17" s="506">
        <f t="shared" si="143"/>
        <v>0</v>
      </c>
      <c r="FD17" s="39" t="str">
        <f t="shared" si="144"/>
        <v/>
      </c>
      <c r="FE17" s="257">
        <f t="shared" si="145"/>
        <v>0</v>
      </c>
      <c r="FF17" s="257">
        <f t="shared" si="146"/>
        <v>0</v>
      </c>
      <c r="FG17" s="257">
        <f t="shared" si="147"/>
        <v>0</v>
      </c>
      <c r="FH17" s="575">
        <f t="shared" si="148"/>
        <v>3</v>
      </c>
      <c r="FI17" s="506">
        <f t="shared" si="149"/>
        <v>0</v>
      </c>
      <c r="FJ17" s="39" t="str">
        <f t="shared" si="150"/>
        <v/>
      </c>
      <c r="FK17" s="39"/>
      <c r="FL17" s="39">
        <f t="shared" si="151"/>
        <v>80</v>
      </c>
      <c r="FM17" s="39">
        <f t="shared" si="152"/>
        <v>85</v>
      </c>
      <c r="FN17" s="39">
        <f t="shared" si="153"/>
        <v>80</v>
      </c>
      <c r="FO17" s="39">
        <f t="shared" si="154"/>
        <v>85</v>
      </c>
      <c r="FP17" s="39" t="str">
        <f t="shared" si="155"/>
        <v/>
      </c>
      <c r="FQ17" s="39" t="str">
        <f t="shared" si="156"/>
        <v/>
      </c>
      <c r="FR17" s="39" t="str">
        <f t="shared" si="157"/>
        <v/>
      </c>
      <c r="FS17" s="39" t="str">
        <f t="shared" si="158"/>
        <v/>
      </c>
      <c r="FT17" s="39" t="str">
        <f t="shared" si="159"/>
        <v/>
      </c>
      <c r="FU17" s="39" t="str">
        <f t="shared" si="160"/>
        <v/>
      </c>
      <c r="FV17" s="39" t="str">
        <f t="shared" si="161"/>
        <v/>
      </c>
      <c r="FW17" s="39" t="str">
        <f t="shared" si="162"/>
        <v/>
      </c>
      <c r="FX17" s="39">
        <f t="shared" si="163"/>
        <v>83</v>
      </c>
      <c r="FY17" s="68">
        <f t="shared" si="164"/>
        <v>85</v>
      </c>
      <c r="FZ17" s="68">
        <f t="shared" si="165"/>
        <v>80</v>
      </c>
      <c r="GA17" s="39" t="str">
        <f>SISWA!E15</f>
        <v>Shulhan</v>
      </c>
      <c r="GB17" s="39" t="str">
        <f t="shared" si="166"/>
        <v xml:space="preserve">Ananda Shulhan </v>
      </c>
      <c r="GC17" s="207" t="str">
        <f t="shared" si="167"/>
        <v/>
      </c>
      <c r="GD17" s="207">
        <f t="shared" si="168"/>
        <v>85</v>
      </c>
      <c r="GE17" s="207" t="str">
        <f t="shared" si="169"/>
        <v/>
      </c>
      <c r="GF17" s="207">
        <f t="shared" si="170"/>
        <v>85</v>
      </c>
      <c r="GG17" s="207" t="str">
        <f t="shared" si="171"/>
        <v/>
      </c>
      <c r="GH17" s="207" t="str">
        <f t="shared" si="172"/>
        <v/>
      </c>
      <c r="GI17" s="207" t="str">
        <f t="shared" si="173"/>
        <v/>
      </c>
      <c r="GJ17" s="207" t="str">
        <f t="shared" si="174"/>
        <v/>
      </c>
      <c r="GK17" s="207" t="str">
        <f t="shared" si="175"/>
        <v/>
      </c>
      <c r="GL17" s="207" t="str">
        <f t="shared" si="176"/>
        <v/>
      </c>
      <c r="GM17" s="207" t="str">
        <f t="shared" si="177"/>
        <v/>
      </c>
      <c r="GN17" s="207" t="str">
        <f t="shared" si="178"/>
        <v/>
      </c>
      <c r="GO17" s="39">
        <f t="shared" si="179"/>
        <v>170</v>
      </c>
      <c r="GP17" s="68" t="str">
        <f t="shared" si="180"/>
        <v>menyelesaikan masalah yang berkaitan dengan skala pada denah</v>
      </c>
      <c r="GQ17" s="576" t="str">
        <f>IF(FY17&gt;100,"",IF(FY17&gt;BE$1,"sangat baik dalam "&amp;GP17,IF(FY17&gt;=BE$2,"baik dalam "&amp;GP17,IF(FY17&gt;=BE$3,"cukup dalam "&amp;GP17,IF(FY17&lt;BE$3,"dengan bimbingan dapat meningkatkan dalam "&amp;GP17,IF(FY17&lt;1," ",””))))))</f>
        <v>baik dalam menyelesaikan masalah yang berkaitan dengan skala pada denah</v>
      </c>
      <c r="GR17" s="223"/>
      <c r="GS17" s="223">
        <f t="shared" si="181"/>
        <v>80</v>
      </c>
      <c r="GT17" s="223" t="str">
        <f t="shared" si="182"/>
        <v/>
      </c>
      <c r="GU17" s="223">
        <f t="shared" si="183"/>
        <v>80</v>
      </c>
      <c r="GV17" s="223" t="str">
        <f t="shared" si="184"/>
        <v/>
      </c>
      <c r="GW17" s="223" t="str">
        <f t="shared" si="185"/>
        <v/>
      </c>
      <c r="GX17" s="223" t="str">
        <f t="shared" si="186"/>
        <v/>
      </c>
      <c r="GY17" s="223" t="str">
        <f t="shared" si="187"/>
        <v/>
      </c>
      <c r="GZ17" s="223" t="str">
        <f t="shared" si="188"/>
        <v/>
      </c>
      <c r="HA17" s="223" t="str">
        <f t="shared" si="189"/>
        <v/>
      </c>
      <c r="HB17" s="223" t="str">
        <f t="shared" si="190"/>
        <v/>
      </c>
      <c r="HC17" s="223" t="str">
        <f t="shared" si="191"/>
        <v/>
      </c>
      <c r="HD17" s="223" t="str">
        <f t="shared" si="192"/>
        <v/>
      </c>
      <c r="HE17" s="223" t="str">
        <f t="shared" si="193"/>
        <v>menyelesaikan masalah yang berkaitan dengan perbandingan dua besaran yang berbeda (kecepatan, debit)</v>
      </c>
      <c r="HF17" s="577" t="str">
        <f>IF(FZ17&gt;100,"",IF(FZ17&gt;=BE$1,"sangat baik dalam "&amp;HE17,IF(FZ17&gt;=BE$2,"baik dalam "&amp;HE17,IF(FZ17&gt;=BE$3,"cukup dalam "&amp;HE17,IF(FZ17&lt;BE$3,"dengan bimbingan dapat meningkatkan dalam "&amp;HE17,IF(FZ17&lt;1," ",””))))))</f>
        <v>cukup dalam menyelesaikan masalah yang berkaitan dengan perbandingan dua besaran yang berbeda (kecepatan, debit)</v>
      </c>
      <c r="HG17" s="223" t="str">
        <f t="shared" si="194"/>
        <v>Ananda Shulhan baik dalam menyelesaikan masalah yang berkaitan dengan skala pada denah, cukup dalam menyelesaikan masalah yang berkaitan dengan perbandingan dua besaran yang berbeda (kecepatan, debit).</v>
      </c>
    </row>
    <row r="18" spans="1:215" ht="30" customHeight="1">
      <c r="A18" s="39">
        <v>11</v>
      </c>
      <c r="B18" s="223" t="str">
        <f>SISWA!B16</f>
        <v>Novaris Dwi Firmansyah</v>
      </c>
      <c r="C18" s="123">
        <v>75</v>
      </c>
      <c r="D18" s="123">
        <v>80</v>
      </c>
      <c r="E18" s="123">
        <v>75</v>
      </c>
      <c r="F18" s="123">
        <v>85</v>
      </c>
      <c r="G18" s="123"/>
      <c r="H18" s="123"/>
      <c r="I18" s="123"/>
      <c r="J18" s="123"/>
      <c r="K18" s="123"/>
      <c r="L18" s="123"/>
      <c r="M18" s="123"/>
      <c r="N18" s="123"/>
      <c r="O18" s="255"/>
      <c r="P18" s="255"/>
      <c r="Q18" s="255"/>
      <c r="R18" s="255"/>
      <c r="S18" s="255"/>
      <c r="T18" s="255"/>
      <c r="U18" s="255"/>
      <c r="V18" s="255"/>
      <c r="W18" s="255"/>
      <c r="X18" s="255"/>
      <c r="Y18" s="255"/>
      <c r="Z18" s="255"/>
      <c r="AA18" s="256"/>
      <c r="AB18" s="256"/>
      <c r="AC18" s="256"/>
      <c r="AD18" s="256"/>
      <c r="AE18" s="256"/>
      <c r="AF18" s="256"/>
      <c r="AG18" s="256"/>
      <c r="AH18" s="256"/>
      <c r="AI18" s="256"/>
      <c r="AJ18" s="256"/>
      <c r="AK18" s="256"/>
      <c r="AL18" s="256"/>
      <c r="AM18" s="257">
        <f t="shared" si="25"/>
        <v>75</v>
      </c>
      <c r="AN18" s="257">
        <f t="shared" si="26"/>
        <v>80</v>
      </c>
      <c r="AO18" s="257">
        <f t="shared" si="27"/>
        <v>75</v>
      </c>
      <c r="AP18" s="257">
        <f t="shared" si="28"/>
        <v>85</v>
      </c>
      <c r="AQ18" s="257" t="str">
        <f t="shared" si="29"/>
        <v/>
      </c>
      <c r="AR18" s="257" t="str">
        <f t="shared" si="30"/>
        <v/>
      </c>
      <c r="AS18" s="257" t="str">
        <f t="shared" si="31"/>
        <v/>
      </c>
      <c r="AT18" s="257" t="str">
        <f t="shared" si="32"/>
        <v/>
      </c>
      <c r="AU18" s="257" t="str">
        <f t="shared" si="33"/>
        <v/>
      </c>
      <c r="AV18" s="257" t="str">
        <f t="shared" si="34"/>
        <v/>
      </c>
      <c r="AW18" s="257" t="str">
        <f t="shared" si="35"/>
        <v/>
      </c>
      <c r="AX18" s="257" t="str">
        <f t="shared" si="36"/>
        <v/>
      </c>
      <c r="AY18" s="756">
        <f t="shared" si="37"/>
        <v>79</v>
      </c>
      <c r="AZ18" s="291" t="str">
        <f t="shared" si="38"/>
        <v>C</v>
      </c>
      <c r="BA18" s="243" t="str">
        <f t="shared" si="39"/>
        <v>Ananda Varis baik dalam menyelesaikan masalah yang berkaitan dengan skala pada denah, cukup dalam menyelesaikan masalah yang berkaitan dengan perbandingan dua besaran yang berbeda (kecepatan, debit).</v>
      </c>
      <c r="BB18" s="39"/>
      <c r="BC18" s="39"/>
      <c r="BD18" s="257">
        <f t="shared" si="40"/>
        <v>75</v>
      </c>
      <c r="BE18" s="257">
        <f t="shared" si="41"/>
        <v>80</v>
      </c>
      <c r="BF18" s="257">
        <f t="shared" si="42"/>
        <v>75</v>
      </c>
      <c r="BG18" s="257">
        <f t="shared" si="43"/>
        <v>85</v>
      </c>
      <c r="BH18" s="257">
        <f t="shared" si="44"/>
        <v>0</v>
      </c>
      <c r="BI18" s="257">
        <f t="shared" si="45"/>
        <v>0</v>
      </c>
      <c r="BJ18" s="257">
        <f t="shared" si="46"/>
        <v>0</v>
      </c>
      <c r="BK18" s="257">
        <f t="shared" si="47"/>
        <v>0</v>
      </c>
      <c r="BL18" s="257">
        <f t="shared" si="48"/>
        <v>0</v>
      </c>
      <c r="BM18" s="257">
        <f t="shared" si="49"/>
        <v>0</v>
      </c>
      <c r="BN18" s="257">
        <f t="shared" si="50"/>
        <v>0</v>
      </c>
      <c r="BO18" s="257">
        <f t="shared" si="51"/>
        <v>0</v>
      </c>
      <c r="BP18" s="232">
        <f t="shared" si="52"/>
        <v>85</v>
      </c>
      <c r="BQ18" s="257">
        <f t="shared" si="53"/>
        <v>0</v>
      </c>
      <c r="BR18" s="257">
        <f t="shared" si="54"/>
        <v>0</v>
      </c>
      <c r="BS18" s="257">
        <f t="shared" si="55"/>
        <v>0</v>
      </c>
      <c r="BT18" s="257">
        <f t="shared" si="56"/>
        <v>0</v>
      </c>
      <c r="BU18" s="257">
        <f t="shared" si="57"/>
        <v>0</v>
      </c>
      <c r="BV18" s="257">
        <f t="shared" si="58"/>
        <v>0</v>
      </c>
      <c r="BW18" s="257">
        <f t="shared" si="59"/>
        <v>0</v>
      </c>
      <c r="BX18" s="257">
        <f t="shared" si="60"/>
        <v>0</v>
      </c>
      <c r="BY18" s="257">
        <f t="shared" si="61"/>
        <v>0</v>
      </c>
      <c r="BZ18" s="257">
        <f t="shared" si="62"/>
        <v>0</v>
      </c>
      <c r="CA18" s="257">
        <f t="shared" si="63"/>
        <v>0</v>
      </c>
      <c r="CB18" s="257">
        <f t="shared" si="64"/>
        <v>0</v>
      </c>
      <c r="CC18" s="232">
        <f t="shared" si="65"/>
        <v>0</v>
      </c>
      <c r="CD18" s="257">
        <f t="shared" si="66"/>
        <v>0</v>
      </c>
      <c r="CE18" s="257">
        <f t="shared" si="67"/>
        <v>0</v>
      </c>
      <c r="CF18" s="257">
        <f t="shared" si="68"/>
        <v>0</v>
      </c>
      <c r="CG18" s="257">
        <f t="shared" si="69"/>
        <v>0</v>
      </c>
      <c r="CH18" s="257">
        <f t="shared" si="70"/>
        <v>0</v>
      </c>
      <c r="CI18" s="257">
        <f t="shared" si="71"/>
        <v>0</v>
      </c>
      <c r="CJ18" s="257">
        <f t="shared" si="72"/>
        <v>0</v>
      </c>
      <c r="CK18" s="257">
        <f t="shared" si="73"/>
        <v>0</v>
      </c>
      <c r="CL18" s="257">
        <f t="shared" si="74"/>
        <v>0</v>
      </c>
      <c r="CM18" s="257">
        <f t="shared" si="75"/>
        <v>0</v>
      </c>
      <c r="CN18" s="257">
        <f t="shared" si="76"/>
        <v>0</v>
      </c>
      <c r="CO18" s="257">
        <f t="shared" si="77"/>
        <v>0</v>
      </c>
      <c r="CP18" s="232">
        <f t="shared" si="78"/>
        <v>0</v>
      </c>
      <c r="CQ18" s="257">
        <f t="shared" si="79"/>
        <v>75</v>
      </c>
      <c r="CR18" s="257">
        <f t="shared" si="80"/>
        <v>0</v>
      </c>
      <c r="CS18" s="257">
        <f t="shared" si="81"/>
        <v>0</v>
      </c>
      <c r="CT18" s="575">
        <f t="shared" si="82"/>
        <v>2</v>
      </c>
      <c r="CU18" s="506">
        <f t="shared" si="83"/>
        <v>1</v>
      </c>
      <c r="CV18" s="39">
        <f t="shared" si="84"/>
        <v>75</v>
      </c>
      <c r="CW18" s="257">
        <f t="shared" si="85"/>
        <v>80</v>
      </c>
      <c r="CX18" s="257">
        <f t="shared" si="86"/>
        <v>0</v>
      </c>
      <c r="CY18" s="257">
        <f t="shared" si="87"/>
        <v>0</v>
      </c>
      <c r="CZ18" s="575">
        <f t="shared" si="88"/>
        <v>2</v>
      </c>
      <c r="DA18" s="506">
        <f t="shared" si="89"/>
        <v>1</v>
      </c>
      <c r="DB18" s="39">
        <f t="shared" si="90"/>
        <v>80</v>
      </c>
      <c r="DC18" s="257">
        <f t="shared" si="91"/>
        <v>75</v>
      </c>
      <c r="DD18" s="257">
        <f t="shared" si="92"/>
        <v>0</v>
      </c>
      <c r="DE18" s="257">
        <f t="shared" si="93"/>
        <v>0</v>
      </c>
      <c r="DF18" s="575">
        <f t="shared" si="94"/>
        <v>2</v>
      </c>
      <c r="DG18" s="506">
        <f t="shared" si="95"/>
        <v>1</v>
      </c>
      <c r="DH18" s="39">
        <f t="shared" si="96"/>
        <v>75</v>
      </c>
      <c r="DI18" s="257">
        <f t="shared" si="97"/>
        <v>85</v>
      </c>
      <c r="DJ18" s="257">
        <f t="shared" si="98"/>
        <v>0</v>
      </c>
      <c r="DK18" s="257">
        <f t="shared" si="99"/>
        <v>0</v>
      </c>
      <c r="DL18" s="575">
        <f t="shared" si="100"/>
        <v>2</v>
      </c>
      <c r="DM18" s="506">
        <f t="shared" si="101"/>
        <v>1</v>
      </c>
      <c r="DN18" s="39">
        <f t="shared" si="102"/>
        <v>85</v>
      </c>
      <c r="DO18" s="257">
        <f t="shared" si="103"/>
        <v>0</v>
      </c>
      <c r="DP18" s="257">
        <f t="shared" si="104"/>
        <v>0</v>
      </c>
      <c r="DQ18" s="257">
        <f t="shared" si="105"/>
        <v>0</v>
      </c>
      <c r="DR18" s="575">
        <f t="shared" si="106"/>
        <v>3</v>
      </c>
      <c r="DS18" s="506">
        <f t="shared" si="107"/>
        <v>0</v>
      </c>
      <c r="DT18" s="39" t="str">
        <f t="shared" si="108"/>
        <v/>
      </c>
      <c r="DU18" s="257">
        <f t="shared" si="109"/>
        <v>0</v>
      </c>
      <c r="DV18" s="257">
        <f t="shared" si="110"/>
        <v>0</v>
      </c>
      <c r="DW18" s="257">
        <f t="shared" si="111"/>
        <v>0</v>
      </c>
      <c r="DX18" s="575">
        <f t="shared" si="112"/>
        <v>3</v>
      </c>
      <c r="DY18" s="506">
        <f t="shared" si="113"/>
        <v>0</v>
      </c>
      <c r="DZ18" s="39" t="str">
        <f t="shared" si="114"/>
        <v/>
      </c>
      <c r="EA18" s="257">
        <f t="shared" si="115"/>
        <v>0</v>
      </c>
      <c r="EB18" s="257">
        <f t="shared" si="116"/>
        <v>0</v>
      </c>
      <c r="EC18" s="257">
        <f t="shared" si="117"/>
        <v>0</v>
      </c>
      <c r="ED18" s="575">
        <f t="shared" si="118"/>
        <v>3</v>
      </c>
      <c r="EE18" s="506">
        <f t="shared" si="119"/>
        <v>0</v>
      </c>
      <c r="EF18" s="39" t="str">
        <f t="shared" si="120"/>
        <v/>
      </c>
      <c r="EG18" s="257">
        <f t="shared" si="121"/>
        <v>0</v>
      </c>
      <c r="EH18" s="257">
        <f t="shared" si="122"/>
        <v>0</v>
      </c>
      <c r="EI18" s="257">
        <f t="shared" si="123"/>
        <v>0</v>
      </c>
      <c r="EJ18" s="575">
        <f t="shared" si="124"/>
        <v>3</v>
      </c>
      <c r="EK18" s="506">
        <f t="shared" si="125"/>
        <v>0</v>
      </c>
      <c r="EL18" s="39" t="str">
        <f t="shared" si="126"/>
        <v/>
      </c>
      <c r="EM18" s="257">
        <f t="shared" si="127"/>
        <v>0</v>
      </c>
      <c r="EN18" s="257">
        <f t="shared" si="128"/>
        <v>0</v>
      </c>
      <c r="EO18" s="257">
        <f t="shared" si="129"/>
        <v>0</v>
      </c>
      <c r="EP18" s="575">
        <f t="shared" si="130"/>
        <v>3</v>
      </c>
      <c r="EQ18" s="506">
        <f t="shared" si="131"/>
        <v>0</v>
      </c>
      <c r="ER18" s="39" t="str">
        <f t="shared" si="132"/>
        <v/>
      </c>
      <c r="ES18" s="257">
        <f t="shared" si="133"/>
        <v>0</v>
      </c>
      <c r="ET18" s="257">
        <f t="shared" si="134"/>
        <v>0</v>
      </c>
      <c r="EU18" s="257">
        <f t="shared" si="135"/>
        <v>0</v>
      </c>
      <c r="EV18" s="575">
        <f t="shared" si="136"/>
        <v>3</v>
      </c>
      <c r="EW18" s="506">
        <f t="shared" si="137"/>
        <v>0</v>
      </c>
      <c r="EX18" s="39" t="str">
        <f t="shared" si="138"/>
        <v/>
      </c>
      <c r="EY18" s="257">
        <f t="shared" si="139"/>
        <v>0</v>
      </c>
      <c r="EZ18" s="257">
        <f t="shared" si="140"/>
        <v>0</v>
      </c>
      <c r="FA18" s="257">
        <f t="shared" si="141"/>
        <v>0</v>
      </c>
      <c r="FB18" s="575">
        <f t="shared" si="142"/>
        <v>3</v>
      </c>
      <c r="FC18" s="506">
        <f t="shared" si="143"/>
        <v>0</v>
      </c>
      <c r="FD18" s="39" t="str">
        <f t="shared" si="144"/>
        <v/>
      </c>
      <c r="FE18" s="257">
        <f t="shared" si="145"/>
        <v>0</v>
      </c>
      <c r="FF18" s="257">
        <f t="shared" si="146"/>
        <v>0</v>
      </c>
      <c r="FG18" s="257">
        <f t="shared" si="147"/>
        <v>0</v>
      </c>
      <c r="FH18" s="575">
        <f t="shared" si="148"/>
        <v>3</v>
      </c>
      <c r="FI18" s="506">
        <f t="shared" si="149"/>
        <v>0</v>
      </c>
      <c r="FJ18" s="39" t="str">
        <f t="shared" si="150"/>
        <v/>
      </c>
      <c r="FK18" s="39"/>
      <c r="FL18" s="39">
        <f t="shared" si="151"/>
        <v>75</v>
      </c>
      <c r="FM18" s="39">
        <f t="shared" si="152"/>
        <v>80</v>
      </c>
      <c r="FN18" s="39">
        <f t="shared" si="153"/>
        <v>75</v>
      </c>
      <c r="FO18" s="39">
        <f t="shared" si="154"/>
        <v>85</v>
      </c>
      <c r="FP18" s="39" t="str">
        <f t="shared" si="155"/>
        <v/>
      </c>
      <c r="FQ18" s="39" t="str">
        <f t="shared" si="156"/>
        <v/>
      </c>
      <c r="FR18" s="39" t="str">
        <f t="shared" si="157"/>
        <v/>
      </c>
      <c r="FS18" s="39" t="str">
        <f t="shared" si="158"/>
        <v/>
      </c>
      <c r="FT18" s="39" t="str">
        <f t="shared" si="159"/>
        <v/>
      </c>
      <c r="FU18" s="39" t="str">
        <f t="shared" si="160"/>
        <v/>
      </c>
      <c r="FV18" s="39" t="str">
        <f t="shared" si="161"/>
        <v/>
      </c>
      <c r="FW18" s="39" t="str">
        <f t="shared" si="162"/>
        <v/>
      </c>
      <c r="FX18" s="39">
        <f t="shared" si="163"/>
        <v>79</v>
      </c>
      <c r="FY18" s="68">
        <f t="shared" si="164"/>
        <v>85</v>
      </c>
      <c r="FZ18" s="68">
        <f t="shared" si="165"/>
        <v>75</v>
      </c>
      <c r="GA18" s="39" t="str">
        <f>SISWA!E16</f>
        <v>Varis</v>
      </c>
      <c r="GB18" s="39" t="str">
        <f t="shared" si="166"/>
        <v xml:space="preserve">Ananda Varis </v>
      </c>
      <c r="GC18" s="207" t="str">
        <f t="shared" si="167"/>
        <v/>
      </c>
      <c r="GD18" s="207" t="str">
        <f t="shared" si="168"/>
        <v/>
      </c>
      <c r="GE18" s="207" t="str">
        <f t="shared" si="169"/>
        <v/>
      </c>
      <c r="GF18" s="207">
        <f t="shared" si="170"/>
        <v>85</v>
      </c>
      <c r="GG18" s="207" t="str">
        <f t="shared" si="171"/>
        <v/>
      </c>
      <c r="GH18" s="207" t="str">
        <f t="shared" si="172"/>
        <v/>
      </c>
      <c r="GI18" s="207" t="str">
        <f t="shared" si="173"/>
        <v/>
      </c>
      <c r="GJ18" s="207" t="str">
        <f t="shared" si="174"/>
        <v/>
      </c>
      <c r="GK18" s="207" t="str">
        <f t="shared" si="175"/>
        <v/>
      </c>
      <c r="GL18" s="207" t="str">
        <f t="shared" si="176"/>
        <v/>
      </c>
      <c r="GM18" s="207" t="str">
        <f t="shared" si="177"/>
        <v/>
      </c>
      <c r="GN18" s="207" t="str">
        <f t="shared" si="178"/>
        <v/>
      </c>
      <c r="GO18" s="39">
        <f t="shared" si="179"/>
        <v>85</v>
      </c>
      <c r="GP18" s="68" t="str">
        <f t="shared" si="180"/>
        <v>menyelesaikan masalah yang berkaitan dengan skala pada denah</v>
      </c>
      <c r="GQ18" s="576" t="str">
        <f>IF(FY18&gt;100,"",IF(FY18&gt;BE$1,"sangat baik dalam "&amp;GP18,IF(FY18&gt;=BE$2,"baik dalam "&amp;GP18,IF(FY18&gt;=BE$3,"cukup dalam "&amp;GP18,IF(FY18&lt;BE$3,"dengan bimbingan dapat meningkatkan dalam "&amp;GP18,IF(FY18&lt;1," ",””))))))</f>
        <v>baik dalam menyelesaikan masalah yang berkaitan dengan skala pada denah</v>
      </c>
      <c r="GR18" s="223"/>
      <c r="GS18" s="223">
        <f t="shared" si="181"/>
        <v>75</v>
      </c>
      <c r="GT18" s="223" t="str">
        <f t="shared" si="182"/>
        <v/>
      </c>
      <c r="GU18" s="223">
        <f t="shared" si="183"/>
        <v>75</v>
      </c>
      <c r="GV18" s="223" t="str">
        <f t="shared" si="184"/>
        <v/>
      </c>
      <c r="GW18" s="223" t="str">
        <f t="shared" si="185"/>
        <v/>
      </c>
      <c r="GX18" s="223" t="str">
        <f t="shared" si="186"/>
        <v/>
      </c>
      <c r="GY18" s="223" t="str">
        <f t="shared" si="187"/>
        <v/>
      </c>
      <c r="GZ18" s="223" t="str">
        <f t="shared" si="188"/>
        <v/>
      </c>
      <c r="HA18" s="223" t="str">
        <f t="shared" si="189"/>
        <v/>
      </c>
      <c r="HB18" s="223" t="str">
        <f t="shared" si="190"/>
        <v/>
      </c>
      <c r="HC18" s="223" t="str">
        <f t="shared" si="191"/>
        <v/>
      </c>
      <c r="HD18" s="223" t="str">
        <f t="shared" si="192"/>
        <v/>
      </c>
      <c r="HE18" s="223" t="str">
        <f t="shared" si="193"/>
        <v>menyelesaikan masalah yang berkaitan dengan perbandingan dua besaran yang berbeda (kecepatan, debit)</v>
      </c>
      <c r="HF18" s="577" t="str">
        <f>IF(FZ18&gt;100,"",IF(FZ18&gt;=BE$1,"sangat baik dalam "&amp;HE18,IF(FZ18&gt;=BE$2,"baik dalam "&amp;HE18,IF(FZ18&gt;=BE$3,"cukup dalam "&amp;HE18,IF(FZ18&lt;BE$3,"dengan bimbingan dapat meningkatkan dalam "&amp;HE18,IF(FZ18&lt;1," ",””))))))</f>
        <v>cukup dalam menyelesaikan masalah yang berkaitan dengan perbandingan dua besaran yang berbeda (kecepatan, debit)</v>
      </c>
      <c r="HG18" s="223" t="str">
        <f t="shared" si="194"/>
        <v>Ananda Varis baik dalam menyelesaikan masalah yang berkaitan dengan skala pada denah, cukup dalam menyelesaikan masalah yang berkaitan dengan perbandingan dua besaran yang berbeda (kecepatan, debit).</v>
      </c>
    </row>
    <row r="19" spans="1:215" ht="30" customHeight="1">
      <c r="A19" s="39">
        <v>12</v>
      </c>
      <c r="B19" s="223" t="str">
        <f>SISWA!B17</f>
        <v>Oktafiya Duwi Safitri</v>
      </c>
      <c r="C19" s="123">
        <v>75</v>
      </c>
      <c r="D19" s="123">
        <v>75</v>
      </c>
      <c r="E19" s="123">
        <v>80</v>
      </c>
      <c r="F19" s="123">
        <v>75</v>
      </c>
      <c r="G19" s="123"/>
      <c r="H19" s="123"/>
      <c r="I19" s="123"/>
      <c r="J19" s="123"/>
      <c r="K19" s="123"/>
      <c r="L19" s="123"/>
      <c r="M19" s="123"/>
      <c r="N19" s="123"/>
      <c r="O19" s="255"/>
      <c r="P19" s="255"/>
      <c r="Q19" s="255"/>
      <c r="R19" s="255"/>
      <c r="S19" s="255"/>
      <c r="T19" s="255"/>
      <c r="U19" s="255"/>
      <c r="V19" s="255"/>
      <c r="W19" s="255"/>
      <c r="X19" s="255"/>
      <c r="Y19" s="255"/>
      <c r="Z19" s="255"/>
      <c r="AA19" s="256"/>
      <c r="AB19" s="256"/>
      <c r="AC19" s="256"/>
      <c r="AD19" s="256"/>
      <c r="AE19" s="256"/>
      <c r="AF19" s="256"/>
      <c r="AG19" s="256"/>
      <c r="AH19" s="256"/>
      <c r="AI19" s="256"/>
      <c r="AJ19" s="256"/>
      <c r="AK19" s="256"/>
      <c r="AL19" s="256"/>
      <c r="AM19" s="257">
        <f t="shared" si="25"/>
        <v>75</v>
      </c>
      <c r="AN19" s="257">
        <f t="shared" si="26"/>
        <v>75</v>
      </c>
      <c r="AO19" s="257">
        <f t="shared" si="27"/>
        <v>80</v>
      </c>
      <c r="AP19" s="257">
        <f t="shared" si="28"/>
        <v>75</v>
      </c>
      <c r="AQ19" s="257" t="str">
        <f t="shared" si="29"/>
        <v/>
      </c>
      <c r="AR19" s="257" t="str">
        <f t="shared" si="30"/>
        <v/>
      </c>
      <c r="AS19" s="257" t="str">
        <f t="shared" si="31"/>
        <v/>
      </c>
      <c r="AT19" s="257" t="str">
        <f t="shared" si="32"/>
        <v/>
      </c>
      <c r="AU19" s="257" t="str">
        <f t="shared" si="33"/>
        <v/>
      </c>
      <c r="AV19" s="257" t="str">
        <f t="shared" si="34"/>
        <v/>
      </c>
      <c r="AW19" s="257" t="str">
        <f t="shared" si="35"/>
        <v/>
      </c>
      <c r="AX19" s="257" t="str">
        <f t="shared" si="36"/>
        <v/>
      </c>
      <c r="AY19" s="756">
        <f t="shared" si="37"/>
        <v>76</v>
      </c>
      <c r="AZ19" s="291" t="str">
        <f t="shared" si="38"/>
        <v>C</v>
      </c>
      <c r="BA19" s="243" t="str">
        <f t="shared" si="39"/>
        <v>Ananda Fitri cukup dalam menyelesaikan masalah yang berkaitan dengan perbandingan dua besaran yang berbeda (kecepatan, debit), cukup dalam menyelesaikan masalah yang berkaitan dengan skala pada denah.</v>
      </c>
      <c r="BB19" s="39"/>
      <c r="BC19" s="39"/>
      <c r="BD19" s="257">
        <f t="shared" si="40"/>
        <v>75</v>
      </c>
      <c r="BE19" s="257">
        <f t="shared" si="41"/>
        <v>75</v>
      </c>
      <c r="BF19" s="257">
        <f t="shared" si="42"/>
        <v>80</v>
      </c>
      <c r="BG19" s="257">
        <f t="shared" si="43"/>
        <v>75</v>
      </c>
      <c r="BH19" s="257">
        <f t="shared" si="44"/>
        <v>0</v>
      </c>
      <c r="BI19" s="257">
        <f t="shared" si="45"/>
        <v>0</v>
      </c>
      <c r="BJ19" s="257">
        <f t="shared" si="46"/>
        <v>0</v>
      </c>
      <c r="BK19" s="257">
        <f t="shared" si="47"/>
        <v>0</v>
      </c>
      <c r="BL19" s="257">
        <f t="shared" si="48"/>
        <v>0</v>
      </c>
      <c r="BM19" s="257">
        <f t="shared" si="49"/>
        <v>0</v>
      </c>
      <c r="BN19" s="257">
        <f t="shared" si="50"/>
        <v>0</v>
      </c>
      <c r="BO19" s="257">
        <f t="shared" si="51"/>
        <v>0</v>
      </c>
      <c r="BP19" s="232">
        <f t="shared" si="52"/>
        <v>80</v>
      </c>
      <c r="BQ19" s="257">
        <f t="shared" si="53"/>
        <v>0</v>
      </c>
      <c r="BR19" s="257">
        <f t="shared" si="54"/>
        <v>0</v>
      </c>
      <c r="BS19" s="257">
        <f t="shared" si="55"/>
        <v>0</v>
      </c>
      <c r="BT19" s="257">
        <f t="shared" si="56"/>
        <v>0</v>
      </c>
      <c r="BU19" s="257">
        <f t="shared" si="57"/>
        <v>0</v>
      </c>
      <c r="BV19" s="257">
        <f t="shared" si="58"/>
        <v>0</v>
      </c>
      <c r="BW19" s="257">
        <f t="shared" si="59"/>
        <v>0</v>
      </c>
      <c r="BX19" s="257">
        <f t="shared" si="60"/>
        <v>0</v>
      </c>
      <c r="BY19" s="257">
        <f t="shared" si="61"/>
        <v>0</v>
      </c>
      <c r="BZ19" s="257">
        <f t="shared" si="62"/>
        <v>0</v>
      </c>
      <c r="CA19" s="257">
        <f t="shared" si="63"/>
        <v>0</v>
      </c>
      <c r="CB19" s="257">
        <f t="shared" si="64"/>
        <v>0</v>
      </c>
      <c r="CC19" s="232">
        <f t="shared" si="65"/>
        <v>0</v>
      </c>
      <c r="CD19" s="257">
        <f t="shared" si="66"/>
        <v>0</v>
      </c>
      <c r="CE19" s="257">
        <f t="shared" si="67"/>
        <v>0</v>
      </c>
      <c r="CF19" s="257">
        <f t="shared" si="68"/>
        <v>0</v>
      </c>
      <c r="CG19" s="257">
        <f t="shared" si="69"/>
        <v>0</v>
      </c>
      <c r="CH19" s="257">
        <f t="shared" si="70"/>
        <v>0</v>
      </c>
      <c r="CI19" s="257">
        <f t="shared" si="71"/>
        <v>0</v>
      </c>
      <c r="CJ19" s="257">
        <f t="shared" si="72"/>
        <v>0</v>
      </c>
      <c r="CK19" s="257">
        <f t="shared" si="73"/>
        <v>0</v>
      </c>
      <c r="CL19" s="257">
        <f t="shared" si="74"/>
        <v>0</v>
      </c>
      <c r="CM19" s="257">
        <f t="shared" si="75"/>
        <v>0</v>
      </c>
      <c r="CN19" s="257">
        <f t="shared" si="76"/>
        <v>0</v>
      </c>
      <c r="CO19" s="257">
        <f t="shared" si="77"/>
        <v>0</v>
      </c>
      <c r="CP19" s="232">
        <f t="shared" si="78"/>
        <v>0</v>
      </c>
      <c r="CQ19" s="257">
        <f t="shared" si="79"/>
        <v>75</v>
      </c>
      <c r="CR19" s="257">
        <f t="shared" si="80"/>
        <v>0</v>
      </c>
      <c r="CS19" s="257">
        <f t="shared" si="81"/>
        <v>0</v>
      </c>
      <c r="CT19" s="575">
        <f t="shared" si="82"/>
        <v>2</v>
      </c>
      <c r="CU19" s="506">
        <f t="shared" si="83"/>
        <v>1</v>
      </c>
      <c r="CV19" s="39">
        <f t="shared" si="84"/>
        <v>75</v>
      </c>
      <c r="CW19" s="257">
        <f t="shared" si="85"/>
        <v>75</v>
      </c>
      <c r="CX19" s="257">
        <f t="shared" si="86"/>
        <v>0</v>
      </c>
      <c r="CY19" s="257">
        <f t="shared" si="87"/>
        <v>0</v>
      </c>
      <c r="CZ19" s="575">
        <f t="shared" si="88"/>
        <v>2</v>
      </c>
      <c r="DA19" s="506">
        <f t="shared" si="89"/>
        <v>1</v>
      </c>
      <c r="DB19" s="39">
        <f t="shared" si="90"/>
        <v>75</v>
      </c>
      <c r="DC19" s="257">
        <f t="shared" si="91"/>
        <v>80</v>
      </c>
      <c r="DD19" s="257">
        <f t="shared" si="92"/>
        <v>0</v>
      </c>
      <c r="DE19" s="257">
        <f t="shared" si="93"/>
        <v>0</v>
      </c>
      <c r="DF19" s="575">
        <f t="shared" si="94"/>
        <v>2</v>
      </c>
      <c r="DG19" s="506">
        <f t="shared" si="95"/>
        <v>1</v>
      </c>
      <c r="DH19" s="39">
        <f t="shared" si="96"/>
        <v>80</v>
      </c>
      <c r="DI19" s="257">
        <f t="shared" si="97"/>
        <v>75</v>
      </c>
      <c r="DJ19" s="257">
        <f t="shared" si="98"/>
        <v>0</v>
      </c>
      <c r="DK19" s="257">
        <f t="shared" si="99"/>
        <v>0</v>
      </c>
      <c r="DL19" s="575">
        <f t="shared" si="100"/>
        <v>2</v>
      </c>
      <c r="DM19" s="506">
        <f t="shared" si="101"/>
        <v>1</v>
      </c>
      <c r="DN19" s="39">
        <f t="shared" si="102"/>
        <v>75</v>
      </c>
      <c r="DO19" s="257">
        <f t="shared" si="103"/>
        <v>0</v>
      </c>
      <c r="DP19" s="257">
        <f t="shared" si="104"/>
        <v>0</v>
      </c>
      <c r="DQ19" s="257">
        <f t="shared" si="105"/>
        <v>0</v>
      </c>
      <c r="DR19" s="575">
        <f t="shared" si="106"/>
        <v>3</v>
      </c>
      <c r="DS19" s="506">
        <f t="shared" si="107"/>
        <v>0</v>
      </c>
      <c r="DT19" s="39" t="str">
        <f t="shared" si="108"/>
        <v/>
      </c>
      <c r="DU19" s="257">
        <f t="shared" si="109"/>
        <v>0</v>
      </c>
      <c r="DV19" s="257">
        <f t="shared" si="110"/>
        <v>0</v>
      </c>
      <c r="DW19" s="257">
        <f t="shared" si="111"/>
        <v>0</v>
      </c>
      <c r="DX19" s="575">
        <f t="shared" si="112"/>
        <v>3</v>
      </c>
      <c r="DY19" s="506">
        <f t="shared" si="113"/>
        <v>0</v>
      </c>
      <c r="DZ19" s="39" t="str">
        <f t="shared" si="114"/>
        <v/>
      </c>
      <c r="EA19" s="257">
        <f t="shared" si="115"/>
        <v>0</v>
      </c>
      <c r="EB19" s="257">
        <f t="shared" si="116"/>
        <v>0</v>
      </c>
      <c r="EC19" s="257">
        <f t="shared" si="117"/>
        <v>0</v>
      </c>
      <c r="ED19" s="575">
        <f t="shared" si="118"/>
        <v>3</v>
      </c>
      <c r="EE19" s="506">
        <f t="shared" si="119"/>
        <v>0</v>
      </c>
      <c r="EF19" s="39" t="str">
        <f t="shared" si="120"/>
        <v/>
      </c>
      <c r="EG19" s="257">
        <f t="shared" si="121"/>
        <v>0</v>
      </c>
      <c r="EH19" s="257">
        <f t="shared" si="122"/>
        <v>0</v>
      </c>
      <c r="EI19" s="257">
        <f t="shared" si="123"/>
        <v>0</v>
      </c>
      <c r="EJ19" s="575">
        <f t="shared" si="124"/>
        <v>3</v>
      </c>
      <c r="EK19" s="506">
        <f t="shared" si="125"/>
        <v>0</v>
      </c>
      <c r="EL19" s="39" t="str">
        <f t="shared" si="126"/>
        <v/>
      </c>
      <c r="EM19" s="257">
        <f t="shared" si="127"/>
        <v>0</v>
      </c>
      <c r="EN19" s="257">
        <f t="shared" si="128"/>
        <v>0</v>
      </c>
      <c r="EO19" s="257">
        <f t="shared" si="129"/>
        <v>0</v>
      </c>
      <c r="EP19" s="575">
        <f t="shared" si="130"/>
        <v>3</v>
      </c>
      <c r="EQ19" s="506">
        <f t="shared" si="131"/>
        <v>0</v>
      </c>
      <c r="ER19" s="39" t="str">
        <f t="shared" si="132"/>
        <v/>
      </c>
      <c r="ES19" s="257">
        <f t="shared" si="133"/>
        <v>0</v>
      </c>
      <c r="ET19" s="257">
        <f t="shared" si="134"/>
        <v>0</v>
      </c>
      <c r="EU19" s="257">
        <f t="shared" si="135"/>
        <v>0</v>
      </c>
      <c r="EV19" s="575">
        <f t="shared" si="136"/>
        <v>3</v>
      </c>
      <c r="EW19" s="506">
        <f t="shared" si="137"/>
        <v>0</v>
      </c>
      <c r="EX19" s="39" t="str">
        <f t="shared" si="138"/>
        <v/>
      </c>
      <c r="EY19" s="257">
        <f t="shared" si="139"/>
        <v>0</v>
      </c>
      <c r="EZ19" s="257">
        <f t="shared" si="140"/>
        <v>0</v>
      </c>
      <c r="FA19" s="257">
        <f t="shared" si="141"/>
        <v>0</v>
      </c>
      <c r="FB19" s="575">
        <f t="shared" si="142"/>
        <v>3</v>
      </c>
      <c r="FC19" s="506">
        <f t="shared" si="143"/>
        <v>0</v>
      </c>
      <c r="FD19" s="39" t="str">
        <f t="shared" si="144"/>
        <v/>
      </c>
      <c r="FE19" s="257">
        <f t="shared" si="145"/>
        <v>0</v>
      </c>
      <c r="FF19" s="257">
        <f t="shared" si="146"/>
        <v>0</v>
      </c>
      <c r="FG19" s="257">
        <f t="shared" si="147"/>
        <v>0</v>
      </c>
      <c r="FH19" s="575">
        <f t="shared" si="148"/>
        <v>3</v>
      </c>
      <c r="FI19" s="506">
        <f t="shared" si="149"/>
        <v>0</v>
      </c>
      <c r="FJ19" s="39" t="str">
        <f t="shared" si="150"/>
        <v/>
      </c>
      <c r="FK19" s="39"/>
      <c r="FL19" s="39">
        <f t="shared" si="151"/>
        <v>75</v>
      </c>
      <c r="FM19" s="39">
        <f t="shared" si="152"/>
        <v>75</v>
      </c>
      <c r="FN19" s="39">
        <f t="shared" si="153"/>
        <v>80</v>
      </c>
      <c r="FO19" s="39">
        <f t="shared" si="154"/>
        <v>75</v>
      </c>
      <c r="FP19" s="39" t="str">
        <f t="shared" si="155"/>
        <v/>
      </c>
      <c r="FQ19" s="39" t="str">
        <f t="shared" si="156"/>
        <v/>
      </c>
      <c r="FR19" s="39" t="str">
        <f t="shared" si="157"/>
        <v/>
      </c>
      <c r="FS19" s="39" t="str">
        <f t="shared" si="158"/>
        <v/>
      </c>
      <c r="FT19" s="39" t="str">
        <f t="shared" si="159"/>
        <v/>
      </c>
      <c r="FU19" s="39" t="str">
        <f t="shared" si="160"/>
        <v/>
      </c>
      <c r="FV19" s="39" t="str">
        <f t="shared" si="161"/>
        <v/>
      </c>
      <c r="FW19" s="39" t="str">
        <f t="shared" si="162"/>
        <v/>
      </c>
      <c r="FX19" s="39">
        <f t="shared" si="163"/>
        <v>76</v>
      </c>
      <c r="FY19" s="68">
        <f t="shared" si="164"/>
        <v>80</v>
      </c>
      <c r="FZ19" s="68">
        <f t="shared" si="165"/>
        <v>75</v>
      </c>
      <c r="GA19" s="39" t="str">
        <f>SISWA!E17</f>
        <v>Fitri</v>
      </c>
      <c r="GB19" s="39" t="str">
        <f t="shared" si="166"/>
        <v xml:space="preserve">Ananda Fitri </v>
      </c>
      <c r="GC19" s="207" t="str">
        <f t="shared" si="167"/>
        <v/>
      </c>
      <c r="GD19" s="207" t="str">
        <f t="shared" si="168"/>
        <v/>
      </c>
      <c r="GE19" s="207">
        <f t="shared" si="169"/>
        <v>80</v>
      </c>
      <c r="GF19" s="207" t="str">
        <f t="shared" si="170"/>
        <v/>
      </c>
      <c r="GG19" s="207" t="str">
        <f t="shared" si="171"/>
        <v/>
      </c>
      <c r="GH19" s="207" t="str">
        <f t="shared" si="172"/>
        <v/>
      </c>
      <c r="GI19" s="207" t="str">
        <f t="shared" si="173"/>
        <v/>
      </c>
      <c r="GJ19" s="207" t="str">
        <f t="shared" si="174"/>
        <v/>
      </c>
      <c r="GK19" s="207" t="str">
        <f t="shared" si="175"/>
        <v/>
      </c>
      <c r="GL19" s="207" t="str">
        <f t="shared" si="176"/>
        <v/>
      </c>
      <c r="GM19" s="207" t="str">
        <f t="shared" si="177"/>
        <v/>
      </c>
      <c r="GN19" s="207" t="str">
        <f t="shared" si="178"/>
        <v/>
      </c>
      <c r="GO19" s="39">
        <f t="shared" si="179"/>
        <v>80</v>
      </c>
      <c r="GP19" s="68" t="str">
        <f t="shared" si="180"/>
        <v>menyelesaikan masalah yang berkaitan dengan perbandingan dua besaran yang berbeda (kecepatan, debit)</v>
      </c>
      <c r="GQ19" s="576" t="str">
        <f>IF(FY19&gt;100,"",IF(FY19&gt;BE$1,"sangat baik dalam "&amp;GP19,IF(FY19&gt;=BE$2,"baik dalam "&amp;GP19,IF(FY19&gt;=BE$3,"cukup dalam "&amp;GP19,IF(FY19&lt;BE$3,"dengan bimbingan dapat meningkatkan dalam "&amp;GP19,IF(FY19&lt;1," ",””))))))</f>
        <v>cukup dalam menyelesaikan masalah yang berkaitan dengan perbandingan dua besaran yang berbeda (kecepatan, debit)</v>
      </c>
      <c r="GR19" s="223"/>
      <c r="GS19" s="223">
        <f t="shared" si="181"/>
        <v>75</v>
      </c>
      <c r="GT19" s="223">
        <f t="shared" si="182"/>
        <v>75</v>
      </c>
      <c r="GU19" s="223" t="str">
        <f t="shared" si="183"/>
        <v/>
      </c>
      <c r="GV19" s="223">
        <f t="shared" si="184"/>
        <v>75</v>
      </c>
      <c r="GW19" s="223" t="str">
        <f t="shared" si="185"/>
        <v/>
      </c>
      <c r="GX19" s="223" t="str">
        <f t="shared" si="186"/>
        <v/>
      </c>
      <c r="GY19" s="223" t="str">
        <f t="shared" si="187"/>
        <v/>
      </c>
      <c r="GZ19" s="223" t="str">
        <f t="shared" si="188"/>
        <v/>
      </c>
      <c r="HA19" s="223" t="str">
        <f t="shared" si="189"/>
        <v/>
      </c>
      <c r="HB19" s="223" t="str">
        <f t="shared" si="190"/>
        <v/>
      </c>
      <c r="HC19" s="223" t="str">
        <f t="shared" si="191"/>
        <v/>
      </c>
      <c r="HD19" s="223" t="str">
        <f t="shared" si="192"/>
        <v/>
      </c>
      <c r="HE19" s="223" t="str">
        <f t="shared" si="193"/>
        <v>menyelesaikan masalah yang berkaitan dengan skala pada denah</v>
      </c>
      <c r="HF19" s="577" t="str">
        <f>IF(FZ19&gt;100,"",IF(FZ19&gt;=BE$1,"sangat baik dalam "&amp;HE19,IF(FZ19&gt;=BE$2,"baik dalam "&amp;HE19,IF(FZ19&gt;=BE$3,"cukup dalam "&amp;HE19,IF(FZ19&lt;BE$3,"dengan bimbingan dapat meningkatkan dalam "&amp;HE19,IF(FZ19&lt;1," ",””))))))</f>
        <v>cukup dalam menyelesaikan masalah yang berkaitan dengan skala pada denah</v>
      </c>
      <c r="HG19" s="223" t="str">
        <f t="shared" si="194"/>
        <v>Ananda Fitri cukup dalam menyelesaikan masalah yang berkaitan dengan perbandingan dua besaran yang berbeda (kecepatan, debit), cukup dalam menyelesaikan masalah yang berkaitan dengan skala pada denah.</v>
      </c>
    </row>
    <row r="20" spans="1:215" ht="30" customHeight="1">
      <c r="A20" s="39">
        <v>13</v>
      </c>
      <c r="B20" s="223" t="str">
        <f>SISWA!B18</f>
        <v>Prastika Guntur Firmansyah</v>
      </c>
      <c r="C20" s="123">
        <v>80</v>
      </c>
      <c r="D20" s="123">
        <v>85</v>
      </c>
      <c r="E20" s="123">
        <v>85</v>
      </c>
      <c r="F20" s="123">
        <v>85</v>
      </c>
      <c r="G20" s="123"/>
      <c r="H20" s="123"/>
      <c r="I20" s="123"/>
      <c r="J20" s="123"/>
      <c r="K20" s="123"/>
      <c r="L20" s="123"/>
      <c r="M20" s="123"/>
      <c r="N20" s="123"/>
      <c r="O20" s="255"/>
      <c r="P20" s="255"/>
      <c r="Q20" s="255"/>
      <c r="R20" s="255"/>
      <c r="S20" s="255"/>
      <c r="T20" s="255"/>
      <c r="U20" s="255"/>
      <c r="V20" s="255"/>
      <c r="W20" s="255"/>
      <c r="X20" s="255"/>
      <c r="Y20" s="255"/>
      <c r="Z20" s="255"/>
      <c r="AA20" s="256"/>
      <c r="AB20" s="256"/>
      <c r="AC20" s="256"/>
      <c r="AD20" s="256"/>
      <c r="AE20" s="256"/>
      <c r="AF20" s="256"/>
      <c r="AG20" s="256"/>
      <c r="AH20" s="256"/>
      <c r="AI20" s="256"/>
      <c r="AJ20" s="256"/>
      <c r="AK20" s="256"/>
      <c r="AL20" s="256"/>
      <c r="AM20" s="257">
        <f t="shared" si="25"/>
        <v>80</v>
      </c>
      <c r="AN20" s="257">
        <f t="shared" si="26"/>
        <v>85</v>
      </c>
      <c r="AO20" s="257">
        <f t="shared" si="27"/>
        <v>85</v>
      </c>
      <c r="AP20" s="257">
        <f t="shared" si="28"/>
        <v>85</v>
      </c>
      <c r="AQ20" s="257" t="str">
        <f t="shared" si="29"/>
        <v/>
      </c>
      <c r="AR20" s="257" t="str">
        <f t="shared" si="30"/>
        <v/>
      </c>
      <c r="AS20" s="257" t="str">
        <f t="shared" si="31"/>
        <v/>
      </c>
      <c r="AT20" s="257" t="str">
        <f t="shared" si="32"/>
        <v/>
      </c>
      <c r="AU20" s="257" t="str">
        <f t="shared" si="33"/>
        <v/>
      </c>
      <c r="AV20" s="257" t="str">
        <f t="shared" si="34"/>
        <v/>
      </c>
      <c r="AW20" s="257" t="str">
        <f t="shared" si="35"/>
        <v/>
      </c>
      <c r="AX20" s="257" t="str">
        <f t="shared" si="36"/>
        <v/>
      </c>
      <c r="AY20" s="756">
        <f t="shared" si="37"/>
        <v>84</v>
      </c>
      <c r="AZ20" s="291" t="str">
        <f t="shared" si="38"/>
        <v>B</v>
      </c>
      <c r="BA20" s="243" t="str">
        <f t="shared" si="39"/>
        <v>Ananda Pras baik dalam menyelesaikan masalah yang berkaitan dengan skala pada denah, cukup dalam menyelesaikan masalah yang berkaitan dengan penjumlahan dan pengurangan dua pecahan dengan penyebut berbeda.</v>
      </c>
      <c r="BB20" s="39"/>
      <c r="BC20" s="39"/>
      <c r="BD20" s="257">
        <f t="shared" si="40"/>
        <v>80</v>
      </c>
      <c r="BE20" s="257">
        <f t="shared" si="41"/>
        <v>85</v>
      </c>
      <c r="BF20" s="257">
        <f t="shared" si="42"/>
        <v>85</v>
      </c>
      <c r="BG20" s="257">
        <f t="shared" si="43"/>
        <v>85</v>
      </c>
      <c r="BH20" s="257">
        <f t="shared" si="44"/>
        <v>0</v>
      </c>
      <c r="BI20" s="257">
        <f t="shared" si="45"/>
        <v>0</v>
      </c>
      <c r="BJ20" s="257">
        <f t="shared" si="46"/>
        <v>0</v>
      </c>
      <c r="BK20" s="257">
        <f t="shared" si="47"/>
        <v>0</v>
      </c>
      <c r="BL20" s="257">
        <f t="shared" si="48"/>
        <v>0</v>
      </c>
      <c r="BM20" s="257">
        <f t="shared" si="49"/>
        <v>0</v>
      </c>
      <c r="BN20" s="257">
        <f t="shared" si="50"/>
        <v>0</v>
      </c>
      <c r="BO20" s="257">
        <f t="shared" si="51"/>
        <v>0</v>
      </c>
      <c r="BP20" s="232">
        <f t="shared" si="52"/>
        <v>85</v>
      </c>
      <c r="BQ20" s="257">
        <f t="shared" si="53"/>
        <v>0</v>
      </c>
      <c r="BR20" s="257">
        <f t="shared" si="54"/>
        <v>0</v>
      </c>
      <c r="BS20" s="257">
        <f t="shared" si="55"/>
        <v>0</v>
      </c>
      <c r="BT20" s="257">
        <f t="shared" si="56"/>
        <v>0</v>
      </c>
      <c r="BU20" s="257">
        <f t="shared" si="57"/>
        <v>0</v>
      </c>
      <c r="BV20" s="257">
        <f t="shared" si="58"/>
        <v>0</v>
      </c>
      <c r="BW20" s="257">
        <f t="shared" si="59"/>
        <v>0</v>
      </c>
      <c r="BX20" s="257">
        <f t="shared" si="60"/>
        <v>0</v>
      </c>
      <c r="BY20" s="257">
        <f t="shared" si="61"/>
        <v>0</v>
      </c>
      <c r="BZ20" s="257">
        <f t="shared" si="62"/>
        <v>0</v>
      </c>
      <c r="CA20" s="257">
        <f t="shared" si="63"/>
        <v>0</v>
      </c>
      <c r="CB20" s="257">
        <f t="shared" si="64"/>
        <v>0</v>
      </c>
      <c r="CC20" s="232">
        <f t="shared" si="65"/>
        <v>0</v>
      </c>
      <c r="CD20" s="257">
        <f t="shared" si="66"/>
        <v>0</v>
      </c>
      <c r="CE20" s="257">
        <f t="shared" si="67"/>
        <v>0</v>
      </c>
      <c r="CF20" s="257">
        <f t="shared" si="68"/>
        <v>0</v>
      </c>
      <c r="CG20" s="257">
        <f t="shared" si="69"/>
        <v>0</v>
      </c>
      <c r="CH20" s="257">
        <f t="shared" si="70"/>
        <v>0</v>
      </c>
      <c r="CI20" s="257">
        <f t="shared" si="71"/>
        <v>0</v>
      </c>
      <c r="CJ20" s="257">
        <f t="shared" si="72"/>
        <v>0</v>
      </c>
      <c r="CK20" s="257">
        <f t="shared" si="73"/>
        <v>0</v>
      </c>
      <c r="CL20" s="257">
        <f t="shared" si="74"/>
        <v>0</v>
      </c>
      <c r="CM20" s="257">
        <f t="shared" si="75"/>
        <v>0</v>
      </c>
      <c r="CN20" s="257">
        <f t="shared" si="76"/>
        <v>0</v>
      </c>
      <c r="CO20" s="257">
        <f t="shared" si="77"/>
        <v>0</v>
      </c>
      <c r="CP20" s="232">
        <f t="shared" si="78"/>
        <v>0</v>
      </c>
      <c r="CQ20" s="257">
        <f t="shared" si="79"/>
        <v>80</v>
      </c>
      <c r="CR20" s="257">
        <f t="shared" si="80"/>
        <v>0</v>
      </c>
      <c r="CS20" s="257">
        <f t="shared" si="81"/>
        <v>0</v>
      </c>
      <c r="CT20" s="575">
        <f t="shared" si="82"/>
        <v>2</v>
      </c>
      <c r="CU20" s="506">
        <f t="shared" si="83"/>
        <v>1</v>
      </c>
      <c r="CV20" s="39">
        <f t="shared" si="84"/>
        <v>80</v>
      </c>
      <c r="CW20" s="257">
        <f t="shared" si="85"/>
        <v>85</v>
      </c>
      <c r="CX20" s="257">
        <f t="shared" si="86"/>
        <v>0</v>
      </c>
      <c r="CY20" s="257">
        <f t="shared" si="87"/>
        <v>0</v>
      </c>
      <c r="CZ20" s="575">
        <f t="shared" si="88"/>
        <v>2</v>
      </c>
      <c r="DA20" s="506">
        <f t="shared" si="89"/>
        <v>1</v>
      </c>
      <c r="DB20" s="39">
        <f t="shared" si="90"/>
        <v>85</v>
      </c>
      <c r="DC20" s="257">
        <f t="shared" si="91"/>
        <v>85</v>
      </c>
      <c r="DD20" s="257">
        <f t="shared" si="92"/>
        <v>0</v>
      </c>
      <c r="DE20" s="257">
        <f t="shared" si="93"/>
        <v>0</v>
      </c>
      <c r="DF20" s="575">
        <f t="shared" si="94"/>
        <v>2</v>
      </c>
      <c r="DG20" s="506">
        <f t="shared" si="95"/>
        <v>1</v>
      </c>
      <c r="DH20" s="39">
        <f t="shared" si="96"/>
        <v>85</v>
      </c>
      <c r="DI20" s="257">
        <f t="shared" si="97"/>
        <v>85</v>
      </c>
      <c r="DJ20" s="257">
        <f t="shared" si="98"/>
        <v>0</v>
      </c>
      <c r="DK20" s="257">
        <f t="shared" si="99"/>
        <v>0</v>
      </c>
      <c r="DL20" s="575">
        <f t="shared" si="100"/>
        <v>2</v>
      </c>
      <c r="DM20" s="506">
        <f t="shared" si="101"/>
        <v>1</v>
      </c>
      <c r="DN20" s="39">
        <f t="shared" si="102"/>
        <v>85</v>
      </c>
      <c r="DO20" s="257">
        <f t="shared" si="103"/>
        <v>0</v>
      </c>
      <c r="DP20" s="257">
        <f t="shared" si="104"/>
        <v>0</v>
      </c>
      <c r="DQ20" s="257">
        <f t="shared" si="105"/>
        <v>0</v>
      </c>
      <c r="DR20" s="575">
        <f t="shared" si="106"/>
        <v>3</v>
      </c>
      <c r="DS20" s="506">
        <f t="shared" si="107"/>
        <v>0</v>
      </c>
      <c r="DT20" s="39" t="str">
        <f t="shared" si="108"/>
        <v/>
      </c>
      <c r="DU20" s="257">
        <f t="shared" si="109"/>
        <v>0</v>
      </c>
      <c r="DV20" s="257">
        <f t="shared" si="110"/>
        <v>0</v>
      </c>
      <c r="DW20" s="257">
        <f t="shared" si="111"/>
        <v>0</v>
      </c>
      <c r="DX20" s="575">
        <f t="shared" si="112"/>
        <v>3</v>
      </c>
      <c r="DY20" s="506">
        <f t="shared" si="113"/>
        <v>0</v>
      </c>
      <c r="DZ20" s="39" t="str">
        <f t="shared" si="114"/>
        <v/>
      </c>
      <c r="EA20" s="257">
        <f t="shared" si="115"/>
        <v>0</v>
      </c>
      <c r="EB20" s="257">
        <f t="shared" si="116"/>
        <v>0</v>
      </c>
      <c r="EC20" s="257">
        <f t="shared" si="117"/>
        <v>0</v>
      </c>
      <c r="ED20" s="575">
        <f t="shared" si="118"/>
        <v>3</v>
      </c>
      <c r="EE20" s="506">
        <f t="shared" si="119"/>
        <v>0</v>
      </c>
      <c r="EF20" s="39" t="str">
        <f t="shared" si="120"/>
        <v/>
      </c>
      <c r="EG20" s="257">
        <f t="shared" si="121"/>
        <v>0</v>
      </c>
      <c r="EH20" s="257">
        <f t="shared" si="122"/>
        <v>0</v>
      </c>
      <c r="EI20" s="257">
        <f t="shared" si="123"/>
        <v>0</v>
      </c>
      <c r="EJ20" s="575">
        <f t="shared" si="124"/>
        <v>3</v>
      </c>
      <c r="EK20" s="506">
        <f t="shared" si="125"/>
        <v>0</v>
      </c>
      <c r="EL20" s="39" t="str">
        <f t="shared" si="126"/>
        <v/>
      </c>
      <c r="EM20" s="257">
        <f t="shared" si="127"/>
        <v>0</v>
      </c>
      <c r="EN20" s="257">
        <f t="shared" si="128"/>
        <v>0</v>
      </c>
      <c r="EO20" s="257">
        <f t="shared" si="129"/>
        <v>0</v>
      </c>
      <c r="EP20" s="575">
        <f t="shared" si="130"/>
        <v>3</v>
      </c>
      <c r="EQ20" s="506">
        <f t="shared" si="131"/>
        <v>0</v>
      </c>
      <c r="ER20" s="39" t="str">
        <f t="shared" si="132"/>
        <v/>
      </c>
      <c r="ES20" s="257">
        <f t="shared" si="133"/>
        <v>0</v>
      </c>
      <c r="ET20" s="257">
        <f t="shared" si="134"/>
        <v>0</v>
      </c>
      <c r="EU20" s="257">
        <f t="shared" si="135"/>
        <v>0</v>
      </c>
      <c r="EV20" s="575">
        <f t="shared" si="136"/>
        <v>3</v>
      </c>
      <c r="EW20" s="506">
        <f t="shared" si="137"/>
        <v>0</v>
      </c>
      <c r="EX20" s="39" t="str">
        <f t="shared" si="138"/>
        <v/>
      </c>
      <c r="EY20" s="257">
        <f t="shared" si="139"/>
        <v>0</v>
      </c>
      <c r="EZ20" s="257">
        <f t="shared" si="140"/>
        <v>0</v>
      </c>
      <c r="FA20" s="257">
        <f t="shared" si="141"/>
        <v>0</v>
      </c>
      <c r="FB20" s="575">
        <f t="shared" si="142"/>
        <v>3</v>
      </c>
      <c r="FC20" s="506">
        <f t="shared" si="143"/>
        <v>0</v>
      </c>
      <c r="FD20" s="39" t="str">
        <f t="shared" si="144"/>
        <v/>
      </c>
      <c r="FE20" s="257">
        <f t="shared" si="145"/>
        <v>0</v>
      </c>
      <c r="FF20" s="257">
        <f t="shared" si="146"/>
        <v>0</v>
      </c>
      <c r="FG20" s="257">
        <f t="shared" si="147"/>
        <v>0</v>
      </c>
      <c r="FH20" s="575">
        <f t="shared" si="148"/>
        <v>3</v>
      </c>
      <c r="FI20" s="506">
        <f t="shared" si="149"/>
        <v>0</v>
      </c>
      <c r="FJ20" s="39" t="str">
        <f t="shared" si="150"/>
        <v/>
      </c>
      <c r="FK20" s="39"/>
      <c r="FL20" s="39">
        <f t="shared" si="151"/>
        <v>80</v>
      </c>
      <c r="FM20" s="39">
        <f t="shared" si="152"/>
        <v>85</v>
      </c>
      <c r="FN20" s="39">
        <f t="shared" si="153"/>
        <v>85</v>
      </c>
      <c r="FO20" s="39">
        <f t="shared" si="154"/>
        <v>85</v>
      </c>
      <c r="FP20" s="39" t="str">
        <f t="shared" si="155"/>
        <v/>
      </c>
      <c r="FQ20" s="39" t="str">
        <f t="shared" si="156"/>
        <v/>
      </c>
      <c r="FR20" s="39" t="str">
        <f t="shared" si="157"/>
        <v/>
      </c>
      <c r="FS20" s="39" t="str">
        <f t="shared" si="158"/>
        <v/>
      </c>
      <c r="FT20" s="39" t="str">
        <f t="shared" si="159"/>
        <v/>
      </c>
      <c r="FU20" s="39" t="str">
        <f t="shared" si="160"/>
        <v/>
      </c>
      <c r="FV20" s="39" t="str">
        <f t="shared" si="161"/>
        <v/>
      </c>
      <c r="FW20" s="39" t="str">
        <f t="shared" si="162"/>
        <v/>
      </c>
      <c r="FX20" s="39">
        <f t="shared" si="163"/>
        <v>84</v>
      </c>
      <c r="FY20" s="68">
        <f t="shared" si="164"/>
        <v>85</v>
      </c>
      <c r="FZ20" s="68">
        <f t="shared" si="165"/>
        <v>80</v>
      </c>
      <c r="GA20" s="39" t="str">
        <f>SISWA!E18</f>
        <v>Pras</v>
      </c>
      <c r="GB20" s="39" t="str">
        <f t="shared" si="166"/>
        <v xml:space="preserve">Ananda Pras </v>
      </c>
      <c r="GC20" s="207" t="str">
        <f t="shared" si="167"/>
        <v/>
      </c>
      <c r="GD20" s="207">
        <f t="shared" si="168"/>
        <v>85</v>
      </c>
      <c r="GE20" s="207">
        <f t="shared" si="169"/>
        <v>85</v>
      </c>
      <c r="GF20" s="207">
        <f t="shared" si="170"/>
        <v>85</v>
      </c>
      <c r="GG20" s="207" t="str">
        <f t="shared" si="171"/>
        <v/>
      </c>
      <c r="GH20" s="207" t="str">
        <f t="shared" si="172"/>
        <v/>
      </c>
      <c r="GI20" s="207" t="str">
        <f t="shared" si="173"/>
        <v/>
      </c>
      <c r="GJ20" s="207" t="str">
        <f t="shared" si="174"/>
        <v/>
      </c>
      <c r="GK20" s="207" t="str">
        <f t="shared" si="175"/>
        <v/>
      </c>
      <c r="GL20" s="207" t="str">
        <f t="shared" si="176"/>
        <v/>
      </c>
      <c r="GM20" s="207" t="str">
        <f t="shared" si="177"/>
        <v/>
      </c>
      <c r="GN20" s="207" t="str">
        <f t="shared" si="178"/>
        <v/>
      </c>
      <c r="GO20" s="39">
        <f t="shared" si="179"/>
        <v>255</v>
      </c>
      <c r="GP20" s="68" t="str">
        <f t="shared" si="180"/>
        <v>menyelesaikan masalah yang berkaitan dengan skala pada denah</v>
      </c>
      <c r="GQ20" s="576" t="str">
        <f>IF(FY20&gt;100,"",IF(FY20&gt;BE$1,"sangat baik dalam "&amp;GP20,IF(FY20&gt;=BE$2,"baik dalam "&amp;GP20,IF(FY20&gt;=BE$3,"cukup dalam "&amp;GP20,IF(FY20&lt;BE$3,"dengan bimbingan dapat meningkatkan dalam "&amp;GP20,IF(FY20&lt;1," ",””))))))</f>
        <v>baik dalam menyelesaikan masalah yang berkaitan dengan skala pada denah</v>
      </c>
      <c r="GR20" s="223"/>
      <c r="GS20" s="223">
        <f t="shared" si="181"/>
        <v>80</v>
      </c>
      <c r="GT20" s="223" t="str">
        <f t="shared" si="182"/>
        <v/>
      </c>
      <c r="GU20" s="223" t="str">
        <f t="shared" si="183"/>
        <v/>
      </c>
      <c r="GV20" s="223" t="str">
        <f t="shared" si="184"/>
        <v/>
      </c>
      <c r="GW20" s="223" t="str">
        <f t="shared" si="185"/>
        <v/>
      </c>
      <c r="GX20" s="223" t="str">
        <f t="shared" si="186"/>
        <v/>
      </c>
      <c r="GY20" s="223" t="str">
        <f t="shared" si="187"/>
        <v/>
      </c>
      <c r="GZ20" s="223" t="str">
        <f t="shared" si="188"/>
        <v/>
      </c>
      <c r="HA20" s="223" t="str">
        <f t="shared" si="189"/>
        <v/>
      </c>
      <c r="HB20" s="223" t="str">
        <f t="shared" si="190"/>
        <v/>
      </c>
      <c r="HC20" s="223" t="str">
        <f t="shared" si="191"/>
        <v/>
      </c>
      <c r="HD20" s="223" t="str">
        <f t="shared" si="192"/>
        <v/>
      </c>
      <c r="HE20" s="223" t="str">
        <f t="shared" si="193"/>
        <v>menyelesaikan masalah yang berkaitan dengan penjumlahan dan pengurangan dua pecahan dengan penyebut berbeda</v>
      </c>
      <c r="HF20" s="577" t="str">
        <f>IF(FZ20&gt;100,"",IF(FZ20&gt;=BE$1,"sangat baik dalam "&amp;HE20,IF(FZ20&gt;=BE$2,"baik dalam "&amp;HE20,IF(FZ20&gt;=BE$3,"cukup dalam "&amp;HE20,IF(FZ20&lt;BE$3,"dengan bimbingan dapat meningkatkan dalam "&amp;HE20,IF(FZ20&lt;1," ",””))))))</f>
        <v>cukup dalam menyelesaikan masalah yang berkaitan dengan penjumlahan dan pengurangan dua pecahan dengan penyebut berbeda</v>
      </c>
      <c r="HG20" s="223" t="str">
        <f t="shared" si="194"/>
        <v>Ananda Pras baik dalam menyelesaikan masalah yang berkaitan dengan skala pada denah, cukup dalam menyelesaikan masalah yang berkaitan dengan penjumlahan dan pengurangan dua pecahan dengan penyebut berbeda.</v>
      </c>
    </row>
    <row r="21" spans="1:215" ht="30" customHeight="1">
      <c r="A21" s="39">
        <v>14</v>
      </c>
      <c r="B21" s="223" t="str">
        <f>SISWA!B19</f>
        <v>Siti Musyafiani</v>
      </c>
      <c r="C21" s="123">
        <v>75</v>
      </c>
      <c r="D21" s="123">
        <v>80</v>
      </c>
      <c r="E21" s="123">
        <v>75</v>
      </c>
      <c r="F21" s="123">
        <v>80</v>
      </c>
      <c r="G21" s="123"/>
      <c r="H21" s="123"/>
      <c r="I21" s="123"/>
      <c r="J21" s="123"/>
      <c r="K21" s="123"/>
      <c r="L21" s="123"/>
      <c r="M21" s="123"/>
      <c r="N21" s="123"/>
      <c r="O21" s="255"/>
      <c r="P21" s="255"/>
      <c r="Q21" s="255"/>
      <c r="R21" s="255"/>
      <c r="S21" s="255"/>
      <c r="T21" s="255"/>
      <c r="U21" s="255"/>
      <c r="V21" s="255"/>
      <c r="W21" s="255"/>
      <c r="X21" s="255"/>
      <c r="Y21" s="255"/>
      <c r="Z21" s="255"/>
      <c r="AA21" s="256"/>
      <c r="AB21" s="256"/>
      <c r="AC21" s="256"/>
      <c r="AD21" s="256"/>
      <c r="AE21" s="256"/>
      <c r="AF21" s="256"/>
      <c r="AG21" s="256"/>
      <c r="AH21" s="256"/>
      <c r="AI21" s="256"/>
      <c r="AJ21" s="256"/>
      <c r="AK21" s="256"/>
      <c r="AL21" s="256"/>
      <c r="AM21" s="257">
        <f t="shared" si="25"/>
        <v>75</v>
      </c>
      <c r="AN21" s="257">
        <f t="shared" si="26"/>
        <v>80</v>
      </c>
      <c r="AO21" s="257">
        <f t="shared" si="27"/>
        <v>75</v>
      </c>
      <c r="AP21" s="257">
        <f t="shared" si="28"/>
        <v>80</v>
      </c>
      <c r="AQ21" s="257" t="str">
        <f t="shared" si="29"/>
        <v/>
      </c>
      <c r="AR21" s="257" t="str">
        <f t="shared" si="30"/>
        <v/>
      </c>
      <c r="AS21" s="257" t="str">
        <f t="shared" si="31"/>
        <v/>
      </c>
      <c r="AT21" s="257" t="str">
        <f t="shared" si="32"/>
        <v/>
      </c>
      <c r="AU21" s="257" t="str">
        <f t="shared" si="33"/>
        <v/>
      </c>
      <c r="AV21" s="257" t="str">
        <f t="shared" si="34"/>
        <v/>
      </c>
      <c r="AW21" s="257" t="str">
        <f t="shared" si="35"/>
        <v/>
      </c>
      <c r="AX21" s="257" t="str">
        <f t="shared" si="36"/>
        <v/>
      </c>
      <c r="AY21" s="756">
        <f t="shared" si="37"/>
        <v>78</v>
      </c>
      <c r="AZ21" s="291" t="str">
        <f t="shared" si="38"/>
        <v>C</v>
      </c>
      <c r="BA21" s="243" t="str">
        <f t="shared" si="39"/>
        <v>Ananda Fifi cukup dalam menyelesaikan masalah yang berkaitan dengan skala pada denah, cukup dalam menyelesaikan masalah yang berkaitan dengan perbandingan dua besaran yang berbeda (kecepatan, debit).</v>
      </c>
      <c r="BB21" s="39"/>
      <c r="BC21" s="39"/>
      <c r="BD21" s="257">
        <f t="shared" si="40"/>
        <v>75</v>
      </c>
      <c r="BE21" s="257">
        <f t="shared" si="41"/>
        <v>80</v>
      </c>
      <c r="BF21" s="257">
        <f t="shared" si="42"/>
        <v>75</v>
      </c>
      <c r="BG21" s="257">
        <f t="shared" si="43"/>
        <v>80</v>
      </c>
      <c r="BH21" s="257">
        <f t="shared" si="44"/>
        <v>0</v>
      </c>
      <c r="BI21" s="257">
        <f t="shared" si="45"/>
        <v>0</v>
      </c>
      <c r="BJ21" s="257">
        <f t="shared" si="46"/>
        <v>0</v>
      </c>
      <c r="BK21" s="257">
        <f t="shared" si="47"/>
        <v>0</v>
      </c>
      <c r="BL21" s="257">
        <f t="shared" si="48"/>
        <v>0</v>
      </c>
      <c r="BM21" s="257">
        <f t="shared" si="49"/>
        <v>0</v>
      </c>
      <c r="BN21" s="257">
        <f t="shared" si="50"/>
        <v>0</v>
      </c>
      <c r="BO21" s="257">
        <f t="shared" si="51"/>
        <v>0</v>
      </c>
      <c r="BP21" s="232">
        <f t="shared" si="52"/>
        <v>80</v>
      </c>
      <c r="BQ21" s="257">
        <f t="shared" si="53"/>
        <v>0</v>
      </c>
      <c r="BR21" s="257">
        <f t="shared" si="54"/>
        <v>0</v>
      </c>
      <c r="BS21" s="257">
        <f t="shared" si="55"/>
        <v>0</v>
      </c>
      <c r="BT21" s="257">
        <f t="shared" si="56"/>
        <v>0</v>
      </c>
      <c r="BU21" s="257">
        <f t="shared" si="57"/>
        <v>0</v>
      </c>
      <c r="BV21" s="257">
        <f t="shared" si="58"/>
        <v>0</v>
      </c>
      <c r="BW21" s="257">
        <f t="shared" si="59"/>
        <v>0</v>
      </c>
      <c r="BX21" s="257">
        <f t="shared" si="60"/>
        <v>0</v>
      </c>
      <c r="BY21" s="257">
        <f t="shared" si="61"/>
        <v>0</v>
      </c>
      <c r="BZ21" s="257">
        <f t="shared" si="62"/>
        <v>0</v>
      </c>
      <c r="CA21" s="257">
        <f t="shared" si="63"/>
        <v>0</v>
      </c>
      <c r="CB21" s="257">
        <f t="shared" si="64"/>
        <v>0</v>
      </c>
      <c r="CC21" s="232">
        <f t="shared" si="65"/>
        <v>0</v>
      </c>
      <c r="CD21" s="257">
        <f t="shared" si="66"/>
        <v>0</v>
      </c>
      <c r="CE21" s="257">
        <f t="shared" si="67"/>
        <v>0</v>
      </c>
      <c r="CF21" s="257">
        <f t="shared" si="68"/>
        <v>0</v>
      </c>
      <c r="CG21" s="257">
        <f t="shared" si="69"/>
        <v>0</v>
      </c>
      <c r="CH21" s="257">
        <f t="shared" si="70"/>
        <v>0</v>
      </c>
      <c r="CI21" s="257">
        <f t="shared" si="71"/>
        <v>0</v>
      </c>
      <c r="CJ21" s="257">
        <f t="shared" si="72"/>
        <v>0</v>
      </c>
      <c r="CK21" s="257">
        <f t="shared" si="73"/>
        <v>0</v>
      </c>
      <c r="CL21" s="257">
        <f t="shared" si="74"/>
        <v>0</v>
      </c>
      <c r="CM21" s="257">
        <f t="shared" si="75"/>
        <v>0</v>
      </c>
      <c r="CN21" s="257">
        <f t="shared" si="76"/>
        <v>0</v>
      </c>
      <c r="CO21" s="257">
        <f t="shared" si="77"/>
        <v>0</v>
      </c>
      <c r="CP21" s="232">
        <f t="shared" si="78"/>
        <v>0</v>
      </c>
      <c r="CQ21" s="257">
        <f t="shared" si="79"/>
        <v>75</v>
      </c>
      <c r="CR21" s="257">
        <f t="shared" si="80"/>
        <v>0</v>
      </c>
      <c r="CS21" s="257">
        <f t="shared" si="81"/>
        <v>0</v>
      </c>
      <c r="CT21" s="575">
        <f t="shared" si="82"/>
        <v>2</v>
      </c>
      <c r="CU21" s="506">
        <f t="shared" si="83"/>
        <v>1</v>
      </c>
      <c r="CV21" s="39">
        <f t="shared" si="84"/>
        <v>75</v>
      </c>
      <c r="CW21" s="257">
        <f t="shared" si="85"/>
        <v>80</v>
      </c>
      <c r="CX21" s="257">
        <f t="shared" si="86"/>
        <v>0</v>
      </c>
      <c r="CY21" s="257">
        <f t="shared" si="87"/>
        <v>0</v>
      </c>
      <c r="CZ21" s="575">
        <f t="shared" si="88"/>
        <v>2</v>
      </c>
      <c r="DA21" s="506">
        <f t="shared" si="89"/>
        <v>1</v>
      </c>
      <c r="DB21" s="39">
        <f t="shared" si="90"/>
        <v>80</v>
      </c>
      <c r="DC21" s="257">
        <f t="shared" si="91"/>
        <v>75</v>
      </c>
      <c r="DD21" s="257">
        <f t="shared" si="92"/>
        <v>0</v>
      </c>
      <c r="DE21" s="257">
        <f t="shared" si="93"/>
        <v>0</v>
      </c>
      <c r="DF21" s="575">
        <f t="shared" si="94"/>
        <v>2</v>
      </c>
      <c r="DG21" s="506">
        <f t="shared" si="95"/>
        <v>1</v>
      </c>
      <c r="DH21" s="39">
        <f t="shared" si="96"/>
        <v>75</v>
      </c>
      <c r="DI21" s="257">
        <f t="shared" si="97"/>
        <v>80</v>
      </c>
      <c r="DJ21" s="257">
        <f t="shared" si="98"/>
        <v>0</v>
      </c>
      <c r="DK21" s="257">
        <f t="shared" si="99"/>
        <v>0</v>
      </c>
      <c r="DL21" s="575">
        <f t="shared" si="100"/>
        <v>2</v>
      </c>
      <c r="DM21" s="506">
        <f t="shared" si="101"/>
        <v>1</v>
      </c>
      <c r="DN21" s="39">
        <f t="shared" si="102"/>
        <v>80</v>
      </c>
      <c r="DO21" s="257">
        <f t="shared" si="103"/>
        <v>0</v>
      </c>
      <c r="DP21" s="257">
        <f t="shared" si="104"/>
        <v>0</v>
      </c>
      <c r="DQ21" s="257">
        <f t="shared" si="105"/>
        <v>0</v>
      </c>
      <c r="DR21" s="575">
        <f t="shared" si="106"/>
        <v>3</v>
      </c>
      <c r="DS21" s="506">
        <f t="shared" si="107"/>
        <v>0</v>
      </c>
      <c r="DT21" s="39" t="str">
        <f t="shared" si="108"/>
        <v/>
      </c>
      <c r="DU21" s="257">
        <f t="shared" si="109"/>
        <v>0</v>
      </c>
      <c r="DV21" s="257">
        <f t="shared" si="110"/>
        <v>0</v>
      </c>
      <c r="DW21" s="257">
        <f t="shared" si="111"/>
        <v>0</v>
      </c>
      <c r="DX21" s="575">
        <f t="shared" si="112"/>
        <v>3</v>
      </c>
      <c r="DY21" s="506">
        <f t="shared" si="113"/>
        <v>0</v>
      </c>
      <c r="DZ21" s="39" t="str">
        <f t="shared" si="114"/>
        <v/>
      </c>
      <c r="EA21" s="257">
        <f t="shared" si="115"/>
        <v>0</v>
      </c>
      <c r="EB21" s="257">
        <f t="shared" si="116"/>
        <v>0</v>
      </c>
      <c r="EC21" s="257">
        <f t="shared" si="117"/>
        <v>0</v>
      </c>
      <c r="ED21" s="575">
        <f t="shared" si="118"/>
        <v>3</v>
      </c>
      <c r="EE21" s="506">
        <f t="shared" si="119"/>
        <v>0</v>
      </c>
      <c r="EF21" s="39" t="str">
        <f t="shared" si="120"/>
        <v/>
      </c>
      <c r="EG21" s="257">
        <f t="shared" si="121"/>
        <v>0</v>
      </c>
      <c r="EH21" s="257">
        <f t="shared" si="122"/>
        <v>0</v>
      </c>
      <c r="EI21" s="257">
        <f t="shared" si="123"/>
        <v>0</v>
      </c>
      <c r="EJ21" s="575">
        <f t="shared" si="124"/>
        <v>3</v>
      </c>
      <c r="EK21" s="506">
        <f t="shared" si="125"/>
        <v>0</v>
      </c>
      <c r="EL21" s="39" t="str">
        <f t="shared" si="126"/>
        <v/>
      </c>
      <c r="EM21" s="257">
        <f t="shared" si="127"/>
        <v>0</v>
      </c>
      <c r="EN21" s="257">
        <f t="shared" si="128"/>
        <v>0</v>
      </c>
      <c r="EO21" s="257">
        <f t="shared" si="129"/>
        <v>0</v>
      </c>
      <c r="EP21" s="575">
        <f t="shared" si="130"/>
        <v>3</v>
      </c>
      <c r="EQ21" s="506">
        <f t="shared" si="131"/>
        <v>0</v>
      </c>
      <c r="ER21" s="39" t="str">
        <f t="shared" si="132"/>
        <v/>
      </c>
      <c r="ES21" s="257">
        <f t="shared" si="133"/>
        <v>0</v>
      </c>
      <c r="ET21" s="257">
        <f t="shared" si="134"/>
        <v>0</v>
      </c>
      <c r="EU21" s="257">
        <f t="shared" si="135"/>
        <v>0</v>
      </c>
      <c r="EV21" s="575">
        <f t="shared" si="136"/>
        <v>3</v>
      </c>
      <c r="EW21" s="506">
        <f t="shared" si="137"/>
        <v>0</v>
      </c>
      <c r="EX21" s="39" t="str">
        <f t="shared" si="138"/>
        <v/>
      </c>
      <c r="EY21" s="257">
        <f t="shared" si="139"/>
        <v>0</v>
      </c>
      <c r="EZ21" s="257">
        <f t="shared" si="140"/>
        <v>0</v>
      </c>
      <c r="FA21" s="257">
        <f t="shared" si="141"/>
        <v>0</v>
      </c>
      <c r="FB21" s="575">
        <f t="shared" si="142"/>
        <v>3</v>
      </c>
      <c r="FC21" s="506">
        <f t="shared" si="143"/>
        <v>0</v>
      </c>
      <c r="FD21" s="39" t="str">
        <f t="shared" si="144"/>
        <v/>
      </c>
      <c r="FE21" s="257">
        <f t="shared" si="145"/>
        <v>0</v>
      </c>
      <c r="FF21" s="257">
        <f t="shared" si="146"/>
        <v>0</v>
      </c>
      <c r="FG21" s="257">
        <f t="shared" si="147"/>
        <v>0</v>
      </c>
      <c r="FH21" s="575">
        <f t="shared" si="148"/>
        <v>3</v>
      </c>
      <c r="FI21" s="506">
        <f t="shared" si="149"/>
        <v>0</v>
      </c>
      <c r="FJ21" s="39" t="str">
        <f t="shared" si="150"/>
        <v/>
      </c>
      <c r="FK21" s="39"/>
      <c r="FL21" s="39">
        <f t="shared" si="151"/>
        <v>75</v>
      </c>
      <c r="FM21" s="39">
        <f t="shared" si="152"/>
        <v>80</v>
      </c>
      <c r="FN21" s="39">
        <f t="shared" si="153"/>
        <v>75</v>
      </c>
      <c r="FO21" s="39">
        <f t="shared" si="154"/>
        <v>80</v>
      </c>
      <c r="FP21" s="39" t="str">
        <f t="shared" si="155"/>
        <v/>
      </c>
      <c r="FQ21" s="39" t="str">
        <f t="shared" si="156"/>
        <v/>
      </c>
      <c r="FR21" s="39" t="str">
        <f t="shared" si="157"/>
        <v/>
      </c>
      <c r="FS21" s="39" t="str">
        <f t="shared" si="158"/>
        <v/>
      </c>
      <c r="FT21" s="39" t="str">
        <f t="shared" si="159"/>
        <v/>
      </c>
      <c r="FU21" s="39" t="str">
        <f t="shared" si="160"/>
        <v/>
      </c>
      <c r="FV21" s="39" t="str">
        <f t="shared" si="161"/>
        <v/>
      </c>
      <c r="FW21" s="39" t="str">
        <f t="shared" si="162"/>
        <v/>
      </c>
      <c r="FX21" s="39">
        <f t="shared" si="163"/>
        <v>78</v>
      </c>
      <c r="FY21" s="68">
        <f t="shared" si="164"/>
        <v>80</v>
      </c>
      <c r="FZ21" s="68">
        <f t="shared" si="165"/>
        <v>75</v>
      </c>
      <c r="GA21" s="39" t="str">
        <f>SISWA!E19</f>
        <v>Fifi</v>
      </c>
      <c r="GB21" s="39" t="str">
        <f t="shared" si="166"/>
        <v xml:space="preserve">Ananda Fifi </v>
      </c>
      <c r="GC21" s="207" t="str">
        <f t="shared" si="167"/>
        <v/>
      </c>
      <c r="GD21" s="207">
        <f t="shared" si="168"/>
        <v>80</v>
      </c>
      <c r="GE21" s="207" t="str">
        <f t="shared" si="169"/>
        <v/>
      </c>
      <c r="GF21" s="207">
        <f t="shared" si="170"/>
        <v>80</v>
      </c>
      <c r="GG21" s="207" t="str">
        <f t="shared" si="171"/>
        <v/>
      </c>
      <c r="GH21" s="207" t="str">
        <f t="shared" si="172"/>
        <v/>
      </c>
      <c r="GI21" s="207" t="str">
        <f t="shared" si="173"/>
        <v/>
      </c>
      <c r="GJ21" s="207" t="str">
        <f t="shared" si="174"/>
        <v/>
      </c>
      <c r="GK21" s="207" t="str">
        <f t="shared" si="175"/>
        <v/>
      </c>
      <c r="GL21" s="207" t="str">
        <f t="shared" si="176"/>
        <v/>
      </c>
      <c r="GM21" s="207" t="str">
        <f t="shared" si="177"/>
        <v/>
      </c>
      <c r="GN21" s="207" t="str">
        <f t="shared" si="178"/>
        <v/>
      </c>
      <c r="GO21" s="39">
        <f t="shared" si="179"/>
        <v>160</v>
      </c>
      <c r="GP21" s="68" t="str">
        <f t="shared" si="180"/>
        <v>menyelesaikan masalah yang berkaitan dengan skala pada denah</v>
      </c>
      <c r="GQ21" s="576" t="str">
        <f>IF(FY21&gt;100,"",IF(FY21&gt;BE$1,"sangat baik dalam "&amp;GP21,IF(FY21&gt;=BE$2,"baik dalam "&amp;GP21,IF(FY21&gt;=BE$3,"cukup dalam "&amp;GP21,IF(FY21&lt;BE$3,"dengan bimbingan dapat meningkatkan dalam "&amp;GP21,IF(FY21&lt;1," ",””))))))</f>
        <v>cukup dalam menyelesaikan masalah yang berkaitan dengan skala pada denah</v>
      </c>
      <c r="GR21" s="223"/>
      <c r="GS21" s="223">
        <f t="shared" si="181"/>
        <v>75</v>
      </c>
      <c r="GT21" s="223" t="str">
        <f t="shared" si="182"/>
        <v/>
      </c>
      <c r="GU21" s="223">
        <f t="shared" si="183"/>
        <v>75</v>
      </c>
      <c r="GV21" s="223" t="str">
        <f t="shared" si="184"/>
        <v/>
      </c>
      <c r="GW21" s="223" t="str">
        <f t="shared" si="185"/>
        <v/>
      </c>
      <c r="GX21" s="223" t="str">
        <f t="shared" si="186"/>
        <v/>
      </c>
      <c r="GY21" s="223" t="str">
        <f t="shared" si="187"/>
        <v/>
      </c>
      <c r="GZ21" s="223" t="str">
        <f t="shared" si="188"/>
        <v/>
      </c>
      <c r="HA21" s="223" t="str">
        <f t="shared" si="189"/>
        <v/>
      </c>
      <c r="HB21" s="223" t="str">
        <f t="shared" si="190"/>
        <v/>
      </c>
      <c r="HC21" s="223" t="str">
        <f t="shared" si="191"/>
        <v/>
      </c>
      <c r="HD21" s="223" t="str">
        <f t="shared" si="192"/>
        <v/>
      </c>
      <c r="HE21" s="223" t="str">
        <f t="shared" si="193"/>
        <v>menyelesaikan masalah yang berkaitan dengan perbandingan dua besaran yang berbeda (kecepatan, debit)</v>
      </c>
      <c r="HF21" s="577" t="str">
        <f>IF(FZ21&gt;100,"",IF(FZ21&gt;=BE$1,"sangat baik dalam "&amp;HE21,IF(FZ21&gt;=BE$2,"baik dalam "&amp;HE21,IF(FZ21&gt;=BE$3,"cukup dalam "&amp;HE21,IF(FZ21&lt;BE$3,"dengan bimbingan dapat meningkatkan dalam "&amp;HE21,IF(FZ21&lt;1," ",””))))))</f>
        <v>cukup dalam menyelesaikan masalah yang berkaitan dengan perbandingan dua besaran yang berbeda (kecepatan, debit)</v>
      </c>
      <c r="HG21" s="223" t="str">
        <f t="shared" si="194"/>
        <v>Ananda Fifi cukup dalam menyelesaikan masalah yang berkaitan dengan skala pada denah, cukup dalam menyelesaikan masalah yang berkaitan dengan perbandingan dua besaran yang berbeda (kecepatan, debit).</v>
      </c>
    </row>
    <row r="22" spans="1:215" ht="30" customHeight="1">
      <c r="A22" s="39">
        <v>15</v>
      </c>
      <c r="B22" s="223" t="str">
        <f>SISWA!B20</f>
        <v>Tegar Arya Pangestu</v>
      </c>
      <c r="C22" s="123">
        <v>75</v>
      </c>
      <c r="D22" s="123">
        <v>75</v>
      </c>
      <c r="E22" s="123">
        <v>80</v>
      </c>
      <c r="F22" s="123">
        <v>85</v>
      </c>
      <c r="G22" s="123"/>
      <c r="H22" s="123"/>
      <c r="I22" s="123"/>
      <c r="J22" s="123"/>
      <c r="K22" s="123"/>
      <c r="L22" s="123"/>
      <c r="M22" s="123"/>
      <c r="N22" s="123"/>
      <c r="O22" s="255"/>
      <c r="P22" s="255"/>
      <c r="Q22" s="255"/>
      <c r="R22" s="255"/>
      <c r="S22" s="255"/>
      <c r="T22" s="255"/>
      <c r="U22" s="255"/>
      <c r="V22" s="255"/>
      <c r="W22" s="255"/>
      <c r="X22" s="255"/>
      <c r="Y22" s="255"/>
      <c r="Z22" s="255"/>
      <c r="AA22" s="256"/>
      <c r="AB22" s="256"/>
      <c r="AC22" s="256"/>
      <c r="AD22" s="256"/>
      <c r="AE22" s="256"/>
      <c r="AF22" s="256"/>
      <c r="AG22" s="256"/>
      <c r="AH22" s="256"/>
      <c r="AI22" s="256"/>
      <c r="AJ22" s="256"/>
      <c r="AK22" s="256"/>
      <c r="AL22" s="256"/>
      <c r="AM22" s="257">
        <f t="shared" si="25"/>
        <v>75</v>
      </c>
      <c r="AN22" s="257">
        <f t="shared" si="26"/>
        <v>75</v>
      </c>
      <c r="AO22" s="257">
        <f t="shared" si="27"/>
        <v>80</v>
      </c>
      <c r="AP22" s="257">
        <f t="shared" si="28"/>
        <v>85</v>
      </c>
      <c r="AQ22" s="257" t="str">
        <f t="shared" si="29"/>
        <v/>
      </c>
      <c r="AR22" s="257" t="str">
        <f t="shared" si="30"/>
        <v/>
      </c>
      <c r="AS22" s="257" t="str">
        <f t="shared" si="31"/>
        <v/>
      </c>
      <c r="AT22" s="257" t="str">
        <f t="shared" si="32"/>
        <v/>
      </c>
      <c r="AU22" s="257" t="str">
        <f t="shared" si="33"/>
        <v/>
      </c>
      <c r="AV22" s="257" t="str">
        <f t="shared" si="34"/>
        <v/>
      </c>
      <c r="AW22" s="257" t="str">
        <f t="shared" si="35"/>
        <v/>
      </c>
      <c r="AX22" s="257" t="str">
        <f t="shared" si="36"/>
        <v/>
      </c>
      <c r="AY22" s="756">
        <f t="shared" si="37"/>
        <v>79</v>
      </c>
      <c r="AZ22" s="291" t="str">
        <f t="shared" si="38"/>
        <v>C</v>
      </c>
      <c r="BA22" s="243" t="str">
        <f t="shared" si="39"/>
        <v>Ananda Tegar baik dalam menyelesaikan masalah yang berkaitan dengan skala pada denah, cukup dalam menyelesaikan masalah yang berkaitan dengan perkalian dan pembagian pecahan dan desimal.</v>
      </c>
      <c r="BB22" s="39"/>
      <c r="BC22" s="39"/>
      <c r="BD22" s="257">
        <f t="shared" si="40"/>
        <v>75</v>
      </c>
      <c r="BE22" s="257">
        <f t="shared" si="41"/>
        <v>75</v>
      </c>
      <c r="BF22" s="257">
        <f t="shared" si="42"/>
        <v>80</v>
      </c>
      <c r="BG22" s="257">
        <f t="shared" si="43"/>
        <v>85</v>
      </c>
      <c r="BH22" s="257">
        <f t="shared" si="44"/>
        <v>0</v>
      </c>
      <c r="BI22" s="257">
        <f t="shared" si="45"/>
        <v>0</v>
      </c>
      <c r="BJ22" s="257">
        <f t="shared" si="46"/>
        <v>0</v>
      </c>
      <c r="BK22" s="257">
        <f t="shared" si="47"/>
        <v>0</v>
      </c>
      <c r="BL22" s="257">
        <f t="shared" si="48"/>
        <v>0</v>
      </c>
      <c r="BM22" s="257">
        <f t="shared" si="49"/>
        <v>0</v>
      </c>
      <c r="BN22" s="257">
        <f t="shared" si="50"/>
        <v>0</v>
      </c>
      <c r="BO22" s="257">
        <f t="shared" si="51"/>
        <v>0</v>
      </c>
      <c r="BP22" s="232">
        <f t="shared" si="52"/>
        <v>85</v>
      </c>
      <c r="BQ22" s="257">
        <f t="shared" si="53"/>
        <v>0</v>
      </c>
      <c r="BR22" s="257">
        <f t="shared" si="54"/>
        <v>0</v>
      </c>
      <c r="BS22" s="257">
        <f t="shared" si="55"/>
        <v>0</v>
      </c>
      <c r="BT22" s="257">
        <f t="shared" si="56"/>
        <v>0</v>
      </c>
      <c r="BU22" s="257">
        <f t="shared" si="57"/>
        <v>0</v>
      </c>
      <c r="BV22" s="257">
        <f t="shared" si="58"/>
        <v>0</v>
      </c>
      <c r="BW22" s="257">
        <f t="shared" si="59"/>
        <v>0</v>
      </c>
      <c r="BX22" s="257">
        <f t="shared" si="60"/>
        <v>0</v>
      </c>
      <c r="BY22" s="257">
        <f t="shared" si="61"/>
        <v>0</v>
      </c>
      <c r="BZ22" s="257">
        <f t="shared" si="62"/>
        <v>0</v>
      </c>
      <c r="CA22" s="257">
        <f t="shared" si="63"/>
        <v>0</v>
      </c>
      <c r="CB22" s="257">
        <f t="shared" si="64"/>
        <v>0</v>
      </c>
      <c r="CC22" s="232">
        <f t="shared" si="65"/>
        <v>0</v>
      </c>
      <c r="CD22" s="257">
        <f t="shared" si="66"/>
        <v>0</v>
      </c>
      <c r="CE22" s="257">
        <f t="shared" si="67"/>
        <v>0</v>
      </c>
      <c r="CF22" s="257">
        <f t="shared" si="68"/>
        <v>0</v>
      </c>
      <c r="CG22" s="257">
        <f t="shared" si="69"/>
        <v>0</v>
      </c>
      <c r="CH22" s="257">
        <f t="shared" si="70"/>
        <v>0</v>
      </c>
      <c r="CI22" s="257">
        <f t="shared" si="71"/>
        <v>0</v>
      </c>
      <c r="CJ22" s="257">
        <f t="shared" si="72"/>
        <v>0</v>
      </c>
      <c r="CK22" s="257">
        <f t="shared" si="73"/>
        <v>0</v>
      </c>
      <c r="CL22" s="257">
        <f t="shared" si="74"/>
        <v>0</v>
      </c>
      <c r="CM22" s="257">
        <f t="shared" si="75"/>
        <v>0</v>
      </c>
      <c r="CN22" s="257">
        <f t="shared" si="76"/>
        <v>0</v>
      </c>
      <c r="CO22" s="257">
        <f t="shared" si="77"/>
        <v>0</v>
      </c>
      <c r="CP22" s="232">
        <f t="shared" si="78"/>
        <v>0</v>
      </c>
      <c r="CQ22" s="257">
        <f t="shared" si="79"/>
        <v>75</v>
      </c>
      <c r="CR22" s="257">
        <f t="shared" si="80"/>
        <v>0</v>
      </c>
      <c r="CS22" s="257">
        <f t="shared" si="81"/>
        <v>0</v>
      </c>
      <c r="CT22" s="575">
        <f t="shared" si="82"/>
        <v>2</v>
      </c>
      <c r="CU22" s="506">
        <f t="shared" si="83"/>
        <v>1</v>
      </c>
      <c r="CV22" s="39">
        <f t="shared" si="84"/>
        <v>75</v>
      </c>
      <c r="CW22" s="257">
        <f t="shared" si="85"/>
        <v>75</v>
      </c>
      <c r="CX22" s="257">
        <f t="shared" si="86"/>
        <v>0</v>
      </c>
      <c r="CY22" s="257">
        <f t="shared" si="87"/>
        <v>0</v>
      </c>
      <c r="CZ22" s="575">
        <f t="shared" si="88"/>
        <v>2</v>
      </c>
      <c r="DA22" s="506">
        <f t="shared" si="89"/>
        <v>1</v>
      </c>
      <c r="DB22" s="39">
        <f t="shared" si="90"/>
        <v>75</v>
      </c>
      <c r="DC22" s="257">
        <f t="shared" si="91"/>
        <v>80</v>
      </c>
      <c r="DD22" s="257">
        <f t="shared" si="92"/>
        <v>0</v>
      </c>
      <c r="DE22" s="257">
        <f t="shared" si="93"/>
        <v>0</v>
      </c>
      <c r="DF22" s="575">
        <f t="shared" si="94"/>
        <v>2</v>
      </c>
      <c r="DG22" s="506">
        <f t="shared" si="95"/>
        <v>1</v>
      </c>
      <c r="DH22" s="39">
        <f t="shared" si="96"/>
        <v>80</v>
      </c>
      <c r="DI22" s="257">
        <f t="shared" si="97"/>
        <v>85</v>
      </c>
      <c r="DJ22" s="257">
        <f t="shared" si="98"/>
        <v>0</v>
      </c>
      <c r="DK22" s="257">
        <f t="shared" si="99"/>
        <v>0</v>
      </c>
      <c r="DL22" s="575">
        <f t="shared" si="100"/>
        <v>2</v>
      </c>
      <c r="DM22" s="506">
        <f t="shared" si="101"/>
        <v>1</v>
      </c>
      <c r="DN22" s="39">
        <f t="shared" si="102"/>
        <v>85</v>
      </c>
      <c r="DO22" s="257">
        <f t="shared" si="103"/>
        <v>0</v>
      </c>
      <c r="DP22" s="257">
        <f t="shared" si="104"/>
        <v>0</v>
      </c>
      <c r="DQ22" s="257">
        <f t="shared" si="105"/>
        <v>0</v>
      </c>
      <c r="DR22" s="575">
        <f t="shared" si="106"/>
        <v>3</v>
      </c>
      <c r="DS22" s="506">
        <f t="shared" si="107"/>
        <v>0</v>
      </c>
      <c r="DT22" s="39" t="str">
        <f t="shared" si="108"/>
        <v/>
      </c>
      <c r="DU22" s="257">
        <f t="shared" si="109"/>
        <v>0</v>
      </c>
      <c r="DV22" s="257">
        <f t="shared" si="110"/>
        <v>0</v>
      </c>
      <c r="DW22" s="257">
        <f t="shared" si="111"/>
        <v>0</v>
      </c>
      <c r="DX22" s="575">
        <f t="shared" si="112"/>
        <v>3</v>
      </c>
      <c r="DY22" s="506">
        <f t="shared" si="113"/>
        <v>0</v>
      </c>
      <c r="DZ22" s="39" t="str">
        <f t="shared" si="114"/>
        <v/>
      </c>
      <c r="EA22" s="257">
        <f t="shared" si="115"/>
        <v>0</v>
      </c>
      <c r="EB22" s="257">
        <f t="shared" si="116"/>
        <v>0</v>
      </c>
      <c r="EC22" s="257">
        <f t="shared" si="117"/>
        <v>0</v>
      </c>
      <c r="ED22" s="575">
        <f t="shared" si="118"/>
        <v>3</v>
      </c>
      <c r="EE22" s="506">
        <f t="shared" si="119"/>
        <v>0</v>
      </c>
      <c r="EF22" s="39" t="str">
        <f t="shared" si="120"/>
        <v/>
      </c>
      <c r="EG22" s="257">
        <f t="shared" si="121"/>
        <v>0</v>
      </c>
      <c r="EH22" s="257">
        <f t="shared" si="122"/>
        <v>0</v>
      </c>
      <c r="EI22" s="257">
        <f t="shared" si="123"/>
        <v>0</v>
      </c>
      <c r="EJ22" s="575">
        <f t="shared" si="124"/>
        <v>3</v>
      </c>
      <c r="EK22" s="506">
        <f t="shared" si="125"/>
        <v>0</v>
      </c>
      <c r="EL22" s="39" t="str">
        <f t="shared" si="126"/>
        <v/>
      </c>
      <c r="EM22" s="257">
        <f t="shared" si="127"/>
        <v>0</v>
      </c>
      <c r="EN22" s="257">
        <f t="shared" si="128"/>
        <v>0</v>
      </c>
      <c r="EO22" s="257">
        <f t="shared" si="129"/>
        <v>0</v>
      </c>
      <c r="EP22" s="575">
        <f t="shared" si="130"/>
        <v>3</v>
      </c>
      <c r="EQ22" s="506">
        <f t="shared" si="131"/>
        <v>0</v>
      </c>
      <c r="ER22" s="39" t="str">
        <f t="shared" si="132"/>
        <v/>
      </c>
      <c r="ES22" s="257">
        <f t="shared" si="133"/>
        <v>0</v>
      </c>
      <c r="ET22" s="257">
        <f t="shared" si="134"/>
        <v>0</v>
      </c>
      <c r="EU22" s="257">
        <f t="shared" si="135"/>
        <v>0</v>
      </c>
      <c r="EV22" s="575">
        <f t="shared" si="136"/>
        <v>3</v>
      </c>
      <c r="EW22" s="506">
        <f t="shared" si="137"/>
        <v>0</v>
      </c>
      <c r="EX22" s="39" t="str">
        <f t="shared" si="138"/>
        <v/>
      </c>
      <c r="EY22" s="257">
        <f t="shared" si="139"/>
        <v>0</v>
      </c>
      <c r="EZ22" s="257">
        <f t="shared" si="140"/>
        <v>0</v>
      </c>
      <c r="FA22" s="257">
        <f t="shared" si="141"/>
        <v>0</v>
      </c>
      <c r="FB22" s="575">
        <f t="shared" si="142"/>
        <v>3</v>
      </c>
      <c r="FC22" s="506">
        <f t="shared" si="143"/>
        <v>0</v>
      </c>
      <c r="FD22" s="39" t="str">
        <f t="shared" si="144"/>
        <v/>
      </c>
      <c r="FE22" s="257">
        <f t="shared" si="145"/>
        <v>0</v>
      </c>
      <c r="FF22" s="257">
        <f t="shared" si="146"/>
        <v>0</v>
      </c>
      <c r="FG22" s="257">
        <f t="shared" si="147"/>
        <v>0</v>
      </c>
      <c r="FH22" s="575">
        <f t="shared" si="148"/>
        <v>3</v>
      </c>
      <c r="FI22" s="506">
        <f t="shared" si="149"/>
        <v>0</v>
      </c>
      <c r="FJ22" s="39" t="str">
        <f t="shared" si="150"/>
        <v/>
      </c>
      <c r="FK22" s="39"/>
      <c r="FL22" s="39">
        <f t="shared" si="151"/>
        <v>75</v>
      </c>
      <c r="FM22" s="39">
        <f t="shared" si="152"/>
        <v>75</v>
      </c>
      <c r="FN22" s="39">
        <f t="shared" si="153"/>
        <v>80</v>
      </c>
      <c r="FO22" s="39">
        <f t="shared" si="154"/>
        <v>85</v>
      </c>
      <c r="FP22" s="39" t="str">
        <f t="shared" si="155"/>
        <v/>
      </c>
      <c r="FQ22" s="39" t="str">
        <f t="shared" si="156"/>
        <v/>
      </c>
      <c r="FR22" s="39" t="str">
        <f t="shared" si="157"/>
        <v/>
      </c>
      <c r="FS22" s="39" t="str">
        <f t="shared" si="158"/>
        <v/>
      </c>
      <c r="FT22" s="39" t="str">
        <f t="shared" si="159"/>
        <v/>
      </c>
      <c r="FU22" s="39" t="str">
        <f t="shared" si="160"/>
        <v/>
      </c>
      <c r="FV22" s="39" t="str">
        <f t="shared" si="161"/>
        <v/>
      </c>
      <c r="FW22" s="39" t="str">
        <f t="shared" si="162"/>
        <v/>
      </c>
      <c r="FX22" s="39">
        <f t="shared" si="163"/>
        <v>79</v>
      </c>
      <c r="FY22" s="68">
        <f t="shared" si="164"/>
        <v>85</v>
      </c>
      <c r="FZ22" s="68">
        <f t="shared" si="165"/>
        <v>75</v>
      </c>
      <c r="GA22" s="39" t="str">
        <f>SISWA!E20</f>
        <v>Tegar</v>
      </c>
      <c r="GB22" s="39" t="str">
        <f t="shared" si="166"/>
        <v xml:space="preserve">Ananda Tegar </v>
      </c>
      <c r="GC22" s="207" t="str">
        <f t="shared" si="167"/>
        <v/>
      </c>
      <c r="GD22" s="207" t="str">
        <f t="shared" si="168"/>
        <v/>
      </c>
      <c r="GE22" s="207" t="str">
        <f t="shared" si="169"/>
        <v/>
      </c>
      <c r="GF22" s="207">
        <f t="shared" si="170"/>
        <v>85</v>
      </c>
      <c r="GG22" s="207" t="str">
        <f t="shared" si="171"/>
        <v/>
      </c>
      <c r="GH22" s="207" t="str">
        <f t="shared" si="172"/>
        <v/>
      </c>
      <c r="GI22" s="207" t="str">
        <f t="shared" si="173"/>
        <v/>
      </c>
      <c r="GJ22" s="207" t="str">
        <f t="shared" si="174"/>
        <v/>
      </c>
      <c r="GK22" s="207" t="str">
        <f t="shared" si="175"/>
        <v/>
      </c>
      <c r="GL22" s="207" t="str">
        <f t="shared" si="176"/>
        <v/>
      </c>
      <c r="GM22" s="207" t="str">
        <f t="shared" si="177"/>
        <v/>
      </c>
      <c r="GN22" s="207" t="str">
        <f t="shared" si="178"/>
        <v/>
      </c>
      <c r="GO22" s="39">
        <f t="shared" si="179"/>
        <v>85</v>
      </c>
      <c r="GP22" s="68" t="str">
        <f t="shared" si="180"/>
        <v>menyelesaikan masalah yang berkaitan dengan skala pada denah</v>
      </c>
      <c r="GQ22" s="576" t="str">
        <f>IF(FY22&gt;100,"",IF(FY22&gt;BE$1,"sangat baik dalam "&amp;GP22,IF(FY22&gt;=BE$2,"baik dalam "&amp;GP22,IF(FY22&gt;=BE$3,"cukup dalam "&amp;GP22,IF(FY22&lt;BE$3,"dengan bimbingan dapat meningkatkan dalam "&amp;GP22,IF(FY22&lt;1," ",””))))))</f>
        <v>baik dalam menyelesaikan masalah yang berkaitan dengan skala pada denah</v>
      </c>
      <c r="GR22" s="223"/>
      <c r="GS22" s="223">
        <f t="shared" si="181"/>
        <v>75</v>
      </c>
      <c r="GT22" s="223">
        <f t="shared" si="182"/>
        <v>75</v>
      </c>
      <c r="GU22" s="223" t="str">
        <f t="shared" si="183"/>
        <v/>
      </c>
      <c r="GV22" s="223" t="str">
        <f t="shared" si="184"/>
        <v/>
      </c>
      <c r="GW22" s="223" t="str">
        <f t="shared" si="185"/>
        <v/>
      </c>
      <c r="GX22" s="223" t="str">
        <f t="shared" si="186"/>
        <v/>
      </c>
      <c r="GY22" s="223" t="str">
        <f t="shared" si="187"/>
        <v/>
      </c>
      <c r="GZ22" s="223" t="str">
        <f t="shared" si="188"/>
        <v/>
      </c>
      <c r="HA22" s="223" t="str">
        <f t="shared" si="189"/>
        <v/>
      </c>
      <c r="HB22" s="223" t="str">
        <f t="shared" si="190"/>
        <v/>
      </c>
      <c r="HC22" s="223" t="str">
        <f t="shared" si="191"/>
        <v/>
      </c>
      <c r="HD22" s="223" t="str">
        <f t="shared" si="192"/>
        <v/>
      </c>
      <c r="HE22" s="223" t="str">
        <f t="shared" si="193"/>
        <v>menyelesaikan masalah yang berkaitan dengan perkalian dan pembagian pecahan dan desimal</v>
      </c>
      <c r="HF22" s="577" t="str">
        <f>IF(FZ22&gt;100,"",IF(FZ22&gt;=BE$1,"sangat baik dalam "&amp;HE22,IF(FZ22&gt;=BE$2,"baik dalam "&amp;HE22,IF(FZ22&gt;=BE$3,"cukup dalam "&amp;HE22,IF(FZ22&lt;BE$3,"dengan bimbingan dapat meningkatkan dalam "&amp;HE22,IF(FZ22&lt;1," ",””))))))</f>
        <v>cukup dalam menyelesaikan masalah yang berkaitan dengan perkalian dan pembagian pecahan dan desimal</v>
      </c>
      <c r="HG22" s="223" t="str">
        <f t="shared" si="194"/>
        <v>Ananda Tegar baik dalam menyelesaikan masalah yang berkaitan dengan skala pada denah, cukup dalam menyelesaikan masalah yang berkaitan dengan perkalian dan pembagian pecahan dan desimal.</v>
      </c>
    </row>
    <row r="23" spans="1:215" ht="30" customHeight="1">
      <c r="A23" s="39">
        <v>16</v>
      </c>
      <c r="B23" s="223">
        <f>SISWA!B21</f>
        <v>0</v>
      </c>
      <c r="C23" s="123"/>
      <c r="D23" s="123"/>
      <c r="E23" s="123"/>
      <c r="F23" s="123"/>
      <c r="G23" s="123"/>
      <c r="H23" s="123"/>
      <c r="I23" s="123"/>
      <c r="J23" s="123"/>
      <c r="K23" s="123"/>
      <c r="L23" s="123"/>
      <c r="M23" s="123"/>
      <c r="N23" s="123"/>
      <c r="O23" s="255"/>
      <c r="P23" s="255"/>
      <c r="Q23" s="255"/>
      <c r="R23" s="255"/>
      <c r="S23" s="255"/>
      <c r="T23" s="255"/>
      <c r="U23" s="255"/>
      <c r="V23" s="255"/>
      <c r="W23" s="255"/>
      <c r="X23" s="255"/>
      <c r="Y23" s="255"/>
      <c r="Z23" s="255"/>
      <c r="AA23" s="256"/>
      <c r="AB23" s="256"/>
      <c r="AC23" s="256"/>
      <c r="AD23" s="256"/>
      <c r="AE23" s="256"/>
      <c r="AF23" s="256"/>
      <c r="AG23" s="256"/>
      <c r="AH23" s="256"/>
      <c r="AI23" s="256"/>
      <c r="AJ23" s="256"/>
      <c r="AK23" s="256"/>
      <c r="AL23" s="256"/>
      <c r="AM23" s="257" t="str">
        <f t="shared" si="25"/>
        <v/>
      </c>
      <c r="AN23" s="257" t="str">
        <f t="shared" si="26"/>
        <v/>
      </c>
      <c r="AO23" s="257" t="str">
        <f t="shared" si="27"/>
        <v/>
      </c>
      <c r="AP23" s="257" t="str">
        <f t="shared" si="28"/>
        <v/>
      </c>
      <c r="AQ23" s="257" t="str">
        <f t="shared" si="29"/>
        <v/>
      </c>
      <c r="AR23" s="257" t="str">
        <f t="shared" si="30"/>
        <v/>
      </c>
      <c r="AS23" s="257" t="str">
        <f t="shared" si="31"/>
        <v/>
      </c>
      <c r="AT23" s="257" t="str">
        <f t="shared" si="32"/>
        <v/>
      </c>
      <c r="AU23" s="257" t="str">
        <f t="shared" si="33"/>
        <v/>
      </c>
      <c r="AV23" s="257" t="str">
        <f t="shared" si="34"/>
        <v/>
      </c>
      <c r="AW23" s="257" t="str">
        <f t="shared" si="35"/>
        <v/>
      </c>
      <c r="AX23" s="257" t="str">
        <f t="shared" si="36"/>
        <v/>
      </c>
      <c r="AY23" s="756" t="str">
        <f t="shared" si="37"/>
        <v/>
      </c>
      <c r="AZ23" s="291" t="str">
        <f t="shared" si="38"/>
        <v xml:space="preserve">  </v>
      </c>
      <c r="BA23" s="243" t="str">
        <f t="shared" si="39"/>
        <v xml:space="preserve"> </v>
      </c>
      <c r="BB23" s="39"/>
      <c r="BC23" s="39"/>
      <c r="BD23" s="257">
        <f t="shared" si="40"/>
        <v>0</v>
      </c>
      <c r="BE23" s="257">
        <f t="shared" si="41"/>
        <v>0</v>
      </c>
      <c r="BF23" s="257">
        <f t="shared" si="42"/>
        <v>0</v>
      </c>
      <c r="BG23" s="257">
        <f t="shared" si="43"/>
        <v>0</v>
      </c>
      <c r="BH23" s="257">
        <f t="shared" si="44"/>
        <v>0</v>
      </c>
      <c r="BI23" s="257">
        <f t="shared" si="45"/>
        <v>0</v>
      </c>
      <c r="BJ23" s="257">
        <f t="shared" si="46"/>
        <v>0</v>
      </c>
      <c r="BK23" s="257">
        <f t="shared" si="47"/>
        <v>0</v>
      </c>
      <c r="BL23" s="257">
        <f t="shared" si="48"/>
        <v>0</v>
      </c>
      <c r="BM23" s="257">
        <f t="shared" si="49"/>
        <v>0</v>
      </c>
      <c r="BN23" s="257">
        <f t="shared" si="50"/>
        <v>0</v>
      </c>
      <c r="BO23" s="257">
        <f t="shared" si="51"/>
        <v>0</v>
      </c>
      <c r="BP23" s="232">
        <f t="shared" si="52"/>
        <v>0</v>
      </c>
      <c r="BQ23" s="257">
        <f t="shared" si="53"/>
        <v>0</v>
      </c>
      <c r="BR23" s="257">
        <f t="shared" si="54"/>
        <v>0</v>
      </c>
      <c r="BS23" s="257">
        <f t="shared" si="55"/>
        <v>0</v>
      </c>
      <c r="BT23" s="257">
        <f t="shared" si="56"/>
        <v>0</v>
      </c>
      <c r="BU23" s="257">
        <f t="shared" si="57"/>
        <v>0</v>
      </c>
      <c r="BV23" s="257">
        <f t="shared" si="58"/>
        <v>0</v>
      </c>
      <c r="BW23" s="257">
        <f t="shared" si="59"/>
        <v>0</v>
      </c>
      <c r="BX23" s="257">
        <f t="shared" si="60"/>
        <v>0</v>
      </c>
      <c r="BY23" s="257">
        <f t="shared" si="61"/>
        <v>0</v>
      </c>
      <c r="BZ23" s="257">
        <f t="shared" si="62"/>
        <v>0</v>
      </c>
      <c r="CA23" s="257">
        <f t="shared" si="63"/>
        <v>0</v>
      </c>
      <c r="CB23" s="257">
        <f t="shared" si="64"/>
        <v>0</v>
      </c>
      <c r="CC23" s="232">
        <f t="shared" si="65"/>
        <v>0</v>
      </c>
      <c r="CD23" s="257">
        <f t="shared" si="66"/>
        <v>0</v>
      </c>
      <c r="CE23" s="257">
        <f t="shared" si="67"/>
        <v>0</v>
      </c>
      <c r="CF23" s="257">
        <f t="shared" si="68"/>
        <v>0</v>
      </c>
      <c r="CG23" s="257">
        <f t="shared" si="69"/>
        <v>0</v>
      </c>
      <c r="CH23" s="257">
        <f t="shared" si="70"/>
        <v>0</v>
      </c>
      <c r="CI23" s="257">
        <f t="shared" si="71"/>
        <v>0</v>
      </c>
      <c r="CJ23" s="257">
        <f t="shared" si="72"/>
        <v>0</v>
      </c>
      <c r="CK23" s="257">
        <f t="shared" si="73"/>
        <v>0</v>
      </c>
      <c r="CL23" s="257">
        <f t="shared" si="74"/>
        <v>0</v>
      </c>
      <c r="CM23" s="257">
        <f t="shared" si="75"/>
        <v>0</v>
      </c>
      <c r="CN23" s="257">
        <f t="shared" si="76"/>
        <v>0</v>
      </c>
      <c r="CO23" s="257">
        <f t="shared" si="77"/>
        <v>0</v>
      </c>
      <c r="CP23" s="232">
        <f t="shared" si="78"/>
        <v>0</v>
      </c>
      <c r="CQ23" s="257">
        <f t="shared" si="79"/>
        <v>0</v>
      </c>
      <c r="CR23" s="257">
        <f t="shared" si="80"/>
        <v>0</v>
      </c>
      <c r="CS23" s="257">
        <f t="shared" si="81"/>
        <v>0</v>
      </c>
      <c r="CT23" s="575">
        <f t="shared" si="82"/>
        <v>3</v>
      </c>
      <c r="CU23" s="506">
        <f t="shared" si="83"/>
        <v>0</v>
      </c>
      <c r="CV23" s="39" t="str">
        <f t="shared" si="84"/>
        <v/>
      </c>
      <c r="CW23" s="257">
        <f t="shared" si="85"/>
        <v>0</v>
      </c>
      <c r="CX23" s="257">
        <f t="shared" si="86"/>
        <v>0</v>
      </c>
      <c r="CY23" s="257">
        <f t="shared" si="87"/>
        <v>0</v>
      </c>
      <c r="CZ23" s="575">
        <f t="shared" si="88"/>
        <v>3</v>
      </c>
      <c r="DA23" s="506">
        <f t="shared" si="89"/>
        <v>0</v>
      </c>
      <c r="DB23" s="39" t="str">
        <f t="shared" si="90"/>
        <v/>
      </c>
      <c r="DC23" s="257">
        <f t="shared" si="91"/>
        <v>0</v>
      </c>
      <c r="DD23" s="257">
        <f t="shared" si="92"/>
        <v>0</v>
      </c>
      <c r="DE23" s="257">
        <f t="shared" si="93"/>
        <v>0</v>
      </c>
      <c r="DF23" s="575">
        <f t="shared" si="94"/>
        <v>3</v>
      </c>
      <c r="DG23" s="506">
        <f t="shared" si="95"/>
        <v>0</v>
      </c>
      <c r="DH23" s="39" t="str">
        <f t="shared" si="96"/>
        <v/>
      </c>
      <c r="DI23" s="257">
        <f t="shared" si="97"/>
        <v>0</v>
      </c>
      <c r="DJ23" s="257">
        <f t="shared" si="98"/>
        <v>0</v>
      </c>
      <c r="DK23" s="257">
        <f t="shared" si="99"/>
        <v>0</v>
      </c>
      <c r="DL23" s="575">
        <f t="shared" si="100"/>
        <v>3</v>
      </c>
      <c r="DM23" s="506">
        <f t="shared" si="101"/>
        <v>0</v>
      </c>
      <c r="DN23" s="39" t="str">
        <f t="shared" si="102"/>
        <v/>
      </c>
      <c r="DO23" s="257">
        <f t="shared" si="103"/>
        <v>0</v>
      </c>
      <c r="DP23" s="257">
        <f t="shared" si="104"/>
        <v>0</v>
      </c>
      <c r="DQ23" s="257">
        <f t="shared" si="105"/>
        <v>0</v>
      </c>
      <c r="DR23" s="575">
        <f t="shared" si="106"/>
        <v>3</v>
      </c>
      <c r="DS23" s="506">
        <f t="shared" si="107"/>
        <v>0</v>
      </c>
      <c r="DT23" s="39" t="str">
        <f t="shared" si="108"/>
        <v/>
      </c>
      <c r="DU23" s="257">
        <f t="shared" si="109"/>
        <v>0</v>
      </c>
      <c r="DV23" s="257">
        <f t="shared" si="110"/>
        <v>0</v>
      </c>
      <c r="DW23" s="257">
        <f t="shared" si="111"/>
        <v>0</v>
      </c>
      <c r="DX23" s="575">
        <f t="shared" si="112"/>
        <v>3</v>
      </c>
      <c r="DY23" s="506">
        <f t="shared" si="113"/>
        <v>0</v>
      </c>
      <c r="DZ23" s="39" t="str">
        <f t="shared" si="114"/>
        <v/>
      </c>
      <c r="EA23" s="257">
        <f t="shared" si="115"/>
        <v>0</v>
      </c>
      <c r="EB23" s="257">
        <f t="shared" si="116"/>
        <v>0</v>
      </c>
      <c r="EC23" s="257">
        <f t="shared" si="117"/>
        <v>0</v>
      </c>
      <c r="ED23" s="575">
        <f t="shared" si="118"/>
        <v>3</v>
      </c>
      <c r="EE23" s="506">
        <f t="shared" si="119"/>
        <v>0</v>
      </c>
      <c r="EF23" s="39" t="str">
        <f t="shared" si="120"/>
        <v/>
      </c>
      <c r="EG23" s="257">
        <f t="shared" si="121"/>
        <v>0</v>
      </c>
      <c r="EH23" s="257">
        <f t="shared" si="122"/>
        <v>0</v>
      </c>
      <c r="EI23" s="257">
        <f t="shared" si="123"/>
        <v>0</v>
      </c>
      <c r="EJ23" s="575">
        <f t="shared" si="124"/>
        <v>3</v>
      </c>
      <c r="EK23" s="506">
        <f t="shared" si="125"/>
        <v>0</v>
      </c>
      <c r="EL23" s="39" t="str">
        <f t="shared" si="126"/>
        <v/>
      </c>
      <c r="EM23" s="257">
        <f t="shared" si="127"/>
        <v>0</v>
      </c>
      <c r="EN23" s="257">
        <f t="shared" si="128"/>
        <v>0</v>
      </c>
      <c r="EO23" s="257">
        <f t="shared" si="129"/>
        <v>0</v>
      </c>
      <c r="EP23" s="575">
        <f t="shared" si="130"/>
        <v>3</v>
      </c>
      <c r="EQ23" s="506">
        <f t="shared" si="131"/>
        <v>0</v>
      </c>
      <c r="ER23" s="39" t="str">
        <f t="shared" si="132"/>
        <v/>
      </c>
      <c r="ES23" s="257">
        <f t="shared" si="133"/>
        <v>0</v>
      </c>
      <c r="ET23" s="257">
        <f t="shared" si="134"/>
        <v>0</v>
      </c>
      <c r="EU23" s="257">
        <f t="shared" si="135"/>
        <v>0</v>
      </c>
      <c r="EV23" s="575">
        <f t="shared" si="136"/>
        <v>3</v>
      </c>
      <c r="EW23" s="506">
        <f t="shared" si="137"/>
        <v>0</v>
      </c>
      <c r="EX23" s="39" t="str">
        <f t="shared" si="138"/>
        <v/>
      </c>
      <c r="EY23" s="257">
        <f t="shared" si="139"/>
        <v>0</v>
      </c>
      <c r="EZ23" s="257">
        <f t="shared" si="140"/>
        <v>0</v>
      </c>
      <c r="FA23" s="257">
        <f t="shared" si="141"/>
        <v>0</v>
      </c>
      <c r="FB23" s="575">
        <f t="shared" si="142"/>
        <v>3</v>
      </c>
      <c r="FC23" s="506">
        <f t="shared" si="143"/>
        <v>0</v>
      </c>
      <c r="FD23" s="39" t="str">
        <f t="shared" si="144"/>
        <v/>
      </c>
      <c r="FE23" s="257">
        <f t="shared" si="145"/>
        <v>0</v>
      </c>
      <c r="FF23" s="257">
        <f t="shared" si="146"/>
        <v>0</v>
      </c>
      <c r="FG23" s="257">
        <f t="shared" si="147"/>
        <v>0</v>
      </c>
      <c r="FH23" s="575">
        <f t="shared" si="148"/>
        <v>3</v>
      </c>
      <c r="FI23" s="506">
        <f t="shared" si="149"/>
        <v>0</v>
      </c>
      <c r="FJ23" s="39" t="str">
        <f t="shared" si="150"/>
        <v/>
      </c>
      <c r="FK23" s="39"/>
      <c r="FL23" s="39" t="str">
        <f t="shared" si="151"/>
        <v/>
      </c>
      <c r="FM23" s="39" t="str">
        <f t="shared" si="152"/>
        <v/>
      </c>
      <c r="FN23" s="39" t="str">
        <f t="shared" si="153"/>
        <v/>
      </c>
      <c r="FO23" s="39" t="str">
        <f t="shared" si="154"/>
        <v/>
      </c>
      <c r="FP23" s="39" t="str">
        <f t="shared" si="155"/>
        <v/>
      </c>
      <c r="FQ23" s="39" t="str">
        <f t="shared" si="156"/>
        <v/>
      </c>
      <c r="FR23" s="39" t="str">
        <f t="shared" si="157"/>
        <v/>
      </c>
      <c r="FS23" s="39" t="str">
        <f t="shared" si="158"/>
        <v/>
      </c>
      <c r="FT23" s="39" t="str">
        <f t="shared" si="159"/>
        <v/>
      </c>
      <c r="FU23" s="39" t="str">
        <f t="shared" si="160"/>
        <v/>
      </c>
      <c r="FV23" s="39" t="str">
        <f t="shared" si="161"/>
        <v/>
      </c>
      <c r="FW23" s="39" t="str">
        <f t="shared" si="162"/>
        <v/>
      </c>
      <c r="FX23" s="39" t="str">
        <f t="shared" si="163"/>
        <v/>
      </c>
      <c r="FY23" s="68">
        <f t="shared" si="164"/>
        <v>0</v>
      </c>
      <c r="FZ23" s="68">
        <f t="shared" si="165"/>
        <v>0</v>
      </c>
      <c r="GA23" s="39">
        <f>SISWA!E21</f>
        <v>0</v>
      </c>
      <c r="GB23" s="39" t="str">
        <f t="shared" si="166"/>
        <v/>
      </c>
      <c r="GC23" s="207" t="str">
        <f t="shared" si="167"/>
        <v/>
      </c>
      <c r="GD23" s="207" t="str">
        <f t="shared" si="168"/>
        <v/>
      </c>
      <c r="GE23" s="207" t="str">
        <f t="shared" si="169"/>
        <v/>
      </c>
      <c r="GF23" s="207" t="str">
        <f t="shared" si="170"/>
        <v/>
      </c>
      <c r="GG23" s="207" t="str">
        <f t="shared" si="171"/>
        <v/>
      </c>
      <c r="GH23" s="207" t="str">
        <f t="shared" si="172"/>
        <v/>
      </c>
      <c r="GI23" s="207" t="str">
        <f t="shared" si="173"/>
        <v/>
      </c>
      <c r="GJ23" s="207" t="str">
        <f t="shared" si="174"/>
        <v/>
      </c>
      <c r="GK23" s="207" t="str">
        <f t="shared" si="175"/>
        <v/>
      </c>
      <c r="GL23" s="207" t="str">
        <f t="shared" si="176"/>
        <v/>
      </c>
      <c r="GM23" s="207" t="str">
        <f t="shared" si="177"/>
        <v/>
      </c>
      <c r="GN23" s="207" t="str">
        <f t="shared" si="178"/>
        <v/>
      </c>
      <c r="GO23" s="39">
        <f t="shared" si="179"/>
        <v>0</v>
      </c>
      <c r="GP23" s="68" t="e">
        <f t="shared" si="180"/>
        <v>#N/A</v>
      </c>
      <c r="GQ23" s="576" t="e">
        <f>IF(FY23&gt;100,"",IF(FY23&gt;BE$1,"sangat baik dalam "&amp;GP23,IF(FY23&gt;=BE$2,"baik dalam "&amp;GP23,IF(FY23&gt;=BE$3,"cukup dalam "&amp;GP23,IF(FY23&lt;BE$3,"dengan bimbingan dapat meningkatkan dalam "&amp;GP23,IF(FY23&lt;1," ",””))))))</f>
        <v>#N/A</v>
      </c>
      <c r="GR23" s="223"/>
      <c r="GS23" s="223" t="str">
        <f t="shared" si="181"/>
        <v/>
      </c>
      <c r="GT23" s="223" t="str">
        <f t="shared" si="182"/>
        <v/>
      </c>
      <c r="GU23" s="223" t="str">
        <f t="shared" si="183"/>
        <v/>
      </c>
      <c r="GV23" s="223" t="str">
        <f t="shared" si="184"/>
        <v/>
      </c>
      <c r="GW23" s="223" t="str">
        <f t="shared" si="185"/>
        <v/>
      </c>
      <c r="GX23" s="223" t="str">
        <f t="shared" si="186"/>
        <v/>
      </c>
      <c r="GY23" s="223" t="str">
        <f t="shared" si="187"/>
        <v/>
      </c>
      <c r="GZ23" s="223" t="str">
        <f t="shared" si="188"/>
        <v/>
      </c>
      <c r="HA23" s="223" t="str">
        <f t="shared" si="189"/>
        <v/>
      </c>
      <c r="HB23" s="223" t="str">
        <f t="shared" si="190"/>
        <v/>
      </c>
      <c r="HC23" s="223" t="str">
        <f t="shared" si="191"/>
        <v/>
      </c>
      <c r="HD23" s="223" t="str">
        <f t="shared" si="192"/>
        <v/>
      </c>
      <c r="HE23" s="223" t="e">
        <f t="shared" si="193"/>
        <v>#N/A</v>
      </c>
      <c r="HF23" s="577" t="e">
        <f>IF(FZ23&gt;100,"",IF(FZ23&gt;=BE$1,"sangat baik dalam "&amp;HE23,IF(FZ23&gt;=BE$2,"baik dalam "&amp;HE23,IF(FZ23&gt;=BE$3,"cukup dalam "&amp;HE23,IF(FZ23&lt;BE$3,"dengan bimbingan dapat meningkatkan dalam "&amp;HE23,IF(FZ23&lt;1," ",””))))))</f>
        <v>#N/A</v>
      </c>
      <c r="HG23" s="223" t="e">
        <f t="shared" si="194"/>
        <v>#N/A</v>
      </c>
    </row>
    <row r="24" spans="1:215" ht="30" customHeight="1">
      <c r="A24" s="39">
        <v>17</v>
      </c>
      <c r="B24" s="223">
        <f>SISWA!B22</f>
        <v>0</v>
      </c>
      <c r="C24" s="123"/>
      <c r="D24" s="123"/>
      <c r="E24" s="123"/>
      <c r="F24" s="123"/>
      <c r="G24" s="123"/>
      <c r="H24" s="123"/>
      <c r="I24" s="123"/>
      <c r="J24" s="123"/>
      <c r="K24" s="123"/>
      <c r="L24" s="123"/>
      <c r="M24" s="123"/>
      <c r="N24" s="123"/>
      <c r="O24" s="255"/>
      <c r="P24" s="255"/>
      <c r="Q24" s="255"/>
      <c r="R24" s="255"/>
      <c r="S24" s="255"/>
      <c r="T24" s="255"/>
      <c r="U24" s="255"/>
      <c r="V24" s="255"/>
      <c r="W24" s="255"/>
      <c r="X24" s="255"/>
      <c r="Y24" s="255"/>
      <c r="Z24" s="255"/>
      <c r="AA24" s="256"/>
      <c r="AB24" s="256"/>
      <c r="AC24" s="256"/>
      <c r="AD24" s="256"/>
      <c r="AE24" s="256"/>
      <c r="AF24" s="256"/>
      <c r="AG24" s="256"/>
      <c r="AH24" s="256"/>
      <c r="AI24" s="256"/>
      <c r="AJ24" s="256"/>
      <c r="AK24" s="256"/>
      <c r="AL24" s="256"/>
      <c r="AM24" s="257" t="str">
        <f t="shared" si="25"/>
        <v/>
      </c>
      <c r="AN24" s="257" t="str">
        <f t="shared" si="26"/>
        <v/>
      </c>
      <c r="AO24" s="257" t="str">
        <f t="shared" si="27"/>
        <v/>
      </c>
      <c r="AP24" s="257" t="str">
        <f t="shared" si="28"/>
        <v/>
      </c>
      <c r="AQ24" s="257" t="str">
        <f t="shared" si="29"/>
        <v/>
      </c>
      <c r="AR24" s="257" t="str">
        <f t="shared" si="30"/>
        <v/>
      </c>
      <c r="AS24" s="257" t="str">
        <f t="shared" si="31"/>
        <v/>
      </c>
      <c r="AT24" s="257" t="str">
        <f t="shared" si="32"/>
        <v/>
      </c>
      <c r="AU24" s="257" t="str">
        <f t="shared" si="33"/>
        <v/>
      </c>
      <c r="AV24" s="257" t="str">
        <f t="shared" si="34"/>
        <v/>
      </c>
      <c r="AW24" s="257" t="str">
        <f t="shared" si="35"/>
        <v/>
      </c>
      <c r="AX24" s="257" t="str">
        <f t="shared" si="36"/>
        <v/>
      </c>
      <c r="AY24" s="756" t="str">
        <f t="shared" si="37"/>
        <v/>
      </c>
      <c r="AZ24" s="291" t="str">
        <f t="shared" si="38"/>
        <v xml:space="preserve">  </v>
      </c>
      <c r="BA24" s="243" t="str">
        <f t="shared" si="39"/>
        <v xml:space="preserve"> </v>
      </c>
      <c r="BB24" s="39"/>
      <c r="BC24" s="39"/>
      <c r="BD24" s="257">
        <f t="shared" si="40"/>
        <v>0</v>
      </c>
      <c r="BE24" s="257">
        <f t="shared" si="41"/>
        <v>0</v>
      </c>
      <c r="BF24" s="257">
        <f t="shared" si="42"/>
        <v>0</v>
      </c>
      <c r="BG24" s="257">
        <f t="shared" si="43"/>
        <v>0</v>
      </c>
      <c r="BH24" s="257">
        <f t="shared" si="44"/>
        <v>0</v>
      </c>
      <c r="BI24" s="257">
        <f t="shared" si="45"/>
        <v>0</v>
      </c>
      <c r="BJ24" s="257">
        <f t="shared" si="46"/>
        <v>0</v>
      </c>
      <c r="BK24" s="257">
        <f t="shared" si="47"/>
        <v>0</v>
      </c>
      <c r="BL24" s="257">
        <f t="shared" si="48"/>
        <v>0</v>
      </c>
      <c r="BM24" s="257">
        <f t="shared" si="49"/>
        <v>0</v>
      </c>
      <c r="BN24" s="257">
        <f t="shared" si="50"/>
        <v>0</v>
      </c>
      <c r="BO24" s="257">
        <f t="shared" si="51"/>
        <v>0</v>
      </c>
      <c r="BP24" s="232">
        <f t="shared" si="52"/>
        <v>0</v>
      </c>
      <c r="BQ24" s="257">
        <f t="shared" si="53"/>
        <v>0</v>
      </c>
      <c r="BR24" s="257">
        <f t="shared" si="54"/>
        <v>0</v>
      </c>
      <c r="BS24" s="257">
        <f t="shared" si="55"/>
        <v>0</v>
      </c>
      <c r="BT24" s="257">
        <f t="shared" si="56"/>
        <v>0</v>
      </c>
      <c r="BU24" s="257">
        <f t="shared" si="57"/>
        <v>0</v>
      </c>
      <c r="BV24" s="257">
        <f t="shared" si="58"/>
        <v>0</v>
      </c>
      <c r="BW24" s="257">
        <f t="shared" si="59"/>
        <v>0</v>
      </c>
      <c r="BX24" s="257">
        <f t="shared" si="60"/>
        <v>0</v>
      </c>
      <c r="BY24" s="257">
        <f t="shared" si="61"/>
        <v>0</v>
      </c>
      <c r="BZ24" s="257">
        <f t="shared" si="62"/>
        <v>0</v>
      </c>
      <c r="CA24" s="257">
        <f t="shared" si="63"/>
        <v>0</v>
      </c>
      <c r="CB24" s="257">
        <f t="shared" si="64"/>
        <v>0</v>
      </c>
      <c r="CC24" s="232">
        <f t="shared" si="65"/>
        <v>0</v>
      </c>
      <c r="CD24" s="257">
        <f t="shared" si="66"/>
        <v>0</v>
      </c>
      <c r="CE24" s="257">
        <f t="shared" si="67"/>
        <v>0</v>
      </c>
      <c r="CF24" s="257">
        <f t="shared" si="68"/>
        <v>0</v>
      </c>
      <c r="CG24" s="257">
        <f t="shared" si="69"/>
        <v>0</v>
      </c>
      <c r="CH24" s="257">
        <f t="shared" si="70"/>
        <v>0</v>
      </c>
      <c r="CI24" s="257">
        <f t="shared" si="71"/>
        <v>0</v>
      </c>
      <c r="CJ24" s="257">
        <f t="shared" si="72"/>
        <v>0</v>
      </c>
      <c r="CK24" s="257">
        <f t="shared" si="73"/>
        <v>0</v>
      </c>
      <c r="CL24" s="257">
        <f t="shared" si="74"/>
        <v>0</v>
      </c>
      <c r="CM24" s="257">
        <f t="shared" si="75"/>
        <v>0</v>
      </c>
      <c r="CN24" s="257">
        <f t="shared" si="76"/>
        <v>0</v>
      </c>
      <c r="CO24" s="257">
        <f t="shared" si="77"/>
        <v>0</v>
      </c>
      <c r="CP24" s="232">
        <f t="shared" si="78"/>
        <v>0</v>
      </c>
      <c r="CQ24" s="257">
        <f t="shared" si="79"/>
        <v>0</v>
      </c>
      <c r="CR24" s="257">
        <f t="shared" si="80"/>
        <v>0</v>
      </c>
      <c r="CS24" s="257">
        <f t="shared" si="81"/>
        <v>0</v>
      </c>
      <c r="CT24" s="575">
        <f t="shared" si="82"/>
        <v>3</v>
      </c>
      <c r="CU24" s="506">
        <f t="shared" si="83"/>
        <v>0</v>
      </c>
      <c r="CV24" s="39" t="str">
        <f t="shared" si="84"/>
        <v/>
      </c>
      <c r="CW24" s="257">
        <f t="shared" si="85"/>
        <v>0</v>
      </c>
      <c r="CX24" s="257">
        <f t="shared" si="86"/>
        <v>0</v>
      </c>
      <c r="CY24" s="257">
        <f t="shared" si="87"/>
        <v>0</v>
      </c>
      <c r="CZ24" s="575">
        <f t="shared" si="88"/>
        <v>3</v>
      </c>
      <c r="DA24" s="506">
        <f t="shared" si="89"/>
        <v>0</v>
      </c>
      <c r="DB24" s="39" t="str">
        <f t="shared" si="90"/>
        <v/>
      </c>
      <c r="DC24" s="257">
        <f t="shared" si="91"/>
        <v>0</v>
      </c>
      <c r="DD24" s="257">
        <f t="shared" si="92"/>
        <v>0</v>
      </c>
      <c r="DE24" s="257">
        <f t="shared" si="93"/>
        <v>0</v>
      </c>
      <c r="DF24" s="575">
        <f t="shared" si="94"/>
        <v>3</v>
      </c>
      <c r="DG24" s="506">
        <f t="shared" si="95"/>
        <v>0</v>
      </c>
      <c r="DH24" s="39" t="str">
        <f t="shared" si="96"/>
        <v/>
      </c>
      <c r="DI24" s="257">
        <f t="shared" si="97"/>
        <v>0</v>
      </c>
      <c r="DJ24" s="257">
        <f t="shared" si="98"/>
        <v>0</v>
      </c>
      <c r="DK24" s="257">
        <f t="shared" si="99"/>
        <v>0</v>
      </c>
      <c r="DL24" s="575">
        <f t="shared" si="100"/>
        <v>3</v>
      </c>
      <c r="DM24" s="506">
        <f t="shared" si="101"/>
        <v>0</v>
      </c>
      <c r="DN24" s="39" t="str">
        <f t="shared" si="102"/>
        <v/>
      </c>
      <c r="DO24" s="257">
        <f t="shared" si="103"/>
        <v>0</v>
      </c>
      <c r="DP24" s="257">
        <f t="shared" si="104"/>
        <v>0</v>
      </c>
      <c r="DQ24" s="257">
        <f t="shared" si="105"/>
        <v>0</v>
      </c>
      <c r="DR24" s="575">
        <f t="shared" si="106"/>
        <v>3</v>
      </c>
      <c r="DS24" s="506">
        <f t="shared" si="107"/>
        <v>0</v>
      </c>
      <c r="DT24" s="39" t="str">
        <f t="shared" si="108"/>
        <v/>
      </c>
      <c r="DU24" s="257">
        <f t="shared" si="109"/>
        <v>0</v>
      </c>
      <c r="DV24" s="257">
        <f t="shared" si="110"/>
        <v>0</v>
      </c>
      <c r="DW24" s="257">
        <f t="shared" si="111"/>
        <v>0</v>
      </c>
      <c r="DX24" s="575">
        <f t="shared" si="112"/>
        <v>3</v>
      </c>
      <c r="DY24" s="506">
        <f t="shared" si="113"/>
        <v>0</v>
      </c>
      <c r="DZ24" s="39" t="str">
        <f t="shared" si="114"/>
        <v/>
      </c>
      <c r="EA24" s="257">
        <f t="shared" si="115"/>
        <v>0</v>
      </c>
      <c r="EB24" s="257">
        <f t="shared" si="116"/>
        <v>0</v>
      </c>
      <c r="EC24" s="257">
        <f t="shared" si="117"/>
        <v>0</v>
      </c>
      <c r="ED24" s="575">
        <f t="shared" si="118"/>
        <v>3</v>
      </c>
      <c r="EE24" s="506">
        <f t="shared" si="119"/>
        <v>0</v>
      </c>
      <c r="EF24" s="39" t="str">
        <f t="shared" si="120"/>
        <v/>
      </c>
      <c r="EG24" s="257">
        <f t="shared" si="121"/>
        <v>0</v>
      </c>
      <c r="EH24" s="257">
        <f t="shared" si="122"/>
        <v>0</v>
      </c>
      <c r="EI24" s="257">
        <f t="shared" si="123"/>
        <v>0</v>
      </c>
      <c r="EJ24" s="575">
        <f t="shared" si="124"/>
        <v>3</v>
      </c>
      <c r="EK24" s="506">
        <f t="shared" si="125"/>
        <v>0</v>
      </c>
      <c r="EL24" s="39" t="str">
        <f t="shared" si="126"/>
        <v/>
      </c>
      <c r="EM24" s="257">
        <f t="shared" si="127"/>
        <v>0</v>
      </c>
      <c r="EN24" s="257">
        <f t="shared" si="128"/>
        <v>0</v>
      </c>
      <c r="EO24" s="257">
        <f t="shared" si="129"/>
        <v>0</v>
      </c>
      <c r="EP24" s="575">
        <f t="shared" si="130"/>
        <v>3</v>
      </c>
      <c r="EQ24" s="506">
        <f t="shared" si="131"/>
        <v>0</v>
      </c>
      <c r="ER24" s="39" t="str">
        <f t="shared" si="132"/>
        <v/>
      </c>
      <c r="ES24" s="257">
        <f t="shared" si="133"/>
        <v>0</v>
      </c>
      <c r="ET24" s="257">
        <f t="shared" si="134"/>
        <v>0</v>
      </c>
      <c r="EU24" s="257">
        <f t="shared" si="135"/>
        <v>0</v>
      </c>
      <c r="EV24" s="575">
        <f t="shared" si="136"/>
        <v>3</v>
      </c>
      <c r="EW24" s="506">
        <f t="shared" si="137"/>
        <v>0</v>
      </c>
      <c r="EX24" s="39" t="str">
        <f t="shared" si="138"/>
        <v/>
      </c>
      <c r="EY24" s="257">
        <f t="shared" si="139"/>
        <v>0</v>
      </c>
      <c r="EZ24" s="257">
        <f t="shared" si="140"/>
        <v>0</v>
      </c>
      <c r="FA24" s="257">
        <f t="shared" si="141"/>
        <v>0</v>
      </c>
      <c r="FB24" s="575">
        <f t="shared" si="142"/>
        <v>3</v>
      </c>
      <c r="FC24" s="506">
        <f t="shared" si="143"/>
        <v>0</v>
      </c>
      <c r="FD24" s="39" t="str">
        <f t="shared" si="144"/>
        <v/>
      </c>
      <c r="FE24" s="257">
        <f t="shared" si="145"/>
        <v>0</v>
      </c>
      <c r="FF24" s="257">
        <f t="shared" si="146"/>
        <v>0</v>
      </c>
      <c r="FG24" s="257">
        <f t="shared" si="147"/>
        <v>0</v>
      </c>
      <c r="FH24" s="575">
        <f t="shared" si="148"/>
        <v>3</v>
      </c>
      <c r="FI24" s="506">
        <f t="shared" si="149"/>
        <v>0</v>
      </c>
      <c r="FJ24" s="39" t="str">
        <f t="shared" si="150"/>
        <v/>
      </c>
      <c r="FK24" s="39"/>
      <c r="FL24" s="39" t="str">
        <f t="shared" si="151"/>
        <v/>
      </c>
      <c r="FM24" s="39" t="str">
        <f t="shared" si="152"/>
        <v/>
      </c>
      <c r="FN24" s="39" t="str">
        <f t="shared" si="153"/>
        <v/>
      </c>
      <c r="FO24" s="39" t="str">
        <f t="shared" si="154"/>
        <v/>
      </c>
      <c r="FP24" s="39" t="str">
        <f t="shared" si="155"/>
        <v/>
      </c>
      <c r="FQ24" s="39" t="str">
        <f t="shared" si="156"/>
        <v/>
      </c>
      <c r="FR24" s="39" t="str">
        <f t="shared" si="157"/>
        <v/>
      </c>
      <c r="FS24" s="39" t="str">
        <f t="shared" si="158"/>
        <v/>
      </c>
      <c r="FT24" s="39" t="str">
        <f t="shared" si="159"/>
        <v/>
      </c>
      <c r="FU24" s="39" t="str">
        <f t="shared" si="160"/>
        <v/>
      </c>
      <c r="FV24" s="39" t="str">
        <f t="shared" si="161"/>
        <v/>
      </c>
      <c r="FW24" s="39" t="str">
        <f t="shared" si="162"/>
        <v/>
      </c>
      <c r="FX24" s="39" t="str">
        <f t="shared" si="163"/>
        <v/>
      </c>
      <c r="FY24" s="68">
        <f t="shared" si="164"/>
        <v>0</v>
      </c>
      <c r="FZ24" s="68">
        <f t="shared" si="165"/>
        <v>0</v>
      </c>
      <c r="GA24" s="39">
        <f>SISWA!E22</f>
        <v>0</v>
      </c>
      <c r="GB24" s="39" t="str">
        <f t="shared" si="166"/>
        <v/>
      </c>
      <c r="GC24" s="207" t="str">
        <f t="shared" si="167"/>
        <v/>
      </c>
      <c r="GD24" s="207" t="str">
        <f t="shared" si="168"/>
        <v/>
      </c>
      <c r="GE24" s="207" t="str">
        <f t="shared" si="169"/>
        <v/>
      </c>
      <c r="GF24" s="207" t="str">
        <f t="shared" si="170"/>
        <v/>
      </c>
      <c r="GG24" s="207" t="str">
        <f t="shared" si="171"/>
        <v/>
      </c>
      <c r="GH24" s="207" t="str">
        <f t="shared" si="172"/>
        <v/>
      </c>
      <c r="GI24" s="207" t="str">
        <f t="shared" si="173"/>
        <v/>
      </c>
      <c r="GJ24" s="207" t="str">
        <f t="shared" si="174"/>
        <v/>
      </c>
      <c r="GK24" s="207" t="str">
        <f t="shared" si="175"/>
        <v/>
      </c>
      <c r="GL24" s="207" t="str">
        <f t="shared" si="176"/>
        <v/>
      </c>
      <c r="GM24" s="207" t="str">
        <f t="shared" si="177"/>
        <v/>
      </c>
      <c r="GN24" s="207" t="str">
        <f t="shared" si="178"/>
        <v/>
      </c>
      <c r="GO24" s="39">
        <f t="shared" si="179"/>
        <v>0</v>
      </c>
      <c r="GP24" s="68" t="e">
        <f t="shared" si="180"/>
        <v>#N/A</v>
      </c>
      <c r="GQ24" s="576" t="e">
        <f>IF(FY24&gt;100,"",IF(FY24&gt;BE$1,"sangat baik dalam "&amp;GP24,IF(FY24&gt;=BE$2,"baik dalam "&amp;GP24,IF(FY24&gt;=BE$3,"cukup dalam "&amp;GP24,IF(FY24&lt;BE$3,"dengan bimbingan dapat meningkatkan dalam "&amp;GP24,IF(FY24&lt;1," ",””))))))</f>
        <v>#N/A</v>
      </c>
      <c r="GR24" s="223"/>
      <c r="GS24" s="223" t="str">
        <f t="shared" si="181"/>
        <v/>
      </c>
      <c r="GT24" s="223" t="str">
        <f t="shared" si="182"/>
        <v/>
      </c>
      <c r="GU24" s="223" t="str">
        <f t="shared" si="183"/>
        <v/>
      </c>
      <c r="GV24" s="223" t="str">
        <f t="shared" si="184"/>
        <v/>
      </c>
      <c r="GW24" s="223" t="str">
        <f t="shared" si="185"/>
        <v/>
      </c>
      <c r="GX24" s="223" t="str">
        <f t="shared" si="186"/>
        <v/>
      </c>
      <c r="GY24" s="223" t="str">
        <f t="shared" si="187"/>
        <v/>
      </c>
      <c r="GZ24" s="223" t="str">
        <f t="shared" si="188"/>
        <v/>
      </c>
      <c r="HA24" s="223" t="str">
        <f t="shared" si="189"/>
        <v/>
      </c>
      <c r="HB24" s="223" t="str">
        <f t="shared" si="190"/>
        <v/>
      </c>
      <c r="HC24" s="223" t="str">
        <f t="shared" si="191"/>
        <v/>
      </c>
      <c r="HD24" s="223" t="str">
        <f t="shared" si="192"/>
        <v/>
      </c>
      <c r="HE24" s="223" t="e">
        <f t="shared" si="193"/>
        <v>#N/A</v>
      </c>
      <c r="HF24" s="577" t="e">
        <f>IF(FZ24&gt;100,"",IF(FZ24&gt;=BE$1,"sangat baik dalam "&amp;HE24,IF(FZ24&gt;=BE$2,"baik dalam "&amp;HE24,IF(FZ24&gt;=BE$3,"cukup dalam "&amp;HE24,IF(FZ24&lt;BE$3,"dengan bimbingan dapat meningkatkan dalam "&amp;HE24,IF(FZ24&lt;1," ",””))))))</f>
        <v>#N/A</v>
      </c>
      <c r="HG24" s="223" t="e">
        <f t="shared" si="194"/>
        <v>#N/A</v>
      </c>
    </row>
    <row r="25" spans="1:215" ht="30" customHeight="1">
      <c r="A25" s="39">
        <v>18</v>
      </c>
      <c r="B25" s="223">
        <f>SISWA!B23</f>
        <v>0</v>
      </c>
      <c r="C25" s="123"/>
      <c r="D25" s="123"/>
      <c r="E25" s="123"/>
      <c r="F25" s="123"/>
      <c r="G25" s="123"/>
      <c r="H25" s="123"/>
      <c r="I25" s="123"/>
      <c r="J25" s="123"/>
      <c r="K25" s="123"/>
      <c r="L25" s="123"/>
      <c r="M25" s="123"/>
      <c r="N25" s="123"/>
      <c r="O25" s="255"/>
      <c r="P25" s="255"/>
      <c r="Q25" s="255"/>
      <c r="R25" s="255"/>
      <c r="S25" s="255"/>
      <c r="T25" s="255"/>
      <c r="U25" s="255"/>
      <c r="V25" s="255"/>
      <c r="W25" s="255"/>
      <c r="X25" s="255"/>
      <c r="Y25" s="255"/>
      <c r="Z25" s="255"/>
      <c r="AA25" s="256"/>
      <c r="AB25" s="256"/>
      <c r="AC25" s="256"/>
      <c r="AD25" s="256"/>
      <c r="AE25" s="256"/>
      <c r="AF25" s="256"/>
      <c r="AG25" s="256"/>
      <c r="AH25" s="256"/>
      <c r="AI25" s="256"/>
      <c r="AJ25" s="256"/>
      <c r="AK25" s="256"/>
      <c r="AL25" s="256"/>
      <c r="AM25" s="257" t="str">
        <f t="shared" si="25"/>
        <v/>
      </c>
      <c r="AN25" s="257" t="str">
        <f t="shared" si="26"/>
        <v/>
      </c>
      <c r="AO25" s="257" t="str">
        <f t="shared" si="27"/>
        <v/>
      </c>
      <c r="AP25" s="257" t="str">
        <f t="shared" si="28"/>
        <v/>
      </c>
      <c r="AQ25" s="257" t="str">
        <f t="shared" si="29"/>
        <v/>
      </c>
      <c r="AR25" s="257" t="str">
        <f t="shared" si="30"/>
        <v/>
      </c>
      <c r="AS25" s="257" t="str">
        <f t="shared" si="31"/>
        <v/>
      </c>
      <c r="AT25" s="257" t="str">
        <f t="shared" si="32"/>
        <v/>
      </c>
      <c r="AU25" s="257" t="str">
        <f t="shared" si="33"/>
        <v/>
      </c>
      <c r="AV25" s="257" t="str">
        <f t="shared" si="34"/>
        <v/>
      </c>
      <c r="AW25" s="257" t="str">
        <f t="shared" si="35"/>
        <v/>
      </c>
      <c r="AX25" s="257" t="str">
        <f t="shared" si="36"/>
        <v/>
      </c>
      <c r="AY25" s="756" t="str">
        <f t="shared" si="37"/>
        <v/>
      </c>
      <c r="AZ25" s="291" t="str">
        <f t="shared" si="38"/>
        <v xml:space="preserve">  </v>
      </c>
      <c r="BA25" s="243" t="str">
        <f t="shared" si="39"/>
        <v xml:space="preserve"> </v>
      </c>
      <c r="BB25" s="39"/>
      <c r="BC25" s="39"/>
      <c r="BD25" s="257">
        <f t="shared" si="40"/>
        <v>0</v>
      </c>
      <c r="BE25" s="257">
        <f t="shared" si="41"/>
        <v>0</v>
      </c>
      <c r="BF25" s="257">
        <f t="shared" si="42"/>
        <v>0</v>
      </c>
      <c r="BG25" s="257">
        <f t="shared" si="43"/>
        <v>0</v>
      </c>
      <c r="BH25" s="257">
        <f t="shared" si="44"/>
        <v>0</v>
      </c>
      <c r="BI25" s="257">
        <f t="shared" si="45"/>
        <v>0</v>
      </c>
      <c r="BJ25" s="257">
        <f t="shared" si="46"/>
        <v>0</v>
      </c>
      <c r="BK25" s="257">
        <f t="shared" si="47"/>
        <v>0</v>
      </c>
      <c r="BL25" s="257">
        <f t="shared" si="48"/>
        <v>0</v>
      </c>
      <c r="BM25" s="257">
        <f t="shared" si="49"/>
        <v>0</v>
      </c>
      <c r="BN25" s="257">
        <f t="shared" si="50"/>
        <v>0</v>
      </c>
      <c r="BO25" s="257">
        <f t="shared" si="51"/>
        <v>0</v>
      </c>
      <c r="BP25" s="232">
        <f t="shared" si="52"/>
        <v>0</v>
      </c>
      <c r="BQ25" s="257">
        <f t="shared" si="53"/>
        <v>0</v>
      </c>
      <c r="BR25" s="257">
        <f t="shared" si="54"/>
        <v>0</v>
      </c>
      <c r="BS25" s="257">
        <f t="shared" si="55"/>
        <v>0</v>
      </c>
      <c r="BT25" s="257">
        <f t="shared" si="56"/>
        <v>0</v>
      </c>
      <c r="BU25" s="257">
        <f t="shared" si="57"/>
        <v>0</v>
      </c>
      <c r="BV25" s="257">
        <f t="shared" si="58"/>
        <v>0</v>
      </c>
      <c r="BW25" s="257">
        <f t="shared" si="59"/>
        <v>0</v>
      </c>
      <c r="BX25" s="257">
        <f t="shared" si="60"/>
        <v>0</v>
      </c>
      <c r="BY25" s="257">
        <f t="shared" si="61"/>
        <v>0</v>
      </c>
      <c r="BZ25" s="257">
        <f t="shared" si="62"/>
        <v>0</v>
      </c>
      <c r="CA25" s="257">
        <f t="shared" si="63"/>
        <v>0</v>
      </c>
      <c r="CB25" s="257">
        <f t="shared" si="64"/>
        <v>0</v>
      </c>
      <c r="CC25" s="232">
        <f t="shared" si="65"/>
        <v>0</v>
      </c>
      <c r="CD25" s="257">
        <f t="shared" si="66"/>
        <v>0</v>
      </c>
      <c r="CE25" s="257">
        <f t="shared" si="67"/>
        <v>0</v>
      </c>
      <c r="CF25" s="257">
        <f t="shared" si="68"/>
        <v>0</v>
      </c>
      <c r="CG25" s="257">
        <f t="shared" si="69"/>
        <v>0</v>
      </c>
      <c r="CH25" s="257">
        <f t="shared" si="70"/>
        <v>0</v>
      </c>
      <c r="CI25" s="257">
        <f t="shared" si="71"/>
        <v>0</v>
      </c>
      <c r="CJ25" s="257">
        <f t="shared" si="72"/>
        <v>0</v>
      </c>
      <c r="CK25" s="257">
        <f t="shared" si="73"/>
        <v>0</v>
      </c>
      <c r="CL25" s="257">
        <f t="shared" si="74"/>
        <v>0</v>
      </c>
      <c r="CM25" s="257">
        <f t="shared" si="75"/>
        <v>0</v>
      </c>
      <c r="CN25" s="257">
        <f t="shared" si="76"/>
        <v>0</v>
      </c>
      <c r="CO25" s="257">
        <f t="shared" si="77"/>
        <v>0</v>
      </c>
      <c r="CP25" s="232">
        <f t="shared" si="78"/>
        <v>0</v>
      </c>
      <c r="CQ25" s="257">
        <f t="shared" si="79"/>
        <v>0</v>
      </c>
      <c r="CR25" s="257">
        <f t="shared" si="80"/>
        <v>0</v>
      </c>
      <c r="CS25" s="257">
        <f t="shared" si="81"/>
        <v>0</v>
      </c>
      <c r="CT25" s="575">
        <f t="shared" si="82"/>
        <v>3</v>
      </c>
      <c r="CU25" s="506">
        <f t="shared" si="83"/>
        <v>0</v>
      </c>
      <c r="CV25" s="39" t="str">
        <f t="shared" si="84"/>
        <v/>
      </c>
      <c r="CW25" s="257">
        <f t="shared" si="85"/>
        <v>0</v>
      </c>
      <c r="CX25" s="257">
        <f t="shared" si="86"/>
        <v>0</v>
      </c>
      <c r="CY25" s="257">
        <f t="shared" si="87"/>
        <v>0</v>
      </c>
      <c r="CZ25" s="575">
        <f t="shared" si="88"/>
        <v>3</v>
      </c>
      <c r="DA25" s="506">
        <f t="shared" si="89"/>
        <v>0</v>
      </c>
      <c r="DB25" s="39" t="str">
        <f t="shared" si="90"/>
        <v/>
      </c>
      <c r="DC25" s="257">
        <f t="shared" si="91"/>
        <v>0</v>
      </c>
      <c r="DD25" s="257">
        <f t="shared" si="92"/>
        <v>0</v>
      </c>
      <c r="DE25" s="257">
        <f t="shared" si="93"/>
        <v>0</v>
      </c>
      <c r="DF25" s="575">
        <f t="shared" si="94"/>
        <v>3</v>
      </c>
      <c r="DG25" s="506">
        <f t="shared" si="95"/>
        <v>0</v>
      </c>
      <c r="DH25" s="39" t="str">
        <f t="shared" si="96"/>
        <v/>
      </c>
      <c r="DI25" s="257">
        <f t="shared" si="97"/>
        <v>0</v>
      </c>
      <c r="DJ25" s="257">
        <f t="shared" si="98"/>
        <v>0</v>
      </c>
      <c r="DK25" s="257">
        <f t="shared" si="99"/>
        <v>0</v>
      </c>
      <c r="DL25" s="575">
        <f t="shared" si="100"/>
        <v>3</v>
      </c>
      <c r="DM25" s="506">
        <f t="shared" si="101"/>
        <v>0</v>
      </c>
      <c r="DN25" s="39" t="str">
        <f t="shared" si="102"/>
        <v/>
      </c>
      <c r="DO25" s="257">
        <f t="shared" si="103"/>
        <v>0</v>
      </c>
      <c r="DP25" s="257">
        <f t="shared" si="104"/>
        <v>0</v>
      </c>
      <c r="DQ25" s="257">
        <f t="shared" si="105"/>
        <v>0</v>
      </c>
      <c r="DR25" s="575">
        <f t="shared" si="106"/>
        <v>3</v>
      </c>
      <c r="DS25" s="506">
        <f t="shared" si="107"/>
        <v>0</v>
      </c>
      <c r="DT25" s="39" t="str">
        <f t="shared" si="108"/>
        <v/>
      </c>
      <c r="DU25" s="257">
        <f t="shared" si="109"/>
        <v>0</v>
      </c>
      <c r="DV25" s="257">
        <f t="shared" si="110"/>
        <v>0</v>
      </c>
      <c r="DW25" s="257">
        <f t="shared" si="111"/>
        <v>0</v>
      </c>
      <c r="DX25" s="575">
        <f t="shared" si="112"/>
        <v>3</v>
      </c>
      <c r="DY25" s="506">
        <f t="shared" si="113"/>
        <v>0</v>
      </c>
      <c r="DZ25" s="39" t="str">
        <f t="shared" si="114"/>
        <v/>
      </c>
      <c r="EA25" s="257">
        <f t="shared" si="115"/>
        <v>0</v>
      </c>
      <c r="EB25" s="257">
        <f t="shared" si="116"/>
        <v>0</v>
      </c>
      <c r="EC25" s="257">
        <f t="shared" si="117"/>
        <v>0</v>
      </c>
      <c r="ED25" s="575">
        <f t="shared" si="118"/>
        <v>3</v>
      </c>
      <c r="EE25" s="506">
        <f t="shared" si="119"/>
        <v>0</v>
      </c>
      <c r="EF25" s="39" t="str">
        <f t="shared" si="120"/>
        <v/>
      </c>
      <c r="EG25" s="257">
        <f t="shared" si="121"/>
        <v>0</v>
      </c>
      <c r="EH25" s="257">
        <f t="shared" si="122"/>
        <v>0</v>
      </c>
      <c r="EI25" s="257">
        <f t="shared" si="123"/>
        <v>0</v>
      </c>
      <c r="EJ25" s="575">
        <f t="shared" si="124"/>
        <v>3</v>
      </c>
      <c r="EK25" s="506">
        <f t="shared" si="125"/>
        <v>0</v>
      </c>
      <c r="EL25" s="39" t="str">
        <f t="shared" si="126"/>
        <v/>
      </c>
      <c r="EM25" s="257">
        <f t="shared" si="127"/>
        <v>0</v>
      </c>
      <c r="EN25" s="257">
        <f t="shared" si="128"/>
        <v>0</v>
      </c>
      <c r="EO25" s="257">
        <f t="shared" si="129"/>
        <v>0</v>
      </c>
      <c r="EP25" s="575">
        <f t="shared" si="130"/>
        <v>3</v>
      </c>
      <c r="EQ25" s="506">
        <f t="shared" si="131"/>
        <v>0</v>
      </c>
      <c r="ER25" s="39" t="str">
        <f t="shared" si="132"/>
        <v/>
      </c>
      <c r="ES25" s="257">
        <f t="shared" si="133"/>
        <v>0</v>
      </c>
      <c r="ET25" s="257">
        <f t="shared" si="134"/>
        <v>0</v>
      </c>
      <c r="EU25" s="257">
        <f t="shared" si="135"/>
        <v>0</v>
      </c>
      <c r="EV25" s="575">
        <f t="shared" si="136"/>
        <v>3</v>
      </c>
      <c r="EW25" s="506">
        <f t="shared" si="137"/>
        <v>0</v>
      </c>
      <c r="EX25" s="39" t="str">
        <f t="shared" si="138"/>
        <v/>
      </c>
      <c r="EY25" s="257">
        <f t="shared" si="139"/>
        <v>0</v>
      </c>
      <c r="EZ25" s="257">
        <f t="shared" si="140"/>
        <v>0</v>
      </c>
      <c r="FA25" s="257">
        <f t="shared" si="141"/>
        <v>0</v>
      </c>
      <c r="FB25" s="575">
        <f t="shared" si="142"/>
        <v>3</v>
      </c>
      <c r="FC25" s="506">
        <f t="shared" si="143"/>
        <v>0</v>
      </c>
      <c r="FD25" s="39" t="str">
        <f t="shared" si="144"/>
        <v/>
      </c>
      <c r="FE25" s="257">
        <f t="shared" si="145"/>
        <v>0</v>
      </c>
      <c r="FF25" s="257">
        <f t="shared" si="146"/>
        <v>0</v>
      </c>
      <c r="FG25" s="257">
        <f t="shared" si="147"/>
        <v>0</v>
      </c>
      <c r="FH25" s="575">
        <f t="shared" si="148"/>
        <v>3</v>
      </c>
      <c r="FI25" s="506">
        <f t="shared" si="149"/>
        <v>0</v>
      </c>
      <c r="FJ25" s="39" t="str">
        <f t="shared" si="150"/>
        <v/>
      </c>
      <c r="FK25" s="39"/>
      <c r="FL25" s="39" t="str">
        <f t="shared" si="151"/>
        <v/>
      </c>
      <c r="FM25" s="39" t="str">
        <f t="shared" si="152"/>
        <v/>
      </c>
      <c r="FN25" s="39" t="str">
        <f t="shared" si="153"/>
        <v/>
      </c>
      <c r="FO25" s="39" t="str">
        <f t="shared" si="154"/>
        <v/>
      </c>
      <c r="FP25" s="39" t="str">
        <f t="shared" si="155"/>
        <v/>
      </c>
      <c r="FQ25" s="39" t="str">
        <f t="shared" si="156"/>
        <v/>
      </c>
      <c r="FR25" s="39" t="str">
        <f t="shared" si="157"/>
        <v/>
      </c>
      <c r="FS25" s="39" t="str">
        <f t="shared" si="158"/>
        <v/>
      </c>
      <c r="FT25" s="39" t="str">
        <f t="shared" si="159"/>
        <v/>
      </c>
      <c r="FU25" s="39" t="str">
        <f t="shared" si="160"/>
        <v/>
      </c>
      <c r="FV25" s="39" t="str">
        <f t="shared" si="161"/>
        <v/>
      </c>
      <c r="FW25" s="39" t="str">
        <f t="shared" si="162"/>
        <v/>
      </c>
      <c r="FX25" s="39" t="str">
        <f t="shared" si="163"/>
        <v/>
      </c>
      <c r="FY25" s="68">
        <f t="shared" si="164"/>
        <v>0</v>
      </c>
      <c r="FZ25" s="68">
        <f t="shared" si="165"/>
        <v>0</v>
      </c>
      <c r="GA25" s="39">
        <f>SISWA!E23</f>
        <v>0</v>
      </c>
      <c r="GB25" s="39" t="str">
        <f t="shared" si="166"/>
        <v/>
      </c>
      <c r="GC25" s="207" t="str">
        <f t="shared" si="167"/>
        <v/>
      </c>
      <c r="GD25" s="207" t="str">
        <f t="shared" si="168"/>
        <v/>
      </c>
      <c r="GE25" s="207" t="str">
        <f t="shared" si="169"/>
        <v/>
      </c>
      <c r="GF25" s="207" t="str">
        <f t="shared" si="170"/>
        <v/>
      </c>
      <c r="GG25" s="207" t="str">
        <f t="shared" si="171"/>
        <v/>
      </c>
      <c r="GH25" s="207" t="str">
        <f t="shared" si="172"/>
        <v/>
      </c>
      <c r="GI25" s="207" t="str">
        <f t="shared" si="173"/>
        <v/>
      </c>
      <c r="GJ25" s="207" t="str">
        <f t="shared" si="174"/>
        <v/>
      </c>
      <c r="GK25" s="207" t="str">
        <f t="shared" si="175"/>
        <v/>
      </c>
      <c r="GL25" s="207" t="str">
        <f t="shared" si="176"/>
        <v/>
      </c>
      <c r="GM25" s="207" t="str">
        <f t="shared" si="177"/>
        <v/>
      </c>
      <c r="GN25" s="207" t="str">
        <f t="shared" si="178"/>
        <v/>
      </c>
      <c r="GO25" s="39">
        <f t="shared" si="179"/>
        <v>0</v>
      </c>
      <c r="GP25" s="68" t="e">
        <f t="shared" si="180"/>
        <v>#N/A</v>
      </c>
      <c r="GQ25" s="576" t="e">
        <f>IF(FY25&gt;100,"",IF(FY25&gt;BE$1,"sangat baik dalam "&amp;GP25,IF(FY25&gt;=BE$2,"baik dalam "&amp;GP25,IF(FY25&gt;=BE$3,"cukup dalam "&amp;GP25,IF(FY25&lt;BE$3,"dengan bimbingan dapat meningkatkan dalam "&amp;GP25,IF(FY25&lt;1," ",””))))))</f>
        <v>#N/A</v>
      </c>
      <c r="GR25" s="223"/>
      <c r="GS25" s="223" t="str">
        <f t="shared" si="181"/>
        <v/>
      </c>
      <c r="GT25" s="223" t="str">
        <f t="shared" si="182"/>
        <v/>
      </c>
      <c r="GU25" s="223" t="str">
        <f t="shared" si="183"/>
        <v/>
      </c>
      <c r="GV25" s="223" t="str">
        <f t="shared" si="184"/>
        <v/>
      </c>
      <c r="GW25" s="223" t="str">
        <f t="shared" si="185"/>
        <v/>
      </c>
      <c r="GX25" s="223" t="str">
        <f t="shared" si="186"/>
        <v/>
      </c>
      <c r="GY25" s="223" t="str">
        <f t="shared" si="187"/>
        <v/>
      </c>
      <c r="GZ25" s="223" t="str">
        <f t="shared" si="188"/>
        <v/>
      </c>
      <c r="HA25" s="223" t="str">
        <f t="shared" si="189"/>
        <v/>
      </c>
      <c r="HB25" s="223" t="str">
        <f t="shared" si="190"/>
        <v/>
      </c>
      <c r="HC25" s="223" t="str">
        <f t="shared" si="191"/>
        <v/>
      </c>
      <c r="HD25" s="223" t="str">
        <f t="shared" si="192"/>
        <v/>
      </c>
      <c r="HE25" s="223" t="e">
        <f t="shared" si="193"/>
        <v>#N/A</v>
      </c>
      <c r="HF25" s="577" t="e">
        <f>IF(FZ25&gt;100,"",IF(FZ25&gt;=BE$1,"sangat baik dalam "&amp;HE25,IF(FZ25&gt;=BE$2,"baik dalam "&amp;HE25,IF(FZ25&gt;=BE$3,"cukup dalam "&amp;HE25,IF(FZ25&lt;BE$3,"dengan bimbingan dapat meningkatkan dalam "&amp;HE25,IF(FZ25&lt;1," ",””))))))</f>
        <v>#N/A</v>
      </c>
      <c r="HG25" s="223" t="e">
        <f t="shared" si="194"/>
        <v>#N/A</v>
      </c>
    </row>
    <row r="26" spans="1:215" ht="30" customHeight="1">
      <c r="A26" s="39">
        <v>19</v>
      </c>
      <c r="B26" s="223">
        <f>SISWA!B24</f>
        <v>0</v>
      </c>
      <c r="C26" s="123"/>
      <c r="D26" s="123"/>
      <c r="E26" s="123"/>
      <c r="F26" s="123"/>
      <c r="G26" s="123"/>
      <c r="H26" s="123"/>
      <c r="I26" s="123"/>
      <c r="J26" s="123"/>
      <c r="K26" s="123"/>
      <c r="L26" s="123"/>
      <c r="M26" s="123"/>
      <c r="N26" s="123"/>
      <c r="O26" s="255"/>
      <c r="P26" s="255"/>
      <c r="Q26" s="255"/>
      <c r="R26" s="255"/>
      <c r="S26" s="255"/>
      <c r="T26" s="255"/>
      <c r="U26" s="255"/>
      <c r="V26" s="255"/>
      <c r="W26" s="255"/>
      <c r="X26" s="255"/>
      <c r="Y26" s="255"/>
      <c r="Z26" s="255"/>
      <c r="AA26" s="256"/>
      <c r="AB26" s="256"/>
      <c r="AC26" s="256"/>
      <c r="AD26" s="256"/>
      <c r="AE26" s="256"/>
      <c r="AF26" s="256"/>
      <c r="AG26" s="256"/>
      <c r="AH26" s="256"/>
      <c r="AI26" s="256"/>
      <c r="AJ26" s="256"/>
      <c r="AK26" s="256"/>
      <c r="AL26" s="256"/>
      <c r="AM26" s="257" t="str">
        <f t="shared" si="25"/>
        <v/>
      </c>
      <c r="AN26" s="257" t="str">
        <f t="shared" si="26"/>
        <v/>
      </c>
      <c r="AO26" s="257" t="str">
        <f t="shared" si="27"/>
        <v/>
      </c>
      <c r="AP26" s="257" t="str">
        <f t="shared" si="28"/>
        <v/>
      </c>
      <c r="AQ26" s="257" t="str">
        <f t="shared" si="29"/>
        <v/>
      </c>
      <c r="AR26" s="257" t="str">
        <f t="shared" si="30"/>
        <v/>
      </c>
      <c r="AS26" s="257" t="str">
        <f t="shared" si="31"/>
        <v/>
      </c>
      <c r="AT26" s="257" t="str">
        <f t="shared" si="32"/>
        <v/>
      </c>
      <c r="AU26" s="257" t="str">
        <f t="shared" si="33"/>
        <v/>
      </c>
      <c r="AV26" s="257" t="str">
        <f t="shared" si="34"/>
        <v/>
      </c>
      <c r="AW26" s="257" t="str">
        <f t="shared" si="35"/>
        <v/>
      </c>
      <c r="AX26" s="257" t="str">
        <f t="shared" si="36"/>
        <v/>
      </c>
      <c r="AY26" s="756" t="str">
        <f t="shared" si="37"/>
        <v/>
      </c>
      <c r="AZ26" s="291" t="str">
        <f t="shared" si="38"/>
        <v xml:space="preserve">  </v>
      </c>
      <c r="BA26" s="243" t="str">
        <f t="shared" si="39"/>
        <v xml:space="preserve"> </v>
      </c>
      <c r="BB26" s="39"/>
      <c r="BC26" s="39"/>
      <c r="BD26" s="257">
        <f t="shared" si="40"/>
        <v>0</v>
      </c>
      <c r="BE26" s="257">
        <f t="shared" si="41"/>
        <v>0</v>
      </c>
      <c r="BF26" s="257">
        <f t="shared" si="42"/>
        <v>0</v>
      </c>
      <c r="BG26" s="257">
        <f t="shared" si="43"/>
        <v>0</v>
      </c>
      <c r="BH26" s="257">
        <f t="shared" si="44"/>
        <v>0</v>
      </c>
      <c r="BI26" s="257">
        <f t="shared" si="45"/>
        <v>0</v>
      </c>
      <c r="BJ26" s="257">
        <f t="shared" si="46"/>
        <v>0</v>
      </c>
      <c r="BK26" s="257">
        <f t="shared" si="47"/>
        <v>0</v>
      </c>
      <c r="BL26" s="257">
        <f t="shared" si="48"/>
        <v>0</v>
      </c>
      <c r="BM26" s="257">
        <f t="shared" si="49"/>
        <v>0</v>
      </c>
      <c r="BN26" s="257">
        <f t="shared" si="50"/>
        <v>0</v>
      </c>
      <c r="BO26" s="257">
        <f t="shared" si="51"/>
        <v>0</v>
      </c>
      <c r="BP26" s="232">
        <f t="shared" si="52"/>
        <v>0</v>
      </c>
      <c r="BQ26" s="257">
        <f t="shared" si="53"/>
        <v>0</v>
      </c>
      <c r="BR26" s="257">
        <f t="shared" si="54"/>
        <v>0</v>
      </c>
      <c r="BS26" s="257">
        <f t="shared" si="55"/>
        <v>0</v>
      </c>
      <c r="BT26" s="257">
        <f t="shared" si="56"/>
        <v>0</v>
      </c>
      <c r="BU26" s="257">
        <f t="shared" si="57"/>
        <v>0</v>
      </c>
      <c r="BV26" s="257">
        <f t="shared" si="58"/>
        <v>0</v>
      </c>
      <c r="BW26" s="257">
        <f t="shared" si="59"/>
        <v>0</v>
      </c>
      <c r="BX26" s="257">
        <f t="shared" si="60"/>
        <v>0</v>
      </c>
      <c r="BY26" s="257">
        <f t="shared" si="61"/>
        <v>0</v>
      </c>
      <c r="BZ26" s="257">
        <f t="shared" si="62"/>
        <v>0</v>
      </c>
      <c r="CA26" s="257">
        <f t="shared" si="63"/>
        <v>0</v>
      </c>
      <c r="CB26" s="257">
        <f t="shared" si="64"/>
        <v>0</v>
      </c>
      <c r="CC26" s="232">
        <f t="shared" si="65"/>
        <v>0</v>
      </c>
      <c r="CD26" s="257">
        <f t="shared" si="66"/>
        <v>0</v>
      </c>
      <c r="CE26" s="257">
        <f t="shared" si="67"/>
        <v>0</v>
      </c>
      <c r="CF26" s="257">
        <f t="shared" si="68"/>
        <v>0</v>
      </c>
      <c r="CG26" s="257">
        <f t="shared" si="69"/>
        <v>0</v>
      </c>
      <c r="CH26" s="257">
        <f t="shared" si="70"/>
        <v>0</v>
      </c>
      <c r="CI26" s="257">
        <f t="shared" si="71"/>
        <v>0</v>
      </c>
      <c r="CJ26" s="257">
        <f t="shared" si="72"/>
        <v>0</v>
      </c>
      <c r="CK26" s="257">
        <f t="shared" si="73"/>
        <v>0</v>
      </c>
      <c r="CL26" s="257">
        <f t="shared" si="74"/>
        <v>0</v>
      </c>
      <c r="CM26" s="257">
        <f t="shared" si="75"/>
        <v>0</v>
      </c>
      <c r="CN26" s="257">
        <f t="shared" si="76"/>
        <v>0</v>
      </c>
      <c r="CO26" s="257">
        <f t="shared" si="77"/>
        <v>0</v>
      </c>
      <c r="CP26" s="232">
        <f t="shared" si="78"/>
        <v>0</v>
      </c>
      <c r="CQ26" s="257">
        <f t="shared" si="79"/>
        <v>0</v>
      </c>
      <c r="CR26" s="257">
        <f t="shared" si="80"/>
        <v>0</v>
      </c>
      <c r="CS26" s="257">
        <f t="shared" si="81"/>
        <v>0</v>
      </c>
      <c r="CT26" s="575">
        <f t="shared" si="82"/>
        <v>3</v>
      </c>
      <c r="CU26" s="506">
        <f t="shared" si="83"/>
        <v>0</v>
      </c>
      <c r="CV26" s="39" t="str">
        <f t="shared" si="84"/>
        <v/>
      </c>
      <c r="CW26" s="257">
        <f t="shared" si="85"/>
        <v>0</v>
      </c>
      <c r="CX26" s="257">
        <f t="shared" si="86"/>
        <v>0</v>
      </c>
      <c r="CY26" s="257">
        <f t="shared" si="87"/>
        <v>0</v>
      </c>
      <c r="CZ26" s="575">
        <f t="shared" si="88"/>
        <v>3</v>
      </c>
      <c r="DA26" s="506">
        <f t="shared" si="89"/>
        <v>0</v>
      </c>
      <c r="DB26" s="39" t="str">
        <f t="shared" si="90"/>
        <v/>
      </c>
      <c r="DC26" s="257">
        <f t="shared" si="91"/>
        <v>0</v>
      </c>
      <c r="DD26" s="257">
        <f t="shared" si="92"/>
        <v>0</v>
      </c>
      <c r="DE26" s="257">
        <f t="shared" si="93"/>
        <v>0</v>
      </c>
      <c r="DF26" s="575">
        <f t="shared" si="94"/>
        <v>3</v>
      </c>
      <c r="DG26" s="506">
        <f t="shared" si="95"/>
        <v>0</v>
      </c>
      <c r="DH26" s="39" t="str">
        <f t="shared" si="96"/>
        <v/>
      </c>
      <c r="DI26" s="257">
        <f t="shared" si="97"/>
        <v>0</v>
      </c>
      <c r="DJ26" s="257">
        <f t="shared" si="98"/>
        <v>0</v>
      </c>
      <c r="DK26" s="257">
        <f t="shared" si="99"/>
        <v>0</v>
      </c>
      <c r="DL26" s="575">
        <f t="shared" si="100"/>
        <v>3</v>
      </c>
      <c r="DM26" s="506">
        <f t="shared" si="101"/>
        <v>0</v>
      </c>
      <c r="DN26" s="39" t="str">
        <f t="shared" si="102"/>
        <v/>
      </c>
      <c r="DO26" s="257">
        <f t="shared" si="103"/>
        <v>0</v>
      </c>
      <c r="DP26" s="257">
        <f t="shared" si="104"/>
        <v>0</v>
      </c>
      <c r="DQ26" s="257">
        <f t="shared" si="105"/>
        <v>0</v>
      </c>
      <c r="DR26" s="575">
        <f t="shared" si="106"/>
        <v>3</v>
      </c>
      <c r="DS26" s="506">
        <f t="shared" si="107"/>
        <v>0</v>
      </c>
      <c r="DT26" s="39" t="str">
        <f t="shared" si="108"/>
        <v/>
      </c>
      <c r="DU26" s="257">
        <f t="shared" si="109"/>
        <v>0</v>
      </c>
      <c r="DV26" s="257">
        <f t="shared" si="110"/>
        <v>0</v>
      </c>
      <c r="DW26" s="257">
        <f t="shared" si="111"/>
        <v>0</v>
      </c>
      <c r="DX26" s="575">
        <f t="shared" si="112"/>
        <v>3</v>
      </c>
      <c r="DY26" s="506">
        <f t="shared" si="113"/>
        <v>0</v>
      </c>
      <c r="DZ26" s="39" t="str">
        <f t="shared" si="114"/>
        <v/>
      </c>
      <c r="EA26" s="257">
        <f t="shared" si="115"/>
        <v>0</v>
      </c>
      <c r="EB26" s="257">
        <f t="shared" si="116"/>
        <v>0</v>
      </c>
      <c r="EC26" s="257">
        <f t="shared" si="117"/>
        <v>0</v>
      </c>
      <c r="ED26" s="575">
        <f t="shared" si="118"/>
        <v>3</v>
      </c>
      <c r="EE26" s="506">
        <f t="shared" si="119"/>
        <v>0</v>
      </c>
      <c r="EF26" s="39" t="str">
        <f t="shared" si="120"/>
        <v/>
      </c>
      <c r="EG26" s="257">
        <f t="shared" si="121"/>
        <v>0</v>
      </c>
      <c r="EH26" s="257">
        <f t="shared" si="122"/>
        <v>0</v>
      </c>
      <c r="EI26" s="257">
        <f t="shared" si="123"/>
        <v>0</v>
      </c>
      <c r="EJ26" s="575">
        <f t="shared" si="124"/>
        <v>3</v>
      </c>
      <c r="EK26" s="506">
        <f t="shared" si="125"/>
        <v>0</v>
      </c>
      <c r="EL26" s="39" t="str">
        <f t="shared" si="126"/>
        <v/>
      </c>
      <c r="EM26" s="257">
        <f t="shared" si="127"/>
        <v>0</v>
      </c>
      <c r="EN26" s="257">
        <f t="shared" si="128"/>
        <v>0</v>
      </c>
      <c r="EO26" s="257">
        <f t="shared" si="129"/>
        <v>0</v>
      </c>
      <c r="EP26" s="575">
        <f t="shared" si="130"/>
        <v>3</v>
      </c>
      <c r="EQ26" s="506">
        <f t="shared" si="131"/>
        <v>0</v>
      </c>
      <c r="ER26" s="39" t="str">
        <f t="shared" si="132"/>
        <v/>
      </c>
      <c r="ES26" s="257">
        <f t="shared" si="133"/>
        <v>0</v>
      </c>
      <c r="ET26" s="257">
        <f t="shared" si="134"/>
        <v>0</v>
      </c>
      <c r="EU26" s="257">
        <f t="shared" si="135"/>
        <v>0</v>
      </c>
      <c r="EV26" s="575">
        <f t="shared" si="136"/>
        <v>3</v>
      </c>
      <c r="EW26" s="506">
        <f t="shared" si="137"/>
        <v>0</v>
      </c>
      <c r="EX26" s="39" t="str">
        <f t="shared" si="138"/>
        <v/>
      </c>
      <c r="EY26" s="257">
        <f t="shared" si="139"/>
        <v>0</v>
      </c>
      <c r="EZ26" s="257">
        <f t="shared" si="140"/>
        <v>0</v>
      </c>
      <c r="FA26" s="257">
        <f t="shared" si="141"/>
        <v>0</v>
      </c>
      <c r="FB26" s="575">
        <f t="shared" si="142"/>
        <v>3</v>
      </c>
      <c r="FC26" s="506">
        <f t="shared" si="143"/>
        <v>0</v>
      </c>
      <c r="FD26" s="39" t="str">
        <f t="shared" si="144"/>
        <v/>
      </c>
      <c r="FE26" s="257">
        <f t="shared" si="145"/>
        <v>0</v>
      </c>
      <c r="FF26" s="257">
        <f t="shared" si="146"/>
        <v>0</v>
      </c>
      <c r="FG26" s="257">
        <f t="shared" si="147"/>
        <v>0</v>
      </c>
      <c r="FH26" s="575">
        <f t="shared" si="148"/>
        <v>3</v>
      </c>
      <c r="FI26" s="506">
        <f t="shared" si="149"/>
        <v>0</v>
      </c>
      <c r="FJ26" s="39" t="str">
        <f t="shared" si="150"/>
        <v/>
      </c>
      <c r="FK26" s="39"/>
      <c r="FL26" s="39" t="str">
        <f t="shared" si="151"/>
        <v/>
      </c>
      <c r="FM26" s="39" t="str">
        <f t="shared" si="152"/>
        <v/>
      </c>
      <c r="FN26" s="39" t="str">
        <f t="shared" si="153"/>
        <v/>
      </c>
      <c r="FO26" s="39" t="str">
        <f t="shared" si="154"/>
        <v/>
      </c>
      <c r="FP26" s="39" t="str">
        <f t="shared" si="155"/>
        <v/>
      </c>
      <c r="FQ26" s="39" t="str">
        <f t="shared" si="156"/>
        <v/>
      </c>
      <c r="FR26" s="39" t="str">
        <f t="shared" si="157"/>
        <v/>
      </c>
      <c r="FS26" s="39" t="str">
        <f t="shared" si="158"/>
        <v/>
      </c>
      <c r="FT26" s="39" t="str">
        <f t="shared" si="159"/>
        <v/>
      </c>
      <c r="FU26" s="39" t="str">
        <f t="shared" si="160"/>
        <v/>
      </c>
      <c r="FV26" s="39" t="str">
        <f t="shared" si="161"/>
        <v/>
      </c>
      <c r="FW26" s="39" t="str">
        <f t="shared" si="162"/>
        <v/>
      </c>
      <c r="FX26" s="39" t="str">
        <f t="shared" si="163"/>
        <v/>
      </c>
      <c r="FY26" s="68">
        <f t="shared" si="164"/>
        <v>0</v>
      </c>
      <c r="FZ26" s="68">
        <f t="shared" si="165"/>
        <v>0</v>
      </c>
      <c r="GA26" s="39">
        <f>SISWA!E24</f>
        <v>0</v>
      </c>
      <c r="GB26" s="39" t="str">
        <f t="shared" si="166"/>
        <v/>
      </c>
      <c r="GC26" s="207" t="str">
        <f t="shared" si="167"/>
        <v/>
      </c>
      <c r="GD26" s="207" t="str">
        <f t="shared" si="168"/>
        <v/>
      </c>
      <c r="GE26" s="207" t="str">
        <f t="shared" si="169"/>
        <v/>
      </c>
      <c r="GF26" s="207" t="str">
        <f t="shared" si="170"/>
        <v/>
      </c>
      <c r="GG26" s="207" t="str">
        <f t="shared" si="171"/>
        <v/>
      </c>
      <c r="GH26" s="207" t="str">
        <f t="shared" si="172"/>
        <v/>
      </c>
      <c r="GI26" s="207" t="str">
        <f t="shared" si="173"/>
        <v/>
      </c>
      <c r="GJ26" s="207" t="str">
        <f t="shared" si="174"/>
        <v/>
      </c>
      <c r="GK26" s="207" t="str">
        <f t="shared" si="175"/>
        <v/>
      </c>
      <c r="GL26" s="207" t="str">
        <f t="shared" si="176"/>
        <v/>
      </c>
      <c r="GM26" s="207" t="str">
        <f t="shared" si="177"/>
        <v/>
      </c>
      <c r="GN26" s="207" t="str">
        <f t="shared" si="178"/>
        <v/>
      </c>
      <c r="GO26" s="39">
        <f t="shared" si="179"/>
        <v>0</v>
      </c>
      <c r="GP26" s="68" t="e">
        <f t="shared" si="180"/>
        <v>#N/A</v>
      </c>
      <c r="GQ26" s="576" t="e">
        <f>IF(FY26&gt;100,"",IF(FY26&gt;BE$1,"sangat baik dalam "&amp;GP26,IF(FY26&gt;=BE$2,"baik dalam "&amp;GP26,IF(FY26&gt;=BE$3,"cukup dalam "&amp;GP26,IF(FY26&lt;BE$3,"dengan bimbingan dapat meningkatkan dalam "&amp;GP26,IF(FY26&lt;1," ",””))))))</f>
        <v>#N/A</v>
      </c>
      <c r="GR26" s="223"/>
      <c r="GS26" s="223" t="str">
        <f t="shared" si="181"/>
        <v/>
      </c>
      <c r="GT26" s="223" t="str">
        <f t="shared" si="182"/>
        <v/>
      </c>
      <c r="GU26" s="223" t="str">
        <f t="shared" si="183"/>
        <v/>
      </c>
      <c r="GV26" s="223" t="str">
        <f t="shared" si="184"/>
        <v/>
      </c>
      <c r="GW26" s="223" t="str">
        <f t="shared" si="185"/>
        <v/>
      </c>
      <c r="GX26" s="223" t="str">
        <f t="shared" si="186"/>
        <v/>
      </c>
      <c r="GY26" s="223" t="str">
        <f t="shared" si="187"/>
        <v/>
      </c>
      <c r="GZ26" s="223" t="str">
        <f t="shared" si="188"/>
        <v/>
      </c>
      <c r="HA26" s="223" t="str">
        <f t="shared" si="189"/>
        <v/>
      </c>
      <c r="HB26" s="223" t="str">
        <f t="shared" si="190"/>
        <v/>
      </c>
      <c r="HC26" s="223" t="str">
        <f t="shared" si="191"/>
        <v/>
      </c>
      <c r="HD26" s="223" t="str">
        <f t="shared" si="192"/>
        <v/>
      </c>
      <c r="HE26" s="223" t="e">
        <f t="shared" si="193"/>
        <v>#N/A</v>
      </c>
      <c r="HF26" s="577" t="e">
        <f>IF(FZ26&gt;100,"",IF(FZ26&gt;=BE$1,"sangat baik dalam "&amp;HE26,IF(FZ26&gt;=BE$2,"baik dalam "&amp;HE26,IF(FZ26&gt;=BE$3,"cukup dalam "&amp;HE26,IF(FZ26&lt;BE$3,"dengan bimbingan dapat meningkatkan dalam "&amp;HE26,IF(FZ26&lt;1," ",””))))))</f>
        <v>#N/A</v>
      </c>
      <c r="HG26" s="223" t="e">
        <f t="shared" si="194"/>
        <v>#N/A</v>
      </c>
    </row>
    <row r="27" spans="1:215" ht="30" customHeight="1">
      <c r="A27" s="39">
        <v>20</v>
      </c>
      <c r="B27" s="223">
        <f>SISWA!B25</f>
        <v>0</v>
      </c>
      <c r="C27" s="123"/>
      <c r="D27" s="123"/>
      <c r="E27" s="123"/>
      <c r="F27" s="123"/>
      <c r="G27" s="123"/>
      <c r="H27" s="123"/>
      <c r="I27" s="123"/>
      <c r="J27" s="123"/>
      <c r="K27" s="123"/>
      <c r="L27" s="123"/>
      <c r="M27" s="123"/>
      <c r="N27" s="123"/>
      <c r="O27" s="255"/>
      <c r="P27" s="255"/>
      <c r="Q27" s="255"/>
      <c r="R27" s="255"/>
      <c r="S27" s="255"/>
      <c r="T27" s="255"/>
      <c r="U27" s="255"/>
      <c r="V27" s="255"/>
      <c r="W27" s="255"/>
      <c r="X27" s="255"/>
      <c r="Y27" s="255"/>
      <c r="Z27" s="255"/>
      <c r="AA27" s="256"/>
      <c r="AB27" s="256"/>
      <c r="AC27" s="256"/>
      <c r="AD27" s="256"/>
      <c r="AE27" s="256"/>
      <c r="AF27" s="256"/>
      <c r="AG27" s="256"/>
      <c r="AH27" s="256"/>
      <c r="AI27" s="256"/>
      <c r="AJ27" s="256"/>
      <c r="AK27" s="256"/>
      <c r="AL27" s="256"/>
      <c r="AM27" s="257" t="str">
        <f t="shared" si="25"/>
        <v/>
      </c>
      <c r="AN27" s="257" t="str">
        <f t="shared" si="26"/>
        <v/>
      </c>
      <c r="AO27" s="257" t="str">
        <f t="shared" si="27"/>
        <v/>
      </c>
      <c r="AP27" s="257" t="str">
        <f t="shared" si="28"/>
        <v/>
      </c>
      <c r="AQ27" s="257" t="str">
        <f t="shared" si="29"/>
        <v/>
      </c>
      <c r="AR27" s="257" t="str">
        <f t="shared" si="30"/>
        <v/>
      </c>
      <c r="AS27" s="257" t="str">
        <f t="shared" si="31"/>
        <v/>
      </c>
      <c r="AT27" s="257" t="str">
        <f t="shared" si="32"/>
        <v/>
      </c>
      <c r="AU27" s="257" t="str">
        <f t="shared" si="33"/>
        <v/>
      </c>
      <c r="AV27" s="257" t="str">
        <f t="shared" si="34"/>
        <v/>
      </c>
      <c r="AW27" s="257" t="str">
        <f t="shared" si="35"/>
        <v/>
      </c>
      <c r="AX27" s="257" t="str">
        <f t="shared" si="36"/>
        <v/>
      </c>
      <c r="AY27" s="756" t="str">
        <f t="shared" si="37"/>
        <v/>
      </c>
      <c r="AZ27" s="291" t="str">
        <f t="shared" si="38"/>
        <v xml:space="preserve">  </v>
      </c>
      <c r="BA27" s="243" t="str">
        <f t="shared" si="39"/>
        <v xml:space="preserve"> </v>
      </c>
      <c r="BB27" s="39"/>
      <c r="BC27" s="39"/>
      <c r="BD27" s="257">
        <f t="shared" si="40"/>
        <v>0</v>
      </c>
      <c r="BE27" s="257">
        <f t="shared" si="41"/>
        <v>0</v>
      </c>
      <c r="BF27" s="257">
        <f t="shared" si="42"/>
        <v>0</v>
      </c>
      <c r="BG27" s="257">
        <f t="shared" si="43"/>
        <v>0</v>
      </c>
      <c r="BH27" s="257">
        <f t="shared" si="44"/>
        <v>0</v>
      </c>
      <c r="BI27" s="257">
        <f t="shared" si="45"/>
        <v>0</v>
      </c>
      <c r="BJ27" s="257">
        <f t="shared" si="46"/>
        <v>0</v>
      </c>
      <c r="BK27" s="257">
        <f t="shared" si="47"/>
        <v>0</v>
      </c>
      <c r="BL27" s="257">
        <f t="shared" si="48"/>
        <v>0</v>
      </c>
      <c r="BM27" s="257">
        <f t="shared" si="49"/>
        <v>0</v>
      </c>
      <c r="BN27" s="257">
        <f t="shared" si="50"/>
        <v>0</v>
      </c>
      <c r="BO27" s="257">
        <f t="shared" si="51"/>
        <v>0</v>
      </c>
      <c r="BP27" s="232">
        <f t="shared" si="52"/>
        <v>0</v>
      </c>
      <c r="BQ27" s="257">
        <f t="shared" si="53"/>
        <v>0</v>
      </c>
      <c r="BR27" s="257">
        <f t="shared" si="54"/>
        <v>0</v>
      </c>
      <c r="BS27" s="257">
        <f t="shared" si="55"/>
        <v>0</v>
      </c>
      <c r="BT27" s="257">
        <f t="shared" si="56"/>
        <v>0</v>
      </c>
      <c r="BU27" s="257">
        <f t="shared" si="57"/>
        <v>0</v>
      </c>
      <c r="BV27" s="257">
        <f t="shared" si="58"/>
        <v>0</v>
      </c>
      <c r="BW27" s="257">
        <f t="shared" si="59"/>
        <v>0</v>
      </c>
      <c r="BX27" s="257">
        <f t="shared" si="60"/>
        <v>0</v>
      </c>
      <c r="BY27" s="257">
        <f t="shared" si="61"/>
        <v>0</v>
      </c>
      <c r="BZ27" s="257">
        <f t="shared" si="62"/>
        <v>0</v>
      </c>
      <c r="CA27" s="257">
        <f t="shared" si="63"/>
        <v>0</v>
      </c>
      <c r="CB27" s="257">
        <f t="shared" si="64"/>
        <v>0</v>
      </c>
      <c r="CC27" s="232">
        <f t="shared" si="65"/>
        <v>0</v>
      </c>
      <c r="CD27" s="257">
        <f t="shared" si="66"/>
        <v>0</v>
      </c>
      <c r="CE27" s="257">
        <f t="shared" si="67"/>
        <v>0</v>
      </c>
      <c r="CF27" s="257">
        <f t="shared" si="68"/>
        <v>0</v>
      </c>
      <c r="CG27" s="257">
        <f t="shared" si="69"/>
        <v>0</v>
      </c>
      <c r="CH27" s="257">
        <f t="shared" si="70"/>
        <v>0</v>
      </c>
      <c r="CI27" s="257">
        <f t="shared" si="71"/>
        <v>0</v>
      </c>
      <c r="CJ27" s="257">
        <f t="shared" si="72"/>
        <v>0</v>
      </c>
      <c r="CK27" s="257">
        <f t="shared" si="73"/>
        <v>0</v>
      </c>
      <c r="CL27" s="257">
        <f t="shared" si="74"/>
        <v>0</v>
      </c>
      <c r="CM27" s="257">
        <f t="shared" si="75"/>
        <v>0</v>
      </c>
      <c r="CN27" s="257">
        <f t="shared" si="76"/>
        <v>0</v>
      </c>
      <c r="CO27" s="257">
        <f t="shared" si="77"/>
        <v>0</v>
      </c>
      <c r="CP27" s="232">
        <f t="shared" si="78"/>
        <v>0</v>
      </c>
      <c r="CQ27" s="257">
        <f t="shared" si="79"/>
        <v>0</v>
      </c>
      <c r="CR27" s="257">
        <f t="shared" si="80"/>
        <v>0</v>
      </c>
      <c r="CS27" s="257">
        <f t="shared" si="81"/>
        <v>0</v>
      </c>
      <c r="CT27" s="575">
        <f t="shared" si="82"/>
        <v>3</v>
      </c>
      <c r="CU27" s="506">
        <f t="shared" si="83"/>
        <v>0</v>
      </c>
      <c r="CV27" s="39" t="str">
        <f t="shared" si="84"/>
        <v/>
      </c>
      <c r="CW27" s="257">
        <f t="shared" si="85"/>
        <v>0</v>
      </c>
      <c r="CX27" s="257">
        <f t="shared" si="86"/>
        <v>0</v>
      </c>
      <c r="CY27" s="257">
        <f t="shared" si="87"/>
        <v>0</v>
      </c>
      <c r="CZ27" s="575">
        <f t="shared" si="88"/>
        <v>3</v>
      </c>
      <c r="DA27" s="506">
        <f t="shared" si="89"/>
        <v>0</v>
      </c>
      <c r="DB27" s="39" t="str">
        <f t="shared" si="90"/>
        <v/>
      </c>
      <c r="DC27" s="257">
        <f t="shared" si="91"/>
        <v>0</v>
      </c>
      <c r="DD27" s="257">
        <f t="shared" si="92"/>
        <v>0</v>
      </c>
      <c r="DE27" s="257">
        <f t="shared" si="93"/>
        <v>0</v>
      </c>
      <c r="DF27" s="575">
        <f t="shared" si="94"/>
        <v>3</v>
      </c>
      <c r="DG27" s="506">
        <f t="shared" si="95"/>
        <v>0</v>
      </c>
      <c r="DH27" s="39" t="str">
        <f t="shared" si="96"/>
        <v/>
      </c>
      <c r="DI27" s="257">
        <f t="shared" si="97"/>
        <v>0</v>
      </c>
      <c r="DJ27" s="257">
        <f t="shared" si="98"/>
        <v>0</v>
      </c>
      <c r="DK27" s="257">
        <f t="shared" si="99"/>
        <v>0</v>
      </c>
      <c r="DL27" s="575">
        <f t="shared" si="100"/>
        <v>3</v>
      </c>
      <c r="DM27" s="506">
        <f t="shared" si="101"/>
        <v>0</v>
      </c>
      <c r="DN27" s="39" t="str">
        <f t="shared" si="102"/>
        <v/>
      </c>
      <c r="DO27" s="257">
        <f t="shared" si="103"/>
        <v>0</v>
      </c>
      <c r="DP27" s="257">
        <f t="shared" si="104"/>
        <v>0</v>
      </c>
      <c r="DQ27" s="257">
        <f t="shared" si="105"/>
        <v>0</v>
      </c>
      <c r="DR27" s="575">
        <f t="shared" si="106"/>
        <v>3</v>
      </c>
      <c r="DS27" s="506">
        <f t="shared" si="107"/>
        <v>0</v>
      </c>
      <c r="DT27" s="39" t="str">
        <f t="shared" si="108"/>
        <v/>
      </c>
      <c r="DU27" s="257">
        <f t="shared" si="109"/>
        <v>0</v>
      </c>
      <c r="DV27" s="257">
        <f t="shared" si="110"/>
        <v>0</v>
      </c>
      <c r="DW27" s="257">
        <f t="shared" si="111"/>
        <v>0</v>
      </c>
      <c r="DX27" s="575">
        <f t="shared" si="112"/>
        <v>3</v>
      </c>
      <c r="DY27" s="506">
        <f t="shared" si="113"/>
        <v>0</v>
      </c>
      <c r="DZ27" s="39" t="str">
        <f t="shared" si="114"/>
        <v/>
      </c>
      <c r="EA27" s="257">
        <f t="shared" si="115"/>
        <v>0</v>
      </c>
      <c r="EB27" s="257">
        <f t="shared" si="116"/>
        <v>0</v>
      </c>
      <c r="EC27" s="257">
        <f t="shared" si="117"/>
        <v>0</v>
      </c>
      <c r="ED27" s="575">
        <f t="shared" si="118"/>
        <v>3</v>
      </c>
      <c r="EE27" s="506">
        <f t="shared" si="119"/>
        <v>0</v>
      </c>
      <c r="EF27" s="39" t="str">
        <f t="shared" si="120"/>
        <v/>
      </c>
      <c r="EG27" s="257">
        <f t="shared" si="121"/>
        <v>0</v>
      </c>
      <c r="EH27" s="257">
        <f t="shared" si="122"/>
        <v>0</v>
      </c>
      <c r="EI27" s="257">
        <f t="shared" si="123"/>
        <v>0</v>
      </c>
      <c r="EJ27" s="575">
        <f t="shared" si="124"/>
        <v>3</v>
      </c>
      <c r="EK27" s="506">
        <f t="shared" si="125"/>
        <v>0</v>
      </c>
      <c r="EL27" s="39" t="str">
        <f t="shared" si="126"/>
        <v/>
      </c>
      <c r="EM27" s="257">
        <f t="shared" si="127"/>
        <v>0</v>
      </c>
      <c r="EN27" s="257">
        <f t="shared" si="128"/>
        <v>0</v>
      </c>
      <c r="EO27" s="257">
        <f t="shared" si="129"/>
        <v>0</v>
      </c>
      <c r="EP27" s="575">
        <f t="shared" si="130"/>
        <v>3</v>
      </c>
      <c r="EQ27" s="506">
        <f t="shared" si="131"/>
        <v>0</v>
      </c>
      <c r="ER27" s="39" t="str">
        <f t="shared" si="132"/>
        <v/>
      </c>
      <c r="ES27" s="257">
        <f t="shared" si="133"/>
        <v>0</v>
      </c>
      <c r="ET27" s="257">
        <f t="shared" si="134"/>
        <v>0</v>
      </c>
      <c r="EU27" s="257">
        <f t="shared" si="135"/>
        <v>0</v>
      </c>
      <c r="EV27" s="575">
        <f t="shared" si="136"/>
        <v>3</v>
      </c>
      <c r="EW27" s="506">
        <f t="shared" si="137"/>
        <v>0</v>
      </c>
      <c r="EX27" s="39" t="str">
        <f t="shared" si="138"/>
        <v/>
      </c>
      <c r="EY27" s="257">
        <f t="shared" si="139"/>
        <v>0</v>
      </c>
      <c r="EZ27" s="257">
        <f t="shared" si="140"/>
        <v>0</v>
      </c>
      <c r="FA27" s="257">
        <f t="shared" si="141"/>
        <v>0</v>
      </c>
      <c r="FB27" s="575">
        <f t="shared" si="142"/>
        <v>3</v>
      </c>
      <c r="FC27" s="506">
        <f t="shared" si="143"/>
        <v>0</v>
      </c>
      <c r="FD27" s="39" t="str">
        <f t="shared" si="144"/>
        <v/>
      </c>
      <c r="FE27" s="257">
        <f t="shared" si="145"/>
        <v>0</v>
      </c>
      <c r="FF27" s="257">
        <f t="shared" si="146"/>
        <v>0</v>
      </c>
      <c r="FG27" s="257">
        <f t="shared" si="147"/>
        <v>0</v>
      </c>
      <c r="FH27" s="575">
        <f t="shared" si="148"/>
        <v>3</v>
      </c>
      <c r="FI27" s="506">
        <f t="shared" si="149"/>
        <v>0</v>
      </c>
      <c r="FJ27" s="39" t="str">
        <f t="shared" si="150"/>
        <v/>
      </c>
      <c r="FK27" s="39"/>
      <c r="FL27" s="39" t="str">
        <f t="shared" si="151"/>
        <v/>
      </c>
      <c r="FM27" s="39" t="str">
        <f t="shared" si="152"/>
        <v/>
      </c>
      <c r="FN27" s="39" t="str">
        <f t="shared" si="153"/>
        <v/>
      </c>
      <c r="FO27" s="39" t="str">
        <f t="shared" si="154"/>
        <v/>
      </c>
      <c r="FP27" s="39" t="str">
        <f t="shared" si="155"/>
        <v/>
      </c>
      <c r="FQ27" s="39" t="str">
        <f t="shared" si="156"/>
        <v/>
      </c>
      <c r="FR27" s="39" t="str">
        <f t="shared" si="157"/>
        <v/>
      </c>
      <c r="FS27" s="39" t="str">
        <f t="shared" si="158"/>
        <v/>
      </c>
      <c r="FT27" s="39" t="str">
        <f t="shared" si="159"/>
        <v/>
      </c>
      <c r="FU27" s="39" t="str">
        <f t="shared" si="160"/>
        <v/>
      </c>
      <c r="FV27" s="39" t="str">
        <f t="shared" si="161"/>
        <v/>
      </c>
      <c r="FW27" s="39" t="str">
        <f t="shared" si="162"/>
        <v/>
      </c>
      <c r="FX27" s="39" t="str">
        <f t="shared" si="163"/>
        <v/>
      </c>
      <c r="FY27" s="68">
        <f t="shared" si="164"/>
        <v>0</v>
      </c>
      <c r="FZ27" s="68">
        <f t="shared" si="165"/>
        <v>0</v>
      </c>
      <c r="GA27" s="39">
        <f>SISWA!E25</f>
        <v>0</v>
      </c>
      <c r="GB27" s="39" t="str">
        <f t="shared" si="166"/>
        <v/>
      </c>
      <c r="GC27" s="207" t="str">
        <f t="shared" si="167"/>
        <v/>
      </c>
      <c r="GD27" s="207" t="str">
        <f t="shared" si="168"/>
        <v/>
      </c>
      <c r="GE27" s="207" t="str">
        <f t="shared" si="169"/>
        <v/>
      </c>
      <c r="GF27" s="207" t="str">
        <f t="shared" si="170"/>
        <v/>
      </c>
      <c r="GG27" s="207" t="str">
        <f t="shared" si="171"/>
        <v/>
      </c>
      <c r="GH27" s="207" t="str">
        <f t="shared" si="172"/>
        <v/>
      </c>
      <c r="GI27" s="207" t="str">
        <f t="shared" si="173"/>
        <v/>
      </c>
      <c r="GJ27" s="207" t="str">
        <f t="shared" si="174"/>
        <v/>
      </c>
      <c r="GK27" s="207" t="str">
        <f t="shared" si="175"/>
        <v/>
      </c>
      <c r="GL27" s="207" t="str">
        <f t="shared" si="176"/>
        <v/>
      </c>
      <c r="GM27" s="207" t="str">
        <f t="shared" si="177"/>
        <v/>
      </c>
      <c r="GN27" s="207" t="str">
        <f t="shared" si="178"/>
        <v/>
      </c>
      <c r="GO27" s="39">
        <f t="shared" si="179"/>
        <v>0</v>
      </c>
      <c r="GP27" s="68" t="e">
        <f t="shared" si="180"/>
        <v>#N/A</v>
      </c>
      <c r="GQ27" s="576" t="e">
        <f>IF(FY27&gt;100,"",IF(FY27&gt;BE$1,"sangat baik dalam "&amp;GP27,IF(FY27&gt;=BE$2,"baik dalam "&amp;GP27,IF(FY27&gt;=BE$3,"cukup dalam "&amp;GP27,IF(FY27&lt;BE$3,"dengan bimbingan dapat meningkatkan dalam "&amp;GP27,IF(FY27&lt;1," ",””))))))</f>
        <v>#N/A</v>
      </c>
      <c r="GR27" s="223"/>
      <c r="GS27" s="223" t="str">
        <f t="shared" si="181"/>
        <v/>
      </c>
      <c r="GT27" s="223" t="str">
        <f t="shared" si="182"/>
        <v/>
      </c>
      <c r="GU27" s="223" t="str">
        <f t="shared" si="183"/>
        <v/>
      </c>
      <c r="GV27" s="223" t="str">
        <f t="shared" si="184"/>
        <v/>
      </c>
      <c r="GW27" s="223" t="str">
        <f t="shared" si="185"/>
        <v/>
      </c>
      <c r="GX27" s="223" t="str">
        <f t="shared" si="186"/>
        <v/>
      </c>
      <c r="GY27" s="223" t="str">
        <f t="shared" si="187"/>
        <v/>
      </c>
      <c r="GZ27" s="223" t="str">
        <f t="shared" si="188"/>
        <v/>
      </c>
      <c r="HA27" s="223" t="str">
        <f t="shared" si="189"/>
        <v/>
      </c>
      <c r="HB27" s="223" t="str">
        <f t="shared" si="190"/>
        <v/>
      </c>
      <c r="HC27" s="223" t="str">
        <f t="shared" si="191"/>
        <v/>
      </c>
      <c r="HD27" s="223" t="str">
        <f t="shared" si="192"/>
        <v/>
      </c>
      <c r="HE27" s="223" t="e">
        <f t="shared" si="193"/>
        <v>#N/A</v>
      </c>
      <c r="HF27" s="577" t="e">
        <f>IF(FZ27&gt;100,"",IF(FZ27&gt;=BE$1,"sangat baik dalam "&amp;HE27,IF(FZ27&gt;=BE$2,"baik dalam "&amp;HE27,IF(FZ27&gt;=BE$3,"cukup dalam "&amp;HE27,IF(FZ27&lt;BE$3,"dengan bimbingan dapat meningkatkan dalam "&amp;HE27,IF(FZ27&lt;1," ",””))))))</f>
        <v>#N/A</v>
      </c>
      <c r="HG27" s="223" t="e">
        <f t="shared" si="194"/>
        <v>#N/A</v>
      </c>
    </row>
    <row r="28" spans="1:215" ht="30" customHeight="1">
      <c r="A28" s="39">
        <v>21</v>
      </c>
      <c r="B28" s="223">
        <f>SISWA!B26</f>
        <v>0</v>
      </c>
      <c r="C28" s="123"/>
      <c r="D28" s="123"/>
      <c r="E28" s="123"/>
      <c r="F28" s="123"/>
      <c r="G28" s="123"/>
      <c r="H28" s="123"/>
      <c r="I28" s="123"/>
      <c r="J28" s="123"/>
      <c r="K28" s="123"/>
      <c r="L28" s="123"/>
      <c r="M28" s="123"/>
      <c r="N28" s="123"/>
      <c r="O28" s="255"/>
      <c r="P28" s="255"/>
      <c r="Q28" s="255"/>
      <c r="R28" s="255"/>
      <c r="S28" s="255"/>
      <c r="T28" s="255"/>
      <c r="U28" s="255"/>
      <c r="V28" s="255"/>
      <c r="W28" s="255"/>
      <c r="X28" s="255"/>
      <c r="Y28" s="255"/>
      <c r="Z28" s="255"/>
      <c r="AA28" s="256"/>
      <c r="AB28" s="256"/>
      <c r="AC28" s="256"/>
      <c r="AD28" s="256"/>
      <c r="AE28" s="256"/>
      <c r="AF28" s="256"/>
      <c r="AG28" s="256"/>
      <c r="AH28" s="256"/>
      <c r="AI28" s="256"/>
      <c r="AJ28" s="256"/>
      <c r="AK28" s="256"/>
      <c r="AL28" s="256"/>
      <c r="AM28" s="257" t="str">
        <f t="shared" si="25"/>
        <v/>
      </c>
      <c r="AN28" s="257" t="str">
        <f t="shared" si="26"/>
        <v/>
      </c>
      <c r="AO28" s="257" t="str">
        <f t="shared" si="27"/>
        <v/>
      </c>
      <c r="AP28" s="257" t="str">
        <f t="shared" si="28"/>
        <v/>
      </c>
      <c r="AQ28" s="257" t="str">
        <f t="shared" si="29"/>
        <v/>
      </c>
      <c r="AR28" s="257" t="str">
        <f t="shared" si="30"/>
        <v/>
      </c>
      <c r="AS28" s="257" t="str">
        <f t="shared" si="31"/>
        <v/>
      </c>
      <c r="AT28" s="257" t="str">
        <f t="shared" si="32"/>
        <v/>
      </c>
      <c r="AU28" s="257" t="str">
        <f t="shared" si="33"/>
        <v/>
      </c>
      <c r="AV28" s="257" t="str">
        <f t="shared" si="34"/>
        <v/>
      </c>
      <c r="AW28" s="257" t="str">
        <f t="shared" si="35"/>
        <v/>
      </c>
      <c r="AX28" s="257" t="str">
        <f t="shared" si="36"/>
        <v/>
      </c>
      <c r="AY28" s="756" t="str">
        <f t="shared" si="37"/>
        <v/>
      </c>
      <c r="AZ28" s="291" t="str">
        <f t="shared" si="38"/>
        <v xml:space="preserve">  </v>
      </c>
      <c r="BA28" s="243" t="str">
        <f t="shared" si="39"/>
        <v xml:space="preserve"> </v>
      </c>
      <c r="BB28" s="39"/>
      <c r="BC28" s="39"/>
      <c r="BD28" s="257">
        <f t="shared" si="40"/>
        <v>0</v>
      </c>
      <c r="BE28" s="257">
        <f t="shared" si="41"/>
        <v>0</v>
      </c>
      <c r="BF28" s="257">
        <f t="shared" si="42"/>
        <v>0</v>
      </c>
      <c r="BG28" s="257">
        <f t="shared" si="43"/>
        <v>0</v>
      </c>
      <c r="BH28" s="257">
        <f t="shared" si="44"/>
        <v>0</v>
      </c>
      <c r="BI28" s="257">
        <f t="shared" si="45"/>
        <v>0</v>
      </c>
      <c r="BJ28" s="257">
        <f t="shared" si="46"/>
        <v>0</v>
      </c>
      <c r="BK28" s="257">
        <f t="shared" si="47"/>
        <v>0</v>
      </c>
      <c r="BL28" s="257">
        <f t="shared" si="48"/>
        <v>0</v>
      </c>
      <c r="BM28" s="257">
        <f t="shared" si="49"/>
        <v>0</v>
      </c>
      <c r="BN28" s="257">
        <f t="shared" si="50"/>
        <v>0</v>
      </c>
      <c r="BO28" s="257">
        <f t="shared" si="51"/>
        <v>0</v>
      </c>
      <c r="BP28" s="232">
        <f t="shared" si="52"/>
        <v>0</v>
      </c>
      <c r="BQ28" s="257">
        <f t="shared" si="53"/>
        <v>0</v>
      </c>
      <c r="BR28" s="257">
        <f t="shared" si="54"/>
        <v>0</v>
      </c>
      <c r="BS28" s="257">
        <f t="shared" si="55"/>
        <v>0</v>
      </c>
      <c r="BT28" s="257">
        <f t="shared" si="56"/>
        <v>0</v>
      </c>
      <c r="BU28" s="257">
        <f t="shared" si="57"/>
        <v>0</v>
      </c>
      <c r="BV28" s="257">
        <f t="shared" si="58"/>
        <v>0</v>
      </c>
      <c r="BW28" s="257">
        <f t="shared" si="59"/>
        <v>0</v>
      </c>
      <c r="BX28" s="257">
        <f t="shared" si="60"/>
        <v>0</v>
      </c>
      <c r="BY28" s="257">
        <f t="shared" si="61"/>
        <v>0</v>
      </c>
      <c r="BZ28" s="257">
        <f t="shared" si="62"/>
        <v>0</v>
      </c>
      <c r="CA28" s="257">
        <f t="shared" si="63"/>
        <v>0</v>
      </c>
      <c r="CB28" s="257">
        <f t="shared" si="64"/>
        <v>0</v>
      </c>
      <c r="CC28" s="232">
        <f t="shared" si="65"/>
        <v>0</v>
      </c>
      <c r="CD28" s="257">
        <f t="shared" si="66"/>
        <v>0</v>
      </c>
      <c r="CE28" s="257">
        <f t="shared" si="67"/>
        <v>0</v>
      </c>
      <c r="CF28" s="257">
        <f t="shared" si="68"/>
        <v>0</v>
      </c>
      <c r="CG28" s="257">
        <f t="shared" si="69"/>
        <v>0</v>
      </c>
      <c r="CH28" s="257">
        <f t="shared" si="70"/>
        <v>0</v>
      </c>
      <c r="CI28" s="257">
        <f t="shared" si="71"/>
        <v>0</v>
      </c>
      <c r="CJ28" s="257">
        <f t="shared" si="72"/>
        <v>0</v>
      </c>
      <c r="CK28" s="257">
        <f t="shared" si="73"/>
        <v>0</v>
      </c>
      <c r="CL28" s="257">
        <f t="shared" si="74"/>
        <v>0</v>
      </c>
      <c r="CM28" s="257">
        <f t="shared" si="75"/>
        <v>0</v>
      </c>
      <c r="CN28" s="257">
        <f t="shared" si="76"/>
        <v>0</v>
      </c>
      <c r="CO28" s="257">
        <f t="shared" si="77"/>
        <v>0</v>
      </c>
      <c r="CP28" s="232">
        <f t="shared" si="78"/>
        <v>0</v>
      </c>
      <c r="CQ28" s="257">
        <f t="shared" si="79"/>
        <v>0</v>
      </c>
      <c r="CR28" s="257">
        <f t="shared" si="80"/>
        <v>0</v>
      </c>
      <c r="CS28" s="257">
        <f t="shared" si="81"/>
        <v>0</v>
      </c>
      <c r="CT28" s="575">
        <f t="shared" si="82"/>
        <v>3</v>
      </c>
      <c r="CU28" s="506">
        <f t="shared" si="83"/>
        <v>0</v>
      </c>
      <c r="CV28" s="39" t="str">
        <f t="shared" si="84"/>
        <v/>
      </c>
      <c r="CW28" s="257">
        <f t="shared" si="85"/>
        <v>0</v>
      </c>
      <c r="CX28" s="257">
        <f t="shared" si="86"/>
        <v>0</v>
      </c>
      <c r="CY28" s="257">
        <f t="shared" si="87"/>
        <v>0</v>
      </c>
      <c r="CZ28" s="575">
        <f t="shared" si="88"/>
        <v>3</v>
      </c>
      <c r="DA28" s="506">
        <f t="shared" si="89"/>
        <v>0</v>
      </c>
      <c r="DB28" s="39" t="str">
        <f t="shared" si="90"/>
        <v/>
      </c>
      <c r="DC28" s="257">
        <f t="shared" si="91"/>
        <v>0</v>
      </c>
      <c r="DD28" s="257">
        <f t="shared" si="92"/>
        <v>0</v>
      </c>
      <c r="DE28" s="257">
        <f t="shared" si="93"/>
        <v>0</v>
      </c>
      <c r="DF28" s="575">
        <f t="shared" si="94"/>
        <v>3</v>
      </c>
      <c r="DG28" s="506">
        <f t="shared" si="95"/>
        <v>0</v>
      </c>
      <c r="DH28" s="39" t="str">
        <f t="shared" si="96"/>
        <v/>
      </c>
      <c r="DI28" s="257">
        <f t="shared" si="97"/>
        <v>0</v>
      </c>
      <c r="DJ28" s="257">
        <f t="shared" si="98"/>
        <v>0</v>
      </c>
      <c r="DK28" s="257">
        <f t="shared" si="99"/>
        <v>0</v>
      </c>
      <c r="DL28" s="575">
        <f t="shared" si="100"/>
        <v>3</v>
      </c>
      <c r="DM28" s="506">
        <f t="shared" si="101"/>
        <v>0</v>
      </c>
      <c r="DN28" s="39" t="str">
        <f t="shared" si="102"/>
        <v/>
      </c>
      <c r="DO28" s="257">
        <f t="shared" si="103"/>
        <v>0</v>
      </c>
      <c r="DP28" s="257">
        <f t="shared" si="104"/>
        <v>0</v>
      </c>
      <c r="DQ28" s="257">
        <f t="shared" si="105"/>
        <v>0</v>
      </c>
      <c r="DR28" s="575">
        <f t="shared" si="106"/>
        <v>3</v>
      </c>
      <c r="DS28" s="506">
        <f t="shared" si="107"/>
        <v>0</v>
      </c>
      <c r="DT28" s="39" t="str">
        <f t="shared" si="108"/>
        <v/>
      </c>
      <c r="DU28" s="257">
        <f t="shared" si="109"/>
        <v>0</v>
      </c>
      <c r="DV28" s="257">
        <f t="shared" si="110"/>
        <v>0</v>
      </c>
      <c r="DW28" s="257">
        <f t="shared" si="111"/>
        <v>0</v>
      </c>
      <c r="DX28" s="575">
        <f t="shared" si="112"/>
        <v>3</v>
      </c>
      <c r="DY28" s="506">
        <f t="shared" si="113"/>
        <v>0</v>
      </c>
      <c r="DZ28" s="39" t="str">
        <f t="shared" si="114"/>
        <v/>
      </c>
      <c r="EA28" s="257">
        <f t="shared" si="115"/>
        <v>0</v>
      </c>
      <c r="EB28" s="257">
        <f t="shared" si="116"/>
        <v>0</v>
      </c>
      <c r="EC28" s="257">
        <f t="shared" si="117"/>
        <v>0</v>
      </c>
      <c r="ED28" s="575">
        <f t="shared" si="118"/>
        <v>3</v>
      </c>
      <c r="EE28" s="506">
        <f t="shared" si="119"/>
        <v>0</v>
      </c>
      <c r="EF28" s="39" t="str">
        <f t="shared" si="120"/>
        <v/>
      </c>
      <c r="EG28" s="257">
        <f t="shared" si="121"/>
        <v>0</v>
      </c>
      <c r="EH28" s="257">
        <f t="shared" si="122"/>
        <v>0</v>
      </c>
      <c r="EI28" s="257">
        <f t="shared" si="123"/>
        <v>0</v>
      </c>
      <c r="EJ28" s="575">
        <f t="shared" si="124"/>
        <v>3</v>
      </c>
      <c r="EK28" s="506">
        <f t="shared" si="125"/>
        <v>0</v>
      </c>
      <c r="EL28" s="39" t="str">
        <f t="shared" si="126"/>
        <v/>
      </c>
      <c r="EM28" s="257">
        <f t="shared" si="127"/>
        <v>0</v>
      </c>
      <c r="EN28" s="257">
        <f t="shared" si="128"/>
        <v>0</v>
      </c>
      <c r="EO28" s="257">
        <f t="shared" si="129"/>
        <v>0</v>
      </c>
      <c r="EP28" s="575">
        <f t="shared" si="130"/>
        <v>3</v>
      </c>
      <c r="EQ28" s="506">
        <f t="shared" si="131"/>
        <v>0</v>
      </c>
      <c r="ER28" s="39" t="str">
        <f t="shared" si="132"/>
        <v/>
      </c>
      <c r="ES28" s="257">
        <f t="shared" si="133"/>
        <v>0</v>
      </c>
      <c r="ET28" s="257">
        <f t="shared" si="134"/>
        <v>0</v>
      </c>
      <c r="EU28" s="257">
        <f t="shared" si="135"/>
        <v>0</v>
      </c>
      <c r="EV28" s="575">
        <f t="shared" si="136"/>
        <v>3</v>
      </c>
      <c r="EW28" s="506">
        <f t="shared" si="137"/>
        <v>0</v>
      </c>
      <c r="EX28" s="39" t="str">
        <f t="shared" si="138"/>
        <v/>
      </c>
      <c r="EY28" s="257">
        <f t="shared" si="139"/>
        <v>0</v>
      </c>
      <c r="EZ28" s="257">
        <f t="shared" si="140"/>
        <v>0</v>
      </c>
      <c r="FA28" s="257">
        <f t="shared" si="141"/>
        <v>0</v>
      </c>
      <c r="FB28" s="575">
        <f t="shared" si="142"/>
        <v>3</v>
      </c>
      <c r="FC28" s="506">
        <f t="shared" si="143"/>
        <v>0</v>
      </c>
      <c r="FD28" s="39" t="str">
        <f t="shared" si="144"/>
        <v/>
      </c>
      <c r="FE28" s="257">
        <f t="shared" si="145"/>
        <v>0</v>
      </c>
      <c r="FF28" s="257">
        <f t="shared" si="146"/>
        <v>0</v>
      </c>
      <c r="FG28" s="257">
        <f t="shared" si="147"/>
        <v>0</v>
      </c>
      <c r="FH28" s="575">
        <f t="shared" si="148"/>
        <v>3</v>
      </c>
      <c r="FI28" s="506">
        <f t="shared" si="149"/>
        <v>0</v>
      </c>
      <c r="FJ28" s="39" t="str">
        <f t="shared" si="150"/>
        <v/>
      </c>
      <c r="FK28" s="39"/>
      <c r="FL28" s="39" t="str">
        <f t="shared" si="151"/>
        <v/>
      </c>
      <c r="FM28" s="39" t="str">
        <f t="shared" si="152"/>
        <v/>
      </c>
      <c r="FN28" s="39" t="str">
        <f t="shared" si="153"/>
        <v/>
      </c>
      <c r="FO28" s="39" t="str">
        <f t="shared" si="154"/>
        <v/>
      </c>
      <c r="FP28" s="39" t="str">
        <f t="shared" si="155"/>
        <v/>
      </c>
      <c r="FQ28" s="39" t="str">
        <f t="shared" si="156"/>
        <v/>
      </c>
      <c r="FR28" s="39" t="str">
        <f t="shared" si="157"/>
        <v/>
      </c>
      <c r="FS28" s="39" t="str">
        <f t="shared" si="158"/>
        <v/>
      </c>
      <c r="FT28" s="39" t="str">
        <f t="shared" si="159"/>
        <v/>
      </c>
      <c r="FU28" s="39" t="str">
        <f t="shared" si="160"/>
        <v/>
      </c>
      <c r="FV28" s="39" t="str">
        <f t="shared" si="161"/>
        <v/>
      </c>
      <c r="FW28" s="39" t="str">
        <f t="shared" si="162"/>
        <v/>
      </c>
      <c r="FX28" s="39" t="str">
        <f t="shared" si="163"/>
        <v/>
      </c>
      <c r="FY28" s="68">
        <f t="shared" si="164"/>
        <v>0</v>
      </c>
      <c r="FZ28" s="68">
        <f t="shared" si="165"/>
        <v>0</v>
      </c>
      <c r="GA28" s="39">
        <f>SISWA!E26</f>
        <v>0</v>
      </c>
      <c r="GB28" s="39" t="str">
        <f t="shared" si="166"/>
        <v/>
      </c>
      <c r="GC28" s="207" t="str">
        <f t="shared" si="167"/>
        <v/>
      </c>
      <c r="GD28" s="207" t="str">
        <f t="shared" si="168"/>
        <v/>
      </c>
      <c r="GE28" s="207" t="str">
        <f t="shared" si="169"/>
        <v/>
      </c>
      <c r="GF28" s="207" t="str">
        <f t="shared" si="170"/>
        <v/>
      </c>
      <c r="GG28" s="207" t="str">
        <f t="shared" si="171"/>
        <v/>
      </c>
      <c r="GH28" s="207" t="str">
        <f t="shared" si="172"/>
        <v/>
      </c>
      <c r="GI28" s="207" t="str">
        <f t="shared" si="173"/>
        <v/>
      </c>
      <c r="GJ28" s="207" t="str">
        <f t="shared" si="174"/>
        <v/>
      </c>
      <c r="GK28" s="207" t="str">
        <f t="shared" si="175"/>
        <v/>
      </c>
      <c r="GL28" s="207" t="str">
        <f t="shared" si="176"/>
        <v/>
      </c>
      <c r="GM28" s="207" t="str">
        <f t="shared" si="177"/>
        <v/>
      </c>
      <c r="GN28" s="207" t="str">
        <f t="shared" si="178"/>
        <v/>
      </c>
      <c r="GO28" s="39">
        <f t="shared" si="179"/>
        <v>0</v>
      </c>
      <c r="GP28" s="68" t="e">
        <f t="shared" si="180"/>
        <v>#N/A</v>
      </c>
      <c r="GQ28" s="576" t="e">
        <f>IF(FY28&gt;100,"",IF(FY28&gt;BE$1,"sangat baik dalam "&amp;GP28,IF(FY28&gt;=BE$2,"baik dalam "&amp;GP28,IF(FY28&gt;=BE$3,"cukup dalam "&amp;GP28,IF(FY28&lt;BE$3,"dengan bimbingan dapat meningkatkan dalam "&amp;GP28,IF(FY28&lt;1," ",””))))))</f>
        <v>#N/A</v>
      </c>
      <c r="GR28" s="223"/>
      <c r="GS28" s="223" t="str">
        <f t="shared" si="181"/>
        <v/>
      </c>
      <c r="GT28" s="223" t="str">
        <f t="shared" si="182"/>
        <v/>
      </c>
      <c r="GU28" s="223" t="str">
        <f t="shared" si="183"/>
        <v/>
      </c>
      <c r="GV28" s="223" t="str">
        <f t="shared" si="184"/>
        <v/>
      </c>
      <c r="GW28" s="223" t="str">
        <f t="shared" si="185"/>
        <v/>
      </c>
      <c r="GX28" s="223" t="str">
        <f t="shared" si="186"/>
        <v/>
      </c>
      <c r="GY28" s="223" t="str">
        <f t="shared" si="187"/>
        <v/>
      </c>
      <c r="GZ28" s="223" t="str">
        <f t="shared" si="188"/>
        <v/>
      </c>
      <c r="HA28" s="223" t="str">
        <f t="shared" si="189"/>
        <v/>
      </c>
      <c r="HB28" s="223" t="str">
        <f t="shared" si="190"/>
        <v/>
      </c>
      <c r="HC28" s="223" t="str">
        <f t="shared" si="191"/>
        <v/>
      </c>
      <c r="HD28" s="223" t="str">
        <f t="shared" si="192"/>
        <v/>
      </c>
      <c r="HE28" s="223" t="e">
        <f t="shared" si="193"/>
        <v>#N/A</v>
      </c>
      <c r="HF28" s="577" t="e">
        <f>IF(FZ28&gt;100,"",IF(FZ28&gt;=BE$1,"sangat baik dalam "&amp;HE28,IF(FZ28&gt;=BE$2,"baik dalam "&amp;HE28,IF(FZ28&gt;=BE$3,"cukup dalam "&amp;HE28,IF(FZ28&lt;BE$3,"dengan bimbingan dapat meningkatkan dalam "&amp;HE28,IF(FZ28&lt;1," ",””))))))</f>
        <v>#N/A</v>
      </c>
      <c r="HG28" s="223" t="e">
        <f t="shared" si="194"/>
        <v>#N/A</v>
      </c>
    </row>
    <row r="29" spans="1:215" ht="30" customHeight="1">
      <c r="A29" s="39">
        <v>22</v>
      </c>
      <c r="B29" s="223">
        <f>SISWA!B27</f>
        <v>0</v>
      </c>
      <c r="C29" s="123"/>
      <c r="D29" s="123"/>
      <c r="E29" s="123"/>
      <c r="F29" s="123"/>
      <c r="G29" s="123"/>
      <c r="H29" s="123"/>
      <c r="I29" s="123"/>
      <c r="J29" s="123"/>
      <c r="K29" s="123"/>
      <c r="L29" s="123"/>
      <c r="M29" s="123"/>
      <c r="N29" s="123"/>
      <c r="O29" s="255"/>
      <c r="P29" s="255"/>
      <c r="Q29" s="255"/>
      <c r="R29" s="255"/>
      <c r="S29" s="255"/>
      <c r="T29" s="255"/>
      <c r="U29" s="255"/>
      <c r="V29" s="255"/>
      <c r="W29" s="255"/>
      <c r="X29" s="255"/>
      <c r="Y29" s="255"/>
      <c r="Z29" s="255"/>
      <c r="AA29" s="256"/>
      <c r="AB29" s="256"/>
      <c r="AC29" s="256"/>
      <c r="AD29" s="256"/>
      <c r="AE29" s="256"/>
      <c r="AF29" s="256"/>
      <c r="AG29" s="256"/>
      <c r="AH29" s="256"/>
      <c r="AI29" s="256"/>
      <c r="AJ29" s="256"/>
      <c r="AK29" s="256"/>
      <c r="AL29" s="256"/>
      <c r="AM29" s="257" t="str">
        <f t="shared" si="25"/>
        <v/>
      </c>
      <c r="AN29" s="257" t="str">
        <f t="shared" si="26"/>
        <v/>
      </c>
      <c r="AO29" s="257" t="str">
        <f t="shared" si="27"/>
        <v/>
      </c>
      <c r="AP29" s="257" t="str">
        <f t="shared" si="28"/>
        <v/>
      </c>
      <c r="AQ29" s="257" t="str">
        <f t="shared" si="29"/>
        <v/>
      </c>
      <c r="AR29" s="257" t="str">
        <f t="shared" si="30"/>
        <v/>
      </c>
      <c r="AS29" s="257" t="str">
        <f t="shared" si="31"/>
        <v/>
      </c>
      <c r="AT29" s="257" t="str">
        <f t="shared" si="32"/>
        <v/>
      </c>
      <c r="AU29" s="257" t="str">
        <f t="shared" si="33"/>
        <v/>
      </c>
      <c r="AV29" s="257" t="str">
        <f t="shared" si="34"/>
        <v/>
      </c>
      <c r="AW29" s="257" t="str">
        <f t="shared" si="35"/>
        <v/>
      </c>
      <c r="AX29" s="257" t="str">
        <f t="shared" si="36"/>
        <v/>
      </c>
      <c r="AY29" s="756" t="str">
        <f t="shared" si="37"/>
        <v/>
      </c>
      <c r="AZ29" s="291" t="str">
        <f t="shared" si="38"/>
        <v xml:space="preserve">  </v>
      </c>
      <c r="BA29" s="243" t="str">
        <f t="shared" si="39"/>
        <v xml:space="preserve"> </v>
      </c>
      <c r="BB29" s="39"/>
      <c r="BC29" s="39"/>
      <c r="BD29" s="257">
        <f t="shared" si="40"/>
        <v>0</v>
      </c>
      <c r="BE29" s="257">
        <f t="shared" si="41"/>
        <v>0</v>
      </c>
      <c r="BF29" s="257">
        <f t="shared" si="42"/>
        <v>0</v>
      </c>
      <c r="BG29" s="257">
        <f t="shared" si="43"/>
        <v>0</v>
      </c>
      <c r="BH29" s="257">
        <f t="shared" si="44"/>
        <v>0</v>
      </c>
      <c r="BI29" s="257">
        <f t="shared" si="45"/>
        <v>0</v>
      </c>
      <c r="BJ29" s="257">
        <f t="shared" si="46"/>
        <v>0</v>
      </c>
      <c r="BK29" s="257">
        <f t="shared" si="47"/>
        <v>0</v>
      </c>
      <c r="BL29" s="257">
        <f t="shared" si="48"/>
        <v>0</v>
      </c>
      <c r="BM29" s="257">
        <f t="shared" si="49"/>
        <v>0</v>
      </c>
      <c r="BN29" s="257">
        <f t="shared" si="50"/>
        <v>0</v>
      </c>
      <c r="BO29" s="257">
        <f t="shared" si="51"/>
        <v>0</v>
      </c>
      <c r="BP29" s="232">
        <f t="shared" si="52"/>
        <v>0</v>
      </c>
      <c r="BQ29" s="257">
        <f t="shared" si="53"/>
        <v>0</v>
      </c>
      <c r="BR29" s="257">
        <f t="shared" si="54"/>
        <v>0</v>
      </c>
      <c r="BS29" s="257">
        <f t="shared" si="55"/>
        <v>0</v>
      </c>
      <c r="BT29" s="257">
        <f t="shared" si="56"/>
        <v>0</v>
      </c>
      <c r="BU29" s="257">
        <f t="shared" si="57"/>
        <v>0</v>
      </c>
      <c r="BV29" s="257">
        <f t="shared" si="58"/>
        <v>0</v>
      </c>
      <c r="BW29" s="257">
        <f t="shared" si="59"/>
        <v>0</v>
      </c>
      <c r="BX29" s="257">
        <f t="shared" si="60"/>
        <v>0</v>
      </c>
      <c r="BY29" s="257">
        <f t="shared" si="61"/>
        <v>0</v>
      </c>
      <c r="BZ29" s="257">
        <f t="shared" si="62"/>
        <v>0</v>
      </c>
      <c r="CA29" s="257">
        <f t="shared" si="63"/>
        <v>0</v>
      </c>
      <c r="CB29" s="257">
        <f t="shared" si="64"/>
        <v>0</v>
      </c>
      <c r="CC29" s="232">
        <f t="shared" si="65"/>
        <v>0</v>
      </c>
      <c r="CD29" s="257">
        <f t="shared" si="66"/>
        <v>0</v>
      </c>
      <c r="CE29" s="257">
        <f t="shared" si="67"/>
        <v>0</v>
      </c>
      <c r="CF29" s="257">
        <f t="shared" si="68"/>
        <v>0</v>
      </c>
      <c r="CG29" s="257">
        <f t="shared" si="69"/>
        <v>0</v>
      </c>
      <c r="CH29" s="257">
        <f t="shared" si="70"/>
        <v>0</v>
      </c>
      <c r="CI29" s="257">
        <f t="shared" si="71"/>
        <v>0</v>
      </c>
      <c r="CJ29" s="257">
        <f t="shared" si="72"/>
        <v>0</v>
      </c>
      <c r="CK29" s="257">
        <f t="shared" si="73"/>
        <v>0</v>
      </c>
      <c r="CL29" s="257">
        <f t="shared" si="74"/>
        <v>0</v>
      </c>
      <c r="CM29" s="257">
        <f t="shared" si="75"/>
        <v>0</v>
      </c>
      <c r="CN29" s="257">
        <f t="shared" si="76"/>
        <v>0</v>
      </c>
      <c r="CO29" s="257">
        <f t="shared" si="77"/>
        <v>0</v>
      </c>
      <c r="CP29" s="232">
        <f t="shared" si="78"/>
        <v>0</v>
      </c>
      <c r="CQ29" s="257">
        <f t="shared" si="79"/>
        <v>0</v>
      </c>
      <c r="CR29" s="257">
        <f t="shared" si="80"/>
        <v>0</v>
      </c>
      <c r="CS29" s="257">
        <f t="shared" si="81"/>
        <v>0</v>
      </c>
      <c r="CT29" s="575">
        <f t="shared" si="82"/>
        <v>3</v>
      </c>
      <c r="CU29" s="506">
        <f t="shared" si="83"/>
        <v>0</v>
      </c>
      <c r="CV29" s="39" t="str">
        <f t="shared" si="84"/>
        <v/>
      </c>
      <c r="CW29" s="257">
        <f t="shared" si="85"/>
        <v>0</v>
      </c>
      <c r="CX29" s="257">
        <f t="shared" si="86"/>
        <v>0</v>
      </c>
      <c r="CY29" s="257">
        <f t="shared" si="87"/>
        <v>0</v>
      </c>
      <c r="CZ29" s="575">
        <f t="shared" si="88"/>
        <v>3</v>
      </c>
      <c r="DA29" s="506">
        <f t="shared" si="89"/>
        <v>0</v>
      </c>
      <c r="DB29" s="39" t="str">
        <f t="shared" si="90"/>
        <v/>
      </c>
      <c r="DC29" s="257">
        <f t="shared" si="91"/>
        <v>0</v>
      </c>
      <c r="DD29" s="257">
        <f t="shared" si="92"/>
        <v>0</v>
      </c>
      <c r="DE29" s="257">
        <f t="shared" si="93"/>
        <v>0</v>
      </c>
      <c r="DF29" s="575">
        <f t="shared" si="94"/>
        <v>3</v>
      </c>
      <c r="DG29" s="506">
        <f t="shared" si="95"/>
        <v>0</v>
      </c>
      <c r="DH29" s="39" t="str">
        <f t="shared" si="96"/>
        <v/>
      </c>
      <c r="DI29" s="257">
        <f t="shared" si="97"/>
        <v>0</v>
      </c>
      <c r="DJ29" s="257">
        <f t="shared" si="98"/>
        <v>0</v>
      </c>
      <c r="DK29" s="257">
        <f t="shared" si="99"/>
        <v>0</v>
      </c>
      <c r="DL29" s="575">
        <f t="shared" si="100"/>
        <v>3</v>
      </c>
      <c r="DM29" s="506">
        <f t="shared" si="101"/>
        <v>0</v>
      </c>
      <c r="DN29" s="39" t="str">
        <f t="shared" si="102"/>
        <v/>
      </c>
      <c r="DO29" s="257">
        <f t="shared" si="103"/>
        <v>0</v>
      </c>
      <c r="DP29" s="257">
        <f t="shared" si="104"/>
        <v>0</v>
      </c>
      <c r="DQ29" s="257">
        <f t="shared" si="105"/>
        <v>0</v>
      </c>
      <c r="DR29" s="575">
        <f t="shared" si="106"/>
        <v>3</v>
      </c>
      <c r="DS29" s="506">
        <f t="shared" si="107"/>
        <v>0</v>
      </c>
      <c r="DT29" s="39" t="str">
        <f t="shared" si="108"/>
        <v/>
      </c>
      <c r="DU29" s="257">
        <f t="shared" si="109"/>
        <v>0</v>
      </c>
      <c r="DV29" s="257">
        <f t="shared" si="110"/>
        <v>0</v>
      </c>
      <c r="DW29" s="257">
        <f t="shared" si="111"/>
        <v>0</v>
      </c>
      <c r="DX29" s="575">
        <f t="shared" si="112"/>
        <v>3</v>
      </c>
      <c r="DY29" s="506">
        <f t="shared" si="113"/>
        <v>0</v>
      </c>
      <c r="DZ29" s="39" t="str">
        <f t="shared" si="114"/>
        <v/>
      </c>
      <c r="EA29" s="257">
        <f t="shared" si="115"/>
        <v>0</v>
      </c>
      <c r="EB29" s="257">
        <f t="shared" si="116"/>
        <v>0</v>
      </c>
      <c r="EC29" s="257">
        <f t="shared" si="117"/>
        <v>0</v>
      </c>
      <c r="ED29" s="575">
        <f t="shared" si="118"/>
        <v>3</v>
      </c>
      <c r="EE29" s="506">
        <f t="shared" si="119"/>
        <v>0</v>
      </c>
      <c r="EF29" s="39" t="str">
        <f t="shared" si="120"/>
        <v/>
      </c>
      <c r="EG29" s="257">
        <f t="shared" si="121"/>
        <v>0</v>
      </c>
      <c r="EH29" s="257">
        <f t="shared" si="122"/>
        <v>0</v>
      </c>
      <c r="EI29" s="257">
        <f t="shared" si="123"/>
        <v>0</v>
      </c>
      <c r="EJ29" s="575">
        <f t="shared" si="124"/>
        <v>3</v>
      </c>
      <c r="EK29" s="506">
        <f t="shared" si="125"/>
        <v>0</v>
      </c>
      <c r="EL29" s="39" t="str">
        <f t="shared" si="126"/>
        <v/>
      </c>
      <c r="EM29" s="257">
        <f t="shared" si="127"/>
        <v>0</v>
      </c>
      <c r="EN29" s="257">
        <f t="shared" si="128"/>
        <v>0</v>
      </c>
      <c r="EO29" s="257">
        <f t="shared" si="129"/>
        <v>0</v>
      </c>
      <c r="EP29" s="575">
        <f t="shared" si="130"/>
        <v>3</v>
      </c>
      <c r="EQ29" s="506">
        <f t="shared" si="131"/>
        <v>0</v>
      </c>
      <c r="ER29" s="39" t="str">
        <f t="shared" si="132"/>
        <v/>
      </c>
      <c r="ES29" s="257">
        <f t="shared" si="133"/>
        <v>0</v>
      </c>
      <c r="ET29" s="257">
        <f t="shared" si="134"/>
        <v>0</v>
      </c>
      <c r="EU29" s="257">
        <f t="shared" si="135"/>
        <v>0</v>
      </c>
      <c r="EV29" s="575">
        <f t="shared" si="136"/>
        <v>3</v>
      </c>
      <c r="EW29" s="506">
        <f t="shared" si="137"/>
        <v>0</v>
      </c>
      <c r="EX29" s="39" t="str">
        <f t="shared" si="138"/>
        <v/>
      </c>
      <c r="EY29" s="257">
        <f t="shared" si="139"/>
        <v>0</v>
      </c>
      <c r="EZ29" s="257">
        <f t="shared" si="140"/>
        <v>0</v>
      </c>
      <c r="FA29" s="257">
        <f t="shared" si="141"/>
        <v>0</v>
      </c>
      <c r="FB29" s="575">
        <f t="shared" si="142"/>
        <v>3</v>
      </c>
      <c r="FC29" s="506">
        <f t="shared" si="143"/>
        <v>0</v>
      </c>
      <c r="FD29" s="39" t="str">
        <f t="shared" si="144"/>
        <v/>
      </c>
      <c r="FE29" s="257">
        <f t="shared" si="145"/>
        <v>0</v>
      </c>
      <c r="FF29" s="257">
        <f t="shared" si="146"/>
        <v>0</v>
      </c>
      <c r="FG29" s="257">
        <f t="shared" si="147"/>
        <v>0</v>
      </c>
      <c r="FH29" s="575">
        <f t="shared" si="148"/>
        <v>3</v>
      </c>
      <c r="FI29" s="506">
        <f t="shared" si="149"/>
        <v>0</v>
      </c>
      <c r="FJ29" s="39" t="str">
        <f t="shared" si="150"/>
        <v/>
      </c>
      <c r="FK29" s="39"/>
      <c r="FL29" s="39" t="str">
        <f t="shared" si="151"/>
        <v/>
      </c>
      <c r="FM29" s="39" t="str">
        <f t="shared" si="152"/>
        <v/>
      </c>
      <c r="FN29" s="39" t="str">
        <f t="shared" si="153"/>
        <v/>
      </c>
      <c r="FO29" s="39" t="str">
        <f t="shared" si="154"/>
        <v/>
      </c>
      <c r="FP29" s="39" t="str">
        <f t="shared" si="155"/>
        <v/>
      </c>
      <c r="FQ29" s="39" t="str">
        <f t="shared" si="156"/>
        <v/>
      </c>
      <c r="FR29" s="39" t="str">
        <f t="shared" si="157"/>
        <v/>
      </c>
      <c r="FS29" s="39" t="str">
        <f t="shared" si="158"/>
        <v/>
      </c>
      <c r="FT29" s="39" t="str">
        <f t="shared" si="159"/>
        <v/>
      </c>
      <c r="FU29" s="39" t="str">
        <f t="shared" si="160"/>
        <v/>
      </c>
      <c r="FV29" s="39" t="str">
        <f t="shared" si="161"/>
        <v/>
      </c>
      <c r="FW29" s="39" t="str">
        <f t="shared" si="162"/>
        <v/>
      </c>
      <c r="FX29" s="39" t="str">
        <f t="shared" si="163"/>
        <v/>
      </c>
      <c r="FY29" s="68">
        <f t="shared" si="164"/>
        <v>0</v>
      </c>
      <c r="FZ29" s="68">
        <f t="shared" si="165"/>
        <v>0</v>
      </c>
      <c r="GA29" s="39">
        <f>SISWA!E27</f>
        <v>0</v>
      </c>
      <c r="GB29" s="39" t="str">
        <f t="shared" si="166"/>
        <v/>
      </c>
      <c r="GC29" s="207" t="str">
        <f t="shared" si="167"/>
        <v/>
      </c>
      <c r="GD29" s="207" t="str">
        <f t="shared" si="168"/>
        <v/>
      </c>
      <c r="GE29" s="207" t="str">
        <f t="shared" si="169"/>
        <v/>
      </c>
      <c r="GF29" s="207" t="str">
        <f t="shared" si="170"/>
        <v/>
      </c>
      <c r="GG29" s="207" t="str">
        <f t="shared" si="171"/>
        <v/>
      </c>
      <c r="GH29" s="207" t="str">
        <f t="shared" si="172"/>
        <v/>
      </c>
      <c r="GI29" s="207" t="str">
        <f t="shared" si="173"/>
        <v/>
      </c>
      <c r="GJ29" s="207" t="str">
        <f t="shared" si="174"/>
        <v/>
      </c>
      <c r="GK29" s="207" t="str">
        <f t="shared" si="175"/>
        <v/>
      </c>
      <c r="GL29" s="207" t="str">
        <f t="shared" si="176"/>
        <v/>
      </c>
      <c r="GM29" s="207" t="str">
        <f t="shared" si="177"/>
        <v/>
      </c>
      <c r="GN29" s="207" t="str">
        <f t="shared" si="178"/>
        <v/>
      </c>
      <c r="GO29" s="39">
        <f t="shared" si="179"/>
        <v>0</v>
      </c>
      <c r="GP29" s="68" t="e">
        <f t="shared" si="180"/>
        <v>#N/A</v>
      </c>
      <c r="GQ29" s="576" t="e">
        <f>IF(FY29&gt;100,"",IF(FY29&gt;BE$1,"sangat baik dalam "&amp;GP29,IF(FY29&gt;=BE$2,"baik dalam "&amp;GP29,IF(FY29&gt;=BE$3,"cukup dalam "&amp;GP29,IF(FY29&lt;BE$3,"dengan bimbingan dapat meningkatkan dalam "&amp;GP29,IF(FY29&lt;1," ",””))))))</f>
        <v>#N/A</v>
      </c>
      <c r="GR29" s="223"/>
      <c r="GS29" s="223" t="str">
        <f t="shared" si="181"/>
        <v/>
      </c>
      <c r="GT29" s="223" t="str">
        <f t="shared" si="182"/>
        <v/>
      </c>
      <c r="GU29" s="223" t="str">
        <f t="shared" si="183"/>
        <v/>
      </c>
      <c r="GV29" s="223" t="str">
        <f t="shared" si="184"/>
        <v/>
      </c>
      <c r="GW29" s="223" t="str">
        <f t="shared" si="185"/>
        <v/>
      </c>
      <c r="GX29" s="223" t="str">
        <f t="shared" si="186"/>
        <v/>
      </c>
      <c r="GY29" s="223" t="str">
        <f t="shared" si="187"/>
        <v/>
      </c>
      <c r="GZ29" s="223" t="str">
        <f t="shared" si="188"/>
        <v/>
      </c>
      <c r="HA29" s="223" t="str">
        <f t="shared" si="189"/>
        <v/>
      </c>
      <c r="HB29" s="223" t="str">
        <f t="shared" si="190"/>
        <v/>
      </c>
      <c r="HC29" s="223" t="str">
        <f t="shared" si="191"/>
        <v/>
      </c>
      <c r="HD29" s="223" t="str">
        <f t="shared" si="192"/>
        <v/>
      </c>
      <c r="HE29" s="223" t="e">
        <f t="shared" si="193"/>
        <v>#N/A</v>
      </c>
      <c r="HF29" s="577" t="e">
        <f>IF(FZ29&gt;100,"",IF(FZ29&gt;=BE$1,"sangat baik dalam "&amp;HE29,IF(FZ29&gt;=BE$2,"baik dalam "&amp;HE29,IF(FZ29&gt;=BE$3,"cukup dalam "&amp;HE29,IF(FZ29&lt;BE$3,"dengan bimbingan dapat meningkatkan dalam "&amp;HE29,IF(FZ29&lt;1," ",””))))))</f>
        <v>#N/A</v>
      </c>
      <c r="HG29" s="223" t="e">
        <f t="shared" si="194"/>
        <v>#N/A</v>
      </c>
    </row>
    <row r="30" spans="1:215" ht="30" customHeight="1">
      <c r="A30" s="39">
        <v>23</v>
      </c>
      <c r="B30" s="223">
        <f>SISWA!B28</f>
        <v>0</v>
      </c>
      <c r="C30" s="123"/>
      <c r="D30" s="123"/>
      <c r="E30" s="123"/>
      <c r="F30" s="123"/>
      <c r="G30" s="123"/>
      <c r="H30" s="123"/>
      <c r="I30" s="123"/>
      <c r="J30" s="123"/>
      <c r="K30" s="123"/>
      <c r="L30" s="123"/>
      <c r="M30" s="123"/>
      <c r="N30" s="123"/>
      <c r="O30" s="255"/>
      <c r="P30" s="255"/>
      <c r="Q30" s="255"/>
      <c r="R30" s="255"/>
      <c r="S30" s="255"/>
      <c r="T30" s="255"/>
      <c r="U30" s="255"/>
      <c r="V30" s="255"/>
      <c r="W30" s="255"/>
      <c r="X30" s="255"/>
      <c r="Y30" s="255"/>
      <c r="Z30" s="255"/>
      <c r="AA30" s="256"/>
      <c r="AB30" s="256"/>
      <c r="AC30" s="256"/>
      <c r="AD30" s="256"/>
      <c r="AE30" s="256"/>
      <c r="AF30" s="256"/>
      <c r="AG30" s="256"/>
      <c r="AH30" s="256"/>
      <c r="AI30" s="256"/>
      <c r="AJ30" s="256"/>
      <c r="AK30" s="256"/>
      <c r="AL30" s="256"/>
      <c r="AM30" s="257" t="str">
        <f t="shared" si="25"/>
        <v/>
      </c>
      <c r="AN30" s="257" t="str">
        <f t="shared" si="26"/>
        <v/>
      </c>
      <c r="AO30" s="257" t="str">
        <f t="shared" si="27"/>
        <v/>
      </c>
      <c r="AP30" s="257" t="str">
        <f t="shared" si="28"/>
        <v/>
      </c>
      <c r="AQ30" s="257" t="str">
        <f t="shared" si="29"/>
        <v/>
      </c>
      <c r="AR30" s="257" t="str">
        <f t="shared" si="30"/>
        <v/>
      </c>
      <c r="AS30" s="257" t="str">
        <f t="shared" si="31"/>
        <v/>
      </c>
      <c r="AT30" s="257" t="str">
        <f t="shared" si="32"/>
        <v/>
      </c>
      <c r="AU30" s="257" t="str">
        <f t="shared" si="33"/>
        <v/>
      </c>
      <c r="AV30" s="257" t="str">
        <f t="shared" si="34"/>
        <v/>
      </c>
      <c r="AW30" s="257" t="str">
        <f t="shared" si="35"/>
        <v/>
      </c>
      <c r="AX30" s="257" t="str">
        <f t="shared" si="36"/>
        <v/>
      </c>
      <c r="AY30" s="756" t="str">
        <f t="shared" si="37"/>
        <v/>
      </c>
      <c r="AZ30" s="291" t="str">
        <f t="shared" si="38"/>
        <v xml:space="preserve">  </v>
      </c>
      <c r="BA30" s="243" t="str">
        <f t="shared" si="39"/>
        <v xml:space="preserve"> </v>
      </c>
      <c r="BB30" s="39"/>
      <c r="BC30" s="39"/>
      <c r="BD30" s="257">
        <f t="shared" si="40"/>
        <v>0</v>
      </c>
      <c r="BE30" s="257">
        <f t="shared" si="41"/>
        <v>0</v>
      </c>
      <c r="BF30" s="257">
        <f t="shared" si="42"/>
        <v>0</v>
      </c>
      <c r="BG30" s="257">
        <f t="shared" si="43"/>
        <v>0</v>
      </c>
      <c r="BH30" s="257">
        <f t="shared" si="44"/>
        <v>0</v>
      </c>
      <c r="BI30" s="257">
        <f t="shared" si="45"/>
        <v>0</v>
      </c>
      <c r="BJ30" s="257">
        <f t="shared" si="46"/>
        <v>0</v>
      </c>
      <c r="BK30" s="257">
        <f t="shared" si="47"/>
        <v>0</v>
      </c>
      <c r="BL30" s="257">
        <f t="shared" si="48"/>
        <v>0</v>
      </c>
      <c r="BM30" s="257">
        <f t="shared" si="49"/>
        <v>0</v>
      </c>
      <c r="BN30" s="257">
        <f t="shared" si="50"/>
        <v>0</v>
      </c>
      <c r="BO30" s="257">
        <f t="shared" si="51"/>
        <v>0</v>
      </c>
      <c r="BP30" s="232">
        <f t="shared" si="52"/>
        <v>0</v>
      </c>
      <c r="BQ30" s="257">
        <f t="shared" si="53"/>
        <v>0</v>
      </c>
      <c r="BR30" s="257">
        <f t="shared" si="54"/>
        <v>0</v>
      </c>
      <c r="BS30" s="257">
        <f t="shared" si="55"/>
        <v>0</v>
      </c>
      <c r="BT30" s="257">
        <f t="shared" si="56"/>
        <v>0</v>
      </c>
      <c r="BU30" s="257">
        <f t="shared" si="57"/>
        <v>0</v>
      </c>
      <c r="BV30" s="257">
        <f t="shared" si="58"/>
        <v>0</v>
      </c>
      <c r="BW30" s="257">
        <f t="shared" si="59"/>
        <v>0</v>
      </c>
      <c r="BX30" s="257">
        <f t="shared" si="60"/>
        <v>0</v>
      </c>
      <c r="BY30" s="257">
        <f t="shared" si="61"/>
        <v>0</v>
      </c>
      <c r="BZ30" s="257">
        <f t="shared" si="62"/>
        <v>0</v>
      </c>
      <c r="CA30" s="257">
        <f t="shared" si="63"/>
        <v>0</v>
      </c>
      <c r="CB30" s="257">
        <f t="shared" si="64"/>
        <v>0</v>
      </c>
      <c r="CC30" s="232">
        <f t="shared" si="65"/>
        <v>0</v>
      </c>
      <c r="CD30" s="257">
        <f t="shared" si="66"/>
        <v>0</v>
      </c>
      <c r="CE30" s="257">
        <f t="shared" si="67"/>
        <v>0</v>
      </c>
      <c r="CF30" s="257">
        <f t="shared" si="68"/>
        <v>0</v>
      </c>
      <c r="CG30" s="257">
        <f t="shared" si="69"/>
        <v>0</v>
      </c>
      <c r="CH30" s="257">
        <f t="shared" si="70"/>
        <v>0</v>
      </c>
      <c r="CI30" s="257">
        <f t="shared" si="71"/>
        <v>0</v>
      </c>
      <c r="CJ30" s="257">
        <f t="shared" si="72"/>
        <v>0</v>
      </c>
      <c r="CK30" s="257">
        <f t="shared" si="73"/>
        <v>0</v>
      </c>
      <c r="CL30" s="257">
        <f t="shared" si="74"/>
        <v>0</v>
      </c>
      <c r="CM30" s="257">
        <f t="shared" si="75"/>
        <v>0</v>
      </c>
      <c r="CN30" s="257">
        <f t="shared" si="76"/>
        <v>0</v>
      </c>
      <c r="CO30" s="257">
        <f t="shared" si="77"/>
        <v>0</v>
      </c>
      <c r="CP30" s="232">
        <f t="shared" si="78"/>
        <v>0</v>
      </c>
      <c r="CQ30" s="257">
        <f t="shared" si="79"/>
        <v>0</v>
      </c>
      <c r="CR30" s="257">
        <f t="shared" si="80"/>
        <v>0</v>
      </c>
      <c r="CS30" s="257">
        <f t="shared" si="81"/>
        <v>0</v>
      </c>
      <c r="CT30" s="575">
        <f t="shared" si="82"/>
        <v>3</v>
      </c>
      <c r="CU30" s="506">
        <f t="shared" si="83"/>
        <v>0</v>
      </c>
      <c r="CV30" s="39" t="str">
        <f t="shared" si="84"/>
        <v/>
      </c>
      <c r="CW30" s="257">
        <f t="shared" si="85"/>
        <v>0</v>
      </c>
      <c r="CX30" s="257">
        <f t="shared" si="86"/>
        <v>0</v>
      </c>
      <c r="CY30" s="257">
        <f t="shared" si="87"/>
        <v>0</v>
      </c>
      <c r="CZ30" s="575">
        <f t="shared" si="88"/>
        <v>3</v>
      </c>
      <c r="DA30" s="506">
        <f t="shared" si="89"/>
        <v>0</v>
      </c>
      <c r="DB30" s="39" t="str">
        <f t="shared" si="90"/>
        <v/>
      </c>
      <c r="DC30" s="257">
        <f t="shared" si="91"/>
        <v>0</v>
      </c>
      <c r="DD30" s="257">
        <f t="shared" si="92"/>
        <v>0</v>
      </c>
      <c r="DE30" s="257">
        <f t="shared" si="93"/>
        <v>0</v>
      </c>
      <c r="DF30" s="575">
        <f t="shared" si="94"/>
        <v>3</v>
      </c>
      <c r="DG30" s="506">
        <f t="shared" si="95"/>
        <v>0</v>
      </c>
      <c r="DH30" s="39" t="str">
        <f t="shared" si="96"/>
        <v/>
      </c>
      <c r="DI30" s="257">
        <f t="shared" si="97"/>
        <v>0</v>
      </c>
      <c r="DJ30" s="257">
        <f t="shared" si="98"/>
        <v>0</v>
      </c>
      <c r="DK30" s="257">
        <f t="shared" si="99"/>
        <v>0</v>
      </c>
      <c r="DL30" s="575">
        <f t="shared" si="100"/>
        <v>3</v>
      </c>
      <c r="DM30" s="506">
        <f t="shared" si="101"/>
        <v>0</v>
      </c>
      <c r="DN30" s="39" t="str">
        <f t="shared" si="102"/>
        <v/>
      </c>
      <c r="DO30" s="257">
        <f t="shared" si="103"/>
        <v>0</v>
      </c>
      <c r="DP30" s="257">
        <f t="shared" si="104"/>
        <v>0</v>
      </c>
      <c r="DQ30" s="257">
        <f t="shared" si="105"/>
        <v>0</v>
      </c>
      <c r="DR30" s="575">
        <f t="shared" si="106"/>
        <v>3</v>
      </c>
      <c r="DS30" s="506">
        <f t="shared" si="107"/>
        <v>0</v>
      </c>
      <c r="DT30" s="39" t="str">
        <f t="shared" si="108"/>
        <v/>
      </c>
      <c r="DU30" s="257">
        <f t="shared" si="109"/>
        <v>0</v>
      </c>
      <c r="DV30" s="257">
        <f t="shared" si="110"/>
        <v>0</v>
      </c>
      <c r="DW30" s="257">
        <f t="shared" si="111"/>
        <v>0</v>
      </c>
      <c r="DX30" s="575">
        <f t="shared" si="112"/>
        <v>3</v>
      </c>
      <c r="DY30" s="506">
        <f t="shared" si="113"/>
        <v>0</v>
      </c>
      <c r="DZ30" s="39" t="str">
        <f t="shared" si="114"/>
        <v/>
      </c>
      <c r="EA30" s="257">
        <f t="shared" si="115"/>
        <v>0</v>
      </c>
      <c r="EB30" s="257">
        <f t="shared" si="116"/>
        <v>0</v>
      </c>
      <c r="EC30" s="257">
        <f t="shared" si="117"/>
        <v>0</v>
      </c>
      <c r="ED30" s="575">
        <f t="shared" si="118"/>
        <v>3</v>
      </c>
      <c r="EE30" s="506">
        <f t="shared" si="119"/>
        <v>0</v>
      </c>
      <c r="EF30" s="39" t="str">
        <f t="shared" si="120"/>
        <v/>
      </c>
      <c r="EG30" s="257">
        <f t="shared" si="121"/>
        <v>0</v>
      </c>
      <c r="EH30" s="257">
        <f t="shared" si="122"/>
        <v>0</v>
      </c>
      <c r="EI30" s="257">
        <f t="shared" si="123"/>
        <v>0</v>
      </c>
      <c r="EJ30" s="575">
        <f t="shared" si="124"/>
        <v>3</v>
      </c>
      <c r="EK30" s="506">
        <f t="shared" si="125"/>
        <v>0</v>
      </c>
      <c r="EL30" s="39" t="str">
        <f t="shared" si="126"/>
        <v/>
      </c>
      <c r="EM30" s="257">
        <f t="shared" si="127"/>
        <v>0</v>
      </c>
      <c r="EN30" s="257">
        <f t="shared" si="128"/>
        <v>0</v>
      </c>
      <c r="EO30" s="257">
        <f t="shared" si="129"/>
        <v>0</v>
      </c>
      <c r="EP30" s="575">
        <f t="shared" si="130"/>
        <v>3</v>
      </c>
      <c r="EQ30" s="506">
        <f t="shared" si="131"/>
        <v>0</v>
      </c>
      <c r="ER30" s="39" t="str">
        <f t="shared" si="132"/>
        <v/>
      </c>
      <c r="ES30" s="257">
        <f t="shared" si="133"/>
        <v>0</v>
      </c>
      <c r="ET30" s="257">
        <f t="shared" si="134"/>
        <v>0</v>
      </c>
      <c r="EU30" s="257">
        <f t="shared" si="135"/>
        <v>0</v>
      </c>
      <c r="EV30" s="575">
        <f t="shared" si="136"/>
        <v>3</v>
      </c>
      <c r="EW30" s="506">
        <f t="shared" si="137"/>
        <v>0</v>
      </c>
      <c r="EX30" s="39" t="str">
        <f t="shared" si="138"/>
        <v/>
      </c>
      <c r="EY30" s="257">
        <f t="shared" si="139"/>
        <v>0</v>
      </c>
      <c r="EZ30" s="257">
        <f t="shared" si="140"/>
        <v>0</v>
      </c>
      <c r="FA30" s="257">
        <f t="shared" si="141"/>
        <v>0</v>
      </c>
      <c r="FB30" s="575">
        <f t="shared" si="142"/>
        <v>3</v>
      </c>
      <c r="FC30" s="506">
        <f t="shared" si="143"/>
        <v>0</v>
      </c>
      <c r="FD30" s="39" t="str">
        <f t="shared" si="144"/>
        <v/>
      </c>
      <c r="FE30" s="257">
        <f t="shared" si="145"/>
        <v>0</v>
      </c>
      <c r="FF30" s="257">
        <f t="shared" si="146"/>
        <v>0</v>
      </c>
      <c r="FG30" s="257">
        <f t="shared" si="147"/>
        <v>0</v>
      </c>
      <c r="FH30" s="575">
        <f t="shared" si="148"/>
        <v>3</v>
      </c>
      <c r="FI30" s="506">
        <f t="shared" si="149"/>
        <v>0</v>
      </c>
      <c r="FJ30" s="39" t="str">
        <f t="shared" si="150"/>
        <v/>
      </c>
      <c r="FK30" s="39"/>
      <c r="FL30" s="39" t="str">
        <f t="shared" si="151"/>
        <v/>
      </c>
      <c r="FM30" s="39" t="str">
        <f t="shared" si="152"/>
        <v/>
      </c>
      <c r="FN30" s="39" t="str">
        <f t="shared" si="153"/>
        <v/>
      </c>
      <c r="FO30" s="39" t="str">
        <f t="shared" si="154"/>
        <v/>
      </c>
      <c r="FP30" s="39" t="str">
        <f t="shared" si="155"/>
        <v/>
      </c>
      <c r="FQ30" s="39" t="str">
        <f t="shared" si="156"/>
        <v/>
      </c>
      <c r="FR30" s="39" t="str">
        <f t="shared" si="157"/>
        <v/>
      </c>
      <c r="FS30" s="39" t="str">
        <f t="shared" si="158"/>
        <v/>
      </c>
      <c r="FT30" s="39" t="str">
        <f t="shared" si="159"/>
        <v/>
      </c>
      <c r="FU30" s="39" t="str">
        <f t="shared" si="160"/>
        <v/>
      </c>
      <c r="FV30" s="39" t="str">
        <f t="shared" si="161"/>
        <v/>
      </c>
      <c r="FW30" s="39" t="str">
        <f t="shared" si="162"/>
        <v/>
      </c>
      <c r="FX30" s="39" t="str">
        <f t="shared" si="163"/>
        <v/>
      </c>
      <c r="FY30" s="68">
        <f t="shared" si="164"/>
        <v>0</v>
      </c>
      <c r="FZ30" s="68">
        <f t="shared" si="165"/>
        <v>0</v>
      </c>
      <c r="GA30" s="39">
        <f>SISWA!E28</f>
        <v>0</v>
      </c>
      <c r="GB30" s="39" t="str">
        <f t="shared" si="166"/>
        <v/>
      </c>
      <c r="GC30" s="207" t="str">
        <f t="shared" si="167"/>
        <v/>
      </c>
      <c r="GD30" s="207" t="str">
        <f t="shared" si="168"/>
        <v/>
      </c>
      <c r="GE30" s="207" t="str">
        <f t="shared" si="169"/>
        <v/>
      </c>
      <c r="GF30" s="207" t="str">
        <f t="shared" si="170"/>
        <v/>
      </c>
      <c r="GG30" s="207" t="str">
        <f t="shared" si="171"/>
        <v/>
      </c>
      <c r="GH30" s="207" t="str">
        <f t="shared" si="172"/>
        <v/>
      </c>
      <c r="GI30" s="207" t="str">
        <f t="shared" si="173"/>
        <v/>
      </c>
      <c r="GJ30" s="207" t="str">
        <f t="shared" si="174"/>
        <v/>
      </c>
      <c r="GK30" s="207" t="str">
        <f t="shared" si="175"/>
        <v/>
      </c>
      <c r="GL30" s="207" t="str">
        <f t="shared" si="176"/>
        <v/>
      </c>
      <c r="GM30" s="207" t="str">
        <f t="shared" si="177"/>
        <v/>
      </c>
      <c r="GN30" s="207" t="str">
        <f t="shared" si="178"/>
        <v/>
      </c>
      <c r="GO30" s="39">
        <f t="shared" si="179"/>
        <v>0</v>
      </c>
      <c r="GP30" s="68" t="e">
        <f t="shared" si="180"/>
        <v>#N/A</v>
      </c>
      <c r="GQ30" s="576" t="e">
        <f>IF(FY30&gt;100,"",IF(FY30&gt;BE$1,"sangat baik dalam "&amp;GP30,IF(FY30&gt;=BE$2,"baik dalam "&amp;GP30,IF(FY30&gt;=BE$3,"cukup dalam "&amp;GP30,IF(FY30&lt;BE$3,"dengan bimbingan dapat meningkatkan dalam "&amp;GP30,IF(FY30&lt;1," ",””))))))</f>
        <v>#N/A</v>
      </c>
      <c r="GR30" s="223"/>
      <c r="GS30" s="223" t="str">
        <f t="shared" si="181"/>
        <v/>
      </c>
      <c r="GT30" s="223" t="str">
        <f t="shared" si="182"/>
        <v/>
      </c>
      <c r="GU30" s="223" t="str">
        <f t="shared" si="183"/>
        <v/>
      </c>
      <c r="GV30" s="223" t="str">
        <f t="shared" si="184"/>
        <v/>
      </c>
      <c r="GW30" s="223" t="str">
        <f t="shared" si="185"/>
        <v/>
      </c>
      <c r="GX30" s="223" t="str">
        <f t="shared" si="186"/>
        <v/>
      </c>
      <c r="GY30" s="223" t="str">
        <f t="shared" si="187"/>
        <v/>
      </c>
      <c r="GZ30" s="223" t="str">
        <f t="shared" si="188"/>
        <v/>
      </c>
      <c r="HA30" s="223" t="str">
        <f t="shared" si="189"/>
        <v/>
      </c>
      <c r="HB30" s="223" t="str">
        <f t="shared" si="190"/>
        <v/>
      </c>
      <c r="HC30" s="223" t="str">
        <f t="shared" si="191"/>
        <v/>
      </c>
      <c r="HD30" s="223" t="str">
        <f t="shared" si="192"/>
        <v/>
      </c>
      <c r="HE30" s="223" t="e">
        <f t="shared" si="193"/>
        <v>#N/A</v>
      </c>
      <c r="HF30" s="577" t="e">
        <f>IF(FZ30&gt;100,"",IF(FZ30&gt;=BE$1,"sangat baik dalam "&amp;HE30,IF(FZ30&gt;=BE$2,"baik dalam "&amp;HE30,IF(FZ30&gt;=BE$3,"cukup dalam "&amp;HE30,IF(FZ30&lt;BE$3,"dengan bimbingan dapat meningkatkan dalam "&amp;HE30,IF(FZ30&lt;1," ",””))))))</f>
        <v>#N/A</v>
      </c>
      <c r="HG30" s="223" t="e">
        <f t="shared" si="194"/>
        <v>#N/A</v>
      </c>
    </row>
    <row r="31" spans="1:215" ht="30" customHeight="1">
      <c r="A31" s="39">
        <v>24</v>
      </c>
      <c r="B31" s="223">
        <f>SISWA!B29</f>
        <v>0</v>
      </c>
      <c r="C31" s="123"/>
      <c r="D31" s="123"/>
      <c r="E31" s="123"/>
      <c r="F31" s="123"/>
      <c r="G31" s="123"/>
      <c r="H31" s="123"/>
      <c r="I31" s="123"/>
      <c r="J31" s="123"/>
      <c r="K31" s="123"/>
      <c r="L31" s="123"/>
      <c r="M31" s="123"/>
      <c r="N31" s="123"/>
      <c r="O31" s="255"/>
      <c r="P31" s="255"/>
      <c r="Q31" s="255"/>
      <c r="R31" s="255"/>
      <c r="S31" s="255"/>
      <c r="T31" s="255"/>
      <c r="U31" s="255"/>
      <c r="V31" s="255"/>
      <c r="W31" s="255"/>
      <c r="X31" s="255"/>
      <c r="Y31" s="255"/>
      <c r="Z31" s="255"/>
      <c r="AA31" s="256"/>
      <c r="AB31" s="256"/>
      <c r="AC31" s="256"/>
      <c r="AD31" s="256"/>
      <c r="AE31" s="256"/>
      <c r="AF31" s="256"/>
      <c r="AG31" s="256"/>
      <c r="AH31" s="256"/>
      <c r="AI31" s="256"/>
      <c r="AJ31" s="256"/>
      <c r="AK31" s="256"/>
      <c r="AL31" s="256"/>
      <c r="AM31" s="257" t="str">
        <f t="shared" si="25"/>
        <v/>
      </c>
      <c r="AN31" s="257" t="str">
        <f t="shared" si="26"/>
        <v/>
      </c>
      <c r="AO31" s="257" t="str">
        <f t="shared" si="27"/>
        <v/>
      </c>
      <c r="AP31" s="257" t="str">
        <f t="shared" si="28"/>
        <v/>
      </c>
      <c r="AQ31" s="257" t="str">
        <f t="shared" si="29"/>
        <v/>
      </c>
      <c r="AR31" s="257" t="str">
        <f t="shared" si="30"/>
        <v/>
      </c>
      <c r="AS31" s="257" t="str">
        <f t="shared" si="31"/>
        <v/>
      </c>
      <c r="AT31" s="257" t="str">
        <f t="shared" si="32"/>
        <v/>
      </c>
      <c r="AU31" s="257" t="str">
        <f t="shared" si="33"/>
        <v/>
      </c>
      <c r="AV31" s="257" t="str">
        <f t="shared" si="34"/>
        <v/>
      </c>
      <c r="AW31" s="257" t="str">
        <f t="shared" si="35"/>
        <v/>
      </c>
      <c r="AX31" s="257" t="str">
        <f t="shared" si="36"/>
        <v/>
      </c>
      <c r="AY31" s="756" t="str">
        <f t="shared" si="37"/>
        <v/>
      </c>
      <c r="AZ31" s="291" t="str">
        <f t="shared" si="38"/>
        <v xml:space="preserve">  </v>
      </c>
      <c r="BA31" s="243" t="str">
        <f t="shared" si="39"/>
        <v xml:space="preserve"> </v>
      </c>
      <c r="BB31" s="39"/>
      <c r="BC31" s="39"/>
      <c r="BD31" s="257">
        <f t="shared" si="40"/>
        <v>0</v>
      </c>
      <c r="BE31" s="257">
        <f t="shared" si="41"/>
        <v>0</v>
      </c>
      <c r="BF31" s="257">
        <f t="shared" si="42"/>
        <v>0</v>
      </c>
      <c r="BG31" s="257">
        <f t="shared" si="43"/>
        <v>0</v>
      </c>
      <c r="BH31" s="257">
        <f t="shared" si="44"/>
        <v>0</v>
      </c>
      <c r="BI31" s="257">
        <f t="shared" si="45"/>
        <v>0</v>
      </c>
      <c r="BJ31" s="257">
        <f t="shared" si="46"/>
        <v>0</v>
      </c>
      <c r="BK31" s="257">
        <f t="shared" si="47"/>
        <v>0</v>
      </c>
      <c r="BL31" s="257">
        <f t="shared" si="48"/>
        <v>0</v>
      </c>
      <c r="BM31" s="257">
        <f t="shared" si="49"/>
        <v>0</v>
      </c>
      <c r="BN31" s="257">
        <f t="shared" si="50"/>
        <v>0</v>
      </c>
      <c r="BO31" s="257">
        <f t="shared" si="51"/>
        <v>0</v>
      </c>
      <c r="BP31" s="232">
        <f t="shared" si="52"/>
        <v>0</v>
      </c>
      <c r="BQ31" s="257">
        <f t="shared" si="53"/>
        <v>0</v>
      </c>
      <c r="BR31" s="257">
        <f t="shared" si="54"/>
        <v>0</v>
      </c>
      <c r="BS31" s="257">
        <f t="shared" si="55"/>
        <v>0</v>
      </c>
      <c r="BT31" s="257">
        <f t="shared" si="56"/>
        <v>0</v>
      </c>
      <c r="BU31" s="257">
        <f t="shared" si="57"/>
        <v>0</v>
      </c>
      <c r="BV31" s="257">
        <f t="shared" si="58"/>
        <v>0</v>
      </c>
      <c r="BW31" s="257">
        <f t="shared" si="59"/>
        <v>0</v>
      </c>
      <c r="BX31" s="257">
        <f t="shared" si="60"/>
        <v>0</v>
      </c>
      <c r="BY31" s="257">
        <f t="shared" si="61"/>
        <v>0</v>
      </c>
      <c r="BZ31" s="257">
        <f t="shared" si="62"/>
        <v>0</v>
      </c>
      <c r="CA31" s="257">
        <f t="shared" si="63"/>
        <v>0</v>
      </c>
      <c r="CB31" s="257">
        <f t="shared" si="64"/>
        <v>0</v>
      </c>
      <c r="CC31" s="232">
        <f t="shared" si="65"/>
        <v>0</v>
      </c>
      <c r="CD31" s="257">
        <f t="shared" si="66"/>
        <v>0</v>
      </c>
      <c r="CE31" s="257">
        <f t="shared" si="67"/>
        <v>0</v>
      </c>
      <c r="CF31" s="257">
        <f t="shared" si="68"/>
        <v>0</v>
      </c>
      <c r="CG31" s="257">
        <f t="shared" si="69"/>
        <v>0</v>
      </c>
      <c r="CH31" s="257">
        <f t="shared" si="70"/>
        <v>0</v>
      </c>
      <c r="CI31" s="257">
        <f t="shared" si="71"/>
        <v>0</v>
      </c>
      <c r="CJ31" s="257">
        <f t="shared" si="72"/>
        <v>0</v>
      </c>
      <c r="CK31" s="257">
        <f t="shared" si="73"/>
        <v>0</v>
      </c>
      <c r="CL31" s="257">
        <f t="shared" si="74"/>
        <v>0</v>
      </c>
      <c r="CM31" s="257">
        <f t="shared" si="75"/>
        <v>0</v>
      </c>
      <c r="CN31" s="257">
        <f t="shared" si="76"/>
        <v>0</v>
      </c>
      <c r="CO31" s="257">
        <f t="shared" si="77"/>
        <v>0</v>
      </c>
      <c r="CP31" s="232">
        <f t="shared" si="78"/>
        <v>0</v>
      </c>
      <c r="CQ31" s="257">
        <f t="shared" si="79"/>
        <v>0</v>
      </c>
      <c r="CR31" s="257">
        <f t="shared" si="80"/>
        <v>0</v>
      </c>
      <c r="CS31" s="257">
        <f t="shared" si="81"/>
        <v>0</v>
      </c>
      <c r="CT31" s="575">
        <f t="shared" si="82"/>
        <v>3</v>
      </c>
      <c r="CU31" s="506">
        <f t="shared" si="83"/>
        <v>0</v>
      </c>
      <c r="CV31" s="39" t="str">
        <f t="shared" si="84"/>
        <v/>
      </c>
      <c r="CW31" s="257">
        <f t="shared" si="85"/>
        <v>0</v>
      </c>
      <c r="CX31" s="257">
        <f t="shared" si="86"/>
        <v>0</v>
      </c>
      <c r="CY31" s="257">
        <f t="shared" si="87"/>
        <v>0</v>
      </c>
      <c r="CZ31" s="575">
        <f t="shared" si="88"/>
        <v>3</v>
      </c>
      <c r="DA31" s="506">
        <f t="shared" si="89"/>
        <v>0</v>
      </c>
      <c r="DB31" s="39" t="str">
        <f t="shared" si="90"/>
        <v/>
      </c>
      <c r="DC31" s="257">
        <f t="shared" si="91"/>
        <v>0</v>
      </c>
      <c r="DD31" s="257">
        <f t="shared" si="92"/>
        <v>0</v>
      </c>
      <c r="DE31" s="257">
        <f t="shared" si="93"/>
        <v>0</v>
      </c>
      <c r="DF31" s="575">
        <f t="shared" si="94"/>
        <v>3</v>
      </c>
      <c r="DG31" s="506">
        <f t="shared" si="95"/>
        <v>0</v>
      </c>
      <c r="DH31" s="39" t="str">
        <f t="shared" si="96"/>
        <v/>
      </c>
      <c r="DI31" s="257">
        <f t="shared" si="97"/>
        <v>0</v>
      </c>
      <c r="DJ31" s="257">
        <f t="shared" si="98"/>
        <v>0</v>
      </c>
      <c r="DK31" s="257">
        <f t="shared" si="99"/>
        <v>0</v>
      </c>
      <c r="DL31" s="575">
        <f t="shared" si="100"/>
        <v>3</v>
      </c>
      <c r="DM31" s="506">
        <f t="shared" si="101"/>
        <v>0</v>
      </c>
      <c r="DN31" s="39" t="str">
        <f t="shared" si="102"/>
        <v/>
      </c>
      <c r="DO31" s="257">
        <f t="shared" si="103"/>
        <v>0</v>
      </c>
      <c r="DP31" s="257">
        <f t="shared" si="104"/>
        <v>0</v>
      </c>
      <c r="DQ31" s="257">
        <f t="shared" si="105"/>
        <v>0</v>
      </c>
      <c r="DR31" s="575">
        <f t="shared" si="106"/>
        <v>3</v>
      </c>
      <c r="DS31" s="506">
        <f t="shared" si="107"/>
        <v>0</v>
      </c>
      <c r="DT31" s="39" t="str">
        <f t="shared" si="108"/>
        <v/>
      </c>
      <c r="DU31" s="257">
        <f t="shared" si="109"/>
        <v>0</v>
      </c>
      <c r="DV31" s="257">
        <f t="shared" si="110"/>
        <v>0</v>
      </c>
      <c r="DW31" s="257">
        <f t="shared" si="111"/>
        <v>0</v>
      </c>
      <c r="DX31" s="575">
        <f t="shared" si="112"/>
        <v>3</v>
      </c>
      <c r="DY31" s="506">
        <f t="shared" si="113"/>
        <v>0</v>
      </c>
      <c r="DZ31" s="39" t="str">
        <f t="shared" si="114"/>
        <v/>
      </c>
      <c r="EA31" s="257">
        <f t="shared" si="115"/>
        <v>0</v>
      </c>
      <c r="EB31" s="257">
        <f t="shared" si="116"/>
        <v>0</v>
      </c>
      <c r="EC31" s="257">
        <f t="shared" si="117"/>
        <v>0</v>
      </c>
      <c r="ED31" s="575">
        <f t="shared" si="118"/>
        <v>3</v>
      </c>
      <c r="EE31" s="506">
        <f t="shared" si="119"/>
        <v>0</v>
      </c>
      <c r="EF31" s="39" t="str">
        <f t="shared" si="120"/>
        <v/>
      </c>
      <c r="EG31" s="257">
        <f t="shared" si="121"/>
        <v>0</v>
      </c>
      <c r="EH31" s="257">
        <f t="shared" si="122"/>
        <v>0</v>
      </c>
      <c r="EI31" s="257">
        <f t="shared" si="123"/>
        <v>0</v>
      </c>
      <c r="EJ31" s="575">
        <f t="shared" si="124"/>
        <v>3</v>
      </c>
      <c r="EK31" s="506">
        <f t="shared" si="125"/>
        <v>0</v>
      </c>
      <c r="EL31" s="39" t="str">
        <f t="shared" si="126"/>
        <v/>
      </c>
      <c r="EM31" s="257">
        <f t="shared" si="127"/>
        <v>0</v>
      </c>
      <c r="EN31" s="257">
        <f t="shared" si="128"/>
        <v>0</v>
      </c>
      <c r="EO31" s="257">
        <f t="shared" si="129"/>
        <v>0</v>
      </c>
      <c r="EP31" s="575">
        <f t="shared" si="130"/>
        <v>3</v>
      </c>
      <c r="EQ31" s="506">
        <f t="shared" si="131"/>
        <v>0</v>
      </c>
      <c r="ER31" s="39" t="str">
        <f t="shared" si="132"/>
        <v/>
      </c>
      <c r="ES31" s="257">
        <f t="shared" si="133"/>
        <v>0</v>
      </c>
      <c r="ET31" s="257">
        <f t="shared" si="134"/>
        <v>0</v>
      </c>
      <c r="EU31" s="257">
        <f t="shared" si="135"/>
        <v>0</v>
      </c>
      <c r="EV31" s="575">
        <f t="shared" si="136"/>
        <v>3</v>
      </c>
      <c r="EW31" s="506">
        <f t="shared" si="137"/>
        <v>0</v>
      </c>
      <c r="EX31" s="39" t="str">
        <f t="shared" si="138"/>
        <v/>
      </c>
      <c r="EY31" s="257">
        <f t="shared" si="139"/>
        <v>0</v>
      </c>
      <c r="EZ31" s="257">
        <f t="shared" si="140"/>
        <v>0</v>
      </c>
      <c r="FA31" s="257">
        <f t="shared" si="141"/>
        <v>0</v>
      </c>
      <c r="FB31" s="575">
        <f t="shared" si="142"/>
        <v>3</v>
      </c>
      <c r="FC31" s="506">
        <f t="shared" si="143"/>
        <v>0</v>
      </c>
      <c r="FD31" s="39" t="str">
        <f t="shared" si="144"/>
        <v/>
      </c>
      <c r="FE31" s="257">
        <f t="shared" si="145"/>
        <v>0</v>
      </c>
      <c r="FF31" s="257">
        <f t="shared" si="146"/>
        <v>0</v>
      </c>
      <c r="FG31" s="257">
        <f t="shared" si="147"/>
        <v>0</v>
      </c>
      <c r="FH31" s="575">
        <f t="shared" si="148"/>
        <v>3</v>
      </c>
      <c r="FI31" s="506">
        <f t="shared" si="149"/>
        <v>0</v>
      </c>
      <c r="FJ31" s="39" t="str">
        <f t="shared" si="150"/>
        <v/>
      </c>
      <c r="FK31" s="39"/>
      <c r="FL31" s="39" t="str">
        <f t="shared" si="151"/>
        <v/>
      </c>
      <c r="FM31" s="39" t="str">
        <f t="shared" si="152"/>
        <v/>
      </c>
      <c r="FN31" s="39" t="str">
        <f t="shared" si="153"/>
        <v/>
      </c>
      <c r="FO31" s="39" t="str">
        <f t="shared" si="154"/>
        <v/>
      </c>
      <c r="FP31" s="39" t="str">
        <f t="shared" si="155"/>
        <v/>
      </c>
      <c r="FQ31" s="39" t="str">
        <f t="shared" si="156"/>
        <v/>
      </c>
      <c r="FR31" s="39" t="str">
        <f t="shared" si="157"/>
        <v/>
      </c>
      <c r="FS31" s="39" t="str">
        <f t="shared" si="158"/>
        <v/>
      </c>
      <c r="FT31" s="39" t="str">
        <f t="shared" si="159"/>
        <v/>
      </c>
      <c r="FU31" s="39" t="str">
        <f t="shared" si="160"/>
        <v/>
      </c>
      <c r="FV31" s="39" t="str">
        <f t="shared" si="161"/>
        <v/>
      </c>
      <c r="FW31" s="39" t="str">
        <f t="shared" si="162"/>
        <v/>
      </c>
      <c r="FX31" s="39" t="str">
        <f t="shared" si="163"/>
        <v/>
      </c>
      <c r="FY31" s="68">
        <f t="shared" si="164"/>
        <v>0</v>
      </c>
      <c r="FZ31" s="68">
        <f t="shared" si="165"/>
        <v>0</v>
      </c>
      <c r="GA31" s="39">
        <f>SISWA!E29</f>
        <v>0</v>
      </c>
      <c r="GB31" s="39" t="str">
        <f t="shared" si="166"/>
        <v/>
      </c>
      <c r="GC31" s="207" t="str">
        <f t="shared" si="167"/>
        <v/>
      </c>
      <c r="GD31" s="207" t="str">
        <f t="shared" si="168"/>
        <v/>
      </c>
      <c r="GE31" s="207" t="str">
        <f t="shared" si="169"/>
        <v/>
      </c>
      <c r="GF31" s="207" t="str">
        <f t="shared" si="170"/>
        <v/>
      </c>
      <c r="GG31" s="207" t="str">
        <f t="shared" si="171"/>
        <v/>
      </c>
      <c r="GH31" s="207" t="str">
        <f t="shared" si="172"/>
        <v/>
      </c>
      <c r="GI31" s="207" t="str">
        <f t="shared" si="173"/>
        <v/>
      </c>
      <c r="GJ31" s="207" t="str">
        <f t="shared" si="174"/>
        <v/>
      </c>
      <c r="GK31" s="207" t="str">
        <f t="shared" si="175"/>
        <v/>
      </c>
      <c r="GL31" s="207" t="str">
        <f t="shared" si="176"/>
        <v/>
      </c>
      <c r="GM31" s="207" t="str">
        <f t="shared" si="177"/>
        <v/>
      </c>
      <c r="GN31" s="207" t="str">
        <f t="shared" si="178"/>
        <v/>
      </c>
      <c r="GO31" s="39">
        <f t="shared" si="179"/>
        <v>0</v>
      </c>
      <c r="GP31" s="68" t="e">
        <f t="shared" si="180"/>
        <v>#N/A</v>
      </c>
      <c r="GQ31" s="576" t="e">
        <f>IF(FY31&gt;100,"",IF(FY31&gt;BE$1,"sangat baik dalam "&amp;GP31,IF(FY31&gt;=BE$2,"baik dalam "&amp;GP31,IF(FY31&gt;=BE$3,"cukup dalam "&amp;GP31,IF(FY31&lt;BE$3,"dengan bimbingan dapat meningkatkan dalam "&amp;GP31,IF(FY31&lt;1," ",””))))))</f>
        <v>#N/A</v>
      </c>
      <c r="GR31" s="223"/>
      <c r="GS31" s="223" t="str">
        <f t="shared" si="181"/>
        <v/>
      </c>
      <c r="GT31" s="223" t="str">
        <f t="shared" si="182"/>
        <v/>
      </c>
      <c r="GU31" s="223" t="str">
        <f t="shared" si="183"/>
        <v/>
      </c>
      <c r="GV31" s="223" t="str">
        <f t="shared" si="184"/>
        <v/>
      </c>
      <c r="GW31" s="223" t="str">
        <f t="shared" si="185"/>
        <v/>
      </c>
      <c r="GX31" s="223" t="str">
        <f t="shared" si="186"/>
        <v/>
      </c>
      <c r="GY31" s="223" t="str">
        <f t="shared" si="187"/>
        <v/>
      </c>
      <c r="GZ31" s="223" t="str">
        <f t="shared" si="188"/>
        <v/>
      </c>
      <c r="HA31" s="223" t="str">
        <f t="shared" si="189"/>
        <v/>
      </c>
      <c r="HB31" s="223" t="str">
        <f t="shared" si="190"/>
        <v/>
      </c>
      <c r="HC31" s="223" t="str">
        <f t="shared" si="191"/>
        <v/>
      </c>
      <c r="HD31" s="223" t="str">
        <f t="shared" si="192"/>
        <v/>
      </c>
      <c r="HE31" s="223" t="e">
        <f t="shared" si="193"/>
        <v>#N/A</v>
      </c>
      <c r="HF31" s="577" t="e">
        <f>IF(FZ31&gt;100,"",IF(FZ31&gt;=BE$1,"sangat baik dalam "&amp;HE31,IF(FZ31&gt;=BE$2,"baik dalam "&amp;HE31,IF(FZ31&gt;=BE$3,"cukup dalam "&amp;HE31,IF(FZ31&lt;BE$3,"dengan bimbingan dapat meningkatkan dalam "&amp;HE31,IF(FZ31&lt;1," ",””))))))</f>
        <v>#N/A</v>
      </c>
      <c r="HG31" s="223" t="e">
        <f t="shared" si="194"/>
        <v>#N/A</v>
      </c>
    </row>
    <row r="32" spans="1:215" ht="30" customHeight="1">
      <c r="A32" s="39">
        <v>25</v>
      </c>
      <c r="B32" s="223">
        <f>SISWA!B30</f>
        <v>0</v>
      </c>
      <c r="C32" s="123"/>
      <c r="D32" s="123"/>
      <c r="E32" s="123"/>
      <c r="F32" s="123"/>
      <c r="G32" s="123"/>
      <c r="H32" s="123"/>
      <c r="I32" s="123"/>
      <c r="J32" s="123"/>
      <c r="K32" s="123"/>
      <c r="L32" s="123"/>
      <c r="M32" s="123"/>
      <c r="N32" s="123"/>
      <c r="O32" s="255"/>
      <c r="P32" s="255"/>
      <c r="Q32" s="255"/>
      <c r="R32" s="255"/>
      <c r="S32" s="255"/>
      <c r="T32" s="255"/>
      <c r="U32" s="255"/>
      <c r="V32" s="255"/>
      <c r="W32" s="255"/>
      <c r="X32" s="255"/>
      <c r="Y32" s="255"/>
      <c r="Z32" s="255"/>
      <c r="AA32" s="256"/>
      <c r="AB32" s="256"/>
      <c r="AC32" s="256"/>
      <c r="AD32" s="256"/>
      <c r="AE32" s="256"/>
      <c r="AF32" s="256"/>
      <c r="AG32" s="256"/>
      <c r="AH32" s="256"/>
      <c r="AI32" s="256"/>
      <c r="AJ32" s="256"/>
      <c r="AK32" s="256"/>
      <c r="AL32" s="256"/>
      <c r="AM32" s="257" t="str">
        <f t="shared" si="25"/>
        <v/>
      </c>
      <c r="AN32" s="257" t="str">
        <f t="shared" si="26"/>
        <v/>
      </c>
      <c r="AO32" s="257" t="str">
        <f t="shared" si="27"/>
        <v/>
      </c>
      <c r="AP32" s="257" t="str">
        <f t="shared" si="28"/>
        <v/>
      </c>
      <c r="AQ32" s="257" t="str">
        <f t="shared" si="29"/>
        <v/>
      </c>
      <c r="AR32" s="257" t="str">
        <f t="shared" si="30"/>
        <v/>
      </c>
      <c r="AS32" s="257" t="str">
        <f t="shared" si="31"/>
        <v/>
      </c>
      <c r="AT32" s="257" t="str">
        <f t="shared" si="32"/>
        <v/>
      </c>
      <c r="AU32" s="257" t="str">
        <f t="shared" si="33"/>
        <v/>
      </c>
      <c r="AV32" s="257" t="str">
        <f t="shared" si="34"/>
        <v/>
      </c>
      <c r="AW32" s="257" t="str">
        <f t="shared" si="35"/>
        <v/>
      </c>
      <c r="AX32" s="257" t="str">
        <f t="shared" si="36"/>
        <v/>
      </c>
      <c r="AY32" s="756" t="str">
        <f t="shared" si="37"/>
        <v/>
      </c>
      <c r="AZ32" s="291" t="str">
        <f t="shared" si="38"/>
        <v xml:space="preserve">  </v>
      </c>
      <c r="BA32" s="243" t="str">
        <f t="shared" si="39"/>
        <v xml:space="preserve"> </v>
      </c>
      <c r="BB32" s="39"/>
      <c r="BC32" s="39"/>
      <c r="BD32" s="257">
        <f t="shared" si="40"/>
        <v>0</v>
      </c>
      <c r="BE32" s="257">
        <f t="shared" si="41"/>
        <v>0</v>
      </c>
      <c r="BF32" s="257">
        <f t="shared" si="42"/>
        <v>0</v>
      </c>
      <c r="BG32" s="257">
        <f t="shared" si="43"/>
        <v>0</v>
      </c>
      <c r="BH32" s="257">
        <f t="shared" si="44"/>
        <v>0</v>
      </c>
      <c r="BI32" s="257">
        <f t="shared" si="45"/>
        <v>0</v>
      </c>
      <c r="BJ32" s="257">
        <f t="shared" si="46"/>
        <v>0</v>
      </c>
      <c r="BK32" s="257">
        <f t="shared" si="47"/>
        <v>0</v>
      </c>
      <c r="BL32" s="257">
        <f t="shared" si="48"/>
        <v>0</v>
      </c>
      <c r="BM32" s="257">
        <f t="shared" si="49"/>
        <v>0</v>
      </c>
      <c r="BN32" s="257">
        <f t="shared" si="50"/>
        <v>0</v>
      </c>
      <c r="BO32" s="257">
        <f t="shared" si="51"/>
        <v>0</v>
      </c>
      <c r="BP32" s="232">
        <f t="shared" si="52"/>
        <v>0</v>
      </c>
      <c r="BQ32" s="257">
        <f t="shared" si="53"/>
        <v>0</v>
      </c>
      <c r="BR32" s="257">
        <f t="shared" si="54"/>
        <v>0</v>
      </c>
      <c r="BS32" s="257">
        <f t="shared" si="55"/>
        <v>0</v>
      </c>
      <c r="BT32" s="257">
        <f t="shared" si="56"/>
        <v>0</v>
      </c>
      <c r="BU32" s="257">
        <f t="shared" si="57"/>
        <v>0</v>
      </c>
      <c r="BV32" s="257">
        <f t="shared" si="58"/>
        <v>0</v>
      </c>
      <c r="BW32" s="257">
        <f t="shared" si="59"/>
        <v>0</v>
      </c>
      <c r="BX32" s="257">
        <f t="shared" si="60"/>
        <v>0</v>
      </c>
      <c r="BY32" s="257">
        <f t="shared" si="61"/>
        <v>0</v>
      </c>
      <c r="BZ32" s="257">
        <f t="shared" si="62"/>
        <v>0</v>
      </c>
      <c r="CA32" s="257">
        <f t="shared" si="63"/>
        <v>0</v>
      </c>
      <c r="CB32" s="257">
        <f t="shared" si="64"/>
        <v>0</v>
      </c>
      <c r="CC32" s="232">
        <f t="shared" si="65"/>
        <v>0</v>
      </c>
      <c r="CD32" s="257">
        <f t="shared" si="66"/>
        <v>0</v>
      </c>
      <c r="CE32" s="257">
        <f t="shared" si="67"/>
        <v>0</v>
      </c>
      <c r="CF32" s="257">
        <f t="shared" si="68"/>
        <v>0</v>
      </c>
      <c r="CG32" s="257">
        <f t="shared" si="69"/>
        <v>0</v>
      </c>
      <c r="CH32" s="257">
        <f t="shared" si="70"/>
        <v>0</v>
      </c>
      <c r="CI32" s="257">
        <f t="shared" si="71"/>
        <v>0</v>
      </c>
      <c r="CJ32" s="257">
        <f t="shared" si="72"/>
        <v>0</v>
      </c>
      <c r="CK32" s="257">
        <f t="shared" si="73"/>
        <v>0</v>
      </c>
      <c r="CL32" s="257">
        <f t="shared" si="74"/>
        <v>0</v>
      </c>
      <c r="CM32" s="257">
        <f t="shared" si="75"/>
        <v>0</v>
      </c>
      <c r="CN32" s="257">
        <f t="shared" si="76"/>
        <v>0</v>
      </c>
      <c r="CO32" s="257">
        <f t="shared" si="77"/>
        <v>0</v>
      </c>
      <c r="CP32" s="232">
        <f t="shared" si="78"/>
        <v>0</v>
      </c>
      <c r="CQ32" s="257">
        <f t="shared" si="79"/>
        <v>0</v>
      </c>
      <c r="CR32" s="257">
        <f t="shared" si="80"/>
        <v>0</v>
      </c>
      <c r="CS32" s="257">
        <f t="shared" si="81"/>
        <v>0</v>
      </c>
      <c r="CT32" s="575">
        <f t="shared" si="82"/>
        <v>3</v>
      </c>
      <c r="CU32" s="506">
        <f t="shared" si="83"/>
        <v>0</v>
      </c>
      <c r="CV32" s="39" t="str">
        <f t="shared" si="84"/>
        <v/>
      </c>
      <c r="CW32" s="257">
        <f t="shared" si="85"/>
        <v>0</v>
      </c>
      <c r="CX32" s="257">
        <f t="shared" si="86"/>
        <v>0</v>
      </c>
      <c r="CY32" s="257">
        <f t="shared" si="87"/>
        <v>0</v>
      </c>
      <c r="CZ32" s="575">
        <f t="shared" si="88"/>
        <v>3</v>
      </c>
      <c r="DA32" s="506">
        <f t="shared" si="89"/>
        <v>0</v>
      </c>
      <c r="DB32" s="39" t="str">
        <f t="shared" si="90"/>
        <v/>
      </c>
      <c r="DC32" s="257">
        <f t="shared" si="91"/>
        <v>0</v>
      </c>
      <c r="DD32" s="257">
        <f t="shared" si="92"/>
        <v>0</v>
      </c>
      <c r="DE32" s="257">
        <f t="shared" si="93"/>
        <v>0</v>
      </c>
      <c r="DF32" s="575">
        <f t="shared" si="94"/>
        <v>3</v>
      </c>
      <c r="DG32" s="506">
        <f t="shared" si="95"/>
        <v>0</v>
      </c>
      <c r="DH32" s="39" t="str">
        <f t="shared" si="96"/>
        <v/>
      </c>
      <c r="DI32" s="257">
        <f t="shared" si="97"/>
        <v>0</v>
      </c>
      <c r="DJ32" s="257">
        <f t="shared" si="98"/>
        <v>0</v>
      </c>
      <c r="DK32" s="257">
        <f t="shared" si="99"/>
        <v>0</v>
      </c>
      <c r="DL32" s="575">
        <f t="shared" si="100"/>
        <v>3</v>
      </c>
      <c r="DM32" s="506">
        <f t="shared" si="101"/>
        <v>0</v>
      </c>
      <c r="DN32" s="39" t="str">
        <f t="shared" si="102"/>
        <v/>
      </c>
      <c r="DO32" s="257">
        <f t="shared" si="103"/>
        <v>0</v>
      </c>
      <c r="DP32" s="257">
        <f t="shared" si="104"/>
        <v>0</v>
      </c>
      <c r="DQ32" s="257">
        <f t="shared" si="105"/>
        <v>0</v>
      </c>
      <c r="DR32" s="575">
        <f t="shared" si="106"/>
        <v>3</v>
      </c>
      <c r="DS32" s="506">
        <f t="shared" si="107"/>
        <v>0</v>
      </c>
      <c r="DT32" s="39" t="str">
        <f t="shared" si="108"/>
        <v/>
      </c>
      <c r="DU32" s="257">
        <f t="shared" si="109"/>
        <v>0</v>
      </c>
      <c r="DV32" s="257">
        <f t="shared" si="110"/>
        <v>0</v>
      </c>
      <c r="DW32" s="257">
        <f t="shared" si="111"/>
        <v>0</v>
      </c>
      <c r="DX32" s="575">
        <f t="shared" si="112"/>
        <v>3</v>
      </c>
      <c r="DY32" s="506">
        <f t="shared" si="113"/>
        <v>0</v>
      </c>
      <c r="DZ32" s="39" t="str">
        <f t="shared" si="114"/>
        <v/>
      </c>
      <c r="EA32" s="257">
        <f t="shared" si="115"/>
        <v>0</v>
      </c>
      <c r="EB32" s="257">
        <f t="shared" si="116"/>
        <v>0</v>
      </c>
      <c r="EC32" s="257">
        <f t="shared" si="117"/>
        <v>0</v>
      </c>
      <c r="ED32" s="575">
        <f t="shared" si="118"/>
        <v>3</v>
      </c>
      <c r="EE32" s="506">
        <f t="shared" si="119"/>
        <v>0</v>
      </c>
      <c r="EF32" s="39" t="str">
        <f t="shared" si="120"/>
        <v/>
      </c>
      <c r="EG32" s="257">
        <f t="shared" si="121"/>
        <v>0</v>
      </c>
      <c r="EH32" s="257">
        <f t="shared" si="122"/>
        <v>0</v>
      </c>
      <c r="EI32" s="257">
        <f t="shared" si="123"/>
        <v>0</v>
      </c>
      <c r="EJ32" s="575">
        <f t="shared" si="124"/>
        <v>3</v>
      </c>
      <c r="EK32" s="506">
        <f t="shared" si="125"/>
        <v>0</v>
      </c>
      <c r="EL32" s="39" t="str">
        <f t="shared" si="126"/>
        <v/>
      </c>
      <c r="EM32" s="257">
        <f t="shared" si="127"/>
        <v>0</v>
      </c>
      <c r="EN32" s="257">
        <f t="shared" si="128"/>
        <v>0</v>
      </c>
      <c r="EO32" s="257">
        <f t="shared" si="129"/>
        <v>0</v>
      </c>
      <c r="EP32" s="575">
        <f t="shared" si="130"/>
        <v>3</v>
      </c>
      <c r="EQ32" s="506">
        <f t="shared" si="131"/>
        <v>0</v>
      </c>
      <c r="ER32" s="39" t="str">
        <f t="shared" si="132"/>
        <v/>
      </c>
      <c r="ES32" s="257">
        <f t="shared" si="133"/>
        <v>0</v>
      </c>
      <c r="ET32" s="257">
        <f t="shared" si="134"/>
        <v>0</v>
      </c>
      <c r="EU32" s="257">
        <f t="shared" si="135"/>
        <v>0</v>
      </c>
      <c r="EV32" s="575">
        <f t="shared" si="136"/>
        <v>3</v>
      </c>
      <c r="EW32" s="506">
        <f t="shared" si="137"/>
        <v>0</v>
      </c>
      <c r="EX32" s="39" t="str">
        <f t="shared" si="138"/>
        <v/>
      </c>
      <c r="EY32" s="257">
        <f t="shared" si="139"/>
        <v>0</v>
      </c>
      <c r="EZ32" s="257">
        <f t="shared" si="140"/>
        <v>0</v>
      </c>
      <c r="FA32" s="257">
        <f t="shared" si="141"/>
        <v>0</v>
      </c>
      <c r="FB32" s="575">
        <f t="shared" si="142"/>
        <v>3</v>
      </c>
      <c r="FC32" s="506">
        <f t="shared" si="143"/>
        <v>0</v>
      </c>
      <c r="FD32" s="39" t="str">
        <f t="shared" si="144"/>
        <v/>
      </c>
      <c r="FE32" s="257">
        <f t="shared" si="145"/>
        <v>0</v>
      </c>
      <c r="FF32" s="257">
        <f t="shared" si="146"/>
        <v>0</v>
      </c>
      <c r="FG32" s="257">
        <f t="shared" si="147"/>
        <v>0</v>
      </c>
      <c r="FH32" s="575">
        <f t="shared" si="148"/>
        <v>3</v>
      </c>
      <c r="FI32" s="506">
        <f t="shared" si="149"/>
        <v>0</v>
      </c>
      <c r="FJ32" s="39" t="str">
        <f t="shared" si="150"/>
        <v/>
      </c>
      <c r="FK32" s="39"/>
      <c r="FL32" s="39" t="str">
        <f t="shared" si="151"/>
        <v/>
      </c>
      <c r="FM32" s="39" t="str">
        <f t="shared" si="152"/>
        <v/>
      </c>
      <c r="FN32" s="39" t="str">
        <f t="shared" si="153"/>
        <v/>
      </c>
      <c r="FO32" s="39" t="str">
        <f t="shared" si="154"/>
        <v/>
      </c>
      <c r="FP32" s="39" t="str">
        <f t="shared" si="155"/>
        <v/>
      </c>
      <c r="FQ32" s="39" t="str">
        <f t="shared" si="156"/>
        <v/>
      </c>
      <c r="FR32" s="39" t="str">
        <f t="shared" si="157"/>
        <v/>
      </c>
      <c r="FS32" s="39" t="str">
        <f t="shared" si="158"/>
        <v/>
      </c>
      <c r="FT32" s="39" t="str">
        <f t="shared" si="159"/>
        <v/>
      </c>
      <c r="FU32" s="39" t="str">
        <f t="shared" si="160"/>
        <v/>
      </c>
      <c r="FV32" s="39" t="str">
        <f t="shared" si="161"/>
        <v/>
      </c>
      <c r="FW32" s="39" t="str">
        <f t="shared" si="162"/>
        <v/>
      </c>
      <c r="FX32" s="39" t="str">
        <f t="shared" si="163"/>
        <v/>
      </c>
      <c r="FY32" s="68">
        <f t="shared" si="164"/>
        <v>0</v>
      </c>
      <c r="FZ32" s="68">
        <f t="shared" si="165"/>
        <v>0</v>
      </c>
      <c r="GA32" s="39">
        <f>SISWA!E30</f>
        <v>0</v>
      </c>
      <c r="GB32" s="39" t="str">
        <f t="shared" si="166"/>
        <v/>
      </c>
      <c r="GC32" s="207" t="str">
        <f t="shared" si="167"/>
        <v/>
      </c>
      <c r="GD32" s="207" t="str">
        <f t="shared" si="168"/>
        <v/>
      </c>
      <c r="GE32" s="207" t="str">
        <f t="shared" si="169"/>
        <v/>
      </c>
      <c r="GF32" s="207" t="str">
        <f t="shared" si="170"/>
        <v/>
      </c>
      <c r="GG32" s="207" t="str">
        <f t="shared" si="171"/>
        <v/>
      </c>
      <c r="GH32" s="207" t="str">
        <f t="shared" si="172"/>
        <v/>
      </c>
      <c r="GI32" s="207" t="str">
        <f t="shared" si="173"/>
        <v/>
      </c>
      <c r="GJ32" s="207" t="str">
        <f t="shared" si="174"/>
        <v/>
      </c>
      <c r="GK32" s="207" t="str">
        <f t="shared" si="175"/>
        <v/>
      </c>
      <c r="GL32" s="207" t="str">
        <f t="shared" si="176"/>
        <v/>
      </c>
      <c r="GM32" s="207" t="str">
        <f t="shared" si="177"/>
        <v/>
      </c>
      <c r="GN32" s="207" t="str">
        <f t="shared" si="178"/>
        <v/>
      </c>
      <c r="GO32" s="39">
        <f t="shared" si="179"/>
        <v>0</v>
      </c>
      <c r="GP32" s="68" t="e">
        <f t="shared" si="180"/>
        <v>#N/A</v>
      </c>
      <c r="GQ32" s="576" t="e">
        <f>IF(FY32&gt;100,"",IF(FY32&gt;BE$1,"sangat baik dalam "&amp;GP32,IF(FY32&gt;=BE$2,"baik dalam "&amp;GP32,IF(FY32&gt;=BE$3,"cukup dalam "&amp;GP32,IF(FY32&lt;BE$3,"dengan bimbingan dapat meningkatkan dalam "&amp;GP32,IF(FY32&lt;1," ",””))))))</f>
        <v>#N/A</v>
      </c>
      <c r="GR32" s="223"/>
      <c r="GS32" s="223" t="str">
        <f t="shared" si="181"/>
        <v/>
      </c>
      <c r="GT32" s="223" t="str">
        <f t="shared" si="182"/>
        <v/>
      </c>
      <c r="GU32" s="223" t="str">
        <f t="shared" si="183"/>
        <v/>
      </c>
      <c r="GV32" s="223" t="str">
        <f t="shared" si="184"/>
        <v/>
      </c>
      <c r="GW32" s="223" t="str">
        <f t="shared" si="185"/>
        <v/>
      </c>
      <c r="GX32" s="223" t="str">
        <f t="shared" si="186"/>
        <v/>
      </c>
      <c r="GY32" s="223" t="str">
        <f t="shared" si="187"/>
        <v/>
      </c>
      <c r="GZ32" s="223" t="str">
        <f t="shared" si="188"/>
        <v/>
      </c>
      <c r="HA32" s="223" t="str">
        <f t="shared" si="189"/>
        <v/>
      </c>
      <c r="HB32" s="223" t="str">
        <f t="shared" si="190"/>
        <v/>
      </c>
      <c r="HC32" s="223" t="str">
        <f t="shared" si="191"/>
        <v/>
      </c>
      <c r="HD32" s="223" t="str">
        <f t="shared" si="192"/>
        <v/>
      </c>
      <c r="HE32" s="223" t="e">
        <f t="shared" si="193"/>
        <v>#N/A</v>
      </c>
      <c r="HF32" s="577" t="e">
        <f>IF(FZ32&gt;100,"",IF(FZ32&gt;=BE$1,"sangat baik dalam "&amp;HE32,IF(FZ32&gt;=BE$2,"baik dalam "&amp;HE32,IF(FZ32&gt;=BE$3,"cukup dalam "&amp;HE32,IF(FZ32&lt;BE$3,"dengan bimbingan dapat meningkatkan dalam "&amp;HE32,IF(FZ32&lt;1," ",””))))))</f>
        <v>#N/A</v>
      </c>
      <c r="HG32" s="223" t="e">
        <f t="shared" si="194"/>
        <v>#N/A</v>
      </c>
    </row>
    <row r="33" spans="1:215" ht="30" customHeight="1">
      <c r="A33" s="39">
        <v>26</v>
      </c>
      <c r="B33" s="223">
        <f>SISWA!B31</f>
        <v>0</v>
      </c>
      <c r="C33" s="123"/>
      <c r="D33" s="123"/>
      <c r="E33" s="123"/>
      <c r="F33" s="123"/>
      <c r="G33" s="123"/>
      <c r="H33" s="123"/>
      <c r="I33" s="123"/>
      <c r="J33" s="123"/>
      <c r="K33" s="123"/>
      <c r="L33" s="123"/>
      <c r="M33" s="123"/>
      <c r="N33" s="123"/>
      <c r="O33" s="255"/>
      <c r="P33" s="255"/>
      <c r="Q33" s="255"/>
      <c r="R33" s="255"/>
      <c r="S33" s="255"/>
      <c r="T33" s="255"/>
      <c r="U33" s="255"/>
      <c r="V33" s="255"/>
      <c r="W33" s="255"/>
      <c r="X33" s="255"/>
      <c r="Y33" s="255"/>
      <c r="Z33" s="255"/>
      <c r="AA33" s="256"/>
      <c r="AB33" s="256"/>
      <c r="AC33" s="256"/>
      <c r="AD33" s="256"/>
      <c r="AE33" s="256"/>
      <c r="AF33" s="256"/>
      <c r="AG33" s="256"/>
      <c r="AH33" s="256"/>
      <c r="AI33" s="256"/>
      <c r="AJ33" s="256"/>
      <c r="AK33" s="256"/>
      <c r="AL33" s="256"/>
      <c r="AM33" s="257" t="str">
        <f t="shared" si="25"/>
        <v/>
      </c>
      <c r="AN33" s="257" t="str">
        <f t="shared" si="26"/>
        <v/>
      </c>
      <c r="AO33" s="257" t="str">
        <f t="shared" si="27"/>
        <v/>
      </c>
      <c r="AP33" s="257" t="str">
        <f t="shared" si="28"/>
        <v/>
      </c>
      <c r="AQ33" s="257" t="str">
        <f t="shared" si="29"/>
        <v/>
      </c>
      <c r="AR33" s="257" t="str">
        <f t="shared" si="30"/>
        <v/>
      </c>
      <c r="AS33" s="257" t="str">
        <f t="shared" si="31"/>
        <v/>
      </c>
      <c r="AT33" s="257" t="str">
        <f t="shared" si="32"/>
        <v/>
      </c>
      <c r="AU33" s="257" t="str">
        <f t="shared" si="33"/>
        <v/>
      </c>
      <c r="AV33" s="257" t="str">
        <f t="shared" si="34"/>
        <v/>
      </c>
      <c r="AW33" s="257" t="str">
        <f t="shared" si="35"/>
        <v/>
      </c>
      <c r="AX33" s="257" t="str">
        <f t="shared" si="36"/>
        <v/>
      </c>
      <c r="AY33" s="756" t="str">
        <f t="shared" si="37"/>
        <v/>
      </c>
      <c r="AZ33" s="291" t="str">
        <f t="shared" si="38"/>
        <v xml:space="preserve">  </v>
      </c>
      <c r="BA33" s="243" t="str">
        <f t="shared" si="39"/>
        <v xml:space="preserve"> </v>
      </c>
      <c r="BB33" s="39"/>
      <c r="BC33" s="39"/>
      <c r="BD33" s="257">
        <f t="shared" si="40"/>
        <v>0</v>
      </c>
      <c r="BE33" s="257">
        <f t="shared" si="41"/>
        <v>0</v>
      </c>
      <c r="BF33" s="257">
        <f t="shared" si="42"/>
        <v>0</v>
      </c>
      <c r="BG33" s="257">
        <f t="shared" si="43"/>
        <v>0</v>
      </c>
      <c r="BH33" s="257">
        <f t="shared" si="44"/>
        <v>0</v>
      </c>
      <c r="BI33" s="257">
        <f t="shared" si="45"/>
        <v>0</v>
      </c>
      <c r="BJ33" s="257">
        <f t="shared" si="46"/>
        <v>0</v>
      </c>
      <c r="BK33" s="257">
        <f t="shared" si="47"/>
        <v>0</v>
      </c>
      <c r="BL33" s="257">
        <f t="shared" si="48"/>
        <v>0</v>
      </c>
      <c r="BM33" s="257">
        <f t="shared" si="49"/>
        <v>0</v>
      </c>
      <c r="BN33" s="257">
        <f t="shared" si="50"/>
        <v>0</v>
      </c>
      <c r="BO33" s="257">
        <f t="shared" si="51"/>
        <v>0</v>
      </c>
      <c r="BP33" s="232">
        <f t="shared" si="52"/>
        <v>0</v>
      </c>
      <c r="BQ33" s="257">
        <f t="shared" si="53"/>
        <v>0</v>
      </c>
      <c r="BR33" s="257">
        <f t="shared" si="54"/>
        <v>0</v>
      </c>
      <c r="BS33" s="257">
        <f t="shared" si="55"/>
        <v>0</v>
      </c>
      <c r="BT33" s="257">
        <f t="shared" si="56"/>
        <v>0</v>
      </c>
      <c r="BU33" s="257">
        <f t="shared" si="57"/>
        <v>0</v>
      </c>
      <c r="BV33" s="257">
        <f t="shared" si="58"/>
        <v>0</v>
      </c>
      <c r="BW33" s="257">
        <f t="shared" si="59"/>
        <v>0</v>
      </c>
      <c r="BX33" s="257">
        <f t="shared" si="60"/>
        <v>0</v>
      </c>
      <c r="BY33" s="257">
        <f t="shared" si="61"/>
        <v>0</v>
      </c>
      <c r="BZ33" s="257">
        <f t="shared" si="62"/>
        <v>0</v>
      </c>
      <c r="CA33" s="257">
        <f t="shared" si="63"/>
        <v>0</v>
      </c>
      <c r="CB33" s="257">
        <f t="shared" si="64"/>
        <v>0</v>
      </c>
      <c r="CC33" s="232">
        <f t="shared" si="65"/>
        <v>0</v>
      </c>
      <c r="CD33" s="257">
        <f t="shared" si="66"/>
        <v>0</v>
      </c>
      <c r="CE33" s="257">
        <f t="shared" si="67"/>
        <v>0</v>
      </c>
      <c r="CF33" s="257">
        <f t="shared" si="68"/>
        <v>0</v>
      </c>
      <c r="CG33" s="257">
        <f t="shared" si="69"/>
        <v>0</v>
      </c>
      <c r="CH33" s="257">
        <f t="shared" si="70"/>
        <v>0</v>
      </c>
      <c r="CI33" s="257">
        <f t="shared" si="71"/>
        <v>0</v>
      </c>
      <c r="CJ33" s="257">
        <f t="shared" si="72"/>
        <v>0</v>
      </c>
      <c r="CK33" s="257">
        <f t="shared" si="73"/>
        <v>0</v>
      </c>
      <c r="CL33" s="257">
        <f t="shared" si="74"/>
        <v>0</v>
      </c>
      <c r="CM33" s="257">
        <f t="shared" si="75"/>
        <v>0</v>
      </c>
      <c r="CN33" s="257">
        <f t="shared" si="76"/>
        <v>0</v>
      </c>
      <c r="CO33" s="257">
        <f t="shared" si="77"/>
        <v>0</v>
      </c>
      <c r="CP33" s="232">
        <f t="shared" si="78"/>
        <v>0</v>
      </c>
      <c r="CQ33" s="257">
        <f t="shared" si="79"/>
        <v>0</v>
      </c>
      <c r="CR33" s="257">
        <f t="shared" si="80"/>
        <v>0</v>
      </c>
      <c r="CS33" s="257">
        <f t="shared" si="81"/>
        <v>0</v>
      </c>
      <c r="CT33" s="575">
        <f t="shared" si="82"/>
        <v>3</v>
      </c>
      <c r="CU33" s="506">
        <f t="shared" si="83"/>
        <v>0</v>
      </c>
      <c r="CV33" s="39" t="str">
        <f t="shared" si="84"/>
        <v/>
      </c>
      <c r="CW33" s="257">
        <f t="shared" si="85"/>
        <v>0</v>
      </c>
      <c r="CX33" s="257">
        <f t="shared" si="86"/>
        <v>0</v>
      </c>
      <c r="CY33" s="257">
        <f t="shared" si="87"/>
        <v>0</v>
      </c>
      <c r="CZ33" s="575">
        <f t="shared" si="88"/>
        <v>3</v>
      </c>
      <c r="DA33" s="506">
        <f t="shared" si="89"/>
        <v>0</v>
      </c>
      <c r="DB33" s="39" t="str">
        <f t="shared" si="90"/>
        <v/>
      </c>
      <c r="DC33" s="257">
        <f t="shared" si="91"/>
        <v>0</v>
      </c>
      <c r="DD33" s="257">
        <f t="shared" si="92"/>
        <v>0</v>
      </c>
      <c r="DE33" s="257">
        <f t="shared" si="93"/>
        <v>0</v>
      </c>
      <c r="DF33" s="575">
        <f t="shared" si="94"/>
        <v>3</v>
      </c>
      <c r="DG33" s="506">
        <f t="shared" si="95"/>
        <v>0</v>
      </c>
      <c r="DH33" s="39" t="str">
        <f t="shared" si="96"/>
        <v/>
      </c>
      <c r="DI33" s="257">
        <f t="shared" si="97"/>
        <v>0</v>
      </c>
      <c r="DJ33" s="257">
        <f t="shared" si="98"/>
        <v>0</v>
      </c>
      <c r="DK33" s="257">
        <f t="shared" si="99"/>
        <v>0</v>
      </c>
      <c r="DL33" s="575">
        <f t="shared" si="100"/>
        <v>3</v>
      </c>
      <c r="DM33" s="506">
        <f t="shared" si="101"/>
        <v>0</v>
      </c>
      <c r="DN33" s="39" t="str">
        <f t="shared" si="102"/>
        <v/>
      </c>
      <c r="DO33" s="257">
        <f t="shared" si="103"/>
        <v>0</v>
      </c>
      <c r="DP33" s="257">
        <f t="shared" si="104"/>
        <v>0</v>
      </c>
      <c r="DQ33" s="257">
        <f t="shared" si="105"/>
        <v>0</v>
      </c>
      <c r="DR33" s="575">
        <f t="shared" si="106"/>
        <v>3</v>
      </c>
      <c r="DS33" s="506">
        <f t="shared" si="107"/>
        <v>0</v>
      </c>
      <c r="DT33" s="39" t="str">
        <f t="shared" si="108"/>
        <v/>
      </c>
      <c r="DU33" s="257">
        <f t="shared" si="109"/>
        <v>0</v>
      </c>
      <c r="DV33" s="257">
        <f t="shared" si="110"/>
        <v>0</v>
      </c>
      <c r="DW33" s="257">
        <f t="shared" si="111"/>
        <v>0</v>
      </c>
      <c r="DX33" s="575">
        <f t="shared" si="112"/>
        <v>3</v>
      </c>
      <c r="DY33" s="506">
        <f t="shared" si="113"/>
        <v>0</v>
      </c>
      <c r="DZ33" s="39" t="str">
        <f t="shared" si="114"/>
        <v/>
      </c>
      <c r="EA33" s="257">
        <f t="shared" si="115"/>
        <v>0</v>
      </c>
      <c r="EB33" s="257">
        <f t="shared" si="116"/>
        <v>0</v>
      </c>
      <c r="EC33" s="257">
        <f t="shared" si="117"/>
        <v>0</v>
      </c>
      <c r="ED33" s="575">
        <f t="shared" si="118"/>
        <v>3</v>
      </c>
      <c r="EE33" s="506">
        <f t="shared" si="119"/>
        <v>0</v>
      </c>
      <c r="EF33" s="39" t="str">
        <f t="shared" si="120"/>
        <v/>
      </c>
      <c r="EG33" s="257">
        <f t="shared" si="121"/>
        <v>0</v>
      </c>
      <c r="EH33" s="257">
        <f t="shared" si="122"/>
        <v>0</v>
      </c>
      <c r="EI33" s="257">
        <f t="shared" si="123"/>
        <v>0</v>
      </c>
      <c r="EJ33" s="575">
        <f t="shared" si="124"/>
        <v>3</v>
      </c>
      <c r="EK33" s="506">
        <f t="shared" si="125"/>
        <v>0</v>
      </c>
      <c r="EL33" s="39" t="str">
        <f t="shared" si="126"/>
        <v/>
      </c>
      <c r="EM33" s="257">
        <f t="shared" si="127"/>
        <v>0</v>
      </c>
      <c r="EN33" s="257">
        <f t="shared" si="128"/>
        <v>0</v>
      </c>
      <c r="EO33" s="257">
        <f t="shared" si="129"/>
        <v>0</v>
      </c>
      <c r="EP33" s="575">
        <f t="shared" si="130"/>
        <v>3</v>
      </c>
      <c r="EQ33" s="506">
        <f t="shared" si="131"/>
        <v>0</v>
      </c>
      <c r="ER33" s="39" t="str">
        <f t="shared" si="132"/>
        <v/>
      </c>
      <c r="ES33" s="257">
        <f t="shared" si="133"/>
        <v>0</v>
      </c>
      <c r="ET33" s="257">
        <f t="shared" si="134"/>
        <v>0</v>
      </c>
      <c r="EU33" s="257">
        <f t="shared" si="135"/>
        <v>0</v>
      </c>
      <c r="EV33" s="575">
        <f t="shared" si="136"/>
        <v>3</v>
      </c>
      <c r="EW33" s="506">
        <f t="shared" si="137"/>
        <v>0</v>
      </c>
      <c r="EX33" s="39" t="str">
        <f t="shared" si="138"/>
        <v/>
      </c>
      <c r="EY33" s="257">
        <f t="shared" si="139"/>
        <v>0</v>
      </c>
      <c r="EZ33" s="257">
        <f t="shared" si="140"/>
        <v>0</v>
      </c>
      <c r="FA33" s="257">
        <f t="shared" si="141"/>
        <v>0</v>
      </c>
      <c r="FB33" s="575">
        <f t="shared" si="142"/>
        <v>3</v>
      </c>
      <c r="FC33" s="506">
        <f t="shared" si="143"/>
        <v>0</v>
      </c>
      <c r="FD33" s="39" t="str">
        <f t="shared" si="144"/>
        <v/>
      </c>
      <c r="FE33" s="257">
        <f t="shared" si="145"/>
        <v>0</v>
      </c>
      <c r="FF33" s="257">
        <f t="shared" si="146"/>
        <v>0</v>
      </c>
      <c r="FG33" s="257">
        <f t="shared" si="147"/>
        <v>0</v>
      </c>
      <c r="FH33" s="575">
        <f t="shared" si="148"/>
        <v>3</v>
      </c>
      <c r="FI33" s="506">
        <f t="shared" si="149"/>
        <v>0</v>
      </c>
      <c r="FJ33" s="39" t="str">
        <f t="shared" si="150"/>
        <v/>
      </c>
      <c r="FK33" s="39"/>
      <c r="FL33" s="39" t="str">
        <f t="shared" si="151"/>
        <v/>
      </c>
      <c r="FM33" s="39" t="str">
        <f t="shared" si="152"/>
        <v/>
      </c>
      <c r="FN33" s="39" t="str">
        <f t="shared" si="153"/>
        <v/>
      </c>
      <c r="FO33" s="39" t="str">
        <f t="shared" si="154"/>
        <v/>
      </c>
      <c r="FP33" s="39" t="str">
        <f t="shared" si="155"/>
        <v/>
      </c>
      <c r="FQ33" s="39" t="str">
        <f t="shared" si="156"/>
        <v/>
      </c>
      <c r="FR33" s="39" t="str">
        <f t="shared" si="157"/>
        <v/>
      </c>
      <c r="FS33" s="39" t="str">
        <f t="shared" si="158"/>
        <v/>
      </c>
      <c r="FT33" s="39" t="str">
        <f t="shared" si="159"/>
        <v/>
      </c>
      <c r="FU33" s="39" t="str">
        <f t="shared" si="160"/>
        <v/>
      </c>
      <c r="FV33" s="39" t="str">
        <f t="shared" si="161"/>
        <v/>
      </c>
      <c r="FW33" s="39" t="str">
        <f t="shared" si="162"/>
        <v/>
      </c>
      <c r="FX33" s="39" t="str">
        <f t="shared" si="163"/>
        <v/>
      </c>
      <c r="FY33" s="68">
        <f t="shared" si="164"/>
        <v>0</v>
      </c>
      <c r="FZ33" s="68">
        <f t="shared" si="165"/>
        <v>0</v>
      </c>
      <c r="GA33" s="39">
        <f>SISWA!E31</f>
        <v>0</v>
      </c>
      <c r="GB33" s="39" t="str">
        <f t="shared" si="166"/>
        <v/>
      </c>
      <c r="GC33" s="207" t="str">
        <f t="shared" si="167"/>
        <v/>
      </c>
      <c r="GD33" s="207" t="str">
        <f t="shared" si="168"/>
        <v/>
      </c>
      <c r="GE33" s="207" t="str">
        <f t="shared" si="169"/>
        <v/>
      </c>
      <c r="GF33" s="207" t="str">
        <f t="shared" si="170"/>
        <v/>
      </c>
      <c r="GG33" s="207" t="str">
        <f t="shared" si="171"/>
        <v/>
      </c>
      <c r="GH33" s="207" t="str">
        <f t="shared" si="172"/>
        <v/>
      </c>
      <c r="GI33" s="207" t="str">
        <f t="shared" si="173"/>
        <v/>
      </c>
      <c r="GJ33" s="207" t="str">
        <f t="shared" si="174"/>
        <v/>
      </c>
      <c r="GK33" s="207" t="str">
        <f t="shared" si="175"/>
        <v/>
      </c>
      <c r="GL33" s="207" t="str">
        <f t="shared" si="176"/>
        <v/>
      </c>
      <c r="GM33" s="207" t="str">
        <f t="shared" si="177"/>
        <v/>
      </c>
      <c r="GN33" s="207" t="str">
        <f t="shared" si="178"/>
        <v/>
      </c>
      <c r="GO33" s="39">
        <f t="shared" si="179"/>
        <v>0</v>
      </c>
      <c r="GP33" s="68" t="e">
        <f t="shared" si="180"/>
        <v>#N/A</v>
      </c>
      <c r="GQ33" s="576" t="e">
        <f>IF(FY33&gt;100,"",IF(FY33&gt;BE$1,"sangat baik dalam "&amp;GP33,IF(FY33&gt;=BE$2,"baik dalam "&amp;GP33,IF(FY33&gt;=BE$3,"cukup dalam "&amp;GP33,IF(FY33&lt;BE$3,"dengan bimbingan dapat meningkatkan dalam "&amp;GP33,IF(FY33&lt;1," ",””))))))</f>
        <v>#N/A</v>
      </c>
      <c r="GR33" s="223"/>
      <c r="GS33" s="223" t="str">
        <f t="shared" si="181"/>
        <v/>
      </c>
      <c r="GT33" s="223" t="str">
        <f t="shared" si="182"/>
        <v/>
      </c>
      <c r="GU33" s="223" t="str">
        <f t="shared" si="183"/>
        <v/>
      </c>
      <c r="GV33" s="223" t="str">
        <f t="shared" si="184"/>
        <v/>
      </c>
      <c r="GW33" s="223" t="str">
        <f t="shared" si="185"/>
        <v/>
      </c>
      <c r="GX33" s="223" t="str">
        <f t="shared" si="186"/>
        <v/>
      </c>
      <c r="GY33" s="223" t="str">
        <f t="shared" si="187"/>
        <v/>
      </c>
      <c r="GZ33" s="223" t="str">
        <f t="shared" si="188"/>
        <v/>
      </c>
      <c r="HA33" s="223" t="str">
        <f t="shared" si="189"/>
        <v/>
      </c>
      <c r="HB33" s="223" t="str">
        <f t="shared" si="190"/>
        <v/>
      </c>
      <c r="HC33" s="223" t="str">
        <f t="shared" si="191"/>
        <v/>
      </c>
      <c r="HD33" s="223" t="str">
        <f t="shared" si="192"/>
        <v/>
      </c>
      <c r="HE33" s="223" t="e">
        <f t="shared" si="193"/>
        <v>#N/A</v>
      </c>
      <c r="HF33" s="577" t="e">
        <f>IF(FZ33&gt;100,"",IF(FZ33&gt;=BE$1,"sangat baik dalam "&amp;HE33,IF(FZ33&gt;=BE$2,"baik dalam "&amp;HE33,IF(FZ33&gt;=BE$3,"cukup dalam "&amp;HE33,IF(FZ33&lt;BE$3,"dengan bimbingan dapat meningkatkan dalam "&amp;HE33,IF(FZ33&lt;1," ",””))))))</f>
        <v>#N/A</v>
      </c>
      <c r="HG33" s="223" t="e">
        <f t="shared" si="194"/>
        <v>#N/A</v>
      </c>
    </row>
    <row r="34" spans="1:215" ht="30" customHeight="1">
      <c r="A34" s="39">
        <v>27</v>
      </c>
      <c r="B34" s="223">
        <f>SISWA!B32</f>
        <v>0</v>
      </c>
      <c r="C34" s="123"/>
      <c r="D34" s="123"/>
      <c r="E34" s="123"/>
      <c r="F34" s="123"/>
      <c r="G34" s="123"/>
      <c r="H34" s="123"/>
      <c r="I34" s="123"/>
      <c r="J34" s="123"/>
      <c r="K34" s="123"/>
      <c r="L34" s="123"/>
      <c r="M34" s="123"/>
      <c r="N34" s="123"/>
      <c r="O34" s="255"/>
      <c r="P34" s="255"/>
      <c r="Q34" s="255"/>
      <c r="R34" s="255"/>
      <c r="S34" s="255"/>
      <c r="T34" s="255"/>
      <c r="U34" s="255"/>
      <c r="V34" s="255"/>
      <c r="W34" s="255"/>
      <c r="X34" s="255"/>
      <c r="Y34" s="255"/>
      <c r="Z34" s="255"/>
      <c r="AA34" s="256"/>
      <c r="AB34" s="256"/>
      <c r="AC34" s="256"/>
      <c r="AD34" s="256"/>
      <c r="AE34" s="256"/>
      <c r="AF34" s="256"/>
      <c r="AG34" s="256"/>
      <c r="AH34" s="256"/>
      <c r="AI34" s="256"/>
      <c r="AJ34" s="256"/>
      <c r="AK34" s="256"/>
      <c r="AL34" s="256"/>
      <c r="AM34" s="257" t="str">
        <f t="shared" si="25"/>
        <v/>
      </c>
      <c r="AN34" s="257" t="str">
        <f t="shared" si="26"/>
        <v/>
      </c>
      <c r="AO34" s="257" t="str">
        <f t="shared" si="27"/>
        <v/>
      </c>
      <c r="AP34" s="257" t="str">
        <f t="shared" si="28"/>
        <v/>
      </c>
      <c r="AQ34" s="257" t="str">
        <f t="shared" si="29"/>
        <v/>
      </c>
      <c r="AR34" s="257" t="str">
        <f t="shared" si="30"/>
        <v/>
      </c>
      <c r="AS34" s="257" t="str">
        <f t="shared" si="31"/>
        <v/>
      </c>
      <c r="AT34" s="257" t="str">
        <f t="shared" si="32"/>
        <v/>
      </c>
      <c r="AU34" s="257" t="str">
        <f t="shared" si="33"/>
        <v/>
      </c>
      <c r="AV34" s="257" t="str">
        <f t="shared" si="34"/>
        <v/>
      </c>
      <c r="AW34" s="257" t="str">
        <f t="shared" si="35"/>
        <v/>
      </c>
      <c r="AX34" s="257" t="str">
        <f t="shared" si="36"/>
        <v/>
      </c>
      <c r="AY34" s="756" t="str">
        <f t="shared" si="37"/>
        <v/>
      </c>
      <c r="AZ34" s="291" t="str">
        <f t="shared" si="38"/>
        <v xml:space="preserve">  </v>
      </c>
      <c r="BA34" s="243" t="str">
        <f t="shared" si="39"/>
        <v xml:space="preserve"> </v>
      </c>
      <c r="BB34" s="39"/>
      <c r="BC34" s="39"/>
      <c r="BD34" s="257">
        <f t="shared" si="40"/>
        <v>0</v>
      </c>
      <c r="BE34" s="257">
        <f t="shared" si="41"/>
        <v>0</v>
      </c>
      <c r="BF34" s="257">
        <f t="shared" si="42"/>
        <v>0</v>
      </c>
      <c r="BG34" s="257">
        <f t="shared" si="43"/>
        <v>0</v>
      </c>
      <c r="BH34" s="257">
        <f t="shared" si="44"/>
        <v>0</v>
      </c>
      <c r="BI34" s="257">
        <f t="shared" si="45"/>
        <v>0</v>
      </c>
      <c r="BJ34" s="257">
        <f t="shared" si="46"/>
        <v>0</v>
      </c>
      <c r="BK34" s="257">
        <f t="shared" si="47"/>
        <v>0</v>
      </c>
      <c r="BL34" s="257">
        <f t="shared" si="48"/>
        <v>0</v>
      </c>
      <c r="BM34" s="257">
        <f t="shared" si="49"/>
        <v>0</v>
      </c>
      <c r="BN34" s="257">
        <f t="shared" si="50"/>
        <v>0</v>
      </c>
      <c r="BO34" s="257">
        <f t="shared" si="51"/>
        <v>0</v>
      </c>
      <c r="BP34" s="232">
        <f t="shared" si="52"/>
        <v>0</v>
      </c>
      <c r="BQ34" s="257">
        <f t="shared" si="53"/>
        <v>0</v>
      </c>
      <c r="BR34" s="257">
        <f t="shared" si="54"/>
        <v>0</v>
      </c>
      <c r="BS34" s="257">
        <f t="shared" si="55"/>
        <v>0</v>
      </c>
      <c r="BT34" s="257">
        <f t="shared" si="56"/>
        <v>0</v>
      </c>
      <c r="BU34" s="257">
        <f t="shared" si="57"/>
        <v>0</v>
      </c>
      <c r="BV34" s="257">
        <f t="shared" si="58"/>
        <v>0</v>
      </c>
      <c r="BW34" s="257">
        <f t="shared" si="59"/>
        <v>0</v>
      </c>
      <c r="BX34" s="257">
        <f t="shared" si="60"/>
        <v>0</v>
      </c>
      <c r="BY34" s="257">
        <f t="shared" si="61"/>
        <v>0</v>
      </c>
      <c r="BZ34" s="257">
        <f t="shared" si="62"/>
        <v>0</v>
      </c>
      <c r="CA34" s="257">
        <f t="shared" si="63"/>
        <v>0</v>
      </c>
      <c r="CB34" s="257">
        <f t="shared" si="64"/>
        <v>0</v>
      </c>
      <c r="CC34" s="232">
        <f t="shared" si="65"/>
        <v>0</v>
      </c>
      <c r="CD34" s="257">
        <f t="shared" si="66"/>
        <v>0</v>
      </c>
      <c r="CE34" s="257">
        <f t="shared" si="67"/>
        <v>0</v>
      </c>
      <c r="CF34" s="257">
        <f t="shared" si="68"/>
        <v>0</v>
      </c>
      <c r="CG34" s="257">
        <f t="shared" si="69"/>
        <v>0</v>
      </c>
      <c r="CH34" s="257">
        <f t="shared" si="70"/>
        <v>0</v>
      </c>
      <c r="CI34" s="257">
        <f t="shared" si="71"/>
        <v>0</v>
      </c>
      <c r="CJ34" s="257">
        <f t="shared" si="72"/>
        <v>0</v>
      </c>
      <c r="CK34" s="257">
        <f t="shared" si="73"/>
        <v>0</v>
      </c>
      <c r="CL34" s="257">
        <f t="shared" si="74"/>
        <v>0</v>
      </c>
      <c r="CM34" s="257">
        <f t="shared" si="75"/>
        <v>0</v>
      </c>
      <c r="CN34" s="257">
        <f t="shared" si="76"/>
        <v>0</v>
      </c>
      <c r="CO34" s="257">
        <f t="shared" si="77"/>
        <v>0</v>
      </c>
      <c r="CP34" s="232">
        <f t="shared" si="78"/>
        <v>0</v>
      </c>
      <c r="CQ34" s="257">
        <f t="shared" si="79"/>
        <v>0</v>
      </c>
      <c r="CR34" s="257">
        <f t="shared" si="80"/>
        <v>0</v>
      </c>
      <c r="CS34" s="257">
        <f t="shared" si="81"/>
        <v>0</v>
      </c>
      <c r="CT34" s="575">
        <f t="shared" si="82"/>
        <v>3</v>
      </c>
      <c r="CU34" s="506">
        <f t="shared" si="83"/>
        <v>0</v>
      </c>
      <c r="CV34" s="39" t="str">
        <f t="shared" si="84"/>
        <v/>
      </c>
      <c r="CW34" s="257">
        <f t="shared" si="85"/>
        <v>0</v>
      </c>
      <c r="CX34" s="257">
        <f t="shared" si="86"/>
        <v>0</v>
      </c>
      <c r="CY34" s="257">
        <f t="shared" si="87"/>
        <v>0</v>
      </c>
      <c r="CZ34" s="575">
        <f t="shared" si="88"/>
        <v>3</v>
      </c>
      <c r="DA34" s="506">
        <f t="shared" si="89"/>
        <v>0</v>
      </c>
      <c r="DB34" s="39" t="str">
        <f t="shared" si="90"/>
        <v/>
      </c>
      <c r="DC34" s="257">
        <f t="shared" si="91"/>
        <v>0</v>
      </c>
      <c r="DD34" s="257">
        <f t="shared" si="92"/>
        <v>0</v>
      </c>
      <c r="DE34" s="257">
        <f t="shared" si="93"/>
        <v>0</v>
      </c>
      <c r="DF34" s="575">
        <f t="shared" si="94"/>
        <v>3</v>
      </c>
      <c r="DG34" s="506">
        <f t="shared" si="95"/>
        <v>0</v>
      </c>
      <c r="DH34" s="39" t="str">
        <f t="shared" si="96"/>
        <v/>
      </c>
      <c r="DI34" s="257">
        <f t="shared" si="97"/>
        <v>0</v>
      </c>
      <c r="DJ34" s="257">
        <f t="shared" si="98"/>
        <v>0</v>
      </c>
      <c r="DK34" s="257">
        <f t="shared" si="99"/>
        <v>0</v>
      </c>
      <c r="DL34" s="575">
        <f t="shared" si="100"/>
        <v>3</v>
      </c>
      <c r="DM34" s="506">
        <f t="shared" si="101"/>
        <v>0</v>
      </c>
      <c r="DN34" s="39" t="str">
        <f t="shared" si="102"/>
        <v/>
      </c>
      <c r="DO34" s="257">
        <f t="shared" si="103"/>
        <v>0</v>
      </c>
      <c r="DP34" s="257">
        <f t="shared" si="104"/>
        <v>0</v>
      </c>
      <c r="DQ34" s="257">
        <f t="shared" si="105"/>
        <v>0</v>
      </c>
      <c r="DR34" s="575">
        <f t="shared" si="106"/>
        <v>3</v>
      </c>
      <c r="DS34" s="506">
        <f t="shared" si="107"/>
        <v>0</v>
      </c>
      <c r="DT34" s="39" t="str">
        <f t="shared" si="108"/>
        <v/>
      </c>
      <c r="DU34" s="257">
        <f t="shared" si="109"/>
        <v>0</v>
      </c>
      <c r="DV34" s="257">
        <f t="shared" si="110"/>
        <v>0</v>
      </c>
      <c r="DW34" s="257">
        <f t="shared" si="111"/>
        <v>0</v>
      </c>
      <c r="DX34" s="575">
        <f t="shared" si="112"/>
        <v>3</v>
      </c>
      <c r="DY34" s="506">
        <f t="shared" si="113"/>
        <v>0</v>
      </c>
      <c r="DZ34" s="39" t="str">
        <f t="shared" si="114"/>
        <v/>
      </c>
      <c r="EA34" s="257">
        <f t="shared" si="115"/>
        <v>0</v>
      </c>
      <c r="EB34" s="257">
        <f t="shared" si="116"/>
        <v>0</v>
      </c>
      <c r="EC34" s="257">
        <f t="shared" si="117"/>
        <v>0</v>
      </c>
      <c r="ED34" s="575">
        <f t="shared" si="118"/>
        <v>3</v>
      </c>
      <c r="EE34" s="506">
        <f t="shared" si="119"/>
        <v>0</v>
      </c>
      <c r="EF34" s="39" t="str">
        <f t="shared" si="120"/>
        <v/>
      </c>
      <c r="EG34" s="257">
        <f t="shared" si="121"/>
        <v>0</v>
      </c>
      <c r="EH34" s="257">
        <f t="shared" si="122"/>
        <v>0</v>
      </c>
      <c r="EI34" s="257">
        <f t="shared" si="123"/>
        <v>0</v>
      </c>
      <c r="EJ34" s="575">
        <f t="shared" si="124"/>
        <v>3</v>
      </c>
      <c r="EK34" s="506">
        <f t="shared" si="125"/>
        <v>0</v>
      </c>
      <c r="EL34" s="39" t="str">
        <f t="shared" si="126"/>
        <v/>
      </c>
      <c r="EM34" s="257">
        <f t="shared" si="127"/>
        <v>0</v>
      </c>
      <c r="EN34" s="257">
        <f t="shared" si="128"/>
        <v>0</v>
      </c>
      <c r="EO34" s="257">
        <f t="shared" si="129"/>
        <v>0</v>
      </c>
      <c r="EP34" s="575">
        <f t="shared" si="130"/>
        <v>3</v>
      </c>
      <c r="EQ34" s="506">
        <f t="shared" si="131"/>
        <v>0</v>
      </c>
      <c r="ER34" s="39" t="str">
        <f t="shared" si="132"/>
        <v/>
      </c>
      <c r="ES34" s="257">
        <f t="shared" si="133"/>
        <v>0</v>
      </c>
      <c r="ET34" s="257">
        <f t="shared" si="134"/>
        <v>0</v>
      </c>
      <c r="EU34" s="257">
        <f t="shared" si="135"/>
        <v>0</v>
      </c>
      <c r="EV34" s="575">
        <f t="shared" si="136"/>
        <v>3</v>
      </c>
      <c r="EW34" s="506">
        <f t="shared" si="137"/>
        <v>0</v>
      </c>
      <c r="EX34" s="39" t="str">
        <f t="shared" si="138"/>
        <v/>
      </c>
      <c r="EY34" s="257">
        <f t="shared" si="139"/>
        <v>0</v>
      </c>
      <c r="EZ34" s="257">
        <f t="shared" si="140"/>
        <v>0</v>
      </c>
      <c r="FA34" s="257">
        <f t="shared" si="141"/>
        <v>0</v>
      </c>
      <c r="FB34" s="575">
        <f t="shared" si="142"/>
        <v>3</v>
      </c>
      <c r="FC34" s="506">
        <f t="shared" si="143"/>
        <v>0</v>
      </c>
      <c r="FD34" s="39" t="str">
        <f t="shared" si="144"/>
        <v/>
      </c>
      <c r="FE34" s="257">
        <f t="shared" si="145"/>
        <v>0</v>
      </c>
      <c r="FF34" s="257">
        <f t="shared" si="146"/>
        <v>0</v>
      </c>
      <c r="FG34" s="257">
        <f t="shared" si="147"/>
        <v>0</v>
      </c>
      <c r="FH34" s="575">
        <f t="shared" si="148"/>
        <v>3</v>
      </c>
      <c r="FI34" s="506">
        <f t="shared" si="149"/>
        <v>0</v>
      </c>
      <c r="FJ34" s="39" t="str">
        <f t="shared" si="150"/>
        <v/>
      </c>
      <c r="FK34" s="39"/>
      <c r="FL34" s="39" t="str">
        <f t="shared" si="151"/>
        <v/>
      </c>
      <c r="FM34" s="39" t="str">
        <f t="shared" si="152"/>
        <v/>
      </c>
      <c r="FN34" s="39" t="str">
        <f t="shared" si="153"/>
        <v/>
      </c>
      <c r="FO34" s="39" t="str">
        <f t="shared" si="154"/>
        <v/>
      </c>
      <c r="FP34" s="39" t="str">
        <f t="shared" si="155"/>
        <v/>
      </c>
      <c r="FQ34" s="39" t="str">
        <f t="shared" si="156"/>
        <v/>
      </c>
      <c r="FR34" s="39" t="str">
        <f t="shared" si="157"/>
        <v/>
      </c>
      <c r="FS34" s="39" t="str">
        <f t="shared" si="158"/>
        <v/>
      </c>
      <c r="FT34" s="39" t="str">
        <f t="shared" si="159"/>
        <v/>
      </c>
      <c r="FU34" s="39" t="str">
        <f t="shared" si="160"/>
        <v/>
      </c>
      <c r="FV34" s="39" t="str">
        <f t="shared" si="161"/>
        <v/>
      </c>
      <c r="FW34" s="39" t="str">
        <f t="shared" si="162"/>
        <v/>
      </c>
      <c r="FX34" s="39" t="str">
        <f t="shared" si="163"/>
        <v/>
      </c>
      <c r="FY34" s="68">
        <f t="shared" si="164"/>
        <v>0</v>
      </c>
      <c r="FZ34" s="68">
        <f t="shared" si="165"/>
        <v>0</v>
      </c>
      <c r="GA34" s="39">
        <f>SISWA!E32</f>
        <v>0</v>
      </c>
      <c r="GB34" s="39" t="str">
        <f t="shared" si="166"/>
        <v/>
      </c>
      <c r="GC34" s="207" t="str">
        <f t="shared" si="167"/>
        <v/>
      </c>
      <c r="GD34" s="207" t="str">
        <f t="shared" si="168"/>
        <v/>
      </c>
      <c r="GE34" s="207" t="str">
        <f t="shared" si="169"/>
        <v/>
      </c>
      <c r="GF34" s="207" t="str">
        <f t="shared" si="170"/>
        <v/>
      </c>
      <c r="GG34" s="207" t="str">
        <f t="shared" si="171"/>
        <v/>
      </c>
      <c r="GH34" s="207" t="str">
        <f t="shared" si="172"/>
        <v/>
      </c>
      <c r="GI34" s="207" t="str">
        <f t="shared" si="173"/>
        <v/>
      </c>
      <c r="GJ34" s="207" t="str">
        <f t="shared" si="174"/>
        <v/>
      </c>
      <c r="GK34" s="207" t="str">
        <f t="shared" si="175"/>
        <v/>
      </c>
      <c r="GL34" s="207" t="str">
        <f t="shared" si="176"/>
        <v/>
      </c>
      <c r="GM34" s="207" t="str">
        <f t="shared" si="177"/>
        <v/>
      </c>
      <c r="GN34" s="207" t="str">
        <f t="shared" si="178"/>
        <v/>
      </c>
      <c r="GO34" s="39">
        <f t="shared" si="179"/>
        <v>0</v>
      </c>
      <c r="GP34" s="68" t="e">
        <f t="shared" si="180"/>
        <v>#N/A</v>
      </c>
      <c r="GQ34" s="576" t="e">
        <f>IF(FY34&gt;100,"",IF(FY34&gt;BE$1,"sangat baik dalam "&amp;GP34,IF(FY34&gt;=BE$2,"baik dalam "&amp;GP34,IF(FY34&gt;=BE$3,"cukup dalam "&amp;GP34,IF(FY34&lt;BE$3,"dengan bimbingan dapat meningkatkan dalam "&amp;GP34,IF(FY34&lt;1," ",””))))))</f>
        <v>#N/A</v>
      </c>
      <c r="GR34" s="223"/>
      <c r="GS34" s="223" t="str">
        <f t="shared" si="181"/>
        <v/>
      </c>
      <c r="GT34" s="223" t="str">
        <f t="shared" si="182"/>
        <v/>
      </c>
      <c r="GU34" s="223" t="str">
        <f t="shared" si="183"/>
        <v/>
      </c>
      <c r="GV34" s="223" t="str">
        <f t="shared" si="184"/>
        <v/>
      </c>
      <c r="GW34" s="223" t="str">
        <f t="shared" si="185"/>
        <v/>
      </c>
      <c r="GX34" s="223" t="str">
        <f t="shared" si="186"/>
        <v/>
      </c>
      <c r="GY34" s="223" t="str">
        <f t="shared" si="187"/>
        <v/>
      </c>
      <c r="GZ34" s="223" t="str">
        <f t="shared" si="188"/>
        <v/>
      </c>
      <c r="HA34" s="223" t="str">
        <f t="shared" si="189"/>
        <v/>
      </c>
      <c r="HB34" s="223" t="str">
        <f t="shared" si="190"/>
        <v/>
      </c>
      <c r="HC34" s="223" t="str">
        <f t="shared" si="191"/>
        <v/>
      </c>
      <c r="HD34" s="223" t="str">
        <f t="shared" si="192"/>
        <v/>
      </c>
      <c r="HE34" s="223" t="e">
        <f t="shared" si="193"/>
        <v>#N/A</v>
      </c>
      <c r="HF34" s="577" t="e">
        <f>IF(FZ34&gt;100,"",IF(FZ34&gt;=BE$1,"sangat baik dalam "&amp;HE34,IF(FZ34&gt;=BE$2,"baik dalam "&amp;HE34,IF(FZ34&gt;=BE$3,"cukup dalam "&amp;HE34,IF(FZ34&lt;BE$3,"dengan bimbingan dapat meningkatkan dalam "&amp;HE34,IF(FZ34&lt;1," ",””))))))</f>
        <v>#N/A</v>
      </c>
      <c r="HG34" s="223" t="e">
        <f t="shared" si="194"/>
        <v>#N/A</v>
      </c>
    </row>
    <row r="35" spans="1:215" ht="30" customHeight="1">
      <c r="A35" s="39">
        <v>28</v>
      </c>
      <c r="B35" s="223">
        <f>SISWA!B33</f>
        <v>0</v>
      </c>
      <c r="C35" s="123"/>
      <c r="D35" s="123"/>
      <c r="E35" s="123"/>
      <c r="F35" s="123"/>
      <c r="G35" s="123"/>
      <c r="H35" s="123"/>
      <c r="I35" s="123"/>
      <c r="J35" s="123"/>
      <c r="K35" s="123"/>
      <c r="L35" s="123"/>
      <c r="M35" s="123"/>
      <c r="N35" s="123"/>
      <c r="O35" s="255"/>
      <c r="P35" s="255"/>
      <c r="Q35" s="255"/>
      <c r="R35" s="255"/>
      <c r="S35" s="255"/>
      <c r="T35" s="255"/>
      <c r="U35" s="255"/>
      <c r="V35" s="255"/>
      <c r="W35" s="255"/>
      <c r="X35" s="255"/>
      <c r="Y35" s="255"/>
      <c r="Z35" s="255"/>
      <c r="AA35" s="256"/>
      <c r="AB35" s="256"/>
      <c r="AC35" s="256"/>
      <c r="AD35" s="256"/>
      <c r="AE35" s="256"/>
      <c r="AF35" s="256"/>
      <c r="AG35" s="256"/>
      <c r="AH35" s="256"/>
      <c r="AI35" s="256"/>
      <c r="AJ35" s="256"/>
      <c r="AK35" s="256"/>
      <c r="AL35" s="256"/>
      <c r="AM35" s="257" t="str">
        <f t="shared" si="25"/>
        <v/>
      </c>
      <c r="AN35" s="257" t="str">
        <f t="shared" si="26"/>
        <v/>
      </c>
      <c r="AO35" s="257" t="str">
        <f t="shared" si="27"/>
        <v/>
      </c>
      <c r="AP35" s="257" t="str">
        <f t="shared" si="28"/>
        <v/>
      </c>
      <c r="AQ35" s="257" t="str">
        <f t="shared" si="29"/>
        <v/>
      </c>
      <c r="AR35" s="257" t="str">
        <f t="shared" si="30"/>
        <v/>
      </c>
      <c r="AS35" s="257" t="str">
        <f t="shared" si="31"/>
        <v/>
      </c>
      <c r="AT35" s="257" t="str">
        <f t="shared" si="32"/>
        <v/>
      </c>
      <c r="AU35" s="257" t="str">
        <f t="shared" si="33"/>
        <v/>
      </c>
      <c r="AV35" s="257" t="str">
        <f t="shared" si="34"/>
        <v/>
      </c>
      <c r="AW35" s="257" t="str">
        <f t="shared" si="35"/>
        <v/>
      </c>
      <c r="AX35" s="257" t="str">
        <f t="shared" si="36"/>
        <v/>
      </c>
      <c r="AY35" s="756" t="str">
        <f t="shared" si="37"/>
        <v/>
      </c>
      <c r="AZ35" s="291" t="str">
        <f t="shared" si="38"/>
        <v xml:space="preserve">  </v>
      </c>
      <c r="BA35" s="243" t="str">
        <f t="shared" si="39"/>
        <v xml:space="preserve"> </v>
      </c>
      <c r="BB35" s="39"/>
      <c r="BC35" s="39"/>
      <c r="BD35" s="257">
        <f t="shared" si="40"/>
        <v>0</v>
      </c>
      <c r="BE35" s="257">
        <f t="shared" si="41"/>
        <v>0</v>
      </c>
      <c r="BF35" s="257">
        <f t="shared" si="42"/>
        <v>0</v>
      </c>
      <c r="BG35" s="257">
        <f t="shared" si="43"/>
        <v>0</v>
      </c>
      <c r="BH35" s="257">
        <f t="shared" si="44"/>
        <v>0</v>
      </c>
      <c r="BI35" s="257">
        <f t="shared" si="45"/>
        <v>0</v>
      </c>
      <c r="BJ35" s="257">
        <f t="shared" si="46"/>
        <v>0</v>
      </c>
      <c r="BK35" s="257">
        <f t="shared" si="47"/>
        <v>0</v>
      </c>
      <c r="BL35" s="257">
        <f t="shared" si="48"/>
        <v>0</v>
      </c>
      <c r="BM35" s="257">
        <f t="shared" si="49"/>
        <v>0</v>
      </c>
      <c r="BN35" s="257">
        <f t="shared" si="50"/>
        <v>0</v>
      </c>
      <c r="BO35" s="257">
        <f t="shared" si="51"/>
        <v>0</v>
      </c>
      <c r="BP35" s="232">
        <f t="shared" si="52"/>
        <v>0</v>
      </c>
      <c r="BQ35" s="257">
        <f t="shared" si="53"/>
        <v>0</v>
      </c>
      <c r="BR35" s="257">
        <f t="shared" si="54"/>
        <v>0</v>
      </c>
      <c r="BS35" s="257">
        <f t="shared" si="55"/>
        <v>0</v>
      </c>
      <c r="BT35" s="257">
        <f t="shared" si="56"/>
        <v>0</v>
      </c>
      <c r="BU35" s="257">
        <f t="shared" si="57"/>
        <v>0</v>
      </c>
      <c r="BV35" s="257">
        <f t="shared" si="58"/>
        <v>0</v>
      </c>
      <c r="BW35" s="257">
        <f t="shared" si="59"/>
        <v>0</v>
      </c>
      <c r="BX35" s="257">
        <f t="shared" si="60"/>
        <v>0</v>
      </c>
      <c r="BY35" s="257">
        <f t="shared" si="61"/>
        <v>0</v>
      </c>
      <c r="BZ35" s="257">
        <f t="shared" si="62"/>
        <v>0</v>
      </c>
      <c r="CA35" s="257">
        <f t="shared" si="63"/>
        <v>0</v>
      </c>
      <c r="CB35" s="257">
        <f t="shared" si="64"/>
        <v>0</v>
      </c>
      <c r="CC35" s="232">
        <f t="shared" si="65"/>
        <v>0</v>
      </c>
      <c r="CD35" s="257">
        <f t="shared" si="66"/>
        <v>0</v>
      </c>
      <c r="CE35" s="257">
        <f t="shared" si="67"/>
        <v>0</v>
      </c>
      <c r="CF35" s="257">
        <f t="shared" si="68"/>
        <v>0</v>
      </c>
      <c r="CG35" s="257">
        <f t="shared" si="69"/>
        <v>0</v>
      </c>
      <c r="CH35" s="257">
        <f t="shared" si="70"/>
        <v>0</v>
      </c>
      <c r="CI35" s="257">
        <f t="shared" si="71"/>
        <v>0</v>
      </c>
      <c r="CJ35" s="257">
        <f t="shared" si="72"/>
        <v>0</v>
      </c>
      <c r="CK35" s="257">
        <f t="shared" si="73"/>
        <v>0</v>
      </c>
      <c r="CL35" s="257">
        <f t="shared" si="74"/>
        <v>0</v>
      </c>
      <c r="CM35" s="257">
        <f t="shared" si="75"/>
        <v>0</v>
      </c>
      <c r="CN35" s="257">
        <f t="shared" si="76"/>
        <v>0</v>
      </c>
      <c r="CO35" s="257">
        <f t="shared" si="77"/>
        <v>0</v>
      </c>
      <c r="CP35" s="232">
        <f t="shared" si="78"/>
        <v>0</v>
      </c>
      <c r="CQ35" s="257">
        <f t="shared" si="79"/>
        <v>0</v>
      </c>
      <c r="CR35" s="257">
        <f t="shared" si="80"/>
        <v>0</v>
      </c>
      <c r="CS35" s="257">
        <f t="shared" si="81"/>
        <v>0</v>
      </c>
      <c r="CT35" s="575">
        <f t="shared" si="82"/>
        <v>3</v>
      </c>
      <c r="CU35" s="506">
        <f t="shared" si="83"/>
        <v>0</v>
      </c>
      <c r="CV35" s="39" t="str">
        <f t="shared" si="84"/>
        <v/>
      </c>
      <c r="CW35" s="257">
        <f t="shared" si="85"/>
        <v>0</v>
      </c>
      <c r="CX35" s="257">
        <f t="shared" si="86"/>
        <v>0</v>
      </c>
      <c r="CY35" s="257">
        <f t="shared" si="87"/>
        <v>0</v>
      </c>
      <c r="CZ35" s="575">
        <f t="shared" si="88"/>
        <v>3</v>
      </c>
      <c r="DA35" s="506">
        <f t="shared" si="89"/>
        <v>0</v>
      </c>
      <c r="DB35" s="39" t="str">
        <f t="shared" si="90"/>
        <v/>
      </c>
      <c r="DC35" s="257">
        <f t="shared" si="91"/>
        <v>0</v>
      </c>
      <c r="DD35" s="257">
        <f t="shared" si="92"/>
        <v>0</v>
      </c>
      <c r="DE35" s="257">
        <f t="shared" si="93"/>
        <v>0</v>
      </c>
      <c r="DF35" s="575">
        <f t="shared" si="94"/>
        <v>3</v>
      </c>
      <c r="DG35" s="506">
        <f t="shared" si="95"/>
        <v>0</v>
      </c>
      <c r="DH35" s="39" t="str">
        <f t="shared" si="96"/>
        <v/>
      </c>
      <c r="DI35" s="257">
        <f t="shared" si="97"/>
        <v>0</v>
      </c>
      <c r="DJ35" s="257">
        <f t="shared" si="98"/>
        <v>0</v>
      </c>
      <c r="DK35" s="257">
        <f t="shared" si="99"/>
        <v>0</v>
      </c>
      <c r="DL35" s="575">
        <f t="shared" si="100"/>
        <v>3</v>
      </c>
      <c r="DM35" s="506">
        <f t="shared" si="101"/>
        <v>0</v>
      </c>
      <c r="DN35" s="39" t="str">
        <f t="shared" si="102"/>
        <v/>
      </c>
      <c r="DO35" s="257">
        <f t="shared" si="103"/>
        <v>0</v>
      </c>
      <c r="DP35" s="257">
        <f t="shared" si="104"/>
        <v>0</v>
      </c>
      <c r="DQ35" s="257">
        <f t="shared" si="105"/>
        <v>0</v>
      </c>
      <c r="DR35" s="575">
        <f t="shared" si="106"/>
        <v>3</v>
      </c>
      <c r="DS35" s="506">
        <f t="shared" si="107"/>
        <v>0</v>
      </c>
      <c r="DT35" s="39" t="str">
        <f t="shared" si="108"/>
        <v/>
      </c>
      <c r="DU35" s="257">
        <f t="shared" si="109"/>
        <v>0</v>
      </c>
      <c r="DV35" s="257">
        <f t="shared" si="110"/>
        <v>0</v>
      </c>
      <c r="DW35" s="257">
        <f t="shared" si="111"/>
        <v>0</v>
      </c>
      <c r="DX35" s="575">
        <f t="shared" si="112"/>
        <v>3</v>
      </c>
      <c r="DY35" s="506">
        <f t="shared" si="113"/>
        <v>0</v>
      </c>
      <c r="DZ35" s="39" t="str">
        <f t="shared" si="114"/>
        <v/>
      </c>
      <c r="EA35" s="257">
        <f t="shared" si="115"/>
        <v>0</v>
      </c>
      <c r="EB35" s="257">
        <f t="shared" si="116"/>
        <v>0</v>
      </c>
      <c r="EC35" s="257">
        <f t="shared" si="117"/>
        <v>0</v>
      </c>
      <c r="ED35" s="575">
        <f t="shared" si="118"/>
        <v>3</v>
      </c>
      <c r="EE35" s="506">
        <f t="shared" si="119"/>
        <v>0</v>
      </c>
      <c r="EF35" s="39" t="str">
        <f t="shared" si="120"/>
        <v/>
      </c>
      <c r="EG35" s="257">
        <f t="shared" si="121"/>
        <v>0</v>
      </c>
      <c r="EH35" s="257">
        <f t="shared" si="122"/>
        <v>0</v>
      </c>
      <c r="EI35" s="257">
        <f t="shared" si="123"/>
        <v>0</v>
      </c>
      <c r="EJ35" s="575">
        <f t="shared" si="124"/>
        <v>3</v>
      </c>
      <c r="EK35" s="506">
        <f t="shared" si="125"/>
        <v>0</v>
      </c>
      <c r="EL35" s="39" t="str">
        <f t="shared" si="126"/>
        <v/>
      </c>
      <c r="EM35" s="257">
        <f t="shared" si="127"/>
        <v>0</v>
      </c>
      <c r="EN35" s="257">
        <f t="shared" si="128"/>
        <v>0</v>
      </c>
      <c r="EO35" s="257">
        <f t="shared" si="129"/>
        <v>0</v>
      </c>
      <c r="EP35" s="575">
        <f t="shared" si="130"/>
        <v>3</v>
      </c>
      <c r="EQ35" s="506">
        <f t="shared" si="131"/>
        <v>0</v>
      </c>
      <c r="ER35" s="39" t="str">
        <f t="shared" si="132"/>
        <v/>
      </c>
      <c r="ES35" s="257">
        <f t="shared" si="133"/>
        <v>0</v>
      </c>
      <c r="ET35" s="257">
        <f t="shared" si="134"/>
        <v>0</v>
      </c>
      <c r="EU35" s="257">
        <f t="shared" si="135"/>
        <v>0</v>
      </c>
      <c r="EV35" s="575">
        <f t="shared" si="136"/>
        <v>3</v>
      </c>
      <c r="EW35" s="506">
        <f t="shared" si="137"/>
        <v>0</v>
      </c>
      <c r="EX35" s="39" t="str">
        <f t="shared" si="138"/>
        <v/>
      </c>
      <c r="EY35" s="257">
        <f t="shared" si="139"/>
        <v>0</v>
      </c>
      <c r="EZ35" s="257">
        <f t="shared" si="140"/>
        <v>0</v>
      </c>
      <c r="FA35" s="257">
        <f t="shared" si="141"/>
        <v>0</v>
      </c>
      <c r="FB35" s="575">
        <f t="shared" si="142"/>
        <v>3</v>
      </c>
      <c r="FC35" s="506">
        <f t="shared" si="143"/>
        <v>0</v>
      </c>
      <c r="FD35" s="39" t="str">
        <f t="shared" si="144"/>
        <v/>
      </c>
      <c r="FE35" s="257">
        <f t="shared" si="145"/>
        <v>0</v>
      </c>
      <c r="FF35" s="257">
        <f t="shared" si="146"/>
        <v>0</v>
      </c>
      <c r="FG35" s="257">
        <f t="shared" si="147"/>
        <v>0</v>
      </c>
      <c r="FH35" s="575">
        <f t="shared" si="148"/>
        <v>3</v>
      </c>
      <c r="FI35" s="506">
        <f t="shared" si="149"/>
        <v>0</v>
      </c>
      <c r="FJ35" s="39" t="str">
        <f t="shared" si="150"/>
        <v/>
      </c>
      <c r="FK35" s="39"/>
      <c r="FL35" s="39" t="str">
        <f t="shared" si="151"/>
        <v/>
      </c>
      <c r="FM35" s="39" t="str">
        <f t="shared" si="152"/>
        <v/>
      </c>
      <c r="FN35" s="39" t="str">
        <f t="shared" si="153"/>
        <v/>
      </c>
      <c r="FO35" s="39" t="str">
        <f t="shared" si="154"/>
        <v/>
      </c>
      <c r="FP35" s="39" t="str">
        <f t="shared" si="155"/>
        <v/>
      </c>
      <c r="FQ35" s="39" t="str">
        <f t="shared" si="156"/>
        <v/>
      </c>
      <c r="FR35" s="39" t="str">
        <f t="shared" si="157"/>
        <v/>
      </c>
      <c r="FS35" s="39" t="str">
        <f t="shared" si="158"/>
        <v/>
      </c>
      <c r="FT35" s="39" t="str">
        <f t="shared" si="159"/>
        <v/>
      </c>
      <c r="FU35" s="39" t="str">
        <f t="shared" si="160"/>
        <v/>
      </c>
      <c r="FV35" s="39" t="str">
        <f t="shared" si="161"/>
        <v/>
      </c>
      <c r="FW35" s="39" t="str">
        <f t="shared" si="162"/>
        <v/>
      </c>
      <c r="FX35" s="39" t="str">
        <f t="shared" si="163"/>
        <v/>
      </c>
      <c r="FY35" s="68">
        <f t="shared" si="164"/>
        <v>0</v>
      </c>
      <c r="FZ35" s="68">
        <f t="shared" si="165"/>
        <v>0</v>
      </c>
      <c r="GA35" s="39">
        <f>SISWA!E33</f>
        <v>0</v>
      </c>
      <c r="GB35" s="39" t="str">
        <f t="shared" si="166"/>
        <v/>
      </c>
      <c r="GC35" s="207" t="str">
        <f t="shared" si="167"/>
        <v/>
      </c>
      <c r="GD35" s="207" t="str">
        <f t="shared" si="168"/>
        <v/>
      </c>
      <c r="GE35" s="207" t="str">
        <f t="shared" si="169"/>
        <v/>
      </c>
      <c r="GF35" s="207" t="str">
        <f t="shared" si="170"/>
        <v/>
      </c>
      <c r="GG35" s="207" t="str">
        <f t="shared" si="171"/>
        <v/>
      </c>
      <c r="GH35" s="207" t="str">
        <f t="shared" si="172"/>
        <v/>
      </c>
      <c r="GI35" s="207" t="str">
        <f t="shared" si="173"/>
        <v/>
      </c>
      <c r="GJ35" s="207" t="str">
        <f t="shared" si="174"/>
        <v/>
      </c>
      <c r="GK35" s="207" t="str">
        <f t="shared" si="175"/>
        <v/>
      </c>
      <c r="GL35" s="207" t="str">
        <f t="shared" si="176"/>
        <v/>
      </c>
      <c r="GM35" s="207" t="str">
        <f t="shared" si="177"/>
        <v/>
      </c>
      <c r="GN35" s="207" t="str">
        <f t="shared" si="178"/>
        <v/>
      </c>
      <c r="GO35" s="39">
        <f t="shared" si="179"/>
        <v>0</v>
      </c>
      <c r="GP35" s="68" t="e">
        <f t="shared" si="180"/>
        <v>#N/A</v>
      </c>
      <c r="GQ35" s="576" t="e">
        <f>IF(FY35&gt;100,"",IF(FY35&gt;BE$1,"sangat baik dalam "&amp;GP35,IF(FY35&gt;=BE$2,"baik dalam "&amp;GP35,IF(FY35&gt;=BE$3,"cukup dalam "&amp;GP35,IF(FY35&lt;BE$3,"dengan bimbingan dapat meningkatkan dalam "&amp;GP35,IF(FY35&lt;1," ",””))))))</f>
        <v>#N/A</v>
      </c>
      <c r="GR35" s="223"/>
      <c r="GS35" s="223" t="str">
        <f t="shared" si="181"/>
        <v/>
      </c>
      <c r="GT35" s="223" t="str">
        <f t="shared" si="182"/>
        <v/>
      </c>
      <c r="GU35" s="223" t="str">
        <f t="shared" si="183"/>
        <v/>
      </c>
      <c r="GV35" s="223" t="str">
        <f t="shared" si="184"/>
        <v/>
      </c>
      <c r="GW35" s="223" t="str">
        <f t="shared" si="185"/>
        <v/>
      </c>
      <c r="GX35" s="223" t="str">
        <f t="shared" si="186"/>
        <v/>
      </c>
      <c r="GY35" s="223" t="str">
        <f t="shared" si="187"/>
        <v/>
      </c>
      <c r="GZ35" s="223" t="str">
        <f t="shared" si="188"/>
        <v/>
      </c>
      <c r="HA35" s="223" t="str">
        <f t="shared" si="189"/>
        <v/>
      </c>
      <c r="HB35" s="223" t="str">
        <f t="shared" si="190"/>
        <v/>
      </c>
      <c r="HC35" s="223" t="str">
        <f t="shared" si="191"/>
        <v/>
      </c>
      <c r="HD35" s="223" t="str">
        <f t="shared" si="192"/>
        <v/>
      </c>
      <c r="HE35" s="223" t="e">
        <f t="shared" si="193"/>
        <v>#N/A</v>
      </c>
      <c r="HF35" s="577" t="e">
        <f>IF(FZ35&gt;100,"",IF(FZ35&gt;=BE$1,"sangat baik dalam "&amp;HE35,IF(FZ35&gt;=BE$2,"baik dalam "&amp;HE35,IF(FZ35&gt;=BE$3,"cukup dalam "&amp;HE35,IF(FZ35&lt;BE$3,"dengan bimbingan dapat meningkatkan dalam "&amp;HE35,IF(FZ35&lt;1," ",””))))))</f>
        <v>#N/A</v>
      </c>
      <c r="HG35" s="223" t="e">
        <f t="shared" si="194"/>
        <v>#N/A</v>
      </c>
    </row>
    <row r="36" spans="1:215" ht="30" customHeight="1">
      <c r="A36" s="39">
        <v>29</v>
      </c>
      <c r="B36" s="223">
        <f>SISWA!B34</f>
        <v>0</v>
      </c>
      <c r="C36" s="123"/>
      <c r="D36" s="123"/>
      <c r="E36" s="123"/>
      <c r="F36" s="123"/>
      <c r="G36" s="123"/>
      <c r="H36" s="123"/>
      <c r="I36" s="123"/>
      <c r="J36" s="123"/>
      <c r="K36" s="123"/>
      <c r="L36" s="123"/>
      <c r="M36" s="123"/>
      <c r="N36" s="123"/>
      <c r="O36" s="255"/>
      <c r="P36" s="255"/>
      <c r="Q36" s="255"/>
      <c r="R36" s="255"/>
      <c r="S36" s="255"/>
      <c r="T36" s="255"/>
      <c r="U36" s="255"/>
      <c r="V36" s="255"/>
      <c r="W36" s="255"/>
      <c r="X36" s="255"/>
      <c r="Y36" s="255"/>
      <c r="Z36" s="255"/>
      <c r="AA36" s="256"/>
      <c r="AB36" s="256"/>
      <c r="AC36" s="256"/>
      <c r="AD36" s="256"/>
      <c r="AE36" s="256"/>
      <c r="AF36" s="256"/>
      <c r="AG36" s="256"/>
      <c r="AH36" s="256"/>
      <c r="AI36" s="256"/>
      <c r="AJ36" s="256"/>
      <c r="AK36" s="256"/>
      <c r="AL36" s="256"/>
      <c r="AM36" s="257" t="str">
        <f t="shared" si="25"/>
        <v/>
      </c>
      <c r="AN36" s="257" t="str">
        <f t="shared" si="26"/>
        <v/>
      </c>
      <c r="AO36" s="257" t="str">
        <f t="shared" si="27"/>
        <v/>
      </c>
      <c r="AP36" s="257" t="str">
        <f t="shared" si="28"/>
        <v/>
      </c>
      <c r="AQ36" s="257" t="str">
        <f t="shared" si="29"/>
        <v/>
      </c>
      <c r="AR36" s="257" t="str">
        <f t="shared" si="30"/>
        <v/>
      </c>
      <c r="AS36" s="257" t="str">
        <f t="shared" si="31"/>
        <v/>
      </c>
      <c r="AT36" s="257" t="str">
        <f t="shared" si="32"/>
        <v/>
      </c>
      <c r="AU36" s="257" t="str">
        <f t="shared" si="33"/>
        <v/>
      </c>
      <c r="AV36" s="257" t="str">
        <f t="shared" si="34"/>
        <v/>
      </c>
      <c r="AW36" s="257" t="str">
        <f t="shared" si="35"/>
        <v/>
      </c>
      <c r="AX36" s="257" t="str">
        <f t="shared" si="36"/>
        <v/>
      </c>
      <c r="AY36" s="756" t="str">
        <f t="shared" si="37"/>
        <v/>
      </c>
      <c r="AZ36" s="291" t="str">
        <f t="shared" si="38"/>
        <v xml:space="preserve">  </v>
      </c>
      <c r="BA36" s="243" t="str">
        <f t="shared" si="39"/>
        <v xml:space="preserve"> </v>
      </c>
      <c r="BB36" s="39"/>
      <c r="BC36" s="39"/>
      <c r="BD36" s="257">
        <f t="shared" si="40"/>
        <v>0</v>
      </c>
      <c r="BE36" s="257">
        <f t="shared" si="41"/>
        <v>0</v>
      </c>
      <c r="BF36" s="257">
        <f t="shared" si="42"/>
        <v>0</v>
      </c>
      <c r="BG36" s="257">
        <f t="shared" si="43"/>
        <v>0</v>
      </c>
      <c r="BH36" s="257">
        <f t="shared" si="44"/>
        <v>0</v>
      </c>
      <c r="BI36" s="257">
        <f t="shared" si="45"/>
        <v>0</v>
      </c>
      <c r="BJ36" s="257">
        <f t="shared" si="46"/>
        <v>0</v>
      </c>
      <c r="BK36" s="257">
        <f t="shared" si="47"/>
        <v>0</v>
      </c>
      <c r="BL36" s="257">
        <f t="shared" si="48"/>
        <v>0</v>
      </c>
      <c r="BM36" s="257">
        <f t="shared" si="49"/>
        <v>0</v>
      </c>
      <c r="BN36" s="257">
        <f t="shared" si="50"/>
        <v>0</v>
      </c>
      <c r="BO36" s="257">
        <f t="shared" si="51"/>
        <v>0</v>
      </c>
      <c r="BP36" s="232">
        <f t="shared" si="52"/>
        <v>0</v>
      </c>
      <c r="BQ36" s="257">
        <f t="shared" si="53"/>
        <v>0</v>
      </c>
      <c r="BR36" s="257">
        <f t="shared" si="54"/>
        <v>0</v>
      </c>
      <c r="BS36" s="257">
        <f t="shared" si="55"/>
        <v>0</v>
      </c>
      <c r="BT36" s="257">
        <f t="shared" si="56"/>
        <v>0</v>
      </c>
      <c r="BU36" s="257">
        <f t="shared" si="57"/>
        <v>0</v>
      </c>
      <c r="BV36" s="257">
        <f t="shared" si="58"/>
        <v>0</v>
      </c>
      <c r="BW36" s="257">
        <f t="shared" si="59"/>
        <v>0</v>
      </c>
      <c r="BX36" s="257">
        <f t="shared" si="60"/>
        <v>0</v>
      </c>
      <c r="BY36" s="257">
        <f t="shared" si="61"/>
        <v>0</v>
      </c>
      <c r="BZ36" s="257">
        <f t="shared" si="62"/>
        <v>0</v>
      </c>
      <c r="CA36" s="257">
        <f t="shared" si="63"/>
        <v>0</v>
      </c>
      <c r="CB36" s="257">
        <f t="shared" si="64"/>
        <v>0</v>
      </c>
      <c r="CC36" s="232">
        <f t="shared" si="65"/>
        <v>0</v>
      </c>
      <c r="CD36" s="257">
        <f t="shared" si="66"/>
        <v>0</v>
      </c>
      <c r="CE36" s="257">
        <f t="shared" si="67"/>
        <v>0</v>
      </c>
      <c r="CF36" s="257">
        <f t="shared" si="68"/>
        <v>0</v>
      </c>
      <c r="CG36" s="257">
        <f t="shared" si="69"/>
        <v>0</v>
      </c>
      <c r="CH36" s="257">
        <f t="shared" si="70"/>
        <v>0</v>
      </c>
      <c r="CI36" s="257">
        <f t="shared" si="71"/>
        <v>0</v>
      </c>
      <c r="CJ36" s="257">
        <f t="shared" si="72"/>
        <v>0</v>
      </c>
      <c r="CK36" s="257">
        <f t="shared" si="73"/>
        <v>0</v>
      </c>
      <c r="CL36" s="257">
        <f t="shared" si="74"/>
        <v>0</v>
      </c>
      <c r="CM36" s="257">
        <f t="shared" si="75"/>
        <v>0</v>
      </c>
      <c r="CN36" s="257">
        <f t="shared" si="76"/>
        <v>0</v>
      </c>
      <c r="CO36" s="257">
        <f t="shared" si="77"/>
        <v>0</v>
      </c>
      <c r="CP36" s="232">
        <f t="shared" si="78"/>
        <v>0</v>
      </c>
      <c r="CQ36" s="257">
        <f t="shared" si="79"/>
        <v>0</v>
      </c>
      <c r="CR36" s="257">
        <f t="shared" si="80"/>
        <v>0</v>
      </c>
      <c r="CS36" s="257">
        <f t="shared" si="81"/>
        <v>0</v>
      </c>
      <c r="CT36" s="575">
        <f t="shared" si="82"/>
        <v>3</v>
      </c>
      <c r="CU36" s="506">
        <f t="shared" si="83"/>
        <v>0</v>
      </c>
      <c r="CV36" s="39" t="str">
        <f t="shared" si="84"/>
        <v/>
      </c>
      <c r="CW36" s="257">
        <f t="shared" si="85"/>
        <v>0</v>
      </c>
      <c r="CX36" s="257">
        <f t="shared" si="86"/>
        <v>0</v>
      </c>
      <c r="CY36" s="257">
        <f t="shared" si="87"/>
        <v>0</v>
      </c>
      <c r="CZ36" s="575">
        <f t="shared" si="88"/>
        <v>3</v>
      </c>
      <c r="DA36" s="506">
        <f t="shared" si="89"/>
        <v>0</v>
      </c>
      <c r="DB36" s="39" t="str">
        <f t="shared" si="90"/>
        <v/>
      </c>
      <c r="DC36" s="257">
        <f t="shared" si="91"/>
        <v>0</v>
      </c>
      <c r="DD36" s="257">
        <f t="shared" si="92"/>
        <v>0</v>
      </c>
      <c r="DE36" s="257">
        <f t="shared" si="93"/>
        <v>0</v>
      </c>
      <c r="DF36" s="575">
        <f t="shared" si="94"/>
        <v>3</v>
      </c>
      <c r="DG36" s="506">
        <f t="shared" si="95"/>
        <v>0</v>
      </c>
      <c r="DH36" s="39" t="str">
        <f t="shared" si="96"/>
        <v/>
      </c>
      <c r="DI36" s="257">
        <f t="shared" si="97"/>
        <v>0</v>
      </c>
      <c r="DJ36" s="257">
        <f t="shared" si="98"/>
        <v>0</v>
      </c>
      <c r="DK36" s="257">
        <f t="shared" si="99"/>
        <v>0</v>
      </c>
      <c r="DL36" s="575">
        <f t="shared" si="100"/>
        <v>3</v>
      </c>
      <c r="DM36" s="506">
        <f t="shared" si="101"/>
        <v>0</v>
      </c>
      <c r="DN36" s="39" t="str">
        <f t="shared" si="102"/>
        <v/>
      </c>
      <c r="DO36" s="257">
        <f t="shared" si="103"/>
        <v>0</v>
      </c>
      <c r="DP36" s="257">
        <f t="shared" si="104"/>
        <v>0</v>
      </c>
      <c r="DQ36" s="257">
        <f t="shared" si="105"/>
        <v>0</v>
      </c>
      <c r="DR36" s="575">
        <f t="shared" si="106"/>
        <v>3</v>
      </c>
      <c r="DS36" s="506">
        <f t="shared" si="107"/>
        <v>0</v>
      </c>
      <c r="DT36" s="39" t="str">
        <f t="shared" si="108"/>
        <v/>
      </c>
      <c r="DU36" s="257">
        <f t="shared" si="109"/>
        <v>0</v>
      </c>
      <c r="DV36" s="257">
        <f t="shared" si="110"/>
        <v>0</v>
      </c>
      <c r="DW36" s="257">
        <f t="shared" si="111"/>
        <v>0</v>
      </c>
      <c r="DX36" s="575">
        <f t="shared" si="112"/>
        <v>3</v>
      </c>
      <c r="DY36" s="506">
        <f t="shared" si="113"/>
        <v>0</v>
      </c>
      <c r="DZ36" s="39" t="str">
        <f t="shared" si="114"/>
        <v/>
      </c>
      <c r="EA36" s="257">
        <f t="shared" si="115"/>
        <v>0</v>
      </c>
      <c r="EB36" s="257">
        <f t="shared" si="116"/>
        <v>0</v>
      </c>
      <c r="EC36" s="257">
        <f t="shared" si="117"/>
        <v>0</v>
      </c>
      <c r="ED36" s="575">
        <f t="shared" si="118"/>
        <v>3</v>
      </c>
      <c r="EE36" s="506">
        <f t="shared" si="119"/>
        <v>0</v>
      </c>
      <c r="EF36" s="39" t="str">
        <f t="shared" si="120"/>
        <v/>
      </c>
      <c r="EG36" s="257">
        <f t="shared" si="121"/>
        <v>0</v>
      </c>
      <c r="EH36" s="257">
        <f t="shared" si="122"/>
        <v>0</v>
      </c>
      <c r="EI36" s="257">
        <f t="shared" si="123"/>
        <v>0</v>
      </c>
      <c r="EJ36" s="575">
        <f t="shared" si="124"/>
        <v>3</v>
      </c>
      <c r="EK36" s="506">
        <f t="shared" si="125"/>
        <v>0</v>
      </c>
      <c r="EL36" s="39" t="str">
        <f t="shared" si="126"/>
        <v/>
      </c>
      <c r="EM36" s="257">
        <f t="shared" si="127"/>
        <v>0</v>
      </c>
      <c r="EN36" s="257">
        <f t="shared" si="128"/>
        <v>0</v>
      </c>
      <c r="EO36" s="257">
        <f t="shared" si="129"/>
        <v>0</v>
      </c>
      <c r="EP36" s="575">
        <f t="shared" si="130"/>
        <v>3</v>
      </c>
      <c r="EQ36" s="506">
        <f t="shared" si="131"/>
        <v>0</v>
      </c>
      <c r="ER36" s="39" t="str">
        <f t="shared" si="132"/>
        <v/>
      </c>
      <c r="ES36" s="257">
        <f t="shared" si="133"/>
        <v>0</v>
      </c>
      <c r="ET36" s="257">
        <f t="shared" si="134"/>
        <v>0</v>
      </c>
      <c r="EU36" s="257">
        <f t="shared" si="135"/>
        <v>0</v>
      </c>
      <c r="EV36" s="575">
        <f t="shared" si="136"/>
        <v>3</v>
      </c>
      <c r="EW36" s="506">
        <f t="shared" si="137"/>
        <v>0</v>
      </c>
      <c r="EX36" s="39" t="str">
        <f t="shared" si="138"/>
        <v/>
      </c>
      <c r="EY36" s="257">
        <f t="shared" si="139"/>
        <v>0</v>
      </c>
      <c r="EZ36" s="257">
        <f t="shared" si="140"/>
        <v>0</v>
      </c>
      <c r="FA36" s="257">
        <f t="shared" si="141"/>
        <v>0</v>
      </c>
      <c r="FB36" s="575">
        <f t="shared" si="142"/>
        <v>3</v>
      </c>
      <c r="FC36" s="506">
        <f t="shared" si="143"/>
        <v>0</v>
      </c>
      <c r="FD36" s="39" t="str">
        <f t="shared" si="144"/>
        <v/>
      </c>
      <c r="FE36" s="257">
        <f t="shared" si="145"/>
        <v>0</v>
      </c>
      <c r="FF36" s="257">
        <f t="shared" si="146"/>
        <v>0</v>
      </c>
      <c r="FG36" s="257">
        <f t="shared" si="147"/>
        <v>0</v>
      </c>
      <c r="FH36" s="575">
        <f t="shared" si="148"/>
        <v>3</v>
      </c>
      <c r="FI36" s="506">
        <f t="shared" si="149"/>
        <v>0</v>
      </c>
      <c r="FJ36" s="39" t="str">
        <f t="shared" si="150"/>
        <v/>
      </c>
      <c r="FK36" s="39"/>
      <c r="FL36" s="39" t="str">
        <f t="shared" si="151"/>
        <v/>
      </c>
      <c r="FM36" s="39" t="str">
        <f t="shared" si="152"/>
        <v/>
      </c>
      <c r="FN36" s="39" t="str">
        <f t="shared" si="153"/>
        <v/>
      </c>
      <c r="FO36" s="39" t="str">
        <f t="shared" si="154"/>
        <v/>
      </c>
      <c r="FP36" s="39" t="str">
        <f t="shared" si="155"/>
        <v/>
      </c>
      <c r="FQ36" s="39" t="str">
        <f t="shared" si="156"/>
        <v/>
      </c>
      <c r="FR36" s="39" t="str">
        <f t="shared" si="157"/>
        <v/>
      </c>
      <c r="FS36" s="39" t="str">
        <f t="shared" si="158"/>
        <v/>
      </c>
      <c r="FT36" s="39" t="str">
        <f t="shared" si="159"/>
        <v/>
      </c>
      <c r="FU36" s="39" t="str">
        <f t="shared" si="160"/>
        <v/>
      </c>
      <c r="FV36" s="39" t="str">
        <f t="shared" si="161"/>
        <v/>
      </c>
      <c r="FW36" s="39" t="str">
        <f t="shared" si="162"/>
        <v/>
      </c>
      <c r="FX36" s="39" t="str">
        <f t="shared" si="163"/>
        <v/>
      </c>
      <c r="FY36" s="68">
        <f t="shared" si="164"/>
        <v>0</v>
      </c>
      <c r="FZ36" s="68">
        <f t="shared" si="165"/>
        <v>0</v>
      </c>
      <c r="GA36" s="39">
        <f>SISWA!E34</f>
        <v>0</v>
      </c>
      <c r="GB36" s="39" t="str">
        <f t="shared" si="166"/>
        <v/>
      </c>
      <c r="GC36" s="207" t="str">
        <f t="shared" si="167"/>
        <v/>
      </c>
      <c r="GD36" s="207" t="str">
        <f t="shared" si="168"/>
        <v/>
      </c>
      <c r="GE36" s="207" t="str">
        <f t="shared" si="169"/>
        <v/>
      </c>
      <c r="GF36" s="207" t="str">
        <f t="shared" si="170"/>
        <v/>
      </c>
      <c r="GG36" s="207" t="str">
        <f t="shared" si="171"/>
        <v/>
      </c>
      <c r="GH36" s="207" t="str">
        <f t="shared" si="172"/>
        <v/>
      </c>
      <c r="GI36" s="207" t="str">
        <f t="shared" si="173"/>
        <v/>
      </c>
      <c r="GJ36" s="207" t="str">
        <f t="shared" si="174"/>
        <v/>
      </c>
      <c r="GK36" s="207" t="str">
        <f t="shared" si="175"/>
        <v/>
      </c>
      <c r="GL36" s="207" t="str">
        <f t="shared" si="176"/>
        <v/>
      </c>
      <c r="GM36" s="207" t="str">
        <f t="shared" si="177"/>
        <v/>
      </c>
      <c r="GN36" s="207" t="str">
        <f t="shared" si="178"/>
        <v/>
      </c>
      <c r="GO36" s="39">
        <f t="shared" si="179"/>
        <v>0</v>
      </c>
      <c r="GP36" s="68" t="e">
        <f t="shared" si="180"/>
        <v>#N/A</v>
      </c>
      <c r="GQ36" s="576" t="e">
        <f>IF(FY36&gt;100,"",IF(FY36&gt;BE$1,"sangat baik dalam "&amp;GP36,IF(FY36&gt;=BE$2,"baik dalam "&amp;GP36,IF(FY36&gt;=BE$3,"cukup dalam "&amp;GP36,IF(FY36&lt;BE$3,"dengan bimbingan dapat meningkatkan dalam "&amp;GP36,IF(FY36&lt;1," ",””))))))</f>
        <v>#N/A</v>
      </c>
      <c r="GR36" s="223"/>
      <c r="GS36" s="223" t="str">
        <f t="shared" si="181"/>
        <v/>
      </c>
      <c r="GT36" s="223" t="str">
        <f t="shared" si="182"/>
        <v/>
      </c>
      <c r="GU36" s="223" t="str">
        <f t="shared" si="183"/>
        <v/>
      </c>
      <c r="GV36" s="223" t="str">
        <f t="shared" si="184"/>
        <v/>
      </c>
      <c r="GW36" s="223" t="str">
        <f t="shared" si="185"/>
        <v/>
      </c>
      <c r="GX36" s="223" t="str">
        <f t="shared" si="186"/>
        <v/>
      </c>
      <c r="GY36" s="223" t="str">
        <f t="shared" si="187"/>
        <v/>
      </c>
      <c r="GZ36" s="223" t="str">
        <f t="shared" si="188"/>
        <v/>
      </c>
      <c r="HA36" s="223" t="str">
        <f t="shared" si="189"/>
        <v/>
      </c>
      <c r="HB36" s="223" t="str">
        <f t="shared" si="190"/>
        <v/>
      </c>
      <c r="HC36" s="223" t="str">
        <f t="shared" si="191"/>
        <v/>
      </c>
      <c r="HD36" s="223" t="str">
        <f t="shared" si="192"/>
        <v/>
      </c>
      <c r="HE36" s="223" t="e">
        <f t="shared" si="193"/>
        <v>#N/A</v>
      </c>
      <c r="HF36" s="577" t="e">
        <f>IF(FZ36&gt;100,"",IF(FZ36&gt;=BE$1,"sangat baik dalam "&amp;HE36,IF(FZ36&gt;=BE$2,"baik dalam "&amp;HE36,IF(FZ36&gt;=BE$3,"cukup dalam "&amp;HE36,IF(FZ36&lt;BE$3,"dengan bimbingan dapat meningkatkan dalam "&amp;HE36,IF(FZ36&lt;1," ",””))))))</f>
        <v>#N/A</v>
      </c>
      <c r="HG36" s="223" t="e">
        <f t="shared" si="194"/>
        <v>#N/A</v>
      </c>
    </row>
    <row r="37" spans="1:215" ht="30" customHeight="1">
      <c r="A37" s="39">
        <v>30</v>
      </c>
      <c r="B37" s="223">
        <f>SISWA!B35</f>
        <v>0</v>
      </c>
      <c r="C37" s="123"/>
      <c r="D37" s="123"/>
      <c r="E37" s="123"/>
      <c r="F37" s="123"/>
      <c r="G37" s="123"/>
      <c r="H37" s="123"/>
      <c r="I37" s="123"/>
      <c r="J37" s="123"/>
      <c r="K37" s="123"/>
      <c r="L37" s="123"/>
      <c r="M37" s="123"/>
      <c r="N37" s="123"/>
      <c r="O37" s="255"/>
      <c r="P37" s="255"/>
      <c r="Q37" s="255"/>
      <c r="R37" s="255"/>
      <c r="S37" s="255"/>
      <c r="T37" s="255"/>
      <c r="U37" s="255"/>
      <c r="V37" s="255"/>
      <c r="W37" s="255"/>
      <c r="X37" s="255"/>
      <c r="Y37" s="255"/>
      <c r="Z37" s="255"/>
      <c r="AA37" s="256"/>
      <c r="AB37" s="256"/>
      <c r="AC37" s="256"/>
      <c r="AD37" s="256"/>
      <c r="AE37" s="256"/>
      <c r="AF37" s="256"/>
      <c r="AG37" s="256"/>
      <c r="AH37" s="256"/>
      <c r="AI37" s="256"/>
      <c r="AJ37" s="256"/>
      <c r="AK37" s="256"/>
      <c r="AL37" s="256"/>
      <c r="AM37" s="257" t="str">
        <f t="shared" si="25"/>
        <v/>
      </c>
      <c r="AN37" s="257" t="str">
        <f t="shared" si="26"/>
        <v/>
      </c>
      <c r="AO37" s="257" t="str">
        <f t="shared" si="27"/>
        <v/>
      </c>
      <c r="AP37" s="257" t="str">
        <f t="shared" si="28"/>
        <v/>
      </c>
      <c r="AQ37" s="257" t="str">
        <f t="shared" si="29"/>
        <v/>
      </c>
      <c r="AR37" s="257" t="str">
        <f t="shared" si="30"/>
        <v/>
      </c>
      <c r="AS37" s="257" t="str">
        <f t="shared" si="31"/>
        <v/>
      </c>
      <c r="AT37" s="257" t="str">
        <f t="shared" si="32"/>
        <v/>
      </c>
      <c r="AU37" s="257" t="str">
        <f t="shared" si="33"/>
        <v/>
      </c>
      <c r="AV37" s="257" t="str">
        <f t="shared" si="34"/>
        <v/>
      </c>
      <c r="AW37" s="257" t="str">
        <f t="shared" si="35"/>
        <v/>
      </c>
      <c r="AX37" s="257" t="str">
        <f t="shared" si="36"/>
        <v/>
      </c>
      <c r="AY37" s="756" t="str">
        <f t="shared" si="37"/>
        <v/>
      </c>
      <c r="AZ37" s="291" t="str">
        <f t="shared" si="38"/>
        <v xml:space="preserve">  </v>
      </c>
      <c r="BA37" s="243" t="str">
        <f t="shared" si="39"/>
        <v xml:space="preserve"> </v>
      </c>
      <c r="BB37" s="39"/>
      <c r="BC37" s="39"/>
      <c r="BD37" s="257">
        <f t="shared" si="40"/>
        <v>0</v>
      </c>
      <c r="BE37" s="257">
        <f t="shared" si="41"/>
        <v>0</v>
      </c>
      <c r="BF37" s="257">
        <f t="shared" si="42"/>
        <v>0</v>
      </c>
      <c r="BG37" s="257">
        <f t="shared" si="43"/>
        <v>0</v>
      </c>
      <c r="BH37" s="257">
        <f t="shared" si="44"/>
        <v>0</v>
      </c>
      <c r="BI37" s="257">
        <f t="shared" si="45"/>
        <v>0</v>
      </c>
      <c r="BJ37" s="257">
        <f t="shared" si="46"/>
        <v>0</v>
      </c>
      <c r="BK37" s="257">
        <f t="shared" si="47"/>
        <v>0</v>
      </c>
      <c r="BL37" s="257">
        <f t="shared" si="48"/>
        <v>0</v>
      </c>
      <c r="BM37" s="257">
        <f t="shared" si="49"/>
        <v>0</v>
      </c>
      <c r="BN37" s="257">
        <f t="shared" si="50"/>
        <v>0</v>
      </c>
      <c r="BO37" s="257">
        <f t="shared" si="51"/>
        <v>0</v>
      </c>
      <c r="BP37" s="232">
        <f t="shared" si="52"/>
        <v>0</v>
      </c>
      <c r="BQ37" s="257">
        <f t="shared" si="53"/>
        <v>0</v>
      </c>
      <c r="BR37" s="257">
        <f t="shared" si="54"/>
        <v>0</v>
      </c>
      <c r="BS37" s="257">
        <f t="shared" si="55"/>
        <v>0</v>
      </c>
      <c r="BT37" s="257">
        <f t="shared" si="56"/>
        <v>0</v>
      </c>
      <c r="BU37" s="257">
        <f t="shared" si="57"/>
        <v>0</v>
      </c>
      <c r="BV37" s="257">
        <f t="shared" si="58"/>
        <v>0</v>
      </c>
      <c r="BW37" s="257">
        <f t="shared" si="59"/>
        <v>0</v>
      </c>
      <c r="BX37" s="257">
        <f t="shared" si="60"/>
        <v>0</v>
      </c>
      <c r="BY37" s="257">
        <f t="shared" si="61"/>
        <v>0</v>
      </c>
      <c r="BZ37" s="257">
        <f t="shared" si="62"/>
        <v>0</v>
      </c>
      <c r="CA37" s="257">
        <f t="shared" si="63"/>
        <v>0</v>
      </c>
      <c r="CB37" s="257">
        <f t="shared" si="64"/>
        <v>0</v>
      </c>
      <c r="CC37" s="232">
        <f t="shared" si="65"/>
        <v>0</v>
      </c>
      <c r="CD37" s="257">
        <f t="shared" si="66"/>
        <v>0</v>
      </c>
      <c r="CE37" s="257">
        <f t="shared" si="67"/>
        <v>0</v>
      </c>
      <c r="CF37" s="257">
        <f t="shared" si="68"/>
        <v>0</v>
      </c>
      <c r="CG37" s="257">
        <f t="shared" si="69"/>
        <v>0</v>
      </c>
      <c r="CH37" s="257">
        <f t="shared" si="70"/>
        <v>0</v>
      </c>
      <c r="CI37" s="257">
        <f t="shared" si="71"/>
        <v>0</v>
      </c>
      <c r="CJ37" s="257">
        <f t="shared" si="72"/>
        <v>0</v>
      </c>
      <c r="CK37" s="257">
        <f t="shared" si="73"/>
        <v>0</v>
      </c>
      <c r="CL37" s="257">
        <f t="shared" si="74"/>
        <v>0</v>
      </c>
      <c r="CM37" s="257">
        <f t="shared" si="75"/>
        <v>0</v>
      </c>
      <c r="CN37" s="257">
        <f t="shared" si="76"/>
        <v>0</v>
      </c>
      <c r="CO37" s="257">
        <f t="shared" si="77"/>
        <v>0</v>
      </c>
      <c r="CP37" s="232">
        <f t="shared" si="78"/>
        <v>0</v>
      </c>
      <c r="CQ37" s="257">
        <f t="shared" si="79"/>
        <v>0</v>
      </c>
      <c r="CR37" s="257">
        <f t="shared" si="80"/>
        <v>0</v>
      </c>
      <c r="CS37" s="257">
        <f t="shared" si="81"/>
        <v>0</v>
      </c>
      <c r="CT37" s="575">
        <f t="shared" si="82"/>
        <v>3</v>
      </c>
      <c r="CU37" s="506">
        <f t="shared" si="83"/>
        <v>0</v>
      </c>
      <c r="CV37" s="39" t="str">
        <f t="shared" si="84"/>
        <v/>
      </c>
      <c r="CW37" s="257">
        <f t="shared" si="85"/>
        <v>0</v>
      </c>
      <c r="CX37" s="257">
        <f t="shared" si="86"/>
        <v>0</v>
      </c>
      <c r="CY37" s="257">
        <f t="shared" si="87"/>
        <v>0</v>
      </c>
      <c r="CZ37" s="575">
        <f t="shared" si="88"/>
        <v>3</v>
      </c>
      <c r="DA37" s="506">
        <f t="shared" si="89"/>
        <v>0</v>
      </c>
      <c r="DB37" s="39" t="str">
        <f t="shared" si="90"/>
        <v/>
      </c>
      <c r="DC37" s="257">
        <f t="shared" si="91"/>
        <v>0</v>
      </c>
      <c r="DD37" s="257">
        <f t="shared" si="92"/>
        <v>0</v>
      </c>
      <c r="DE37" s="257">
        <f t="shared" si="93"/>
        <v>0</v>
      </c>
      <c r="DF37" s="575">
        <f t="shared" si="94"/>
        <v>3</v>
      </c>
      <c r="DG37" s="506">
        <f t="shared" si="95"/>
        <v>0</v>
      </c>
      <c r="DH37" s="39" t="str">
        <f t="shared" si="96"/>
        <v/>
      </c>
      <c r="DI37" s="257">
        <f t="shared" si="97"/>
        <v>0</v>
      </c>
      <c r="DJ37" s="257">
        <f t="shared" si="98"/>
        <v>0</v>
      </c>
      <c r="DK37" s="257">
        <f t="shared" si="99"/>
        <v>0</v>
      </c>
      <c r="DL37" s="575">
        <f t="shared" si="100"/>
        <v>3</v>
      </c>
      <c r="DM37" s="506">
        <f t="shared" si="101"/>
        <v>0</v>
      </c>
      <c r="DN37" s="39" t="str">
        <f t="shared" si="102"/>
        <v/>
      </c>
      <c r="DO37" s="257">
        <f t="shared" si="103"/>
        <v>0</v>
      </c>
      <c r="DP37" s="257">
        <f t="shared" si="104"/>
        <v>0</v>
      </c>
      <c r="DQ37" s="257">
        <f t="shared" si="105"/>
        <v>0</v>
      </c>
      <c r="DR37" s="575">
        <f t="shared" si="106"/>
        <v>3</v>
      </c>
      <c r="DS37" s="506">
        <f t="shared" si="107"/>
        <v>0</v>
      </c>
      <c r="DT37" s="39" t="str">
        <f t="shared" si="108"/>
        <v/>
      </c>
      <c r="DU37" s="257">
        <f t="shared" si="109"/>
        <v>0</v>
      </c>
      <c r="DV37" s="257">
        <f t="shared" si="110"/>
        <v>0</v>
      </c>
      <c r="DW37" s="257">
        <f t="shared" si="111"/>
        <v>0</v>
      </c>
      <c r="DX37" s="575">
        <f t="shared" si="112"/>
        <v>3</v>
      </c>
      <c r="DY37" s="506">
        <f t="shared" si="113"/>
        <v>0</v>
      </c>
      <c r="DZ37" s="39" t="str">
        <f t="shared" si="114"/>
        <v/>
      </c>
      <c r="EA37" s="257">
        <f t="shared" si="115"/>
        <v>0</v>
      </c>
      <c r="EB37" s="257">
        <f t="shared" si="116"/>
        <v>0</v>
      </c>
      <c r="EC37" s="257">
        <f t="shared" si="117"/>
        <v>0</v>
      </c>
      <c r="ED37" s="575">
        <f t="shared" si="118"/>
        <v>3</v>
      </c>
      <c r="EE37" s="506">
        <f t="shared" si="119"/>
        <v>0</v>
      </c>
      <c r="EF37" s="39" t="str">
        <f t="shared" si="120"/>
        <v/>
      </c>
      <c r="EG37" s="257">
        <f t="shared" si="121"/>
        <v>0</v>
      </c>
      <c r="EH37" s="257">
        <f t="shared" si="122"/>
        <v>0</v>
      </c>
      <c r="EI37" s="257">
        <f t="shared" si="123"/>
        <v>0</v>
      </c>
      <c r="EJ37" s="575">
        <f t="shared" si="124"/>
        <v>3</v>
      </c>
      <c r="EK37" s="506">
        <f t="shared" si="125"/>
        <v>0</v>
      </c>
      <c r="EL37" s="39" t="str">
        <f t="shared" si="126"/>
        <v/>
      </c>
      <c r="EM37" s="257">
        <f t="shared" si="127"/>
        <v>0</v>
      </c>
      <c r="EN37" s="257">
        <f t="shared" si="128"/>
        <v>0</v>
      </c>
      <c r="EO37" s="257">
        <f t="shared" si="129"/>
        <v>0</v>
      </c>
      <c r="EP37" s="575">
        <f t="shared" si="130"/>
        <v>3</v>
      </c>
      <c r="EQ37" s="506">
        <f t="shared" si="131"/>
        <v>0</v>
      </c>
      <c r="ER37" s="39" t="str">
        <f t="shared" si="132"/>
        <v/>
      </c>
      <c r="ES37" s="257">
        <f t="shared" si="133"/>
        <v>0</v>
      </c>
      <c r="ET37" s="257">
        <f t="shared" si="134"/>
        <v>0</v>
      </c>
      <c r="EU37" s="257">
        <f t="shared" si="135"/>
        <v>0</v>
      </c>
      <c r="EV37" s="575">
        <f t="shared" si="136"/>
        <v>3</v>
      </c>
      <c r="EW37" s="506">
        <f t="shared" si="137"/>
        <v>0</v>
      </c>
      <c r="EX37" s="39" t="str">
        <f t="shared" si="138"/>
        <v/>
      </c>
      <c r="EY37" s="257">
        <f t="shared" si="139"/>
        <v>0</v>
      </c>
      <c r="EZ37" s="257">
        <f t="shared" si="140"/>
        <v>0</v>
      </c>
      <c r="FA37" s="257">
        <f t="shared" si="141"/>
        <v>0</v>
      </c>
      <c r="FB37" s="575">
        <f t="shared" si="142"/>
        <v>3</v>
      </c>
      <c r="FC37" s="506">
        <f t="shared" si="143"/>
        <v>0</v>
      </c>
      <c r="FD37" s="39" t="str">
        <f t="shared" si="144"/>
        <v/>
      </c>
      <c r="FE37" s="257">
        <f t="shared" si="145"/>
        <v>0</v>
      </c>
      <c r="FF37" s="257">
        <f t="shared" si="146"/>
        <v>0</v>
      </c>
      <c r="FG37" s="257">
        <f t="shared" si="147"/>
        <v>0</v>
      </c>
      <c r="FH37" s="575">
        <f t="shared" si="148"/>
        <v>3</v>
      </c>
      <c r="FI37" s="506">
        <f t="shared" si="149"/>
        <v>0</v>
      </c>
      <c r="FJ37" s="39" t="str">
        <f t="shared" si="150"/>
        <v/>
      </c>
      <c r="FK37" s="39"/>
      <c r="FL37" s="39" t="str">
        <f t="shared" si="151"/>
        <v/>
      </c>
      <c r="FM37" s="39" t="str">
        <f t="shared" si="152"/>
        <v/>
      </c>
      <c r="FN37" s="39" t="str">
        <f t="shared" si="153"/>
        <v/>
      </c>
      <c r="FO37" s="39" t="str">
        <f t="shared" si="154"/>
        <v/>
      </c>
      <c r="FP37" s="39" t="str">
        <f t="shared" si="155"/>
        <v/>
      </c>
      <c r="FQ37" s="39" t="str">
        <f t="shared" si="156"/>
        <v/>
      </c>
      <c r="FR37" s="39" t="str">
        <f t="shared" si="157"/>
        <v/>
      </c>
      <c r="FS37" s="39" t="str">
        <f t="shared" si="158"/>
        <v/>
      </c>
      <c r="FT37" s="39" t="str">
        <f t="shared" si="159"/>
        <v/>
      </c>
      <c r="FU37" s="39" t="str">
        <f t="shared" si="160"/>
        <v/>
      </c>
      <c r="FV37" s="39" t="str">
        <f t="shared" si="161"/>
        <v/>
      </c>
      <c r="FW37" s="39" t="str">
        <f t="shared" si="162"/>
        <v/>
      </c>
      <c r="FX37" s="39" t="str">
        <f t="shared" si="163"/>
        <v/>
      </c>
      <c r="FY37" s="68">
        <f t="shared" si="164"/>
        <v>0</v>
      </c>
      <c r="FZ37" s="68">
        <f t="shared" si="165"/>
        <v>0</v>
      </c>
      <c r="GA37" s="39">
        <f>SISWA!E35</f>
        <v>0</v>
      </c>
      <c r="GB37" s="39" t="str">
        <f t="shared" si="166"/>
        <v/>
      </c>
      <c r="GC37" s="207" t="str">
        <f t="shared" si="167"/>
        <v/>
      </c>
      <c r="GD37" s="207" t="str">
        <f t="shared" si="168"/>
        <v/>
      </c>
      <c r="GE37" s="207" t="str">
        <f t="shared" si="169"/>
        <v/>
      </c>
      <c r="GF37" s="207" t="str">
        <f t="shared" si="170"/>
        <v/>
      </c>
      <c r="GG37" s="207" t="str">
        <f t="shared" si="171"/>
        <v/>
      </c>
      <c r="GH37" s="207" t="str">
        <f t="shared" si="172"/>
        <v/>
      </c>
      <c r="GI37" s="207" t="str">
        <f t="shared" si="173"/>
        <v/>
      </c>
      <c r="GJ37" s="207" t="str">
        <f t="shared" si="174"/>
        <v/>
      </c>
      <c r="GK37" s="207" t="str">
        <f t="shared" si="175"/>
        <v/>
      </c>
      <c r="GL37" s="207" t="str">
        <f t="shared" si="176"/>
        <v/>
      </c>
      <c r="GM37" s="207" t="str">
        <f t="shared" si="177"/>
        <v/>
      </c>
      <c r="GN37" s="207" t="str">
        <f t="shared" si="178"/>
        <v/>
      </c>
      <c r="GO37" s="39">
        <f t="shared" si="179"/>
        <v>0</v>
      </c>
      <c r="GP37" s="68" t="e">
        <f t="shared" si="180"/>
        <v>#N/A</v>
      </c>
      <c r="GQ37" s="576" t="e">
        <f>IF(FY37&gt;100,"",IF(FY37&gt;BE$1,"sangat baik dalam "&amp;GP37,IF(FY37&gt;=BE$2,"baik dalam "&amp;GP37,IF(FY37&gt;=BE$3,"cukup dalam "&amp;GP37,IF(FY37&lt;BE$3,"dengan bimbingan dapat meningkatkan dalam "&amp;GP37,IF(FY37&lt;1," ",””))))))</f>
        <v>#N/A</v>
      </c>
      <c r="GR37" s="223"/>
      <c r="GS37" s="223" t="str">
        <f t="shared" si="181"/>
        <v/>
      </c>
      <c r="GT37" s="223" t="str">
        <f t="shared" si="182"/>
        <v/>
      </c>
      <c r="GU37" s="223" t="str">
        <f t="shared" si="183"/>
        <v/>
      </c>
      <c r="GV37" s="223" t="str">
        <f t="shared" si="184"/>
        <v/>
      </c>
      <c r="GW37" s="223" t="str">
        <f t="shared" si="185"/>
        <v/>
      </c>
      <c r="GX37" s="223" t="str">
        <f t="shared" si="186"/>
        <v/>
      </c>
      <c r="GY37" s="223" t="str">
        <f t="shared" si="187"/>
        <v/>
      </c>
      <c r="GZ37" s="223" t="str">
        <f t="shared" si="188"/>
        <v/>
      </c>
      <c r="HA37" s="223" t="str">
        <f t="shared" si="189"/>
        <v/>
      </c>
      <c r="HB37" s="223" t="str">
        <f t="shared" si="190"/>
        <v/>
      </c>
      <c r="HC37" s="223" t="str">
        <f t="shared" si="191"/>
        <v/>
      </c>
      <c r="HD37" s="223" t="str">
        <f t="shared" si="192"/>
        <v/>
      </c>
      <c r="HE37" s="223" t="e">
        <f t="shared" si="193"/>
        <v>#N/A</v>
      </c>
      <c r="HF37" s="577" t="e">
        <f>IF(FZ37&gt;100,"",IF(FZ37&gt;=BE$1,"sangat baik dalam "&amp;HE37,IF(FZ37&gt;=BE$2,"baik dalam "&amp;HE37,IF(FZ37&gt;=BE$3,"cukup dalam "&amp;HE37,IF(FZ37&lt;BE$3,"dengan bimbingan dapat meningkatkan dalam "&amp;HE37,IF(FZ37&lt;1," ",””))))))</f>
        <v>#N/A</v>
      </c>
      <c r="HG37" s="223" t="e">
        <f t="shared" si="194"/>
        <v>#N/A</v>
      </c>
    </row>
    <row r="38" spans="1:215" ht="30" customHeight="1">
      <c r="A38" s="39">
        <v>31</v>
      </c>
      <c r="B38" s="223">
        <f>SISWA!B36</f>
        <v>0</v>
      </c>
      <c r="C38" s="123"/>
      <c r="D38" s="123"/>
      <c r="E38" s="123"/>
      <c r="F38" s="123"/>
      <c r="G38" s="123"/>
      <c r="H38" s="123"/>
      <c r="I38" s="123"/>
      <c r="J38" s="123"/>
      <c r="K38" s="123"/>
      <c r="L38" s="123"/>
      <c r="M38" s="123"/>
      <c r="N38" s="123"/>
      <c r="O38" s="255"/>
      <c r="P38" s="255"/>
      <c r="Q38" s="255"/>
      <c r="R38" s="255"/>
      <c r="S38" s="255"/>
      <c r="T38" s="255"/>
      <c r="U38" s="255"/>
      <c r="V38" s="255"/>
      <c r="W38" s="255"/>
      <c r="X38" s="255"/>
      <c r="Y38" s="255"/>
      <c r="Z38" s="255"/>
      <c r="AA38" s="256"/>
      <c r="AB38" s="256"/>
      <c r="AC38" s="256"/>
      <c r="AD38" s="256"/>
      <c r="AE38" s="256"/>
      <c r="AF38" s="256"/>
      <c r="AG38" s="256"/>
      <c r="AH38" s="256"/>
      <c r="AI38" s="256"/>
      <c r="AJ38" s="256"/>
      <c r="AK38" s="256"/>
      <c r="AL38" s="256"/>
      <c r="AM38" s="257" t="str">
        <f t="shared" si="25"/>
        <v/>
      </c>
      <c r="AN38" s="257" t="str">
        <f t="shared" si="26"/>
        <v/>
      </c>
      <c r="AO38" s="257" t="str">
        <f t="shared" si="27"/>
        <v/>
      </c>
      <c r="AP38" s="257" t="str">
        <f t="shared" si="28"/>
        <v/>
      </c>
      <c r="AQ38" s="257" t="str">
        <f t="shared" si="29"/>
        <v/>
      </c>
      <c r="AR38" s="257" t="str">
        <f t="shared" si="30"/>
        <v/>
      </c>
      <c r="AS38" s="257" t="str">
        <f t="shared" si="31"/>
        <v/>
      </c>
      <c r="AT38" s="257" t="str">
        <f t="shared" si="32"/>
        <v/>
      </c>
      <c r="AU38" s="257" t="str">
        <f t="shared" si="33"/>
        <v/>
      </c>
      <c r="AV38" s="257" t="str">
        <f t="shared" si="34"/>
        <v/>
      </c>
      <c r="AW38" s="257" t="str">
        <f t="shared" si="35"/>
        <v/>
      </c>
      <c r="AX38" s="257" t="str">
        <f t="shared" si="36"/>
        <v/>
      </c>
      <c r="AY38" s="756" t="str">
        <f t="shared" si="37"/>
        <v/>
      </c>
      <c r="AZ38" s="291" t="str">
        <f t="shared" si="38"/>
        <v xml:space="preserve">  </v>
      </c>
      <c r="BA38" s="243" t="str">
        <f t="shared" si="39"/>
        <v xml:space="preserve"> </v>
      </c>
      <c r="BB38" s="39"/>
      <c r="BC38" s="39"/>
      <c r="BD38" s="257">
        <f t="shared" si="40"/>
        <v>0</v>
      </c>
      <c r="BE38" s="257">
        <f t="shared" si="41"/>
        <v>0</v>
      </c>
      <c r="BF38" s="257">
        <f t="shared" si="42"/>
        <v>0</v>
      </c>
      <c r="BG38" s="257">
        <f t="shared" si="43"/>
        <v>0</v>
      </c>
      <c r="BH38" s="257">
        <f t="shared" si="44"/>
        <v>0</v>
      </c>
      <c r="BI38" s="257">
        <f t="shared" si="45"/>
        <v>0</v>
      </c>
      <c r="BJ38" s="257">
        <f t="shared" si="46"/>
        <v>0</v>
      </c>
      <c r="BK38" s="257">
        <f t="shared" si="47"/>
        <v>0</v>
      </c>
      <c r="BL38" s="257">
        <f t="shared" si="48"/>
        <v>0</v>
      </c>
      <c r="BM38" s="257">
        <f t="shared" si="49"/>
        <v>0</v>
      </c>
      <c r="BN38" s="257">
        <f t="shared" si="50"/>
        <v>0</v>
      </c>
      <c r="BO38" s="257">
        <f t="shared" si="51"/>
        <v>0</v>
      </c>
      <c r="BP38" s="232">
        <f t="shared" si="52"/>
        <v>0</v>
      </c>
      <c r="BQ38" s="257">
        <f t="shared" si="53"/>
        <v>0</v>
      </c>
      <c r="BR38" s="257">
        <f t="shared" si="54"/>
        <v>0</v>
      </c>
      <c r="BS38" s="257">
        <f t="shared" si="55"/>
        <v>0</v>
      </c>
      <c r="BT38" s="257">
        <f t="shared" si="56"/>
        <v>0</v>
      </c>
      <c r="BU38" s="257">
        <f t="shared" si="57"/>
        <v>0</v>
      </c>
      <c r="BV38" s="257">
        <f t="shared" si="58"/>
        <v>0</v>
      </c>
      <c r="BW38" s="257">
        <f t="shared" si="59"/>
        <v>0</v>
      </c>
      <c r="BX38" s="257">
        <f t="shared" si="60"/>
        <v>0</v>
      </c>
      <c r="BY38" s="257">
        <f t="shared" si="61"/>
        <v>0</v>
      </c>
      <c r="BZ38" s="257">
        <f t="shared" si="62"/>
        <v>0</v>
      </c>
      <c r="CA38" s="257">
        <f t="shared" si="63"/>
        <v>0</v>
      </c>
      <c r="CB38" s="257">
        <f t="shared" si="64"/>
        <v>0</v>
      </c>
      <c r="CC38" s="232">
        <f t="shared" si="65"/>
        <v>0</v>
      </c>
      <c r="CD38" s="257">
        <f t="shared" si="66"/>
        <v>0</v>
      </c>
      <c r="CE38" s="257">
        <f t="shared" si="67"/>
        <v>0</v>
      </c>
      <c r="CF38" s="257">
        <f t="shared" si="68"/>
        <v>0</v>
      </c>
      <c r="CG38" s="257">
        <f t="shared" si="69"/>
        <v>0</v>
      </c>
      <c r="CH38" s="257">
        <f t="shared" si="70"/>
        <v>0</v>
      </c>
      <c r="CI38" s="257">
        <f t="shared" si="71"/>
        <v>0</v>
      </c>
      <c r="CJ38" s="257">
        <f t="shared" si="72"/>
        <v>0</v>
      </c>
      <c r="CK38" s="257">
        <f t="shared" si="73"/>
        <v>0</v>
      </c>
      <c r="CL38" s="257">
        <f t="shared" si="74"/>
        <v>0</v>
      </c>
      <c r="CM38" s="257">
        <f t="shared" si="75"/>
        <v>0</v>
      </c>
      <c r="CN38" s="257">
        <f t="shared" si="76"/>
        <v>0</v>
      </c>
      <c r="CO38" s="257">
        <f t="shared" si="77"/>
        <v>0</v>
      </c>
      <c r="CP38" s="232">
        <f t="shared" si="78"/>
        <v>0</v>
      </c>
      <c r="CQ38" s="257">
        <f t="shared" si="79"/>
        <v>0</v>
      </c>
      <c r="CR38" s="257">
        <f t="shared" si="80"/>
        <v>0</v>
      </c>
      <c r="CS38" s="257">
        <f t="shared" si="81"/>
        <v>0</v>
      </c>
      <c r="CT38" s="575">
        <f t="shared" si="82"/>
        <v>3</v>
      </c>
      <c r="CU38" s="506">
        <f t="shared" si="83"/>
        <v>0</v>
      </c>
      <c r="CV38" s="39" t="str">
        <f t="shared" si="84"/>
        <v/>
      </c>
      <c r="CW38" s="257">
        <f t="shared" si="85"/>
        <v>0</v>
      </c>
      <c r="CX38" s="257">
        <f t="shared" si="86"/>
        <v>0</v>
      </c>
      <c r="CY38" s="257">
        <f t="shared" si="87"/>
        <v>0</v>
      </c>
      <c r="CZ38" s="575">
        <f t="shared" si="88"/>
        <v>3</v>
      </c>
      <c r="DA38" s="506">
        <f t="shared" si="89"/>
        <v>0</v>
      </c>
      <c r="DB38" s="39" t="str">
        <f t="shared" si="90"/>
        <v/>
      </c>
      <c r="DC38" s="257">
        <f t="shared" si="91"/>
        <v>0</v>
      </c>
      <c r="DD38" s="257">
        <f t="shared" si="92"/>
        <v>0</v>
      </c>
      <c r="DE38" s="257">
        <f t="shared" si="93"/>
        <v>0</v>
      </c>
      <c r="DF38" s="575">
        <f t="shared" si="94"/>
        <v>3</v>
      </c>
      <c r="DG38" s="506">
        <f t="shared" si="95"/>
        <v>0</v>
      </c>
      <c r="DH38" s="39" t="str">
        <f t="shared" si="96"/>
        <v/>
      </c>
      <c r="DI38" s="257">
        <f t="shared" si="97"/>
        <v>0</v>
      </c>
      <c r="DJ38" s="257">
        <f t="shared" si="98"/>
        <v>0</v>
      </c>
      <c r="DK38" s="257">
        <f t="shared" si="99"/>
        <v>0</v>
      </c>
      <c r="DL38" s="575">
        <f t="shared" si="100"/>
        <v>3</v>
      </c>
      <c r="DM38" s="506">
        <f t="shared" si="101"/>
        <v>0</v>
      </c>
      <c r="DN38" s="39" t="str">
        <f t="shared" si="102"/>
        <v/>
      </c>
      <c r="DO38" s="257">
        <f t="shared" si="103"/>
        <v>0</v>
      </c>
      <c r="DP38" s="257">
        <f t="shared" si="104"/>
        <v>0</v>
      </c>
      <c r="DQ38" s="257">
        <f t="shared" si="105"/>
        <v>0</v>
      </c>
      <c r="DR38" s="575">
        <f t="shared" si="106"/>
        <v>3</v>
      </c>
      <c r="DS38" s="506">
        <f t="shared" si="107"/>
        <v>0</v>
      </c>
      <c r="DT38" s="39" t="str">
        <f t="shared" si="108"/>
        <v/>
      </c>
      <c r="DU38" s="257">
        <f t="shared" si="109"/>
        <v>0</v>
      </c>
      <c r="DV38" s="257">
        <f t="shared" si="110"/>
        <v>0</v>
      </c>
      <c r="DW38" s="257">
        <f t="shared" si="111"/>
        <v>0</v>
      </c>
      <c r="DX38" s="575">
        <f t="shared" si="112"/>
        <v>3</v>
      </c>
      <c r="DY38" s="506">
        <f t="shared" si="113"/>
        <v>0</v>
      </c>
      <c r="DZ38" s="39" t="str">
        <f t="shared" si="114"/>
        <v/>
      </c>
      <c r="EA38" s="257">
        <f t="shared" si="115"/>
        <v>0</v>
      </c>
      <c r="EB38" s="257">
        <f t="shared" si="116"/>
        <v>0</v>
      </c>
      <c r="EC38" s="257">
        <f t="shared" si="117"/>
        <v>0</v>
      </c>
      <c r="ED38" s="575">
        <f t="shared" si="118"/>
        <v>3</v>
      </c>
      <c r="EE38" s="506">
        <f t="shared" si="119"/>
        <v>0</v>
      </c>
      <c r="EF38" s="39" t="str">
        <f t="shared" si="120"/>
        <v/>
      </c>
      <c r="EG38" s="257">
        <f t="shared" si="121"/>
        <v>0</v>
      </c>
      <c r="EH38" s="257">
        <f t="shared" si="122"/>
        <v>0</v>
      </c>
      <c r="EI38" s="257">
        <f t="shared" si="123"/>
        <v>0</v>
      </c>
      <c r="EJ38" s="575">
        <f t="shared" si="124"/>
        <v>3</v>
      </c>
      <c r="EK38" s="506">
        <f t="shared" si="125"/>
        <v>0</v>
      </c>
      <c r="EL38" s="39" t="str">
        <f t="shared" si="126"/>
        <v/>
      </c>
      <c r="EM38" s="257">
        <f t="shared" si="127"/>
        <v>0</v>
      </c>
      <c r="EN38" s="257">
        <f t="shared" si="128"/>
        <v>0</v>
      </c>
      <c r="EO38" s="257">
        <f t="shared" si="129"/>
        <v>0</v>
      </c>
      <c r="EP38" s="575">
        <f t="shared" si="130"/>
        <v>3</v>
      </c>
      <c r="EQ38" s="506">
        <f t="shared" si="131"/>
        <v>0</v>
      </c>
      <c r="ER38" s="39" t="str">
        <f t="shared" si="132"/>
        <v/>
      </c>
      <c r="ES38" s="257">
        <f t="shared" si="133"/>
        <v>0</v>
      </c>
      <c r="ET38" s="257">
        <f t="shared" si="134"/>
        <v>0</v>
      </c>
      <c r="EU38" s="257">
        <f t="shared" si="135"/>
        <v>0</v>
      </c>
      <c r="EV38" s="575">
        <f t="shared" si="136"/>
        <v>3</v>
      </c>
      <c r="EW38" s="506">
        <f t="shared" si="137"/>
        <v>0</v>
      </c>
      <c r="EX38" s="39" t="str">
        <f t="shared" si="138"/>
        <v/>
      </c>
      <c r="EY38" s="257">
        <f t="shared" si="139"/>
        <v>0</v>
      </c>
      <c r="EZ38" s="257">
        <f t="shared" si="140"/>
        <v>0</v>
      </c>
      <c r="FA38" s="257">
        <f t="shared" si="141"/>
        <v>0</v>
      </c>
      <c r="FB38" s="575">
        <f t="shared" si="142"/>
        <v>3</v>
      </c>
      <c r="FC38" s="506">
        <f t="shared" si="143"/>
        <v>0</v>
      </c>
      <c r="FD38" s="39" t="str">
        <f t="shared" si="144"/>
        <v/>
      </c>
      <c r="FE38" s="257">
        <f t="shared" si="145"/>
        <v>0</v>
      </c>
      <c r="FF38" s="257">
        <f t="shared" si="146"/>
        <v>0</v>
      </c>
      <c r="FG38" s="257">
        <f t="shared" si="147"/>
        <v>0</v>
      </c>
      <c r="FH38" s="575">
        <f t="shared" si="148"/>
        <v>3</v>
      </c>
      <c r="FI38" s="506">
        <f t="shared" si="149"/>
        <v>0</v>
      </c>
      <c r="FJ38" s="39" t="str">
        <f t="shared" si="150"/>
        <v/>
      </c>
      <c r="FK38" s="39"/>
      <c r="FL38" s="39" t="str">
        <f t="shared" si="151"/>
        <v/>
      </c>
      <c r="FM38" s="39" t="str">
        <f t="shared" si="152"/>
        <v/>
      </c>
      <c r="FN38" s="39" t="str">
        <f t="shared" si="153"/>
        <v/>
      </c>
      <c r="FO38" s="39" t="str">
        <f t="shared" si="154"/>
        <v/>
      </c>
      <c r="FP38" s="39" t="str">
        <f t="shared" si="155"/>
        <v/>
      </c>
      <c r="FQ38" s="39" t="str">
        <f t="shared" si="156"/>
        <v/>
      </c>
      <c r="FR38" s="39" t="str">
        <f t="shared" si="157"/>
        <v/>
      </c>
      <c r="FS38" s="39" t="str">
        <f t="shared" si="158"/>
        <v/>
      </c>
      <c r="FT38" s="39" t="str">
        <f t="shared" si="159"/>
        <v/>
      </c>
      <c r="FU38" s="39" t="str">
        <f t="shared" si="160"/>
        <v/>
      </c>
      <c r="FV38" s="39" t="str">
        <f t="shared" si="161"/>
        <v/>
      </c>
      <c r="FW38" s="39" t="str">
        <f t="shared" si="162"/>
        <v/>
      </c>
      <c r="FX38" s="39" t="str">
        <f t="shared" si="163"/>
        <v/>
      </c>
      <c r="FY38" s="68">
        <f t="shared" si="164"/>
        <v>0</v>
      </c>
      <c r="FZ38" s="68">
        <f t="shared" si="165"/>
        <v>0</v>
      </c>
      <c r="GA38" s="39">
        <f>SISWA!E36</f>
        <v>0</v>
      </c>
      <c r="GB38" s="39" t="str">
        <f t="shared" si="166"/>
        <v/>
      </c>
      <c r="GC38" s="207" t="str">
        <f t="shared" si="167"/>
        <v/>
      </c>
      <c r="GD38" s="207" t="str">
        <f t="shared" si="168"/>
        <v/>
      </c>
      <c r="GE38" s="207" t="str">
        <f t="shared" si="169"/>
        <v/>
      </c>
      <c r="GF38" s="207" t="str">
        <f t="shared" si="170"/>
        <v/>
      </c>
      <c r="GG38" s="207" t="str">
        <f t="shared" si="171"/>
        <v/>
      </c>
      <c r="GH38" s="207" t="str">
        <f t="shared" si="172"/>
        <v/>
      </c>
      <c r="GI38" s="207" t="str">
        <f t="shared" si="173"/>
        <v/>
      </c>
      <c r="GJ38" s="207" t="str">
        <f t="shared" si="174"/>
        <v/>
      </c>
      <c r="GK38" s="207" t="str">
        <f t="shared" si="175"/>
        <v/>
      </c>
      <c r="GL38" s="207" t="str">
        <f t="shared" si="176"/>
        <v/>
      </c>
      <c r="GM38" s="207" t="str">
        <f t="shared" si="177"/>
        <v/>
      </c>
      <c r="GN38" s="207" t="str">
        <f t="shared" si="178"/>
        <v/>
      </c>
      <c r="GO38" s="39">
        <f t="shared" si="179"/>
        <v>0</v>
      </c>
      <c r="GP38" s="68" t="e">
        <f t="shared" si="180"/>
        <v>#N/A</v>
      </c>
      <c r="GQ38" s="576" t="e">
        <f>IF(FY38&gt;100,"",IF(FY38&gt;BE$1,"sangat baik dalam "&amp;GP38,IF(FY38&gt;=BE$2,"baik dalam "&amp;GP38,IF(FY38&gt;=BE$3,"cukup dalam "&amp;GP38,IF(FY38&lt;BE$3,"dengan bimbingan dapat meningkatkan dalam "&amp;GP38,IF(FY38&lt;1," ",””))))))</f>
        <v>#N/A</v>
      </c>
      <c r="GR38" s="223"/>
      <c r="GS38" s="223" t="str">
        <f t="shared" si="181"/>
        <v/>
      </c>
      <c r="GT38" s="223" t="str">
        <f t="shared" si="182"/>
        <v/>
      </c>
      <c r="GU38" s="223" t="str">
        <f t="shared" si="183"/>
        <v/>
      </c>
      <c r="GV38" s="223" t="str">
        <f t="shared" si="184"/>
        <v/>
      </c>
      <c r="GW38" s="223" t="str">
        <f t="shared" si="185"/>
        <v/>
      </c>
      <c r="GX38" s="223" t="str">
        <f t="shared" si="186"/>
        <v/>
      </c>
      <c r="GY38" s="223" t="str">
        <f t="shared" si="187"/>
        <v/>
      </c>
      <c r="GZ38" s="223" t="str">
        <f t="shared" si="188"/>
        <v/>
      </c>
      <c r="HA38" s="223" t="str">
        <f t="shared" si="189"/>
        <v/>
      </c>
      <c r="HB38" s="223" t="str">
        <f t="shared" si="190"/>
        <v/>
      </c>
      <c r="HC38" s="223" t="str">
        <f t="shared" si="191"/>
        <v/>
      </c>
      <c r="HD38" s="223" t="str">
        <f t="shared" si="192"/>
        <v/>
      </c>
      <c r="HE38" s="223" t="e">
        <f t="shared" si="193"/>
        <v>#N/A</v>
      </c>
      <c r="HF38" s="577" t="e">
        <f>IF(FZ38&gt;100,"",IF(FZ38&gt;=BE$1,"sangat baik dalam "&amp;HE38,IF(FZ38&gt;=BE$2,"baik dalam "&amp;HE38,IF(FZ38&gt;=BE$3,"cukup dalam "&amp;HE38,IF(FZ38&lt;BE$3,"dengan bimbingan dapat meningkatkan dalam "&amp;HE38,IF(FZ38&lt;1," ",””))))))</f>
        <v>#N/A</v>
      </c>
      <c r="HG38" s="223" t="e">
        <f t="shared" si="194"/>
        <v>#N/A</v>
      </c>
    </row>
    <row r="39" spans="1:215" ht="30" customHeight="1">
      <c r="A39" s="39">
        <v>32</v>
      </c>
      <c r="B39" s="223">
        <f>SISWA!B37</f>
        <v>0</v>
      </c>
      <c r="C39" s="123"/>
      <c r="D39" s="123"/>
      <c r="E39" s="123"/>
      <c r="F39" s="123"/>
      <c r="G39" s="123"/>
      <c r="H39" s="123"/>
      <c r="I39" s="123"/>
      <c r="J39" s="123"/>
      <c r="K39" s="123"/>
      <c r="L39" s="123"/>
      <c r="M39" s="123"/>
      <c r="N39" s="123"/>
      <c r="O39" s="255"/>
      <c r="P39" s="255"/>
      <c r="Q39" s="255"/>
      <c r="R39" s="255"/>
      <c r="S39" s="255"/>
      <c r="T39" s="255"/>
      <c r="U39" s="255"/>
      <c r="V39" s="255"/>
      <c r="W39" s="255"/>
      <c r="X39" s="255"/>
      <c r="Y39" s="255"/>
      <c r="Z39" s="255"/>
      <c r="AA39" s="256"/>
      <c r="AB39" s="256"/>
      <c r="AC39" s="256"/>
      <c r="AD39" s="256"/>
      <c r="AE39" s="256"/>
      <c r="AF39" s="256"/>
      <c r="AG39" s="256"/>
      <c r="AH39" s="256"/>
      <c r="AI39" s="256"/>
      <c r="AJ39" s="256"/>
      <c r="AK39" s="256"/>
      <c r="AL39" s="256"/>
      <c r="AM39" s="257" t="str">
        <f t="shared" si="25"/>
        <v/>
      </c>
      <c r="AN39" s="257" t="str">
        <f t="shared" si="26"/>
        <v/>
      </c>
      <c r="AO39" s="257" t="str">
        <f t="shared" si="27"/>
        <v/>
      </c>
      <c r="AP39" s="257" t="str">
        <f t="shared" si="28"/>
        <v/>
      </c>
      <c r="AQ39" s="257" t="str">
        <f t="shared" si="29"/>
        <v/>
      </c>
      <c r="AR39" s="257" t="str">
        <f t="shared" si="30"/>
        <v/>
      </c>
      <c r="AS39" s="257" t="str">
        <f t="shared" si="31"/>
        <v/>
      </c>
      <c r="AT39" s="257" t="str">
        <f t="shared" si="32"/>
        <v/>
      </c>
      <c r="AU39" s="257" t="str">
        <f t="shared" si="33"/>
        <v/>
      </c>
      <c r="AV39" s="257" t="str">
        <f t="shared" si="34"/>
        <v/>
      </c>
      <c r="AW39" s="257" t="str">
        <f t="shared" si="35"/>
        <v/>
      </c>
      <c r="AX39" s="257" t="str">
        <f t="shared" si="36"/>
        <v/>
      </c>
      <c r="AY39" s="756" t="str">
        <f t="shared" si="37"/>
        <v/>
      </c>
      <c r="AZ39" s="291" t="str">
        <f t="shared" si="38"/>
        <v xml:space="preserve">  </v>
      </c>
      <c r="BA39" s="243" t="str">
        <f t="shared" si="39"/>
        <v xml:space="preserve"> </v>
      </c>
      <c r="BB39" s="39"/>
      <c r="BC39" s="39"/>
      <c r="BD39" s="257">
        <f t="shared" si="40"/>
        <v>0</v>
      </c>
      <c r="BE39" s="257">
        <f t="shared" si="41"/>
        <v>0</v>
      </c>
      <c r="BF39" s="257">
        <f t="shared" si="42"/>
        <v>0</v>
      </c>
      <c r="BG39" s="257">
        <f t="shared" si="43"/>
        <v>0</v>
      </c>
      <c r="BH39" s="257">
        <f t="shared" si="44"/>
        <v>0</v>
      </c>
      <c r="BI39" s="257">
        <f t="shared" si="45"/>
        <v>0</v>
      </c>
      <c r="BJ39" s="257">
        <f t="shared" si="46"/>
        <v>0</v>
      </c>
      <c r="BK39" s="257">
        <f t="shared" si="47"/>
        <v>0</v>
      </c>
      <c r="BL39" s="257">
        <f t="shared" si="48"/>
        <v>0</v>
      </c>
      <c r="BM39" s="257">
        <f t="shared" si="49"/>
        <v>0</v>
      </c>
      <c r="BN39" s="257">
        <f t="shared" si="50"/>
        <v>0</v>
      </c>
      <c r="BO39" s="257">
        <f t="shared" si="51"/>
        <v>0</v>
      </c>
      <c r="BP39" s="232">
        <f t="shared" si="52"/>
        <v>0</v>
      </c>
      <c r="BQ39" s="257">
        <f t="shared" si="53"/>
        <v>0</v>
      </c>
      <c r="BR39" s="257">
        <f t="shared" si="54"/>
        <v>0</v>
      </c>
      <c r="BS39" s="257">
        <f t="shared" si="55"/>
        <v>0</v>
      </c>
      <c r="BT39" s="257">
        <f t="shared" si="56"/>
        <v>0</v>
      </c>
      <c r="BU39" s="257">
        <f t="shared" si="57"/>
        <v>0</v>
      </c>
      <c r="BV39" s="257">
        <f t="shared" si="58"/>
        <v>0</v>
      </c>
      <c r="BW39" s="257">
        <f t="shared" si="59"/>
        <v>0</v>
      </c>
      <c r="BX39" s="257">
        <f t="shared" si="60"/>
        <v>0</v>
      </c>
      <c r="BY39" s="257">
        <f t="shared" si="61"/>
        <v>0</v>
      </c>
      <c r="BZ39" s="257">
        <f t="shared" si="62"/>
        <v>0</v>
      </c>
      <c r="CA39" s="257">
        <f t="shared" si="63"/>
        <v>0</v>
      </c>
      <c r="CB39" s="257">
        <f t="shared" si="64"/>
        <v>0</v>
      </c>
      <c r="CC39" s="232">
        <f t="shared" si="65"/>
        <v>0</v>
      </c>
      <c r="CD39" s="257">
        <f t="shared" si="66"/>
        <v>0</v>
      </c>
      <c r="CE39" s="257">
        <f t="shared" si="67"/>
        <v>0</v>
      </c>
      <c r="CF39" s="257">
        <f t="shared" si="68"/>
        <v>0</v>
      </c>
      <c r="CG39" s="257">
        <f t="shared" si="69"/>
        <v>0</v>
      </c>
      <c r="CH39" s="257">
        <f t="shared" si="70"/>
        <v>0</v>
      </c>
      <c r="CI39" s="257">
        <f t="shared" si="71"/>
        <v>0</v>
      </c>
      <c r="CJ39" s="257">
        <f t="shared" si="72"/>
        <v>0</v>
      </c>
      <c r="CK39" s="257">
        <f t="shared" si="73"/>
        <v>0</v>
      </c>
      <c r="CL39" s="257">
        <f t="shared" si="74"/>
        <v>0</v>
      </c>
      <c r="CM39" s="257">
        <f t="shared" si="75"/>
        <v>0</v>
      </c>
      <c r="CN39" s="257">
        <f t="shared" si="76"/>
        <v>0</v>
      </c>
      <c r="CO39" s="257">
        <f t="shared" si="77"/>
        <v>0</v>
      </c>
      <c r="CP39" s="232">
        <f t="shared" si="78"/>
        <v>0</v>
      </c>
      <c r="CQ39" s="257">
        <f t="shared" si="79"/>
        <v>0</v>
      </c>
      <c r="CR39" s="257">
        <f t="shared" si="80"/>
        <v>0</v>
      </c>
      <c r="CS39" s="257">
        <f t="shared" si="81"/>
        <v>0</v>
      </c>
      <c r="CT39" s="575">
        <f t="shared" si="82"/>
        <v>3</v>
      </c>
      <c r="CU39" s="506">
        <f t="shared" si="83"/>
        <v>0</v>
      </c>
      <c r="CV39" s="39" t="str">
        <f t="shared" si="84"/>
        <v/>
      </c>
      <c r="CW39" s="257">
        <f t="shared" si="85"/>
        <v>0</v>
      </c>
      <c r="CX39" s="257">
        <f t="shared" si="86"/>
        <v>0</v>
      </c>
      <c r="CY39" s="257">
        <f t="shared" si="87"/>
        <v>0</v>
      </c>
      <c r="CZ39" s="575">
        <f t="shared" si="88"/>
        <v>3</v>
      </c>
      <c r="DA39" s="506">
        <f t="shared" si="89"/>
        <v>0</v>
      </c>
      <c r="DB39" s="39" t="str">
        <f t="shared" si="90"/>
        <v/>
      </c>
      <c r="DC39" s="257">
        <f t="shared" si="91"/>
        <v>0</v>
      </c>
      <c r="DD39" s="257">
        <f t="shared" si="92"/>
        <v>0</v>
      </c>
      <c r="DE39" s="257">
        <f t="shared" si="93"/>
        <v>0</v>
      </c>
      <c r="DF39" s="575">
        <f t="shared" si="94"/>
        <v>3</v>
      </c>
      <c r="DG39" s="506">
        <f t="shared" si="95"/>
        <v>0</v>
      </c>
      <c r="DH39" s="39" t="str">
        <f t="shared" si="96"/>
        <v/>
      </c>
      <c r="DI39" s="257">
        <f t="shared" si="97"/>
        <v>0</v>
      </c>
      <c r="DJ39" s="257">
        <f t="shared" si="98"/>
        <v>0</v>
      </c>
      <c r="DK39" s="257">
        <f t="shared" si="99"/>
        <v>0</v>
      </c>
      <c r="DL39" s="575">
        <f t="shared" si="100"/>
        <v>3</v>
      </c>
      <c r="DM39" s="506">
        <f t="shared" si="101"/>
        <v>0</v>
      </c>
      <c r="DN39" s="39" t="str">
        <f t="shared" si="102"/>
        <v/>
      </c>
      <c r="DO39" s="257">
        <f t="shared" si="103"/>
        <v>0</v>
      </c>
      <c r="DP39" s="257">
        <f t="shared" si="104"/>
        <v>0</v>
      </c>
      <c r="DQ39" s="257">
        <f t="shared" si="105"/>
        <v>0</v>
      </c>
      <c r="DR39" s="575">
        <f t="shared" si="106"/>
        <v>3</v>
      </c>
      <c r="DS39" s="506">
        <f t="shared" si="107"/>
        <v>0</v>
      </c>
      <c r="DT39" s="39" t="str">
        <f t="shared" si="108"/>
        <v/>
      </c>
      <c r="DU39" s="257">
        <f t="shared" si="109"/>
        <v>0</v>
      </c>
      <c r="DV39" s="257">
        <f t="shared" si="110"/>
        <v>0</v>
      </c>
      <c r="DW39" s="257">
        <f t="shared" si="111"/>
        <v>0</v>
      </c>
      <c r="DX39" s="575">
        <f t="shared" si="112"/>
        <v>3</v>
      </c>
      <c r="DY39" s="506">
        <f t="shared" si="113"/>
        <v>0</v>
      </c>
      <c r="DZ39" s="39" t="str">
        <f t="shared" si="114"/>
        <v/>
      </c>
      <c r="EA39" s="257">
        <f t="shared" si="115"/>
        <v>0</v>
      </c>
      <c r="EB39" s="257">
        <f t="shared" si="116"/>
        <v>0</v>
      </c>
      <c r="EC39" s="257">
        <f t="shared" si="117"/>
        <v>0</v>
      </c>
      <c r="ED39" s="575">
        <f t="shared" si="118"/>
        <v>3</v>
      </c>
      <c r="EE39" s="506">
        <f t="shared" si="119"/>
        <v>0</v>
      </c>
      <c r="EF39" s="39" t="str">
        <f t="shared" si="120"/>
        <v/>
      </c>
      <c r="EG39" s="257">
        <f t="shared" si="121"/>
        <v>0</v>
      </c>
      <c r="EH39" s="257">
        <f t="shared" si="122"/>
        <v>0</v>
      </c>
      <c r="EI39" s="257">
        <f t="shared" si="123"/>
        <v>0</v>
      </c>
      <c r="EJ39" s="575">
        <f t="shared" si="124"/>
        <v>3</v>
      </c>
      <c r="EK39" s="506">
        <f t="shared" si="125"/>
        <v>0</v>
      </c>
      <c r="EL39" s="39" t="str">
        <f t="shared" si="126"/>
        <v/>
      </c>
      <c r="EM39" s="257">
        <f t="shared" si="127"/>
        <v>0</v>
      </c>
      <c r="EN39" s="257">
        <f t="shared" si="128"/>
        <v>0</v>
      </c>
      <c r="EO39" s="257">
        <f t="shared" si="129"/>
        <v>0</v>
      </c>
      <c r="EP39" s="575">
        <f t="shared" si="130"/>
        <v>3</v>
      </c>
      <c r="EQ39" s="506">
        <f t="shared" si="131"/>
        <v>0</v>
      </c>
      <c r="ER39" s="39" t="str">
        <f t="shared" si="132"/>
        <v/>
      </c>
      <c r="ES39" s="257">
        <f t="shared" si="133"/>
        <v>0</v>
      </c>
      <c r="ET39" s="257">
        <f t="shared" si="134"/>
        <v>0</v>
      </c>
      <c r="EU39" s="257">
        <f t="shared" si="135"/>
        <v>0</v>
      </c>
      <c r="EV39" s="575">
        <f t="shared" si="136"/>
        <v>3</v>
      </c>
      <c r="EW39" s="506">
        <f t="shared" si="137"/>
        <v>0</v>
      </c>
      <c r="EX39" s="39" t="str">
        <f t="shared" si="138"/>
        <v/>
      </c>
      <c r="EY39" s="257">
        <f t="shared" si="139"/>
        <v>0</v>
      </c>
      <c r="EZ39" s="257">
        <f t="shared" si="140"/>
        <v>0</v>
      </c>
      <c r="FA39" s="257">
        <f t="shared" si="141"/>
        <v>0</v>
      </c>
      <c r="FB39" s="575">
        <f t="shared" si="142"/>
        <v>3</v>
      </c>
      <c r="FC39" s="506">
        <f t="shared" si="143"/>
        <v>0</v>
      </c>
      <c r="FD39" s="39" t="str">
        <f t="shared" si="144"/>
        <v/>
      </c>
      <c r="FE39" s="257">
        <f t="shared" si="145"/>
        <v>0</v>
      </c>
      <c r="FF39" s="257">
        <f t="shared" si="146"/>
        <v>0</v>
      </c>
      <c r="FG39" s="257">
        <f t="shared" si="147"/>
        <v>0</v>
      </c>
      <c r="FH39" s="575">
        <f t="shared" si="148"/>
        <v>3</v>
      </c>
      <c r="FI39" s="506">
        <f t="shared" si="149"/>
        <v>0</v>
      </c>
      <c r="FJ39" s="39" t="str">
        <f t="shared" si="150"/>
        <v/>
      </c>
      <c r="FK39" s="39"/>
      <c r="FL39" s="39" t="str">
        <f t="shared" si="151"/>
        <v/>
      </c>
      <c r="FM39" s="39" t="str">
        <f t="shared" si="152"/>
        <v/>
      </c>
      <c r="FN39" s="39" t="str">
        <f t="shared" si="153"/>
        <v/>
      </c>
      <c r="FO39" s="39" t="str">
        <f t="shared" si="154"/>
        <v/>
      </c>
      <c r="FP39" s="39" t="str">
        <f t="shared" si="155"/>
        <v/>
      </c>
      <c r="FQ39" s="39" t="str">
        <f t="shared" si="156"/>
        <v/>
      </c>
      <c r="FR39" s="39" t="str">
        <f t="shared" si="157"/>
        <v/>
      </c>
      <c r="FS39" s="39" t="str">
        <f t="shared" si="158"/>
        <v/>
      </c>
      <c r="FT39" s="39" t="str">
        <f t="shared" si="159"/>
        <v/>
      </c>
      <c r="FU39" s="39" t="str">
        <f t="shared" si="160"/>
        <v/>
      </c>
      <c r="FV39" s="39" t="str">
        <f t="shared" si="161"/>
        <v/>
      </c>
      <c r="FW39" s="39" t="str">
        <f t="shared" si="162"/>
        <v/>
      </c>
      <c r="FX39" s="39" t="str">
        <f t="shared" si="163"/>
        <v/>
      </c>
      <c r="FY39" s="68">
        <f t="shared" si="164"/>
        <v>0</v>
      </c>
      <c r="FZ39" s="68">
        <f t="shared" si="165"/>
        <v>0</v>
      </c>
      <c r="GA39" s="39">
        <f>SISWA!E37</f>
        <v>0</v>
      </c>
      <c r="GB39" s="39" t="str">
        <f t="shared" si="166"/>
        <v/>
      </c>
      <c r="GC39" s="207" t="str">
        <f t="shared" si="167"/>
        <v/>
      </c>
      <c r="GD39" s="207" t="str">
        <f t="shared" si="168"/>
        <v/>
      </c>
      <c r="GE39" s="207" t="str">
        <f t="shared" si="169"/>
        <v/>
      </c>
      <c r="GF39" s="207" t="str">
        <f t="shared" si="170"/>
        <v/>
      </c>
      <c r="GG39" s="207" t="str">
        <f t="shared" si="171"/>
        <v/>
      </c>
      <c r="GH39" s="207" t="str">
        <f t="shared" si="172"/>
        <v/>
      </c>
      <c r="GI39" s="207" t="str">
        <f t="shared" si="173"/>
        <v/>
      </c>
      <c r="GJ39" s="207" t="str">
        <f t="shared" si="174"/>
        <v/>
      </c>
      <c r="GK39" s="207" t="str">
        <f t="shared" si="175"/>
        <v/>
      </c>
      <c r="GL39" s="207" t="str">
        <f t="shared" si="176"/>
        <v/>
      </c>
      <c r="GM39" s="207" t="str">
        <f t="shared" si="177"/>
        <v/>
      </c>
      <c r="GN39" s="207" t="str">
        <f t="shared" si="178"/>
        <v/>
      </c>
      <c r="GO39" s="39">
        <f t="shared" si="179"/>
        <v>0</v>
      </c>
      <c r="GP39" s="68" t="e">
        <f t="shared" si="180"/>
        <v>#N/A</v>
      </c>
      <c r="GQ39" s="576" t="e">
        <f>IF(FY39&gt;100,"",IF(FY39&gt;BE$1,"sangat baik dalam "&amp;GP39,IF(FY39&gt;=BE$2,"baik dalam "&amp;GP39,IF(FY39&gt;=BE$3,"cukup dalam "&amp;GP39,IF(FY39&lt;BE$3,"dengan bimbingan dapat meningkatkan dalam "&amp;GP39,IF(FY39&lt;1," ",””))))))</f>
        <v>#N/A</v>
      </c>
      <c r="GR39" s="223"/>
      <c r="GS39" s="223" t="str">
        <f t="shared" si="181"/>
        <v/>
      </c>
      <c r="GT39" s="223" t="str">
        <f t="shared" si="182"/>
        <v/>
      </c>
      <c r="GU39" s="223" t="str">
        <f t="shared" si="183"/>
        <v/>
      </c>
      <c r="GV39" s="223" t="str">
        <f t="shared" si="184"/>
        <v/>
      </c>
      <c r="GW39" s="223" t="str">
        <f t="shared" si="185"/>
        <v/>
      </c>
      <c r="GX39" s="223" t="str">
        <f t="shared" si="186"/>
        <v/>
      </c>
      <c r="GY39" s="223" t="str">
        <f t="shared" si="187"/>
        <v/>
      </c>
      <c r="GZ39" s="223" t="str">
        <f t="shared" si="188"/>
        <v/>
      </c>
      <c r="HA39" s="223" t="str">
        <f t="shared" si="189"/>
        <v/>
      </c>
      <c r="HB39" s="223" t="str">
        <f t="shared" si="190"/>
        <v/>
      </c>
      <c r="HC39" s="223" t="str">
        <f t="shared" si="191"/>
        <v/>
      </c>
      <c r="HD39" s="223" t="str">
        <f t="shared" si="192"/>
        <v/>
      </c>
      <c r="HE39" s="223" t="e">
        <f t="shared" si="193"/>
        <v>#N/A</v>
      </c>
      <c r="HF39" s="577" t="e">
        <f>IF(FZ39&gt;100,"",IF(FZ39&gt;=BE$1,"sangat baik dalam "&amp;HE39,IF(FZ39&gt;=BE$2,"baik dalam "&amp;HE39,IF(FZ39&gt;=BE$3,"cukup dalam "&amp;HE39,IF(FZ39&lt;BE$3,"dengan bimbingan dapat meningkatkan dalam "&amp;HE39,IF(FZ39&lt;1," ",””))))))</f>
        <v>#N/A</v>
      </c>
      <c r="HG39" s="223" t="e">
        <f t="shared" si="194"/>
        <v>#N/A</v>
      </c>
    </row>
    <row r="40" spans="1:215" ht="30" customHeight="1">
      <c r="A40" s="39">
        <v>33</v>
      </c>
      <c r="B40" s="223">
        <f>SISWA!B38</f>
        <v>0</v>
      </c>
      <c r="C40" s="123"/>
      <c r="D40" s="123"/>
      <c r="E40" s="123"/>
      <c r="F40" s="123"/>
      <c r="G40" s="123"/>
      <c r="H40" s="123"/>
      <c r="I40" s="123"/>
      <c r="J40" s="123"/>
      <c r="K40" s="123"/>
      <c r="L40" s="123"/>
      <c r="M40" s="123"/>
      <c r="N40" s="123"/>
      <c r="O40" s="255"/>
      <c r="P40" s="255"/>
      <c r="Q40" s="255"/>
      <c r="R40" s="255"/>
      <c r="S40" s="255"/>
      <c r="T40" s="255"/>
      <c r="U40" s="255"/>
      <c r="V40" s="255"/>
      <c r="W40" s="255"/>
      <c r="X40" s="255"/>
      <c r="Y40" s="255"/>
      <c r="Z40" s="255"/>
      <c r="AA40" s="256"/>
      <c r="AB40" s="256"/>
      <c r="AC40" s="256"/>
      <c r="AD40" s="256"/>
      <c r="AE40" s="256"/>
      <c r="AF40" s="256"/>
      <c r="AG40" s="256"/>
      <c r="AH40" s="256"/>
      <c r="AI40" s="256"/>
      <c r="AJ40" s="256"/>
      <c r="AK40" s="256"/>
      <c r="AL40" s="256"/>
      <c r="AM40" s="257" t="str">
        <f t="shared" si="25"/>
        <v/>
      </c>
      <c r="AN40" s="257" t="str">
        <f t="shared" si="26"/>
        <v/>
      </c>
      <c r="AO40" s="257" t="str">
        <f t="shared" si="27"/>
        <v/>
      </c>
      <c r="AP40" s="257" t="str">
        <f t="shared" si="28"/>
        <v/>
      </c>
      <c r="AQ40" s="257" t="str">
        <f t="shared" si="29"/>
        <v/>
      </c>
      <c r="AR40" s="257" t="str">
        <f t="shared" si="30"/>
        <v/>
      </c>
      <c r="AS40" s="257" t="str">
        <f t="shared" si="31"/>
        <v/>
      </c>
      <c r="AT40" s="257" t="str">
        <f t="shared" si="32"/>
        <v/>
      </c>
      <c r="AU40" s="257" t="str">
        <f t="shared" si="33"/>
        <v/>
      </c>
      <c r="AV40" s="257" t="str">
        <f t="shared" si="34"/>
        <v/>
      </c>
      <c r="AW40" s="257" t="str">
        <f t="shared" si="35"/>
        <v/>
      </c>
      <c r="AX40" s="257" t="str">
        <f t="shared" si="36"/>
        <v/>
      </c>
      <c r="AY40" s="756" t="str">
        <f t="shared" si="37"/>
        <v/>
      </c>
      <c r="AZ40" s="291" t="str">
        <f t="shared" si="38"/>
        <v xml:space="preserve">  </v>
      </c>
      <c r="BA40" s="243" t="str">
        <f t="shared" si="39"/>
        <v xml:space="preserve"> </v>
      </c>
      <c r="BB40" s="39"/>
      <c r="BC40" s="39"/>
      <c r="BD40" s="257">
        <f t="shared" si="40"/>
        <v>0</v>
      </c>
      <c r="BE40" s="257">
        <f t="shared" si="41"/>
        <v>0</v>
      </c>
      <c r="BF40" s="257">
        <f t="shared" si="42"/>
        <v>0</v>
      </c>
      <c r="BG40" s="257">
        <f t="shared" si="43"/>
        <v>0</v>
      </c>
      <c r="BH40" s="257">
        <f t="shared" si="44"/>
        <v>0</v>
      </c>
      <c r="BI40" s="257">
        <f t="shared" si="45"/>
        <v>0</v>
      </c>
      <c r="BJ40" s="257">
        <f t="shared" si="46"/>
        <v>0</v>
      </c>
      <c r="BK40" s="257">
        <f t="shared" si="47"/>
        <v>0</v>
      </c>
      <c r="BL40" s="257">
        <f t="shared" si="48"/>
        <v>0</v>
      </c>
      <c r="BM40" s="257">
        <f t="shared" si="49"/>
        <v>0</v>
      </c>
      <c r="BN40" s="257">
        <f t="shared" si="50"/>
        <v>0</v>
      </c>
      <c r="BO40" s="257">
        <f t="shared" si="51"/>
        <v>0</v>
      </c>
      <c r="BP40" s="232">
        <f t="shared" si="52"/>
        <v>0</v>
      </c>
      <c r="BQ40" s="257">
        <f t="shared" si="53"/>
        <v>0</v>
      </c>
      <c r="BR40" s="257">
        <f t="shared" si="54"/>
        <v>0</v>
      </c>
      <c r="BS40" s="257">
        <f t="shared" si="55"/>
        <v>0</v>
      </c>
      <c r="BT40" s="257">
        <f t="shared" si="56"/>
        <v>0</v>
      </c>
      <c r="BU40" s="257">
        <f t="shared" si="57"/>
        <v>0</v>
      </c>
      <c r="BV40" s="257">
        <f t="shared" si="58"/>
        <v>0</v>
      </c>
      <c r="BW40" s="257">
        <f t="shared" si="59"/>
        <v>0</v>
      </c>
      <c r="BX40" s="257">
        <f t="shared" si="60"/>
        <v>0</v>
      </c>
      <c r="BY40" s="257">
        <f t="shared" si="61"/>
        <v>0</v>
      </c>
      <c r="BZ40" s="257">
        <f t="shared" si="62"/>
        <v>0</v>
      </c>
      <c r="CA40" s="257">
        <f t="shared" si="63"/>
        <v>0</v>
      </c>
      <c r="CB40" s="257">
        <f t="shared" si="64"/>
        <v>0</v>
      </c>
      <c r="CC40" s="232">
        <f t="shared" si="65"/>
        <v>0</v>
      </c>
      <c r="CD40" s="257">
        <f t="shared" si="66"/>
        <v>0</v>
      </c>
      <c r="CE40" s="257">
        <f t="shared" si="67"/>
        <v>0</v>
      </c>
      <c r="CF40" s="257">
        <f t="shared" si="68"/>
        <v>0</v>
      </c>
      <c r="CG40" s="257">
        <f t="shared" si="69"/>
        <v>0</v>
      </c>
      <c r="CH40" s="257">
        <f t="shared" si="70"/>
        <v>0</v>
      </c>
      <c r="CI40" s="257">
        <f t="shared" si="71"/>
        <v>0</v>
      </c>
      <c r="CJ40" s="257">
        <f t="shared" si="72"/>
        <v>0</v>
      </c>
      <c r="CK40" s="257">
        <f t="shared" si="73"/>
        <v>0</v>
      </c>
      <c r="CL40" s="257">
        <f t="shared" si="74"/>
        <v>0</v>
      </c>
      <c r="CM40" s="257">
        <f t="shared" si="75"/>
        <v>0</v>
      </c>
      <c r="CN40" s="257">
        <f t="shared" si="76"/>
        <v>0</v>
      </c>
      <c r="CO40" s="257">
        <f t="shared" si="77"/>
        <v>0</v>
      </c>
      <c r="CP40" s="232">
        <f t="shared" si="78"/>
        <v>0</v>
      </c>
      <c r="CQ40" s="257">
        <f t="shared" si="79"/>
        <v>0</v>
      </c>
      <c r="CR40" s="257">
        <f t="shared" si="80"/>
        <v>0</v>
      </c>
      <c r="CS40" s="257">
        <f t="shared" si="81"/>
        <v>0</v>
      </c>
      <c r="CT40" s="575">
        <f t="shared" si="82"/>
        <v>3</v>
      </c>
      <c r="CU40" s="506">
        <f t="shared" si="83"/>
        <v>0</v>
      </c>
      <c r="CV40" s="39" t="str">
        <f t="shared" si="84"/>
        <v/>
      </c>
      <c r="CW40" s="257">
        <f t="shared" si="85"/>
        <v>0</v>
      </c>
      <c r="CX40" s="257">
        <f t="shared" si="86"/>
        <v>0</v>
      </c>
      <c r="CY40" s="257">
        <f t="shared" si="87"/>
        <v>0</v>
      </c>
      <c r="CZ40" s="575">
        <f t="shared" si="88"/>
        <v>3</v>
      </c>
      <c r="DA40" s="506">
        <f t="shared" si="89"/>
        <v>0</v>
      </c>
      <c r="DB40" s="39" t="str">
        <f t="shared" si="90"/>
        <v/>
      </c>
      <c r="DC40" s="257">
        <f t="shared" si="91"/>
        <v>0</v>
      </c>
      <c r="DD40" s="257">
        <f t="shared" si="92"/>
        <v>0</v>
      </c>
      <c r="DE40" s="257">
        <f t="shared" si="93"/>
        <v>0</v>
      </c>
      <c r="DF40" s="575">
        <f t="shared" si="94"/>
        <v>3</v>
      </c>
      <c r="DG40" s="506">
        <f t="shared" si="95"/>
        <v>0</v>
      </c>
      <c r="DH40" s="39" t="str">
        <f t="shared" si="96"/>
        <v/>
      </c>
      <c r="DI40" s="257">
        <f t="shared" si="97"/>
        <v>0</v>
      </c>
      <c r="DJ40" s="257">
        <f t="shared" si="98"/>
        <v>0</v>
      </c>
      <c r="DK40" s="257">
        <f t="shared" si="99"/>
        <v>0</v>
      </c>
      <c r="DL40" s="575">
        <f t="shared" si="100"/>
        <v>3</v>
      </c>
      <c r="DM40" s="506">
        <f t="shared" si="101"/>
        <v>0</v>
      </c>
      <c r="DN40" s="39" t="str">
        <f t="shared" si="102"/>
        <v/>
      </c>
      <c r="DO40" s="257">
        <f t="shared" si="103"/>
        <v>0</v>
      </c>
      <c r="DP40" s="257">
        <f t="shared" si="104"/>
        <v>0</v>
      </c>
      <c r="DQ40" s="257">
        <f t="shared" si="105"/>
        <v>0</v>
      </c>
      <c r="DR40" s="575">
        <f t="shared" si="106"/>
        <v>3</v>
      </c>
      <c r="DS40" s="506">
        <f t="shared" si="107"/>
        <v>0</v>
      </c>
      <c r="DT40" s="39" t="str">
        <f t="shared" si="108"/>
        <v/>
      </c>
      <c r="DU40" s="257">
        <f t="shared" si="109"/>
        <v>0</v>
      </c>
      <c r="DV40" s="257">
        <f t="shared" si="110"/>
        <v>0</v>
      </c>
      <c r="DW40" s="257">
        <f t="shared" si="111"/>
        <v>0</v>
      </c>
      <c r="DX40" s="575">
        <f t="shared" si="112"/>
        <v>3</v>
      </c>
      <c r="DY40" s="506">
        <f t="shared" si="113"/>
        <v>0</v>
      </c>
      <c r="DZ40" s="39" t="str">
        <f t="shared" si="114"/>
        <v/>
      </c>
      <c r="EA40" s="257">
        <f t="shared" si="115"/>
        <v>0</v>
      </c>
      <c r="EB40" s="257">
        <f t="shared" si="116"/>
        <v>0</v>
      </c>
      <c r="EC40" s="257">
        <f t="shared" si="117"/>
        <v>0</v>
      </c>
      <c r="ED40" s="575">
        <f t="shared" si="118"/>
        <v>3</v>
      </c>
      <c r="EE40" s="506">
        <f t="shared" si="119"/>
        <v>0</v>
      </c>
      <c r="EF40" s="39" t="str">
        <f t="shared" si="120"/>
        <v/>
      </c>
      <c r="EG40" s="257">
        <f t="shared" si="121"/>
        <v>0</v>
      </c>
      <c r="EH40" s="257">
        <f t="shared" si="122"/>
        <v>0</v>
      </c>
      <c r="EI40" s="257">
        <f t="shared" si="123"/>
        <v>0</v>
      </c>
      <c r="EJ40" s="575">
        <f t="shared" si="124"/>
        <v>3</v>
      </c>
      <c r="EK40" s="506">
        <f t="shared" si="125"/>
        <v>0</v>
      </c>
      <c r="EL40" s="39" t="str">
        <f t="shared" si="126"/>
        <v/>
      </c>
      <c r="EM40" s="257">
        <f t="shared" si="127"/>
        <v>0</v>
      </c>
      <c r="EN40" s="257">
        <f t="shared" si="128"/>
        <v>0</v>
      </c>
      <c r="EO40" s="257">
        <f t="shared" si="129"/>
        <v>0</v>
      </c>
      <c r="EP40" s="575">
        <f t="shared" si="130"/>
        <v>3</v>
      </c>
      <c r="EQ40" s="506">
        <f t="shared" si="131"/>
        <v>0</v>
      </c>
      <c r="ER40" s="39" t="str">
        <f t="shared" si="132"/>
        <v/>
      </c>
      <c r="ES40" s="257">
        <f t="shared" si="133"/>
        <v>0</v>
      </c>
      <c r="ET40" s="257">
        <f t="shared" si="134"/>
        <v>0</v>
      </c>
      <c r="EU40" s="257">
        <f t="shared" si="135"/>
        <v>0</v>
      </c>
      <c r="EV40" s="575">
        <f t="shared" si="136"/>
        <v>3</v>
      </c>
      <c r="EW40" s="506">
        <f t="shared" si="137"/>
        <v>0</v>
      </c>
      <c r="EX40" s="39" t="str">
        <f t="shared" si="138"/>
        <v/>
      </c>
      <c r="EY40" s="257">
        <f t="shared" si="139"/>
        <v>0</v>
      </c>
      <c r="EZ40" s="257">
        <f t="shared" si="140"/>
        <v>0</v>
      </c>
      <c r="FA40" s="257">
        <f t="shared" si="141"/>
        <v>0</v>
      </c>
      <c r="FB40" s="575">
        <f t="shared" si="142"/>
        <v>3</v>
      </c>
      <c r="FC40" s="506">
        <f t="shared" si="143"/>
        <v>0</v>
      </c>
      <c r="FD40" s="39" t="str">
        <f t="shared" si="144"/>
        <v/>
      </c>
      <c r="FE40" s="257">
        <f t="shared" si="145"/>
        <v>0</v>
      </c>
      <c r="FF40" s="257">
        <f t="shared" si="146"/>
        <v>0</v>
      </c>
      <c r="FG40" s="257">
        <f t="shared" si="147"/>
        <v>0</v>
      </c>
      <c r="FH40" s="575">
        <f t="shared" si="148"/>
        <v>3</v>
      </c>
      <c r="FI40" s="506">
        <f t="shared" si="149"/>
        <v>0</v>
      </c>
      <c r="FJ40" s="39" t="str">
        <f t="shared" si="150"/>
        <v/>
      </c>
      <c r="FK40" s="39"/>
      <c r="FL40" s="39" t="str">
        <f t="shared" si="151"/>
        <v/>
      </c>
      <c r="FM40" s="39" t="str">
        <f t="shared" si="152"/>
        <v/>
      </c>
      <c r="FN40" s="39" t="str">
        <f t="shared" si="153"/>
        <v/>
      </c>
      <c r="FO40" s="39" t="str">
        <f t="shared" si="154"/>
        <v/>
      </c>
      <c r="FP40" s="39" t="str">
        <f t="shared" si="155"/>
        <v/>
      </c>
      <c r="FQ40" s="39" t="str">
        <f t="shared" si="156"/>
        <v/>
      </c>
      <c r="FR40" s="39" t="str">
        <f t="shared" si="157"/>
        <v/>
      </c>
      <c r="FS40" s="39" t="str">
        <f t="shared" si="158"/>
        <v/>
      </c>
      <c r="FT40" s="39" t="str">
        <f t="shared" si="159"/>
        <v/>
      </c>
      <c r="FU40" s="39" t="str">
        <f t="shared" si="160"/>
        <v/>
      </c>
      <c r="FV40" s="39" t="str">
        <f t="shared" si="161"/>
        <v/>
      </c>
      <c r="FW40" s="39" t="str">
        <f t="shared" si="162"/>
        <v/>
      </c>
      <c r="FX40" s="39" t="str">
        <f t="shared" si="163"/>
        <v/>
      </c>
      <c r="FY40" s="68">
        <f t="shared" si="164"/>
        <v>0</v>
      </c>
      <c r="FZ40" s="68">
        <f t="shared" si="165"/>
        <v>0</v>
      </c>
      <c r="GA40" s="39">
        <f>SISWA!E38</f>
        <v>0</v>
      </c>
      <c r="GB40" s="39" t="str">
        <f t="shared" si="166"/>
        <v/>
      </c>
      <c r="GC40" s="207" t="str">
        <f t="shared" si="167"/>
        <v/>
      </c>
      <c r="GD40" s="207" t="str">
        <f t="shared" si="168"/>
        <v/>
      </c>
      <c r="GE40" s="207" t="str">
        <f t="shared" si="169"/>
        <v/>
      </c>
      <c r="GF40" s="207" t="str">
        <f t="shared" si="170"/>
        <v/>
      </c>
      <c r="GG40" s="207" t="str">
        <f t="shared" si="171"/>
        <v/>
      </c>
      <c r="GH40" s="207" t="str">
        <f t="shared" si="172"/>
        <v/>
      </c>
      <c r="GI40" s="207" t="str">
        <f t="shared" si="173"/>
        <v/>
      </c>
      <c r="GJ40" s="207" t="str">
        <f t="shared" si="174"/>
        <v/>
      </c>
      <c r="GK40" s="207" t="str">
        <f t="shared" si="175"/>
        <v/>
      </c>
      <c r="GL40" s="207" t="str">
        <f t="shared" si="176"/>
        <v/>
      </c>
      <c r="GM40" s="207" t="str">
        <f t="shared" si="177"/>
        <v/>
      </c>
      <c r="GN40" s="207" t="str">
        <f t="shared" si="178"/>
        <v/>
      </c>
      <c r="GO40" s="39">
        <f t="shared" si="179"/>
        <v>0</v>
      </c>
      <c r="GP40" s="68" t="e">
        <f t="shared" si="180"/>
        <v>#N/A</v>
      </c>
      <c r="GQ40" s="576" t="e">
        <f>IF(FY40&gt;100,"",IF(FY40&gt;BE$1,"sangat baik dalam "&amp;GP40,IF(FY40&gt;=BE$2,"baik dalam "&amp;GP40,IF(FY40&gt;=BE$3,"cukup dalam "&amp;GP40,IF(FY40&lt;BE$3,"dengan bimbingan dapat meningkatkan dalam "&amp;GP40,IF(FY40&lt;1," ",””))))))</f>
        <v>#N/A</v>
      </c>
      <c r="GR40" s="223"/>
      <c r="GS40" s="223" t="str">
        <f t="shared" si="181"/>
        <v/>
      </c>
      <c r="GT40" s="223" t="str">
        <f t="shared" si="182"/>
        <v/>
      </c>
      <c r="GU40" s="223" t="str">
        <f t="shared" si="183"/>
        <v/>
      </c>
      <c r="GV40" s="223" t="str">
        <f t="shared" si="184"/>
        <v/>
      </c>
      <c r="GW40" s="223" t="str">
        <f t="shared" si="185"/>
        <v/>
      </c>
      <c r="GX40" s="223" t="str">
        <f t="shared" si="186"/>
        <v/>
      </c>
      <c r="GY40" s="223" t="str">
        <f t="shared" si="187"/>
        <v/>
      </c>
      <c r="GZ40" s="223" t="str">
        <f t="shared" si="188"/>
        <v/>
      </c>
      <c r="HA40" s="223" t="str">
        <f t="shared" si="189"/>
        <v/>
      </c>
      <c r="HB40" s="223" t="str">
        <f t="shared" si="190"/>
        <v/>
      </c>
      <c r="HC40" s="223" t="str">
        <f t="shared" si="191"/>
        <v/>
      </c>
      <c r="HD40" s="223" t="str">
        <f t="shared" si="192"/>
        <v/>
      </c>
      <c r="HE40" s="223" t="e">
        <f t="shared" si="193"/>
        <v>#N/A</v>
      </c>
      <c r="HF40" s="577" t="e">
        <f>IF(FZ40&gt;100,"",IF(FZ40&gt;=BE$1,"sangat baik dalam "&amp;HE40,IF(FZ40&gt;=BE$2,"baik dalam "&amp;HE40,IF(FZ40&gt;=BE$3,"cukup dalam "&amp;HE40,IF(FZ40&lt;BE$3,"dengan bimbingan dapat meningkatkan dalam "&amp;HE40,IF(FZ40&lt;1," ",””))))))</f>
        <v>#N/A</v>
      </c>
      <c r="HG40" s="223" t="e">
        <f t="shared" si="194"/>
        <v>#N/A</v>
      </c>
    </row>
    <row r="41" spans="1:215" ht="30" customHeight="1">
      <c r="A41" s="39">
        <v>34</v>
      </c>
      <c r="B41" s="223">
        <f>SISWA!B39</f>
        <v>0</v>
      </c>
      <c r="C41" s="123"/>
      <c r="D41" s="123"/>
      <c r="E41" s="123"/>
      <c r="F41" s="123"/>
      <c r="G41" s="123"/>
      <c r="H41" s="123"/>
      <c r="I41" s="123"/>
      <c r="J41" s="123"/>
      <c r="K41" s="123"/>
      <c r="L41" s="123"/>
      <c r="M41" s="123"/>
      <c r="N41" s="123"/>
      <c r="O41" s="255"/>
      <c r="P41" s="255"/>
      <c r="Q41" s="255"/>
      <c r="R41" s="255"/>
      <c r="S41" s="255"/>
      <c r="T41" s="255"/>
      <c r="U41" s="255"/>
      <c r="V41" s="255"/>
      <c r="W41" s="255"/>
      <c r="X41" s="255"/>
      <c r="Y41" s="255"/>
      <c r="Z41" s="255"/>
      <c r="AA41" s="256"/>
      <c r="AB41" s="256"/>
      <c r="AC41" s="256"/>
      <c r="AD41" s="256"/>
      <c r="AE41" s="256"/>
      <c r="AF41" s="256"/>
      <c r="AG41" s="256"/>
      <c r="AH41" s="256"/>
      <c r="AI41" s="256"/>
      <c r="AJ41" s="256"/>
      <c r="AK41" s="256"/>
      <c r="AL41" s="256"/>
      <c r="AM41" s="257" t="str">
        <f t="shared" si="25"/>
        <v/>
      </c>
      <c r="AN41" s="257" t="str">
        <f t="shared" si="26"/>
        <v/>
      </c>
      <c r="AO41" s="257" t="str">
        <f t="shared" si="27"/>
        <v/>
      </c>
      <c r="AP41" s="257" t="str">
        <f t="shared" si="28"/>
        <v/>
      </c>
      <c r="AQ41" s="257" t="str">
        <f t="shared" si="29"/>
        <v/>
      </c>
      <c r="AR41" s="257" t="str">
        <f t="shared" si="30"/>
        <v/>
      </c>
      <c r="AS41" s="257" t="str">
        <f t="shared" si="31"/>
        <v/>
      </c>
      <c r="AT41" s="257" t="str">
        <f t="shared" si="32"/>
        <v/>
      </c>
      <c r="AU41" s="257" t="str">
        <f t="shared" si="33"/>
        <v/>
      </c>
      <c r="AV41" s="257" t="str">
        <f t="shared" si="34"/>
        <v/>
      </c>
      <c r="AW41" s="257" t="str">
        <f t="shared" si="35"/>
        <v/>
      </c>
      <c r="AX41" s="257" t="str">
        <f t="shared" si="36"/>
        <v/>
      </c>
      <c r="AY41" s="756" t="str">
        <f t="shared" si="37"/>
        <v/>
      </c>
      <c r="AZ41" s="291" t="str">
        <f t="shared" si="38"/>
        <v xml:space="preserve">  </v>
      </c>
      <c r="BA41" s="243" t="str">
        <f t="shared" si="39"/>
        <v xml:space="preserve"> </v>
      </c>
      <c r="BB41" s="39"/>
      <c r="BC41" s="39"/>
      <c r="BD41" s="257">
        <f t="shared" si="40"/>
        <v>0</v>
      </c>
      <c r="BE41" s="257">
        <f t="shared" si="41"/>
        <v>0</v>
      </c>
      <c r="BF41" s="257">
        <f t="shared" si="42"/>
        <v>0</v>
      </c>
      <c r="BG41" s="257">
        <f t="shared" si="43"/>
        <v>0</v>
      </c>
      <c r="BH41" s="257">
        <f t="shared" si="44"/>
        <v>0</v>
      </c>
      <c r="BI41" s="257">
        <f t="shared" si="45"/>
        <v>0</v>
      </c>
      <c r="BJ41" s="257">
        <f t="shared" si="46"/>
        <v>0</v>
      </c>
      <c r="BK41" s="257">
        <f t="shared" si="47"/>
        <v>0</v>
      </c>
      <c r="BL41" s="257">
        <f t="shared" si="48"/>
        <v>0</v>
      </c>
      <c r="BM41" s="257">
        <f t="shared" si="49"/>
        <v>0</v>
      </c>
      <c r="BN41" s="257">
        <f t="shared" si="50"/>
        <v>0</v>
      </c>
      <c r="BO41" s="257">
        <f t="shared" si="51"/>
        <v>0</v>
      </c>
      <c r="BP41" s="232">
        <f t="shared" si="52"/>
        <v>0</v>
      </c>
      <c r="BQ41" s="257">
        <f t="shared" si="53"/>
        <v>0</v>
      </c>
      <c r="BR41" s="257">
        <f t="shared" si="54"/>
        <v>0</v>
      </c>
      <c r="BS41" s="257">
        <f t="shared" si="55"/>
        <v>0</v>
      </c>
      <c r="BT41" s="257">
        <f t="shared" si="56"/>
        <v>0</v>
      </c>
      <c r="BU41" s="257">
        <f t="shared" si="57"/>
        <v>0</v>
      </c>
      <c r="BV41" s="257">
        <f t="shared" si="58"/>
        <v>0</v>
      </c>
      <c r="BW41" s="257">
        <f t="shared" si="59"/>
        <v>0</v>
      </c>
      <c r="BX41" s="257">
        <f t="shared" si="60"/>
        <v>0</v>
      </c>
      <c r="BY41" s="257">
        <f t="shared" si="61"/>
        <v>0</v>
      </c>
      <c r="BZ41" s="257">
        <f t="shared" si="62"/>
        <v>0</v>
      </c>
      <c r="CA41" s="257">
        <f t="shared" si="63"/>
        <v>0</v>
      </c>
      <c r="CB41" s="257">
        <f t="shared" si="64"/>
        <v>0</v>
      </c>
      <c r="CC41" s="232">
        <f t="shared" si="65"/>
        <v>0</v>
      </c>
      <c r="CD41" s="257">
        <f t="shared" si="66"/>
        <v>0</v>
      </c>
      <c r="CE41" s="257">
        <f t="shared" si="67"/>
        <v>0</v>
      </c>
      <c r="CF41" s="257">
        <f t="shared" si="68"/>
        <v>0</v>
      </c>
      <c r="CG41" s="257">
        <f t="shared" si="69"/>
        <v>0</v>
      </c>
      <c r="CH41" s="257">
        <f t="shared" si="70"/>
        <v>0</v>
      </c>
      <c r="CI41" s="257">
        <f t="shared" si="71"/>
        <v>0</v>
      </c>
      <c r="CJ41" s="257">
        <f t="shared" si="72"/>
        <v>0</v>
      </c>
      <c r="CK41" s="257">
        <f t="shared" si="73"/>
        <v>0</v>
      </c>
      <c r="CL41" s="257">
        <f t="shared" si="74"/>
        <v>0</v>
      </c>
      <c r="CM41" s="257">
        <f t="shared" si="75"/>
        <v>0</v>
      </c>
      <c r="CN41" s="257">
        <f t="shared" si="76"/>
        <v>0</v>
      </c>
      <c r="CO41" s="257">
        <f t="shared" si="77"/>
        <v>0</v>
      </c>
      <c r="CP41" s="232">
        <f t="shared" si="78"/>
        <v>0</v>
      </c>
      <c r="CQ41" s="257">
        <f t="shared" si="79"/>
        <v>0</v>
      </c>
      <c r="CR41" s="257">
        <f t="shared" si="80"/>
        <v>0</v>
      </c>
      <c r="CS41" s="257">
        <f t="shared" si="81"/>
        <v>0</v>
      </c>
      <c r="CT41" s="575">
        <f t="shared" si="82"/>
        <v>3</v>
      </c>
      <c r="CU41" s="506">
        <f t="shared" si="83"/>
        <v>0</v>
      </c>
      <c r="CV41" s="39" t="str">
        <f t="shared" si="84"/>
        <v/>
      </c>
      <c r="CW41" s="257">
        <f t="shared" si="85"/>
        <v>0</v>
      </c>
      <c r="CX41" s="257">
        <f t="shared" si="86"/>
        <v>0</v>
      </c>
      <c r="CY41" s="257">
        <f t="shared" si="87"/>
        <v>0</v>
      </c>
      <c r="CZ41" s="575">
        <f t="shared" si="88"/>
        <v>3</v>
      </c>
      <c r="DA41" s="506">
        <f t="shared" si="89"/>
        <v>0</v>
      </c>
      <c r="DB41" s="39" t="str">
        <f t="shared" si="90"/>
        <v/>
      </c>
      <c r="DC41" s="257">
        <f t="shared" si="91"/>
        <v>0</v>
      </c>
      <c r="DD41" s="257">
        <f t="shared" si="92"/>
        <v>0</v>
      </c>
      <c r="DE41" s="257">
        <f t="shared" si="93"/>
        <v>0</v>
      </c>
      <c r="DF41" s="575">
        <f t="shared" si="94"/>
        <v>3</v>
      </c>
      <c r="DG41" s="506">
        <f t="shared" si="95"/>
        <v>0</v>
      </c>
      <c r="DH41" s="39" t="str">
        <f t="shared" si="96"/>
        <v/>
      </c>
      <c r="DI41" s="257">
        <f t="shared" si="97"/>
        <v>0</v>
      </c>
      <c r="DJ41" s="257">
        <f t="shared" si="98"/>
        <v>0</v>
      </c>
      <c r="DK41" s="257">
        <f t="shared" si="99"/>
        <v>0</v>
      </c>
      <c r="DL41" s="575">
        <f t="shared" si="100"/>
        <v>3</v>
      </c>
      <c r="DM41" s="506">
        <f t="shared" si="101"/>
        <v>0</v>
      </c>
      <c r="DN41" s="39" t="str">
        <f t="shared" si="102"/>
        <v/>
      </c>
      <c r="DO41" s="257">
        <f t="shared" si="103"/>
        <v>0</v>
      </c>
      <c r="DP41" s="257">
        <f t="shared" si="104"/>
        <v>0</v>
      </c>
      <c r="DQ41" s="257">
        <f t="shared" si="105"/>
        <v>0</v>
      </c>
      <c r="DR41" s="575">
        <f t="shared" si="106"/>
        <v>3</v>
      </c>
      <c r="DS41" s="506">
        <f t="shared" si="107"/>
        <v>0</v>
      </c>
      <c r="DT41" s="39" t="str">
        <f t="shared" si="108"/>
        <v/>
      </c>
      <c r="DU41" s="257">
        <f t="shared" si="109"/>
        <v>0</v>
      </c>
      <c r="DV41" s="257">
        <f t="shared" si="110"/>
        <v>0</v>
      </c>
      <c r="DW41" s="257">
        <f t="shared" si="111"/>
        <v>0</v>
      </c>
      <c r="DX41" s="575">
        <f t="shared" si="112"/>
        <v>3</v>
      </c>
      <c r="DY41" s="506">
        <f t="shared" si="113"/>
        <v>0</v>
      </c>
      <c r="DZ41" s="39" t="str">
        <f t="shared" si="114"/>
        <v/>
      </c>
      <c r="EA41" s="257">
        <f t="shared" si="115"/>
        <v>0</v>
      </c>
      <c r="EB41" s="257">
        <f t="shared" si="116"/>
        <v>0</v>
      </c>
      <c r="EC41" s="257">
        <f t="shared" si="117"/>
        <v>0</v>
      </c>
      <c r="ED41" s="575">
        <f t="shared" si="118"/>
        <v>3</v>
      </c>
      <c r="EE41" s="506">
        <f t="shared" si="119"/>
        <v>0</v>
      </c>
      <c r="EF41" s="39" t="str">
        <f t="shared" si="120"/>
        <v/>
      </c>
      <c r="EG41" s="257">
        <f t="shared" si="121"/>
        <v>0</v>
      </c>
      <c r="EH41" s="257">
        <f t="shared" si="122"/>
        <v>0</v>
      </c>
      <c r="EI41" s="257">
        <f t="shared" si="123"/>
        <v>0</v>
      </c>
      <c r="EJ41" s="575">
        <f t="shared" si="124"/>
        <v>3</v>
      </c>
      <c r="EK41" s="506">
        <f t="shared" si="125"/>
        <v>0</v>
      </c>
      <c r="EL41" s="39" t="str">
        <f t="shared" si="126"/>
        <v/>
      </c>
      <c r="EM41" s="257">
        <f t="shared" si="127"/>
        <v>0</v>
      </c>
      <c r="EN41" s="257">
        <f t="shared" si="128"/>
        <v>0</v>
      </c>
      <c r="EO41" s="257">
        <f t="shared" si="129"/>
        <v>0</v>
      </c>
      <c r="EP41" s="575">
        <f t="shared" si="130"/>
        <v>3</v>
      </c>
      <c r="EQ41" s="506">
        <f t="shared" si="131"/>
        <v>0</v>
      </c>
      <c r="ER41" s="39" t="str">
        <f t="shared" si="132"/>
        <v/>
      </c>
      <c r="ES41" s="257">
        <f t="shared" si="133"/>
        <v>0</v>
      </c>
      <c r="ET41" s="257">
        <f t="shared" si="134"/>
        <v>0</v>
      </c>
      <c r="EU41" s="257">
        <f t="shared" si="135"/>
        <v>0</v>
      </c>
      <c r="EV41" s="575">
        <f t="shared" si="136"/>
        <v>3</v>
      </c>
      <c r="EW41" s="506">
        <f t="shared" si="137"/>
        <v>0</v>
      </c>
      <c r="EX41" s="39" t="str">
        <f t="shared" si="138"/>
        <v/>
      </c>
      <c r="EY41" s="257">
        <f t="shared" si="139"/>
        <v>0</v>
      </c>
      <c r="EZ41" s="257">
        <f t="shared" si="140"/>
        <v>0</v>
      </c>
      <c r="FA41" s="257">
        <f t="shared" si="141"/>
        <v>0</v>
      </c>
      <c r="FB41" s="575">
        <f t="shared" si="142"/>
        <v>3</v>
      </c>
      <c r="FC41" s="506">
        <f t="shared" si="143"/>
        <v>0</v>
      </c>
      <c r="FD41" s="39" t="str">
        <f t="shared" si="144"/>
        <v/>
      </c>
      <c r="FE41" s="257">
        <f t="shared" si="145"/>
        <v>0</v>
      </c>
      <c r="FF41" s="257">
        <f t="shared" si="146"/>
        <v>0</v>
      </c>
      <c r="FG41" s="257">
        <f t="shared" si="147"/>
        <v>0</v>
      </c>
      <c r="FH41" s="575">
        <f t="shared" si="148"/>
        <v>3</v>
      </c>
      <c r="FI41" s="506">
        <f t="shared" si="149"/>
        <v>0</v>
      </c>
      <c r="FJ41" s="39" t="str">
        <f t="shared" si="150"/>
        <v/>
      </c>
      <c r="FK41" s="39"/>
      <c r="FL41" s="39" t="str">
        <f t="shared" si="151"/>
        <v/>
      </c>
      <c r="FM41" s="39" t="str">
        <f t="shared" si="152"/>
        <v/>
      </c>
      <c r="FN41" s="39" t="str">
        <f t="shared" si="153"/>
        <v/>
      </c>
      <c r="FO41" s="39" t="str">
        <f t="shared" si="154"/>
        <v/>
      </c>
      <c r="FP41" s="39" t="str">
        <f t="shared" si="155"/>
        <v/>
      </c>
      <c r="FQ41" s="39" t="str">
        <f t="shared" si="156"/>
        <v/>
      </c>
      <c r="FR41" s="39" t="str">
        <f t="shared" si="157"/>
        <v/>
      </c>
      <c r="FS41" s="39" t="str">
        <f t="shared" si="158"/>
        <v/>
      </c>
      <c r="FT41" s="39" t="str">
        <f t="shared" si="159"/>
        <v/>
      </c>
      <c r="FU41" s="39" t="str">
        <f t="shared" si="160"/>
        <v/>
      </c>
      <c r="FV41" s="39" t="str">
        <f t="shared" si="161"/>
        <v/>
      </c>
      <c r="FW41" s="39" t="str">
        <f t="shared" si="162"/>
        <v/>
      </c>
      <c r="FX41" s="39" t="str">
        <f t="shared" si="163"/>
        <v/>
      </c>
      <c r="FY41" s="68">
        <f t="shared" si="164"/>
        <v>0</v>
      </c>
      <c r="FZ41" s="68">
        <f t="shared" si="165"/>
        <v>0</v>
      </c>
      <c r="GA41" s="39">
        <f>SISWA!E39</f>
        <v>0</v>
      </c>
      <c r="GB41" s="39" t="str">
        <f t="shared" si="166"/>
        <v/>
      </c>
      <c r="GC41" s="207" t="str">
        <f t="shared" si="167"/>
        <v/>
      </c>
      <c r="GD41" s="207" t="str">
        <f t="shared" si="168"/>
        <v/>
      </c>
      <c r="GE41" s="207" t="str">
        <f t="shared" si="169"/>
        <v/>
      </c>
      <c r="GF41" s="207" t="str">
        <f t="shared" si="170"/>
        <v/>
      </c>
      <c r="GG41" s="207" t="str">
        <f t="shared" si="171"/>
        <v/>
      </c>
      <c r="GH41" s="207" t="str">
        <f t="shared" si="172"/>
        <v/>
      </c>
      <c r="GI41" s="207" t="str">
        <f t="shared" si="173"/>
        <v/>
      </c>
      <c r="GJ41" s="207" t="str">
        <f t="shared" si="174"/>
        <v/>
      </c>
      <c r="GK41" s="207" t="str">
        <f t="shared" si="175"/>
        <v/>
      </c>
      <c r="GL41" s="207" t="str">
        <f t="shared" si="176"/>
        <v/>
      </c>
      <c r="GM41" s="207" t="str">
        <f t="shared" si="177"/>
        <v/>
      </c>
      <c r="GN41" s="207" t="str">
        <f t="shared" si="178"/>
        <v/>
      </c>
      <c r="GO41" s="39">
        <f t="shared" si="179"/>
        <v>0</v>
      </c>
      <c r="GP41" s="68" t="e">
        <f t="shared" si="180"/>
        <v>#N/A</v>
      </c>
      <c r="GQ41" s="576" t="e">
        <f>IF(FY41&gt;100,"",IF(FY41&gt;BE$1,"sangat baik dalam "&amp;GP41,IF(FY41&gt;=BE$2,"baik dalam "&amp;GP41,IF(FY41&gt;=BE$3,"cukup dalam "&amp;GP41,IF(FY41&lt;BE$3,"dengan bimbingan dapat meningkatkan dalam "&amp;GP41,IF(FY41&lt;1," ",””))))))</f>
        <v>#N/A</v>
      </c>
      <c r="GR41" s="223"/>
      <c r="GS41" s="223" t="str">
        <f t="shared" si="181"/>
        <v/>
      </c>
      <c r="GT41" s="223" t="str">
        <f t="shared" si="182"/>
        <v/>
      </c>
      <c r="GU41" s="223" t="str">
        <f t="shared" si="183"/>
        <v/>
      </c>
      <c r="GV41" s="223" t="str">
        <f t="shared" si="184"/>
        <v/>
      </c>
      <c r="GW41" s="223" t="str">
        <f t="shared" si="185"/>
        <v/>
      </c>
      <c r="GX41" s="223" t="str">
        <f t="shared" si="186"/>
        <v/>
      </c>
      <c r="GY41" s="223" t="str">
        <f t="shared" si="187"/>
        <v/>
      </c>
      <c r="GZ41" s="223" t="str">
        <f t="shared" si="188"/>
        <v/>
      </c>
      <c r="HA41" s="223" t="str">
        <f t="shared" si="189"/>
        <v/>
      </c>
      <c r="HB41" s="223" t="str">
        <f t="shared" si="190"/>
        <v/>
      </c>
      <c r="HC41" s="223" t="str">
        <f t="shared" si="191"/>
        <v/>
      </c>
      <c r="HD41" s="223" t="str">
        <f t="shared" si="192"/>
        <v/>
      </c>
      <c r="HE41" s="223" t="e">
        <f t="shared" si="193"/>
        <v>#N/A</v>
      </c>
      <c r="HF41" s="577" t="e">
        <f>IF(FZ41&gt;100,"",IF(FZ41&gt;=BE$1,"sangat baik dalam "&amp;HE41,IF(FZ41&gt;=BE$2,"baik dalam "&amp;HE41,IF(FZ41&gt;=BE$3,"cukup dalam "&amp;HE41,IF(FZ41&lt;BE$3,"dengan bimbingan dapat meningkatkan dalam "&amp;HE41,IF(FZ41&lt;1," ",””))))))</f>
        <v>#N/A</v>
      </c>
      <c r="HG41" s="223" t="e">
        <f t="shared" si="194"/>
        <v>#N/A</v>
      </c>
    </row>
    <row r="42" spans="1:215" ht="30" customHeight="1">
      <c r="A42" s="39">
        <v>35</v>
      </c>
      <c r="B42" s="223">
        <f>SISWA!B40</f>
        <v>0</v>
      </c>
      <c r="C42" s="123"/>
      <c r="D42" s="123"/>
      <c r="E42" s="123"/>
      <c r="F42" s="123"/>
      <c r="G42" s="123"/>
      <c r="H42" s="123"/>
      <c r="I42" s="123"/>
      <c r="J42" s="123"/>
      <c r="K42" s="123"/>
      <c r="L42" s="123"/>
      <c r="M42" s="123"/>
      <c r="N42" s="123"/>
      <c r="O42" s="255"/>
      <c r="P42" s="255"/>
      <c r="Q42" s="255"/>
      <c r="R42" s="255"/>
      <c r="S42" s="255"/>
      <c r="T42" s="255"/>
      <c r="U42" s="255"/>
      <c r="V42" s="255"/>
      <c r="W42" s="255"/>
      <c r="X42" s="255"/>
      <c r="Y42" s="255"/>
      <c r="Z42" s="255"/>
      <c r="AA42" s="256"/>
      <c r="AB42" s="256"/>
      <c r="AC42" s="256"/>
      <c r="AD42" s="256"/>
      <c r="AE42" s="256"/>
      <c r="AF42" s="256"/>
      <c r="AG42" s="256"/>
      <c r="AH42" s="256"/>
      <c r="AI42" s="256"/>
      <c r="AJ42" s="256"/>
      <c r="AK42" s="256"/>
      <c r="AL42" s="256"/>
      <c r="AM42" s="257" t="str">
        <f t="shared" si="25"/>
        <v/>
      </c>
      <c r="AN42" s="257" t="str">
        <f t="shared" si="26"/>
        <v/>
      </c>
      <c r="AO42" s="257" t="str">
        <f t="shared" si="27"/>
        <v/>
      </c>
      <c r="AP42" s="257" t="str">
        <f t="shared" si="28"/>
        <v/>
      </c>
      <c r="AQ42" s="257" t="str">
        <f t="shared" si="29"/>
        <v/>
      </c>
      <c r="AR42" s="257" t="str">
        <f t="shared" si="30"/>
        <v/>
      </c>
      <c r="AS42" s="257" t="str">
        <f t="shared" si="31"/>
        <v/>
      </c>
      <c r="AT42" s="257" t="str">
        <f t="shared" si="32"/>
        <v/>
      </c>
      <c r="AU42" s="257" t="str">
        <f t="shared" si="33"/>
        <v/>
      </c>
      <c r="AV42" s="257" t="str">
        <f t="shared" si="34"/>
        <v/>
      </c>
      <c r="AW42" s="257" t="str">
        <f t="shared" si="35"/>
        <v/>
      </c>
      <c r="AX42" s="257" t="str">
        <f t="shared" si="36"/>
        <v/>
      </c>
      <c r="AY42" s="756" t="str">
        <f t="shared" si="37"/>
        <v/>
      </c>
      <c r="AZ42" s="291" t="str">
        <f t="shared" si="38"/>
        <v xml:space="preserve">  </v>
      </c>
      <c r="BA42" s="243" t="str">
        <f t="shared" si="39"/>
        <v xml:space="preserve"> </v>
      </c>
      <c r="BB42" s="39"/>
      <c r="BC42" s="39"/>
      <c r="BD42" s="257">
        <f t="shared" si="40"/>
        <v>0</v>
      </c>
      <c r="BE42" s="257">
        <f t="shared" si="41"/>
        <v>0</v>
      </c>
      <c r="BF42" s="257">
        <f t="shared" si="42"/>
        <v>0</v>
      </c>
      <c r="BG42" s="257">
        <f t="shared" si="43"/>
        <v>0</v>
      </c>
      <c r="BH42" s="257">
        <f t="shared" si="44"/>
        <v>0</v>
      </c>
      <c r="BI42" s="257">
        <f t="shared" si="45"/>
        <v>0</v>
      </c>
      <c r="BJ42" s="257">
        <f t="shared" si="46"/>
        <v>0</v>
      </c>
      <c r="BK42" s="257">
        <f t="shared" si="47"/>
        <v>0</v>
      </c>
      <c r="BL42" s="257">
        <f t="shared" si="48"/>
        <v>0</v>
      </c>
      <c r="BM42" s="257">
        <f t="shared" si="49"/>
        <v>0</v>
      </c>
      <c r="BN42" s="257">
        <f t="shared" si="50"/>
        <v>0</v>
      </c>
      <c r="BO42" s="257">
        <f t="shared" si="51"/>
        <v>0</v>
      </c>
      <c r="BP42" s="232">
        <f t="shared" si="52"/>
        <v>0</v>
      </c>
      <c r="BQ42" s="257">
        <f t="shared" si="53"/>
        <v>0</v>
      </c>
      <c r="BR42" s="257">
        <f t="shared" si="54"/>
        <v>0</v>
      </c>
      <c r="BS42" s="257">
        <f t="shared" si="55"/>
        <v>0</v>
      </c>
      <c r="BT42" s="257">
        <f t="shared" si="56"/>
        <v>0</v>
      </c>
      <c r="BU42" s="257">
        <f t="shared" si="57"/>
        <v>0</v>
      </c>
      <c r="BV42" s="257">
        <f t="shared" si="58"/>
        <v>0</v>
      </c>
      <c r="BW42" s="257">
        <f t="shared" si="59"/>
        <v>0</v>
      </c>
      <c r="BX42" s="257">
        <f t="shared" si="60"/>
        <v>0</v>
      </c>
      <c r="BY42" s="257">
        <f t="shared" si="61"/>
        <v>0</v>
      </c>
      <c r="BZ42" s="257">
        <f t="shared" si="62"/>
        <v>0</v>
      </c>
      <c r="CA42" s="257">
        <f t="shared" si="63"/>
        <v>0</v>
      </c>
      <c r="CB42" s="257">
        <f t="shared" si="64"/>
        <v>0</v>
      </c>
      <c r="CC42" s="232">
        <f t="shared" si="65"/>
        <v>0</v>
      </c>
      <c r="CD42" s="257">
        <f t="shared" si="66"/>
        <v>0</v>
      </c>
      <c r="CE42" s="257">
        <f t="shared" si="67"/>
        <v>0</v>
      </c>
      <c r="CF42" s="257">
        <f t="shared" si="68"/>
        <v>0</v>
      </c>
      <c r="CG42" s="257">
        <f t="shared" si="69"/>
        <v>0</v>
      </c>
      <c r="CH42" s="257">
        <f t="shared" si="70"/>
        <v>0</v>
      </c>
      <c r="CI42" s="257">
        <f t="shared" si="71"/>
        <v>0</v>
      </c>
      <c r="CJ42" s="257">
        <f t="shared" si="72"/>
        <v>0</v>
      </c>
      <c r="CK42" s="257">
        <f t="shared" si="73"/>
        <v>0</v>
      </c>
      <c r="CL42" s="257">
        <f t="shared" si="74"/>
        <v>0</v>
      </c>
      <c r="CM42" s="257">
        <f t="shared" si="75"/>
        <v>0</v>
      </c>
      <c r="CN42" s="257">
        <f t="shared" si="76"/>
        <v>0</v>
      </c>
      <c r="CO42" s="257">
        <f t="shared" si="77"/>
        <v>0</v>
      </c>
      <c r="CP42" s="232">
        <f t="shared" si="78"/>
        <v>0</v>
      </c>
      <c r="CQ42" s="257">
        <f t="shared" si="79"/>
        <v>0</v>
      </c>
      <c r="CR42" s="257">
        <f t="shared" si="80"/>
        <v>0</v>
      </c>
      <c r="CS42" s="257">
        <f t="shared" si="81"/>
        <v>0</v>
      </c>
      <c r="CT42" s="575">
        <f t="shared" si="82"/>
        <v>3</v>
      </c>
      <c r="CU42" s="506">
        <f t="shared" si="83"/>
        <v>0</v>
      </c>
      <c r="CV42" s="39" t="str">
        <f t="shared" si="84"/>
        <v/>
      </c>
      <c r="CW42" s="257">
        <f t="shared" si="85"/>
        <v>0</v>
      </c>
      <c r="CX42" s="257">
        <f t="shared" si="86"/>
        <v>0</v>
      </c>
      <c r="CY42" s="257">
        <f t="shared" si="87"/>
        <v>0</v>
      </c>
      <c r="CZ42" s="575">
        <f t="shared" si="88"/>
        <v>3</v>
      </c>
      <c r="DA42" s="506">
        <f t="shared" si="89"/>
        <v>0</v>
      </c>
      <c r="DB42" s="39" t="str">
        <f t="shared" si="90"/>
        <v/>
      </c>
      <c r="DC42" s="257">
        <f t="shared" si="91"/>
        <v>0</v>
      </c>
      <c r="DD42" s="257">
        <f t="shared" si="92"/>
        <v>0</v>
      </c>
      <c r="DE42" s="257">
        <f t="shared" si="93"/>
        <v>0</v>
      </c>
      <c r="DF42" s="575">
        <f t="shared" si="94"/>
        <v>3</v>
      </c>
      <c r="DG42" s="506">
        <f t="shared" si="95"/>
        <v>0</v>
      </c>
      <c r="DH42" s="39" t="str">
        <f t="shared" si="96"/>
        <v/>
      </c>
      <c r="DI42" s="257">
        <f t="shared" si="97"/>
        <v>0</v>
      </c>
      <c r="DJ42" s="257">
        <f t="shared" si="98"/>
        <v>0</v>
      </c>
      <c r="DK42" s="257">
        <f t="shared" si="99"/>
        <v>0</v>
      </c>
      <c r="DL42" s="575">
        <f t="shared" si="100"/>
        <v>3</v>
      </c>
      <c r="DM42" s="506">
        <f t="shared" si="101"/>
        <v>0</v>
      </c>
      <c r="DN42" s="39" t="str">
        <f t="shared" si="102"/>
        <v/>
      </c>
      <c r="DO42" s="257">
        <f t="shared" si="103"/>
        <v>0</v>
      </c>
      <c r="DP42" s="257">
        <f t="shared" si="104"/>
        <v>0</v>
      </c>
      <c r="DQ42" s="257">
        <f t="shared" si="105"/>
        <v>0</v>
      </c>
      <c r="DR42" s="575">
        <f t="shared" si="106"/>
        <v>3</v>
      </c>
      <c r="DS42" s="506">
        <f t="shared" si="107"/>
        <v>0</v>
      </c>
      <c r="DT42" s="39" t="str">
        <f t="shared" si="108"/>
        <v/>
      </c>
      <c r="DU42" s="257">
        <f t="shared" si="109"/>
        <v>0</v>
      </c>
      <c r="DV42" s="257">
        <f t="shared" si="110"/>
        <v>0</v>
      </c>
      <c r="DW42" s="257">
        <f t="shared" si="111"/>
        <v>0</v>
      </c>
      <c r="DX42" s="575">
        <f t="shared" si="112"/>
        <v>3</v>
      </c>
      <c r="DY42" s="506">
        <f t="shared" si="113"/>
        <v>0</v>
      </c>
      <c r="DZ42" s="39" t="str">
        <f t="shared" si="114"/>
        <v/>
      </c>
      <c r="EA42" s="257">
        <f t="shared" si="115"/>
        <v>0</v>
      </c>
      <c r="EB42" s="257">
        <f t="shared" si="116"/>
        <v>0</v>
      </c>
      <c r="EC42" s="257">
        <f t="shared" si="117"/>
        <v>0</v>
      </c>
      <c r="ED42" s="575">
        <f t="shared" si="118"/>
        <v>3</v>
      </c>
      <c r="EE42" s="506">
        <f t="shared" si="119"/>
        <v>0</v>
      </c>
      <c r="EF42" s="39" t="str">
        <f t="shared" si="120"/>
        <v/>
      </c>
      <c r="EG42" s="257">
        <f t="shared" si="121"/>
        <v>0</v>
      </c>
      <c r="EH42" s="257">
        <f t="shared" si="122"/>
        <v>0</v>
      </c>
      <c r="EI42" s="257">
        <f t="shared" si="123"/>
        <v>0</v>
      </c>
      <c r="EJ42" s="575">
        <f t="shared" si="124"/>
        <v>3</v>
      </c>
      <c r="EK42" s="506">
        <f t="shared" si="125"/>
        <v>0</v>
      </c>
      <c r="EL42" s="39" t="str">
        <f t="shared" si="126"/>
        <v/>
      </c>
      <c r="EM42" s="257">
        <f t="shared" si="127"/>
        <v>0</v>
      </c>
      <c r="EN42" s="257">
        <f t="shared" si="128"/>
        <v>0</v>
      </c>
      <c r="EO42" s="257">
        <f t="shared" si="129"/>
        <v>0</v>
      </c>
      <c r="EP42" s="575">
        <f t="shared" si="130"/>
        <v>3</v>
      </c>
      <c r="EQ42" s="506">
        <f t="shared" si="131"/>
        <v>0</v>
      </c>
      <c r="ER42" s="39" t="str">
        <f t="shared" si="132"/>
        <v/>
      </c>
      <c r="ES42" s="257">
        <f t="shared" si="133"/>
        <v>0</v>
      </c>
      <c r="ET42" s="257">
        <f t="shared" si="134"/>
        <v>0</v>
      </c>
      <c r="EU42" s="257">
        <f t="shared" si="135"/>
        <v>0</v>
      </c>
      <c r="EV42" s="575">
        <f t="shared" si="136"/>
        <v>3</v>
      </c>
      <c r="EW42" s="506">
        <f t="shared" si="137"/>
        <v>0</v>
      </c>
      <c r="EX42" s="39" t="str">
        <f t="shared" si="138"/>
        <v/>
      </c>
      <c r="EY42" s="257">
        <f t="shared" si="139"/>
        <v>0</v>
      </c>
      <c r="EZ42" s="257">
        <f t="shared" si="140"/>
        <v>0</v>
      </c>
      <c r="FA42" s="257">
        <f t="shared" si="141"/>
        <v>0</v>
      </c>
      <c r="FB42" s="575">
        <f t="shared" si="142"/>
        <v>3</v>
      </c>
      <c r="FC42" s="506">
        <f t="shared" si="143"/>
        <v>0</v>
      </c>
      <c r="FD42" s="39" t="str">
        <f t="shared" si="144"/>
        <v/>
      </c>
      <c r="FE42" s="257">
        <f t="shared" si="145"/>
        <v>0</v>
      </c>
      <c r="FF42" s="257">
        <f t="shared" si="146"/>
        <v>0</v>
      </c>
      <c r="FG42" s="257">
        <f t="shared" si="147"/>
        <v>0</v>
      </c>
      <c r="FH42" s="575">
        <f t="shared" si="148"/>
        <v>3</v>
      </c>
      <c r="FI42" s="506">
        <f t="shared" si="149"/>
        <v>0</v>
      </c>
      <c r="FJ42" s="39" t="str">
        <f t="shared" si="150"/>
        <v/>
      </c>
      <c r="FK42" s="39"/>
      <c r="FL42" s="39" t="str">
        <f t="shared" si="151"/>
        <v/>
      </c>
      <c r="FM42" s="39" t="str">
        <f t="shared" si="152"/>
        <v/>
      </c>
      <c r="FN42" s="39" t="str">
        <f t="shared" si="153"/>
        <v/>
      </c>
      <c r="FO42" s="39" t="str">
        <f t="shared" si="154"/>
        <v/>
      </c>
      <c r="FP42" s="39" t="str">
        <f t="shared" si="155"/>
        <v/>
      </c>
      <c r="FQ42" s="39" t="str">
        <f t="shared" si="156"/>
        <v/>
      </c>
      <c r="FR42" s="39" t="str">
        <f t="shared" si="157"/>
        <v/>
      </c>
      <c r="FS42" s="39" t="str">
        <f t="shared" si="158"/>
        <v/>
      </c>
      <c r="FT42" s="39" t="str">
        <f t="shared" si="159"/>
        <v/>
      </c>
      <c r="FU42" s="39" t="str">
        <f t="shared" si="160"/>
        <v/>
      </c>
      <c r="FV42" s="39" t="str">
        <f t="shared" si="161"/>
        <v/>
      </c>
      <c r="FW42" s="39" t="str">
        <f t="shared" si="162"/>
        <v/>
      </c>
      <c r="FX42" s="39" t="str">
        <f t="shared" si="163"/>
        <v/>
      </c>
      <c r="FY42" s="68">
        <f t="shared" si="164"/>
        <v>0</v>
      </c>
      <c r="FZ42" s="68">
        <f t="shared" si="165"/>
        <v>0</v>
      </c>
      <c r="GA42" s="39">
        <f>SISWA!E40</f>
        <v>0</v>
      </c>
      <c r="GB42" s="39" t="str">
        <f t="shared" si="166"/>
        <v/>
      </c>
      <c r="GC42" s="207" t="str">
        <f t="shared" si="167"/>
        <v/>
      </c>
      <c r="GD42" s="207" t="str">
        <f t="shared" si="168"/>
        <v/>
      </c>
      <c r="GE42" s="207" t="str">
        <f t="shared" si="169"/>
        <v/>
      </c>
      <c r="GF42" s="207" t="str">
        <f t="shared" si="170"/>
        <v/>
      </c>
      <c r="GG42" s="207" t="str">
        <f t="shared" si="171"/>
        <v/>
      </c>
      <c r="GH42" s="207" t="str">
        <f t="shared" si="172"/>
        <v/>
      </c>
      <c r="GI42" s="207" t="str">
        <f t="shared" si="173"/>
        <v/>
      </c>
      <c r="GJ42" s="207" t="str">
        <f t="shared" si="174"/>
        <v/>
      </c>
      <c r="GK42" s="207" t="str">
        <f t="shared" si="175"/>
        <v/>
      </c>
      <c r="GL42" s="207" t="str">
        <f t="shared" si="176"/>
        <v/>
      </c>
      <c r="GM42" s="207" t="str">
        <f t="shared" si="177"/>
        <v/>
      </c>
      <c r="GN42" s="207" t="str">
        <f t="shared" si="178"/>
        <v/>
      </c>
      <c r="GO42" s="39">
        <f t="shared" si="179"/>
        <v>0</v>
      </c>
      <c r="GP42" s="68" t="e">
        <f t="shared" si="180"/>
        <v>#N/A</v>
      </c>
      <c r="GQ42" s="576" t="e">
        <f>IF(FY42&gt;100,"",IF(FY42&gt;BE$1,"sangat baik dalam "&amp;GP42,IF(FY42&gt;=BE$2,"baik dalam "&amp;GP42,IF(FY42&gt;=BE$3,"cukup dalam "&amp;GP42,IF(FY42&lt;BE$3,"dengan bimbingan dapat meningkatkan dalam "&amp;GP42,IF(FY42&lt;1," ",””))))))</f>
        <v>#N/A</v>
      </c>
      <c r="GR42" s="223"/>
      <c r="GS42" s="223" t="str">
        <f t="shared" si="181"/>
        <v/>
      </c>
      <c r="GT42" s="223" t="str">
        <f t="shared" si="182"/>
        <v/>
      </c>
      <c r="GU42" s="223" t="str">
        <f t="shared" si="183"/>
        <v/>
      </c>
      <c r="GV42" s="223" t="str">
        <f t="shared" si="184"/>
        <v/>
      </c>
      <c r="GW42" s="223" t="str">
        <f t="shared" si="185"/>
        <v/>
      </c>
      <c r="GX42" s="223" t="str">
        <f t="shared" si="186"/>
        <v/>
      </c>
      <c r="GY42" s="223" t="str">
        <f t="shared" si="187"/>
        <v/>
      </c>
      <c r="GZ42" s="223" t="str">
        <f t="shared" si="188"/>
        <v/>
      </c>
      <c r="HA42" s="223" t="str">
        <f t="shared" si="189"/>
        <v/>
      </c>
      <c r="HB42" s="223" t="str">
        <f t="shared" si="190"/>
        <v/>
      </c>
      <c r="HC42" s="223" t="str">
        <f t="shared" si="191"/>
        <v/>
      </c>
      <c r="HD42" s="223" t="str">
        <f t="shared" si="192"/>
        <v/>
      </c>
      <c r="HE42" s="223" t="e">
        <f t="shared" si="193"/>
        <v>#N/A</v>
      </c>
      <c r="HF42" s="577" t="e">
        <f>IF(FZ42&gt;100,"",IF(FZ42&gt;=BE$1,"sangat baik dalam "&amp;HE42,IF(FZ42&gt;=BE$2,"baik dalam "&amp;HE42,IF(FZ42&gt;=BE$3,"cukup dalam "&amp;HE42,IF(FZ42&lt;BE$3,"dengan bimbingan dapat meningkatkan dalam "&amp;HE42,IF(FZ42&lt;1," ",””))))))</f>
        <v>#N/A</v>
      </c>
      <c r="HG42" s="223" t="e">
        <f t="shared" si="194"/>
        <v>#N/A</v>
      </c>
    </row>
    <row r="43" spans="1:215"/>
    <row r="44" spans="1:215">
      <c r="B44" s="244" t="str">
        <f>"Kompetensi Dasar "&amp;C2&amp;" :"</f>
        <v>Kompetensi Dasar MATEMATIKA :</v>
      </c>
    </row>
    <row r="45" spans="1:215">
      <c r="A45" s="334" t="str">
        <f>'KDKI-4'!A23</f>
        <v>4.1</v>
      </c>
      <c r="B45" s="334" t="str">
        <f>'KDKI-4'!B23</f>
        <v>menyelesaikan masalah yang berkaitan dengan penjumlahan dan pengurangan dua pecahan dengan penyebut berbeda</v>
      </c>
      <c r="C45" s="246"/>
      <c r="D45" s="246"/>
      <c r="E45" s="246"/>
      <c r="F45" s="246"/>
      <c r="G45" s="246"/>
      <c r="H45" s="246"/>
      <c r="I45" s="246"/>
      <c r="J45" s="246"/>
      <c r="K45" s="246"/>
      <c r="L45" s="246"/>
      <c r="M45" s="246"/>
      <c r="N45" s="246"/>
      <c r="O45" s="246"/>
      <c r="P45" s="246"/>
      <c r="Q45" s="246"/>
      <c r="R45" s="246"/>
      <c r="S45" s="246"/>
      <c r="T45" s="246"/>
      <c r="U45" s="246"/>
      <c r="V45" s="246"/>
      <c r="W45" s="246"/>
      <c r="X45" s="246"/>
      <c r="Y45" s="246"/>
      <c r="Z45" s="246"/>
      <c r="AA45" s="246"/>
      <c r="AB45" s="246"/>
      <c r="AC45" s="246"/>
      <c r="AD45" s="246"/>
      <c r="AE45" s="246"/>
      <c r="AF45" s="246"/>
      <c r="AG45" s="246"/>
      <c r="AH45" s="246"/>
      <c r="AI45" s="246"/>
      <c r="AJ45" s="246"/>
      <c r="AK45" s="246"/>
      <c r="AL45" s="246"/>
    </row>
    <row r="46" spans="1:215">
      <c r="A46" s="334" t="str">
        <f>'KDKI-4'!A24</f>
        <v>4.2</v>
      </c>
      <c r="B46" s="334" t="str">
        <f>'KDKI-4'!B24</f>
        <v>menyelesaikan masalah yang berkaitan dengan perkalian dan pembagian pecahan dan desimal</v>
      </c>
      <c r="C46" s="248"/>
      <c r="D46" s="248"/>
      <c r="E46" s="248"/>
      <c r="F46" s="248"/>
      <c r="G46" s="248"/>
      <c r="H46" s="248"/>
      <c r="I46" s="248"/>
      <c r="J46" s="248"/>
      <c r="K46" s="248"/>
      <c r="L46" s="248"/>
      <c r="M46" s="248"/>
      <c r="N46" s="248"/>
      <c r="O46" s="248"/>
      <c r="P46" s="248"/>
      <c r="Q46" s="248"/>
      <c r="R46" s="248"/>
      <c r="S46" s="248"/>
      <c r="T46" s="248"/>
      <c r="U46" s="248"/>
      <c r="V46" s="248"/>
      <c r="W46" s="248"/>
      <c r="X46" s="248"/>
      <c r="Y46" s="248"/>
      <c r="Z46" s="248"/>
      <c r="AA46" s="248"/>
      <c r="AB46" s="248"/>
      <c r="AC46" s="248"/>
      <c r="AD46" s="248"/>
      <c r="AE46" s="248"/>
      <c r="AF46" s="248"/>
      <c r="AG46" s="248"/>
      <c r="AH46" s="248"/>
      <c r="AI46" s="248"/>
      <c r="AJ46" s="248"/>
      <c r="AK46" s="248"/>
      <c r="AL46" s="248"/>
    </row>
    <row r="47" spans="1:215">
      <c r="A47" s="334" t="str">
        <f>'KDKI-4'!A25</f>
        <v>4.3</v>
      </c>
      <c r="B47" s="334" t="str">
        <f>'KDKI-4'!B25</f>
        <v>menyelesaikan masalah yang berkaitan dengan perbandingan dua besaran yang berbeda (kecepatan, debit)</v>
      </c>
      <c r="C47" s="250"/>
      <c r="D47" s="250"/>
      <c r="E47" s="250"/>
      <c r="F47" s="250"/>
      <c r="G47" s="250"/>
      <c r="H47" s="250"/>
      <c r="I47" s="250"/>
      <c r="J47" s="250"/>
      <c r="K47" s="250"/>
      <c r="L47" s="250"/>
      <c r="M47" s="250"/>
      <c r="N47" s="250"/>
      <c r="O47" s="250"/>
      <c r="P47" s="250"/>
      <c r="Q47" s="250"/>
      <c r="R47" s="250"/>
      <c r="S47" s="250"/>
      <c r="T47" s="250"/>
      <c r="U47" s="250"/>
      <c r="V47" s="250"/>
      <c r="W47" s="250"/>
      <c r="X47" s="250"/>
      <c r="Y47" s="250"/>
      <c r="Z47" s="250"/>
      <c r="AA47" s="250"/>
      <c r="AB47" s="250"/>
      <c r="AC47" s="250"/>
      <c r="AD47" s="250"/>
      <c r="AE47" s="250"/>
      <c r="AF47" s="250"/>
      <c r="AG47" s="250"/>
      <c r="AH47" s="250"/>
      <c r="AI47" s="250"/>
      <c r="AJ47" s="250"/>
      <c r="AK47" s="250"/>
      <c r="AL47" s="250"/>
    </row>
    <row r="48" spans="1:215">
      <c r="A48" s="334" t="str">
        <f>'KDKI-4'!A26</f>
        <v>4.4</v>
      </c>
      <c r="B48" s="334" t="str">
        <f>'KDKI-4'!B26</f>
        <v>menyelesaikan masalah yang berkaitan dengan skala pada denah</v>
      </c>
      <c r="C48" s="248"/>
      <c r="D48" s="248"/>
      <c r="E48" s="248"/>
      <c r="F48" s="248"/>
      <c r="G48" s="248"/>
      <c r="H48" s="248"/>
      <c r="I48" s="248"/>
      <c r="J48" s="248"/>
      <c r="K48" s="248"/>
      <c r="L48" s="248"/>
      <c r="M48" s="248"/>
      <c r="N48" s="248"/>
      <c r="O48" s="248"/>
      <c r="P48" s="248"/>
      <c r="Q48" s="248"/>
      <c r="R48" s="248"/>
      <c r="S48" s="248"/>
      <c r="T48" s="248"/>
      <c r="U48" s="248"/>
      <c r="V48" s="248"/>
      <c r="W48" s="248"/>
      <c r="X48" s="248"/>
      <c r="Y48" s="248"/>
      <c r="Z48" s="248"/>
      <c r="AA48" s="248"/>
      <c r="AB48" s="248"/>
      <c r="AC48" s="248"/>
      <c r="AD48" s="248"/>
      <c r="AE48" s="248"/>
      <c r="AF48" s="248"/>
      <c r="AG48" s="248"/>
      <c r="AH48" s="248"/>
      <c r="AI48" s="248"/>
      <c r="AJ48" s="248"/>
      <c r="AK48" s="248"/>
      <c r="AL48" s="248"/>
    </row>
    <row r="49" spans="1:38">
      <c r="A49" s="334" t="str">
        <f>'KDKI-4'!A27</f>
        <v>4.5</v>
      </c>
      <c r="B49" s="334" t="str">
        <f>'KDKI-4'!B27</f>
        <v>menyelesaikan masalah yang berkaitan dengan volume bangun ruang dengan menggunakan satuan volume (seperti kubus satuan) melibatkan pangkat tiga dan akar pangkat tiga</v>
      </c>
      <c r="C49" s="250"/>
      <c r="D49" s="250"/>
      <c r="E49" s="250"/>
      <c r="F49" s="250"/>
      <c r="G49" s="250"/>
      <c r="H49" s="250"/>
      <c r="I49" s="250"/>
      <c r="J49" s="250"/>
      <c r="K49" s="250"/>
      <c r="L49" s="250"/>
      <c r="M49" s="250"/>
      <c r="N49" s="250"/>
      <c r="O49" s="250"/>
      <c r="P49" s="250"/>
      <c r="Q49" s="250"/>
      <c r="R49" s="250"/>
      <c r="S49" s="250"/>
      <c r="T49" s="250"/>
      <c r="U49" s="250"/>
      <c r="V49" s="250"/>
      <c r="W49" s="250"/>
      <c r="X49" s="250"/>
      <c r="Y49" s="250"/>
      <c r="Z49" s="250"/>
      <c r="AA49" s="250"/>
      <c r="AB49" s="250"/>
      <c r="AC49" s="250"/>
      <c r="AD49" s="250"/>
      <c r="AE49" s="250"/>
      <c r="AF49" s="250"/>
      <c r="AG49" s="250"/>
      <c r="AH49" s="250"/>
      <c r="AI49" s="250"/>
      <c r="AJ49" s="250"/>
      <c r="AK49" s="250"/>
      <c r="AL49" s="250"/>
    </row>
    <row r="50" spans="1:38">
      <c r="A50" s="334" t="str">
        <f>'KDKI-4'!A28</f>
        <v>4.6</v>
      </c>
      <c r="B50" s="334" t="str">
        <f>'KDKI-4'!B28</f>
        <v>membuat jaring-jaring bangun ruang sederhana (kubus dan balok)</v>
      </c>
      <c r="C50" s="248"/>
      <c r="D50" s="248"/>
      <c r="E50" s="248"/>
      <c r="F50" s="248"/>
      <c r="G50" s="248"/>
      <c r="H50" s="248"/>
      <c r="I50" s="248"/>
      <c r="J50" s="248"/>
      <c r="K50" s="248"/>
      <c r="L50" s="248"/>
      <c r="M50" s="248"/>
      <c r="N50" s="248"/>
      <c r="O50" s="248"/>
      <c r="P50" s="248"/>
      <c r="Q50" s="248"/>
      <c r="R50" s="248"/>
      <c r="S50" s="248"/>
      <c r="T50" s="248"/>
      <c r="U50" s="248"/>
      <c r="V50" s="248"/>
      <c r="W50" s="248"/>
      <c r="X50" s="248"/>
      <c r="Y50" s="248"/>
      <c r="Z50" s="248"/>
      <c r="AA50" s="248"/>
      <c r="AB50" s="248"/>
      <c r="AC50" s="248"/>
      <c r="AD50" s="248"/>
      <c r="AE50" s="248"/>
      <c r="AF50" s="248"/>
      <c r="AG50" s="248"/>
      <c r="AH50" s="248"/>
      <c r="AI50" s="248"/>
      <c r="AJ50" s="248"/>
      <c r="AK50" s="248"/>
      <c r="AL50" s="248"/>
    </row>
    <row r="51" spans="1:38">
      <c r="A51" s="334" t="str">
        <f>'KDKI-4'!A29</f>
        <v>4.7</v>
      </c>
      <c r="B51" s="334" t="str">
        <f>'KDKI-4'!B29</f>
        <v>menganalisis data yang berkaitan dengan diri peserta didik atau lingkungan sekitar serta cara pengumpulannya</v>
      </c>
      <c r="C51" s="250"/>
      <c r="D51" s="250"/>
      <c r="E51" s="250"/>
      <c r="F51" s="250"/>
      <c r="G51" s="250"/>
      <c r="H51" s="250"/>
      <c r="I51" s="250"/>
      <c r="J51" s="250"/>
      <c r="K51" s="250"/>
      <c r="L51" s="250"/>
      <c r="M51" s="250"/>
      <c r="N51" s="250"/>
      <c r="O51" s="250"/>
      <c r="P51" s="250"/>
      <c r="Q51" s="250"/>
      <c r="R51" s="250"/>
      <c r="S51" s="250"/>
      <c r="T51" s="250"/>
      <c r="U51" s="250"/>
      <c r="V51" s="250"/>
      <c r="W51" s="250"/>
      <c r="X51" s="250"/>
      <c r="Y51" s="250"/>
      <c r="Z51" s="250"/>
      <c r="AA51" s="250"/>
      <c r="AB51" s="250"/>
      <c r="AC51" s="250"/>
      <c r="AD51" s="250"/>
      <c r="AE51" s="250"/>
      <c r="AF51" s="250"/>
      <c r="AG51" s="250"/>
      <c r="AH51" s="250"/>
      <c r="AI51" s="250"/>
      <c r="AJ51" s="250"/>
      <c r="AK51" s="250"/>
      <c r="AL51" s="250"/>
    </row>
    <row r="52" spans="1:38">
      <c r="A52" s="334" t="str">
        <f>'KDKI-4'!A30</f>
        <v>4.8</v>
      </c>
      <c r="B52" s="334" t="str">
        <f>'KDKI-4'!B30</f>
        <v>mengorganisasikan dan menyajikan data yang berkaitan dengan diri peserta didik dan membandingkan dengan data dari lingkungan sekitar dalam bentuk daftar, tabel, diagram gambar (piktogram), diagram batang, atau diagram garis</v>
      </c>
      <c r="C52" s="248"/>
      <c r="D52" s="248"/>
      <c r="E52" s="248"/>
      <c r="F52" s="248"/>
      <c r="G52" s="248"/>
      <c r="H52" s="248"/>
      <c r="I52" s="248"/>
      <c r="J52" s="248"/>
      <c r="K52" s="248"/>
      <c r="L52" s="248"/>
      <c r="M52" s="248"/>
      <c r="N52" s="248"/>
      <c r="O52" s="248"/>
      <c r="P52" s="248"/>
      <c r="Q52" s="248"/>
      <c r="R52" s="248"/>
      <c r="S52" s="248"/>
      <c r="T52" s="248"/>
      <c r="U52" s="248"/>
      <c r="V52" s="248"/>
      <c r="W52" s="248"/>
      <c r="X52" s="248"/>
      <c r="Y52" s="248"/>
      <c r="Z52" s="248"/>
      <c r="AA52" s="248"/>
      <c r="AB52" s="248"/>
      <c r="AC52" s="248"/>
      <c r="AD52" s="248"/>
      <c r="AE52" s="248"/>
      <c r="AF52" s="248"/>
      <c r="AG52" s="248"/>
      <c r="AH52" s="248"/>
      <c r="AI52" s="248"/>
      <c r="AJ52" s="248"/>
      <c r="AK52" s="248"/>
      <c r="AL52" s="248"/>
    </row>
    <row r="53" spans="1:38">
      <c r="A53" s="334">
        <f>'KDKI-4'!A31</f>
        <v>0</v>
      </c>
      <c r="B53" s="334">
        <f>'KDKI-4'!B31</f>
        <v>0</v>
      </c>
      <c r="C53" s="250"/>
      <c r="D53" s="250"/>
      <c r="E53" s="250"/>
      <c r="F53" s="250"/>
      <c r="G53" s="250"/>
      <c r="H53" s="250"/>
      <c r="I53" s="250"/>
      <c r="J53" s="250"/>
      <c r="K53" s="250"/>
      <c r="L53" s="250"/>
      <c r="M53" s="250"/>
      <c r="N53" s="250"/>
      <c r="O53" s="250"/>
      <c r="P53" s="250"/>
      <c r="Q53" s="250"/>
      <c r="R53" s="250"/>
      <c r="S53" s="250"/>
      <c r="T53" s="250"/>
      <c r="U53" s="250"/>
      <c r="V53" s="250"/>
      <c r="W53" s="250"/>
      <c r="X53" s="250"/>
      <c r="Y53" s="250"/>
      <c r="Z53" s="250"/>
      <c r="AA53" s="250"/>
      <c r="AB53" s="250"/>
      <c r="AC53" s="250"/>
      <c r="AD53" s="250"/>
      <c r="AE53" s="250"/>
      <c r="AF53" s="250"/>
      <c r="AG53" s="250"/>
      <c r="AH53" s="250"/>
      <c r="AI53" s="250"/>
      <c r="AJ53" s="250"/>
      <c r="AK53" s="250"/>
      <c r="AL53" s="250"/>
    </row>
    <row r="54" spans="1:38">
      <c r="A54" s="334">
        <f>'KDKI-4'!A32</f>
        <v>0</v>
      </c>
      <c r="B54" s="334">
        <f>'KDKI-4'!B32</f>
        <v>0</v>
      </c>
      <c r="C54" s="248"/>
      <c r="D54" s="248"/>
      <c r="E54" s="248"/>
      <c r="F54" s="248"/>
      <c r="G54" s="248"/>
      <c r="H54" s="248"/>
      <c r="I54" s="248"/>
      <c r="J54" s="248"/>
      <c r="K54" s="248"/>
      <c r="L54" s="248"/>
      <c r="M54" s="248"/>
      <c r="N54" s="248"/>
      <c r="O54" s="248"/>
      <c r="P54" s="248"/>
      <c r="Q54" s="248"/>
      <c r="R54" s="248"/>
      <c r="S54" s="248"/>
      <c r="T54" s="248"/>
      <c r="U54" s="248"/>
      <c r="V54" s="248"/>
      <c r="W54" s="248"/>
      <c r="X54" s="248"/>
      <c r="Y54" s="248"/>
      <c r="Z54" s="248"/>
      <c r="AA54" s="248"/>
      <c r="AB54" s="248"/>
      <c r="AC54" s="248"/>
      <c r="AD54" s="248"/>
      <c r="AE54" s="248"/>
      <c r="AF54" s="248"/>
      <c r="AG54" s="248"/>
      <c r="AH54" s="248"/>
      <c r="AI54" s="248"/>
      <c r="AJ54" s="248"/>
      <c r="AK54" s="248"/>
      <c r="AL54" s="248"/>
    </row>
    <row r="55" spans="1:38">
      <c r="A55" s="334">
        <f>'KDKI-4'!A33</f>
        <v>0</v>
      </c>
      <c r="B55" s="334">
        <f>'KDKI-4'!B33</f>
        <v>0</v>
      </c>
      <c r="C55" s="253"/>
      <c r="D55" s="253"/>
      <c r="E55" s="253"/>
      <c r="F55" s="253"/>
      <c r="G55" s="253"/>
      <c r="H55" s="253"/>
      <c r="I55" s="253"/>
      <c r="J55" s="253"/>
      <c r="K55" s="253"/>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row>
    <row r="56" spans="1:38">
      <c r="A56" s="334">
        <f>'KDKI-4'!A34</f>
        <v>0</v>
      </c>
      <c r="B56" s="334">
        <f>'KDKI-4'!B34</f>
        <v>0</v>
      </c>
    </row>
    <row r="57" spans="1:38">
      <c r="A57" s="334">
        <f>'KDKI-4'!A35</f>
        <v>0</v>
      </c>
      <c r="B57" s="334">
        <f>'KDKI-4'!B35</f>
        <v>0</v>
      </c>
    </row>
    <row r="58" spans="1:38"/>
    <row r="59" spans="1:38"/>
    <row r="60" spans="1:38"/>
    <row r="61" spans="1:38"/>
    <row r="62" spans="1:38"/>
    <row r="63" spans="1:38"/>
  </sheetData>
  <sheetProtection password="CA9C" sheet="1" objects="1" scenarios="1" formatCells="0" formatRows="0"/>
  <mergeCells count="94">
    <mergeCell ref="GS6:GS7"/>
    <mergeCell ref="GT6:GT7"/>
    <mergeCell ref="GU6:GU7"/>
    <mergeCell ref="GV6:GV7"/>
    <mergeCell ref="GW6:GW7"/>
    <mergeCell ref="HC6:HC7"/>
    <mergeCell ref="HE6:HE7"/>
    <mergeCell ref="HG6:HG7"/>
    <mergeCell ref="GX6:GX7"/>
    <mergeCell ref="GY6:GY7"/>
    <mergeCell ref="GZ6:GZ7"/>
    <mergeCell ref="HA6:HA7"/>
    <mergeCell ref="HB6:HB7"/>
    <mergeCell ref="GM6:GM7"/>
    <mergeCell ref="GO6:GO7"/>
    <mergeCell ref="GP6:GP7"/>
    <mergeCell ref="GQ6:GQ7"/>
    <mergeCell ref="GG6:GG7"/>
    <mergeCell ref="GH6:GH7"/>
    <mergeCell ref="GI6:GI7"/>
    <mergeCell ref="GJ6:GJ7"/>
    <mergeCell ref="GK6:GK7"/>
    <mergeCell ref="FE6:FG7"/>
    <mergeCell ref="FH6:FH7"/>
    <mergeCell ref="FI6:FI7"/>
    <mergeCell ref="FJ6:FJ7"/>
    <mergeCell ref="GL6:GL7"/>
    <mergeCell ref="GA6:GA7"/>
    <mergeCell ref="GC6:GC7"/>
    <mergeCell ref="GD6:GD7"/>
    <mergeCell ref="GE6:GE7"/>
    <mergeCell ref="GF6:GF7"/>
    <mergeCell ref="EX6:EX7"/>
    <mergeCell ref="EY6:FA7"/>
    <mergeCell ref="FB6:FB7"/>
    <mergeCell ref="FC6:FC7"/>
    <mergeCell ref="FD6:FD7"/>
    <mergeCell ref="EJ6:EJ7"/>
    <mergeCell ref="EK6:EK7"/>
    <mergeCell ref="EL6:EL7"/>
    <mergeCell ref="EM6:EO7"/>
    <mergeCell ref="EP6:EP7"/>
    <mergeCell ref="EQ6:EQ7"/>
    <mergeCell ref="ER6:ER7"/>
    <mergeCell ref="ES6:EU7"/>
    <mergeCell ref="EV6:EV7"/>
    <mergeCell ref="EW6:EW7"/>
    <mergeCell ref="DT6:DT7"/>
    <mergeCell ref="DU6:DW7"/>
    <mergeCell ref="DX6:DX7"/>
    <mergeCell ref="DY6:DY7"/>
    <mergeCell ref="DZ6:DZ7"/>
    <mergeCell ref="EA6:EC7"/>
    <mergeCell ref="ED6:ED7"/>
    <mergeCell ref="EE6:EE7"/>
    <mergeCell ref="EF6:EF7"/>
    <mergeCell ref="EG6:EI7"/>
    <mergeCell ref="DF6:DF7"/>
    <mergeCell ref="DG6:DG7"/>
    <mergeCell ref="DH6:DH7"/>
    <mergeCell ref="DI6:DK7"/>
    <mergeCell ref="DL6:DL7"/>
    <mergeCell ref="DM6:DM7"/>
    <mergeCell ref="DN6:DN7"/>
    <mergeCell ref="DO6:DQ7"/>
    <mergeCell ref="DR6:DR7"/>
    <mergeCell ref="DS6:DS7"/>
    <mergeCell ref="CP6:CP7"/>
    <mergeCell ref="CQ6:CS7"/>
    <mergeCell ref="CT6:CT7"/>
    <mergeCell ref="CU6:CU7"/>
    <mergeCell ref="CV6:CV7"/>
    <mergeCell ref="CW6:CY7"/>
    <mergeCell ref="CZ6:CZ7"/>
    <mergeCell ref="DA6:DA7"/>
    <mergeCell ref="DB6:DB7"/>
    <mergeCell ref="DC6:DE7"/>
    <mergeCell ref="B1:AL1"/>
    <mergeCell ref="C2:AA2"/>
    <mergeCell ref="BA5:BA7"/>
    <mergeCell ref="AZ5:AZ7"/>
    <mergeCell ref="AY5:AY7"/>
    <mergeCell ref="AM5:AV5"/>
    <mergeCell ref="BP6:BP7"/>
    <mergeCell ref="BD6:BM6"/>
    <mergeCell ref="BQ6:BZ6"/>
    <mergeCell ref="CC6:CC7"/>
    <mergeCell ref="CD6:CM6"/>
    <mergeCell ref="A5:A7"/>
    <mergeCell ref="B5:B7"/>
    <mergeCell ref="C6:N6"/>
    <mergeCell ref="C5:AL5"/>
    <mergeCell ref="O6:Z6"/>
    <mergeCell ref="AA6:AL6"/>
  </mergeCells>
  <pageMargins left="0.7" right="0.7" top="0.75" bottom="0.75" header="0.3" footer="0.3"/>
  <pageSetup paperSize="256" orientation="portrait" horizontalDpi="4294967294" verticalDpi="4294967294"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rgb="FFFFC000"/>
  </sheetPr>
  <dimension ref="A1:LV65"/>
  <sheetViews>
    <sheetView showRowColHeaders="0" showZeros="0" workbookViewId="0">
      <pane xSplit="2" ySplit="7" topLeftCell="BM8" activePane="bottomRight" state="frozen"/>
      <selection pane="topRight" activeCell="C1" sqref="C1"/>
      <selection pane="bottomLeft" activeCell="A9" sqref="A9"/>
      <selection pane="bottomRight" activeCell="BT8" sqref="BT8"/>
    </sheetView>
  </sheetViews>
  <sheetFormatPr defaultColWidth="0" defaultRowHeight="15" zeroHeight="1"/>
  <cols>
    <col min="1" max="1" width="4.7109375" customWidth="1"/>
    <col min="2" max="2" width="31" customWidth="1"/>
    <col min="3" max="114" width="3.7109375" customWidth="1"/>
    <col min="115" max="115" width="5.7109375" customWidth="1"/>
    <col min="116" max="116" width="4.140625" customWidth="1"/>
    <col min="117" max="117" width="90.28515625" customWidth="1"/>
    <col min="118" max="118" width="3.7109375" customWidth="1"/>
    <col min="119" max="286" width="3.7109375" hidden="1" customWidth="1"/>
    <col min="287" max="334" width="3.7109375" hidden="1"/>
  </cols>
  <sheetData>
    <row r="1" spans="1:267">
      <c r="A1" s="170"/>
      <c r="B1" s="894" t="s">
        <v>176</v>
      </c>
      <c r="C1" s="894"/>
      <c r="D1" s="894"/>
      <c r="E1" s="894"/>
      <c r="F1" s="894"/>
      <c r="G1" s="894"/>
      <c r="H1" s="894"/>
      <c r="I1" s="894"/>
      <c r="J1" s="894"/>
      <c r="K1" s="894"/>
      <c r="L1" s="894"/>
      <c r="M1" s="894"/>
      <c r="N1" s="894"/>
      <c r="O1" s="894"/>
      <c r="P1" s="894"/>
      <c r="Q1" s="894"/>
      <c r="R1" s="894"/>
      <c r="S1" s="894"/>
      <c r="T1" s="894"/>
      <c r="U1" s="894"/>
      <c r="V1" s="894"/>
      <c r="W1" s="894"/>
      <c r="X1" s="894"/>
      <c r="Y1" s="894"/>
      <c r="Z1" s="894"/>
      <c r="AA1" s="894"/>
      <c r="AB1" s="894"/>
      <c r="AC1" s="894"/>
      <c r="AD1" s="894"/>
      <c r="AE1" s="894"/>
      <c r="AF1" s="894"/>
      <c r="AG1" s="894"/>
      <c r="AH1" s="894"/>
      <c r="AI1" s="894"/>
      <c r="AJ1" s="894"/>
      <c r="AK1" s="894"/>
      <c r="AL1" s="894"/>
      <c r="AM1" s="894"/>
      <c r="AN1" s="894"/>
      <c r="DP1" t="s">
        <v>255</v>
      </c>
      <c r="DQ1">
        <f>KKM!D29</f>
        <v>92</v>
      </c>
      <c r="DT1">
        <v>100</v>
      </c>
    </row>
    <row r="2" spans="1:267">
      <c r="A2" s="170"/>
      <c r="B2" s="7" t="s">
        <v>3</v>
      </c>
      <c r="C2" s="943" t="s">
        <v>122</v>
      </c>
      <c r="D2" s="943"/>
      <c r="E2" s="943"/>
      <c r="F2" s="943"/>
      <c r="G2" s="943"/>
      <c r="H2" s="943"/>
      <c r="I2" s="943"/>
      <c r="J2" s="943"/>
      <c r="K2" s="943"/>
      <c r="L2" s="943"/>
      <c r="M2" s="943"/>
      <c r="N2" s="943"/>
      <c r="O2" s="943"/>
      <c r="P2" s="943"/>
      <c r="Q2" s="943"/>
      <c r="R2" s="8"/>
      <c r="S2" s="9"/>
      <c r="T2" s="9"/>
      <c r="U2" s="9"/>
      <c r="V2" s="9"/>
      <c r="W2" s="9"/>
      <c r="X2" s="9"/>
      <c r="Y2" s="9"/>
      <c r="Z2" s="9"/>
      <c r="AA2" s="9"/>
      <c r="AB2" s="9"/>
      <c r="AC2" s="9"/>
      <c r="AD2" s="9"/>
      <c r="AE2" s="9"/>
      <c r="AF2" s="9"/>
      <c r="AG2" s="10"/>
      <c r="AH2" s="10"/>
      <c r="AL2" s="9"/>
      <c r="AM2" s="11"/>
      <c r="AN2" s="12"/>
      <c r="DP2" t="s">
        <v>207</v>
      </c>
      <c r="DQ2">
        <f>KKM!D30</f>
        <v>83</v>
      </c>
      <c r="DT2">
        <f>(DT1-DQ2)/2</f>
        <v>8.5</v>
      </c>
    </row>
    <row r="3" spans="1:267">
      <c r="A3" s="170"/>
      <c r="B3" s="7" t="s">
        <v>177</v>
      </c>
      <c r="C3" s="236" t="str">
        <f>MENU!N20</f>
        <v>V ( Lima )</v>
      </c>
      <c r="D3" s="1231" t="str">
        <f>MENU!N20</f>
        <v>V ( Lima )</v>
      </c>
      <c r="E3" s="1231"/>
      <c r="F3" s="1231"/>
      <c r="G3" s="1231"/>
      <c r="H3" s="1231"/>
      <c r="I3" s="1231"/>
      <c r="J3" s="1231"/>
      <c r="K3" s="1231"/>
      <c r="L3" s="1231"/>
      <c r="M3" s="1231"/>
      <c r="N3" s="1231"/>
      <c r="O3" s="1231"/>
      <c r="P3" s="1231"/>
      <c r="Q3" s="20"/>
      <c r="R3" s="20"/>
      <c r="S3" s="20"/>
      <c r="T3" s="20"/>
      <c r="AE3" s="9"/>
      <c r="AF3" s="8"/>
      <c r="AG3" s="21"/>
      <c r="AH3" s="8"/>
      <c r="AI3" s="238"/>
      <c r="AJ3" s="238"/>
      <c r="AK3" s="238"/>
      <c r="AL3" s="170"/>
      <c r="AM3" s="170"/>
      <c r="AN3" s="170"/>
      <c r="AO3" s="170"/>
      <c r="AP3" s="170"/>
      <c r="AQ3" s="170"/>
      <c r="AR3" s="170"/>
      <c r="AS3" s="170"/>
      <c r="AT3" s="170"/>
      <c r="AU3" s="170"/>
      <c r="BG3" s="8"/>
      <c r="BH3" s="23"/>
      <c r="DP3" t="s">
        <v>394</v>
      </c>
      <c r="DQ3">
        <f>KKM!D31</f>
        <v>75</v>
      </c>
    </row>
    <row r="4" spans="1:267">
      <c r="B4" s="419" t="s">
        <v>383</v>
      </c>
      <c r="C4" s="1232">
        <f>KKM!D23</f>
        <v>75</v>
      </c>
      <c r="D4" s="942"/>
      <c r="E4" s="942"/>
      <c r="F4" s="942"/>
      <c r="G4" s="942"/>
      <c r="H4" s="942"/>
      <c r="I4" s="942"/>
      <c r="J4" s="27"/>
      <c r="K4" s="27"/>
      <c r="L4" s="27"/>
      <c r="M4" s="27"/>
      <c r="N4" s="27"/>
      <c r="O4" s="27"/>
      <c r="P4" s="27"/>
      <c r="Q4" s="27"/>
      <c r="R4" s="27"/>
      <c r="S4" s="27"/>
      <c r="T4" s="27"/>
      <c r="U4" s="27"/>
      <c r="V4" s="27"/>
      <c r="W4" s="27"/>
      <c r="X4" s="27"/>
      <c r="Y4" s="27"/>
      <c r="Z4" s="27"/>
      <c r="AA4" s="27"/>
      <c r="AB4" s="27"/>
      <c r="AC4" s="27"/>
      <c r="AD4" s="27"/>
      <c r="AE4" s="27"/>
      <c r="AF4" s="27"/>
      <c r="AG4" s="27"/>
      <c r="DM4" s="46"/>
      <c r="DP4" t="s">
        <v>395</v>
      </c>
      <c r="DQ4">
        <f>KKM!D32</f>
        <v>75</v>
      </c>
    </row>
    <row r="5" spans="1:267" ht="15" customHeight="1">
      <c r="A5" s="900" t="s">
        <v>9</v>
      </c>
      <c r="B5" s="900" t="s">
        <v>10</v>
      </c>
      <c r="C5" s="939" t="s">
        <v>282</v>
      </c>
      <c r="D5" s="940"/>
      <c r="E5" s="940"/>
      <c r="F5" s="940"/>
      <c r="G5" s="940"/>
      <c r="H5" s="940"/>
      <c r="I5" s="940"/>
      <c r="J5" s="940"/>
      <c r="K5" s="940"/>
      <c r="L5" s="940"/>
      <c r="M5" s="940"/>
      <c r="N5" s="940"/>
      <c r="O5" s="940"/>
      <c r="P5" s="940"/>
      <c r="Q5" s="940"/>
      <c r="R5" s="940"/>
      <c r="S5" s="940"/>
      <c r="T5" s="940"/>
      <c r="U5" s="940"/>
      <c r="V5" s="940"/>
      <c r="W5" s="940"/>
      <c r="X5" s="931" t="s">
        <v>270</v>
      </c>
      <c r="Y5" s="932"/>
      <c r="Z5" s="932"/>
      <c r="AA5" s="932"/>
      <c r="AB5" s="932"/>
      <c r="AC5" s="932"/>
      <c r="AD5" s="932"/>
      <c r="AE5" s="932"/>
      <c r="AF5" s="932"/>
      <c r="AG5" s="932"/>
      <c r="AH5" s="932"/>
      <c r="AI5" s="932"/>
      <c r="AJ5" s="932"/>
      <c r="AK5" s="932"/>
      <c r="AL5" s="932"/>
      <c r="AM5" s="932"/>
      <c r="AN5" s="932"/>
      <c r="AO5" s="932"/>
      <c r="AP5" s="932"/>
      <c r="AQ5" s="932"/>
      <c r="AR5" s="932"/>
      <c r="AS5" s="1229" t="s">
        <v>271</v>
      </c>
      <c r="AT5" s="1230"/>
      <c r="AU5" s="1230"/>
      <c r="AV5" s="1230"/>
      <c r="AW5" s="1230"/>
      <c r="AX5" s="1230"/>
      <c r="AY5" s="1230"/>
      <c r="AZ5" s="1230"/>
      <c r="BA5" s="1230"/>
      <c r="BB5" s="1230"/>
      <c r="BC5" s="1230"/>
      <c r="BD5" s="1230"/>
      <c r="BE5" s="1230"/>
      <c r="BF5" s="1230"/>
      <c r="BG5" s="1230"/>
      <c r="BH5" s="1230"/>
      <c r="BI5" s="1230"/>
      <c r="BJ5" s="1230"/>
      <c r="BK5" s="1230"/>
      <c r="BL5" s="1230"/>
      <c r="BM5" s="1230"/>
      <c r="BN5" s="946" t="s">
        <v>272</v>
      </c>
      <c r="BO5" s="947"/>
      <c r="BP5" s="947"/>
      <c r="BQ5" s="947"/>
      <c r="BR5" s="947"/>
      <c r="BS5" s="947"/>
      <c r="BT5" s="947"/>
      <c r="BU5" s="947"/>
      <c r="BV5" s="947"/>
      <c r="BW5" s="947"/>
      <c r="BX5" s="947"/>
      <c r="BY5" s="947"/>
      <c r="BZ5" s="947"/>
      <c r="CA5" s="947"/>
      <c r="CB5" s="947"/>
      <c r="CC5" s="947"/>
      <c r="CD5" s="947"/>
      <c r="CE5" s="947"/>
      <c r="CF5" s="947"/>
      <c r="CG5" s="947"/>
      <c r="CH5" s="947"/>
      <c r="CI5" s="932" t="s">
        <v>273</v>
      </c>
      <c r="CJ5" s="932"/>
      <c r="CK5" s="932"/>
      <c r="CL5" s="932"/>
      <c r="CM5" s="932"/>
      <c r="CN5" s="932"/>
      <c r="CO5" s="932"/>
      <c r="CP5" s="932"/>
      <c r="CQ5" s="932"/>
      <c r="CR5" s="932"/>
      <c r="CS5" s="932"/>
      <c r="CT5" s="932"/>
      <c r="CU5" s="932"/>
      <c r="CV5" s="932"/>
      <c r="CW5" s="932"/>
      <c r="CX5" s="932"/>
      <c r="CY5" s="932"/>
      <c r="CZ5" s="932"/>
      <c r="DA5" s="932"/>
      <c r="DB5" s="932"/>
      <c r="DC5" s="932"/>
      <c r="DD5" s="1227" t="s">
        <v>13</v>
      </c>
      <c r="DE5" s="1228"/>
      <c r="DF5" s="1228"/>
      <c r="DG5" s="1228"/>
      <c r="DH5" s="1228"/>
      <c r="DI5" s="1228"/>
      <c r="DJ5" s="1228"/>
      <c r="DK5" s="1225" t="s">
        <v>533</v>
      </c>
      <c r="DL5" s="966" t="s">
        <v>15</v>
      </c>
      <c r="DM5" s="944" t="s">
        <v>180</v>
      </c>
      <c r="EB5" t="s">
        <v>398</v>
      </c>
    </row>
    <row r="6" spans="1:267" ht="15" customHeight="1">
      <c r="A6" s="900"/>
      <c r="B6" s="900"/>
      <c r="C6" s="931" t="s">
        <v>181</v>
      </c>
      <c r="D6" s="932"/>
      <c r="E6" s="932"/>
      <c r="F6" s="932"/>
      <c r="G6" s="932"/>
      <c r="H6" s="932"/>
      <c r="I6" s="932"/>
      <c r="J6" s="946" t="s">
        <v>532</v>
      </c>
      <c r="K6" s="947"/>
      <c r="L6" s="947"/>
      <c r="M6" s="947"/>
      <c r="N6" s="947"/>
      <c r="O6" s="947"/>
      <c r="P6" s="947"/>
      <c r="Q6" s="949" t="s">
        <v>182</v>
      </c>
      <c r="R6" s="950"/>
      <c r="S6" s="950"/>
      <c r="T6" s="950"/>
      <c r="U6" s="950"/>
      <c r="V6" s="950"/>
      <c r="W6" s="950"/>
      <c r="X6" s="931" t="s">
        <v>181</v>
      </c>
      <c r="Y6" s="932"/>
      <c r="Z6" s="932"/>
      <c r="AA6" s="932"/>
      <c r="AB6" s="932"/>
      <c r="AC6" s="932"/>
      <c r="AD6" s="932"/>
      <c r="AE6" s="946" t="s">
        <v>532</v>
      </c>
      <c r="AF6" s="947"/>
      <c r="AG6" s="947"/>
      <c r="AH6" s="947"/>
      <c r="AI6" s="947"/>
      <c r="AJ6" s="947"/>
      <c r="AK6" s="947"/>
      <c r="AL6" s="949" t="s">
        <v>182</v>
      </c>
      <c r="AM6" s="950"/>
      <c r="AN6" s="950"/>
      <c r="AO6" s="950"/>
      <c r="AP6" s="950"/>
      <c r="AQ6" s="950"/>
      <c r="AR6" s="950"/>
      <c r="AS6" s="931" t="s">
        <v>181</v>
      </c>
      <c r="AT6" s="932"/>
      <c r="AU6" s="932"/>
      <c r="AV6" s="932"/>
      <c r="AW6" s="932"/>
      <c r="AX6" s="932"/>
      <c r="AY6" s="932"/>
      <c r="AZ6" s="946" t="s">
        <v>532</v>
      </c>
      <c r="BA6" s="947"/>
      <c r="BB6" s="947"/>
      <c r="BC6" s="947"/>
      <c r="BD6" s="947"/>
      <c r="BE6" s="947"/>
      <c r="BF6" s="947"/>
      <c r="BG6" s="949" t="s">
        <v>182</v>
      </c>
      <c r="BH6" s="950"/>
      <c r="BI6" s="950"/>
      <c r="BJ6" s="950"/>
      <c r="BK6" s="950"/>
      <c r="BL6" s="950"/>
      <c r="BM6" s="950"/>
      <c r="BN6" s="931" t="s">
        <v>181</v>
      </c>
      <c r="BO6" s="932"/>
      <c r="BP6" s="932"/>
      <c r="BQ6" s="932"/>
      <c r="BR6" s="932"/>
      <c r="BS6" s="932"/>
      <c r="BT6" s="932"/>
      <c r="BU6" s="946" t="s">
        <v>532</v>
      </c>
      <c r="BV6" s="947"/>
      <c r="BW6" s="947"/>
      <c r="BX6" s="947"/>
      <c r="BY6" s="947"/>
      <c r="BZ6" s="947"/>
      <c r="CA6" s="947"/>
      <c r="CB6" s="949" t="s">
        <v>182</v>
      </c>
      <c r="CC6" s="950"/>
      <c r="CD6" s="950"/>
      <c r="CE6" s="950"/>
      <c r="CF6" s="950"/>
      <c r="CG6" s="950"/>
      <c r="CH6" s="950"/>
      <c r="CI6" s="931" t="s">
        <v>181</v>
      </c>
      <c r="CJ6" s="932"/>
      <c r="CK6" s="932"/>
      <c r="CL6" s="932"/>
      <c r="CM6" s="932"/>
      <c r="CN6" s="932"/>
      <c r="CO6" s="932"/>
      <c r="CP6" s="946" t="s">
        <v>532</v>
      </c>
      <c r="CQ6" s="947"/>
      <c r="CR6" s="947"/>
      <c r="CS6" s="947"/>
      <c r="CT6" s="947"/>
      <c r="CU6" s="947"/>
      <c r="CV6" s="947"/>
      <c r="CW6" s="949" t="s">
        <v>182</v>
      </c>
      <c r="CX6" s="950"/>
      <c r="CY6" s="950"/>
      <c r="CZ6" s="950"/>
      <c r="DA6" s="950"/>
      <c r="DB6" s="950"/>
      <c r="DC6" s="950"/>
      <c r="DD6" s="36" t="s">
        <v>19</v>
      </c>
      <c r="DE6" s="36" t="s">
        <v>19</v>
      </c>
      <c r="DF6" s="36" t="s">
        <v>19</v>
      </c>
      <c r="DG6" s="36" t="s">
        <v>19</v>
      </c>
      <c r="DH6" s="36" t="s">
        <v>19</v>
      </c>
      <c r="DI6" s="36" t="s">
        <v>19</v>
      </c>
      <c r="DJ6" s="36" t="s">
        <v>19</v>
      </c>
      <c r="DK6" s="1226"/>
      <c r="DL6" s="967"/>
      <c r="DM6" s="944"/>
      <c r="DP6" s="931" t="s">
        <v>279</v>
      </c>
      <c r="DQ6" s="932"/>
      <c r="DR6" s="932"/>
      <c r="DS6" s="932"/>
      <c r="DT6" s="932"/>
      <c r="DU6" s="932"/>
      <c r="DV6" s="932"/>
      <c r="DW6" s="932"/>
      <c r="DX6" s="932"/>
      <c r="DY6" s="933"/>
      <c r="DZ6" s="570"/>
      <c r="EA6" s="1217" t="s">
        <v>399</v>
      </c>
      <c r="EB6" s="934" t="s">
        <v>280</v>
      </c>
      <c r="EC6" s="935"/>
      <c r="ED6" s="935"/>
      <c r="EE6" s="935"/>
      <c r="EF6" s="935"/>
      <c r="EG6" s="935"/>
      <c r="EH6" s="935"/>
      <c r="EI6" s="935"/>
      <c r="EJ6" s="935"/>
      <c r="EK6" s="936"/>
      <c r="EL6" s="571"/>
      <c r="EM6" s="1217" t="s">
        <v>399</v>
      </c>
      <c r="EN6" s="939" t="s">
        <v>400</v>
      </c>
      <c r="EO6" s="940"/>
      <c r="EP6" s="940"/>
      <c r="EQ6" s="940"/>
      <c r="ER6" s="940"/>
      <c r="ES6" s="940"/>
      <c r="ET6" s="940"/>
      <c r="EU6" s="940"/>
      <c r="EV6" s="940"/>
      <c r="EW6" s="941"/>
      <c r="EX6" s="572"/>
      <c r="EY6" s="1222" t="s">
        <v>399</v>
      </c>
      <c r="EZ6" s="972">
        <v>1</v>
      </c>
      <c r="FA6" s="973"/>
      <c r="FB6" s="973"/>
      <c r="FC6" s="976"/>
      <c r="FD6" s="976"/>
      <c r="FE6" s="976"/>
      <c r="FF6" s="972">
        <v>2</v>
      </c>
      <c r="FG6" s="973"/>
      <c r="FH6" s="973"/>
      <c r="FI6" s="976"/>
      <c r="FJ6" s="976"/>
      <c r="FK6" s="976"/>
      <c r="FL6" s="972">
        <v>3</v>
      </c>
      <c r="FM6" s="973"/>
      <c r="FN6" s="973"/>
      <c r="FO6" s="976"/>
      <c r="FP6" s="976"/>
      <c r="FQ6" s="976"/>
      <c r="FR6" s="972">
        <v>4</v>
      </c>
      <c r="FS6" s="973"/>
      <c r="FT6" s="973"/>
      <c r="FU6" s="976"/>
      <c r="FV6" s="976"/>
      <c r="FW6" s="976"/>
      <c r="FX6" s="972">
        <v>5</v>
      </c>
      <c r="FY6" s="973"/>
      <c r="FZ6" s="973"/>
      <c r="GA6" s="976"/>
      <c r="GB6" s="976"/>
      <c r="GC6" s="976"/>
      <c r="GD6" s="972">
        <v>6</v>
      </c>
      <c r="GE6" s="973"/>
      <c r="GF6" s="973"/>
      <c r="GG6" s="976"/>
      <c r="GH6" s="976"/>
      <c r="GI6" s="976"/>
      <c r="GJ6" s="972">
        <v>7</v>
      </c>
      <c r="GK6" s="973"/>
      <c r="GL6" s="973"/>
      <c r="GM6" s="976"/>
      <c r="GN6" s="976"/>
      <c r="GO6" s="976"/>
      <c r="GP6" s="972">
        <v>8</v>
      </c>
      <c r="GQ6" s="973"/>
      <c r="GR6" s="973"/>
      <c r="GS6" s="976"/>
      <c r="GT6" s="976"/>
      <c r="GU6" s="976"/>
      <c r="GV6" s="972">
        <v>9</v>
      </c>
      <c r="GW6" s="973"/>
      <c r="GX6" s="973"/>
      <c r="GY6" s="976"/>
      <c r="GZ6" s="976"/>
      <c r="HA6" s="976"/>
      <c r="HB6" s="972">
        <v>10</v>
      </c>
      <c r="HC6" s="973"/>
      <c r="HD6" s="973"/>
      <c r="HE6" s="976"/>
      <c r="HF6" s="976"/>
      <c r="HG6" s="976"/>
      <c r="HH6" s="972">
        <v>11</v>
      </c>
      <c r="HI6" s="973"/>
      <c r="HJ6" s="973"/>
      <c r="HK6" s="976"/>
      <c r="HL6" s="976"/>
      <c r="HM6" s="976"/>
      <c r="HN6" s="573"/>
      <c r="HO6" s="573">
        <v>1</v>
      </c>
      <c r="HP6" s="573">
        <v>2</v>
      </c>
      <c r="HQ6" s="573">
        <v>3</v>
      </c>
      <c r="HR6" s="573">
        <v>4</v>
      </c>
      <c r="HS6" s="573">
        <v>5</v>
      </c>
      <c r="HT6" s="573">
        <v>6</v>
      </c>
      <c r="HU6" s="573">
        <v>7</v>
      </c>
      <c r="HV6" s="573">
        <v>8</v>
      </c>
      <c r="HW6" s="573">
        <v>9</v>
      </c>
      <c r="HX6" s="573">
        <v>10</v>
      </c>
      <c r="HY6" s="573">
        <v>11</v>
      </c>
      <c r="IA6" s="68" t="s">
        <v>184</v>
      </c>
      <c r="IB6" s="68" t="s">
        <v>185</v>
      </c>
      <c r="IC6" s="984"/>
      <c r="ID6" s="736"/>
      <c r="IE6" s="980" t="str">
        <f>B45</f>
        <v>membuat gambar cerita</v>
      </c>
      <c r="IF6" s="980" t="str">
        <f>B46</f>
        <v>menyanyikan lagu-lagu dalam berbagai tangga nada dengan iringan musik</v>
      </c>
      <c r="IG6" s="980" t="str">
        <f>B47</f>
        <v>mempraktikkan pola lantai pada gerak tari kreasi dearah</v>
      </c>
      <c r="IH6" s="980" t="str">
        <f>B48</f>
        <v>membuat karya seni rupa daerah</v>
      </c>
      <c r="II6" s="980">
        <f>B49</f>
        <v>0</v>
      </c>
      <c r="IJ6" s="980">
        <f>B50</f>
        <v>0</v>
      </c>
      <c r="IK6" s="980">
        <f>B51</f>
        <v>0</v>
      </c>
      <c r="IL6" s="980">
        <f>B52</f>
        <v>0</v>
      </c>
      <c r="IM6" s="980">
        <f>B53</f>
        <v>0</v>
      </c>
      <c r="IN6" s="980">
        <f>B54</f>
        <v>0</v>
      </c>
      <c r="IO6" s="980">
        <f>B55</f>
        <v>0</v>
      </c>
      <c r="IP6" s="981"/>
      <c r="IQ6" s="981" t="s">
        <v>186</v>
      </c>
      <c r="IR6" s="981" t="s">
        <v>187</v>
      </c>
      <c r="IT6" s="983" t="str">
        <f>IE$6</f>
        <v>membuat gambar cerita</v>
      </c>
      <c r="IU6" s="983" t="str">
        <f t="shared" ref="IU6:JD6" si="0">IF$6</f>
        <v>menyanyikan lagu-lagu dalam berbagai tangga nada dengan iringan musik</v>
      </c>
      <c r="IV6" s="983" t="str">
        <f t="shared" si="0"/>
        <v>mempraktikkan pola lantai pada gerak tari kreasi dearah</v>
      </c>
      <c r="IW6" s="983" t="str">
        <f t="shared" si="0"/>
        <v>membuat karya seni rupa daerah</v>
      </c>
      <c r="IX6" s="983">
        <f t="shared" si="0"/>
        <v>0</v>
      </c>
      <c r="IY6" s="983">
        <f t="shared" si="0"/>
        <v>0</v>
      </c>
      <c r="IZ6" s="983">
        <f t="shared" si="0"/>
        <v>0</v>
      </c>
      <c r="JA6" s="983">
        <f t="shared" si="0"/>
        <v>0</v>
      </c>
      <c r="JB6" s="983">
        <f t="shared" si="0"/>
        <v>0</v>
      </c>
      <c r="JC6" s="983">
        <f t="shared" si="0"/>
        <v>0</v>
      </c>
      <c r="JD6" s="983">
        <f t="shared" si="0"/>
        <v>0</v>
      </c>
      <c r="JE6" s="978" t="s">
        <v>401</v>
      </c>
      <c r="JG6" s="1224" t="s">
        <v>402</v>
      </c>
    </row>
    <row r="7" spans="1:267" ht="21" customHeight="1">
      <c r="A7" s="900"/>
      <c r="B7" s="961"/>
      <c r="C7" s="395" t="str">
        <f>A45</f>
        <v>4.1</v>
      </c>
      <c r="D7" s="395" t="str">
        <f>A46</f>
        <v>4.2</v>
      </c>
      <c r="E7" s="395" t="str">
        <f>A47</f>
        <v>4.3</v>
      </c>
      <c r="F7" s="395" t="str">
        <f>A48</f>
        <v>4.4</v>
      </c>
      <c r="G7" s="395">
        <f>A49</f>
        <v>0</v>
      </c>
      <c r="H7" s="395">
        <f>A50</f>
        <v>0</v>
      </c>
      <c r="I7" s="395">
        <f>A51</f>
        <v>0</v>
      </c>
      <c r="J7" s="395" t="str">
        <f t="shared" ref="J7:AD7" si="1">C7</f>
        <v>4.1</v>
      </c>
      <c r="K7" s="395" t="str">
        <f t="shared" si="1"/>
        <v>4.2</v>
      </c>
      <c r="L7" s="395" t="str">
        <f t="shared" si="1"/>
        <v>4.3</v>
      </c>
      <c r="M7" s="395" t="str">
        <f t="shared" si="1"/>
        <v>4.4</v>
      </c>
      <c r="N7" s="395">
        <f t="shared" si="1"/>
        <v>0</v>
      </c>
      <c r="O7" s="395">
        <f t="shared" si="1"/>
        <v>0</v>
      </c>
      <c r="P7" s="395">
        <f t="shared" si="1"/>
        <v>0</v>
      </c>
      <c r="Q7" s="395" t="str">
        <f t="shared" si="1"/>
        <v>4.1</v>
      </c>
      <c r="R7" s="395" t="str">
        <f t="shared" si="1"/>
        <v>4.2</v>
      </c>
      <c r="S7" s="395" t="str">
        <f t="shared" si="1"/>
        <v>4.3</v>
      </c>
      <c r="T7" s="395" t="str">
        <f t="shared" si="1"/>
        <v>4.4</v>
      </c>
      <c r="U7" s="395">
        <f t="shared" si="1"/>
        <v>0</v>
      </c>
      <c r="V7" s="395">
        <f t="shared" si="1"/>
        <v>0</v>
      </c>
      <c r="W7" s="395">
        <f t="shared" si="1"/>
        <v>0</v>
      </c>
      <c r="X7" s="395" t="str">
        <f t="shared" si="1"/>
        <v>4.1</v>
      </c>
      <c r="Y7" s="395" t="str">
        <f t="shared" si="1"/>
        <v>4.2</v>
      </c>
      <c r="Z7" s="395" t="str">
        <f t="shared" si="1"/>
        <v>4.3</v>
      </c>
      <c r="AA7" s="395" t="str">
        <f t="shared" si="1"/>
        <v>4.4</v>
      </c>
      <c r="AB7" s="395">
        <f t="shared" si="1"/>
        <v>0</v>
      </c>
      <c r="AC7" s="395">
        <f t="shared" si="1"/>
        <v>0</v>
      </c>
      <c r="AD7" s="395">
        <f t="shared" si="1"/>
        <v>0</v>
      </c>
      <c r="AE7" s="395" t="str">
        <f t="shared" ref="AE7:AF7" si="2">X7</f>
        <v>4.1</v>
      </c>
      <c r="AF7" s="395" t="str">
        <f t="shared" si="2"/>
        <v>4.2</v>
      </c>
      <c r="AG7" s="395" t="str">
        <f t="shared" ref="AG7:AY7" si="3">Z7</f>
        <v>4.3</v>
      </c>
      <c r="AH7" s="395" t="str">
        <f t="shared" si="3"/>
        <v>4.4</v>
      </c>
      <c r="AI7" s="395">
        <f t="shared" si="3"/>
        <v>0</v>
      </c>
      <c r="AJ7" s="395">
        <f t="shared" si="3"/>
        <v>0</v>
      </c>
      <c r="AK7" s="395">
        <f t="shared" si="3"/>
        <v>0</v>
      </c>
      <c r="AL7" s="395" t="str">
        <f t="shared" si="3"/>
        <v>4.1</v>
      </c>
      <c r="AM7" s="395" t="str">
        <f t="shared" si="3"/>
        <v>4.2</v>
      </c>
      <c r="AN7" s="395" t="str">
        <f t="shared" si="3"/>
        <v>4.3</v>
      </c>
      <c r="AO7" s="395" t="str">
        <f t="shared" si="3"/>
        <v>4.4</v>
      </c>
      <c r="AP7" s="395">
        <f t="shared" si="3"/>
        <v>0</v>
      </c>
      <c r="AQ7" s="395">
        <f t="shared" si="3"/>
        <v>0</v>
      </c>
      <c r="AR7" s="395">
        <f t="shared" si="3"/>
        <v>0</v>
      </c>
      <c r="AS7" s="395" t="str">
        <f t="shared" si="3"/>
        <v>4.1</v>
      </c>
      <c r="AT7" s="395" t="str">
        <f t="shared" si="3"/>
        <v>4.2</v>
      </c>
      <c r="AU7" s="395" t="str">
        <f t="shared" si="3"/>
        <v>4.3</v>
      </c>
      <c r="AV7" s="395" t="str">
        <f t="shared" si="3"/>
        <v>4.4</v>
      </c>
      <c r="AW7" s="395">
        <f t="shared" si="3"/>
        <v>0</v>
      </c>
      <c r="AX7" s="395">
        <f t="shared" si="3"/>
        <v>0</v>
      </c>
      <c r="AY7" s="395">
        <f t="shared" si="3"/>
        <v>0</v>
      </c>
      <c r="AZ7" s="395" t="str">
        <f t="shared" ref="AZ7:BC7" si="4">AS7</f>
        <v>4.1</v>
      </c>
      <c r="BA7" s="395" t="str">
        <f t="shared" si="4"/>
        <v>4.2</v>
      </c>
      <c r="BB7" s="395" t="str">
        <f t="shared" si="4"/>
        <v>4.3</v>
      </c>
      <c r="BC7" s="395" t="str">
        <f t="shared" si="4"/>
        <v>4.4</v>
      </c>
      <c r="BD7" s="395">
        <f t="shared" ref="BD7:BT7" si="5">AW7</f>
        <v>0</v>
      </c>
      <c r="BE7" s="395">
        <f t="shared" si="5"/>
        <v>0</v>
      </c>
      <c r="BF7" s="395">
        <f t="shared" si="5"/>
        <v>0</v>
      </c>
      <c r="BG7" s="395" t="str">
        <f t="shared" si="5"/>
        <v>4.1</v>
      </c>
      <c r="BH7" s="395" t="str">
        <f t="shared" si="5"/>
        <v>4.2</v>
      </c>
      <c r="BI7" s="395" t="str">
        <f t="shared" si="5"/>
        <v>4.3</v>
      </c>
      <c r="BJ7" s="395" t="str">
        <f t="shared" si="5"/>
        <v>4.4</v>
      </c>
      <c r="BK7" s="395">
        <f t="shared" si="5"/>
        <v>0</v>
      </c>
      <c r="BL7" s="395">
        <f t="shared" si="5"/>
        <v>0</v>
      </c>
      <c r="BM7" s="395">
        <f t="shared" si="5"/>
        <v>0</v>
      </c>
      <c r="BN7" s="395" t="str">
        <f t="shared" si="5"/>
        <v>4.1</v>
      </c>
      <c r="BO7" s="395" t="str">
        <f t="shared" si="5"/>
        <v>4.2</v>
      </c>
      <c r="BP7" s="395" t="str">
        <f t="shared" si="5"/>
        <v>4.3</v>
      </c>
      <c r="BQ7" s="395" t="str">
        <f t="shared" si="5"/>
        <v>4.4</v>
      </c>
      <c r="BR7" s="395">
        <f t="shared" si="5"/>
        <v>0</v>
      </c>
      <c r="BS7" s="395">
        <f t="shared" si="5"/>
        <v>0</v>
      </c>
      <c r="BT7" s="395">
        <f t="shared" si="5"/>
        <v>0</v>
      </c>
      <c r="BU7" s="395" t="str">
        <f t="shared" ref="BU7:BZ7" si="6">BN7</f>
        <v>4.1</v>
      </c>
      <c r="BV7" s="395" t="str">
        <f t="shared" si="6"/>
        <v>4.2</v>
      </c>
      <c r="BW7" s="395" t="str">
        <f t="shared" si="6"/>
        <v>4.3</v>
      </c>
      <c r="BX7" s="395" t="str">
        <f t="shared" si="6"/>
        <v>4.4</v>
      </c>
      <c r="BY7" s="395">
        <f t="shared" si="6"/>
        <v>0</v>
      </c>
      <c r="BZ7" s="395">
        <f t="shared" si="6"/>
        <v>0</v>
      </c>
      <c r="CA7" s="395">
        <f t="shared" ref="CA7:DC7" si="7">BT7</f>
        <v>0</v>
      </c>
      <c r="CB7" s="395" t="str">
        <f t="shared" si="7"/>
        <v>4.1</v>
      </c>
      <c r="CC7" s="395" t="str">
        <f t="shared" si="7"/>
        <v>4.2</v>
      </c>
      <c r="CD7" s="395" t="str">
        <f t="shared" si="7"/>
        <v>4.3</v>
      </c>
      <c r="CE7" s="395" t="str">
        <f t="shared" si="7"/>
        <v>4.4</v>
      </c>
      <c r="CF7" s="395">
        <f t="shared" si="7"/>
        <v>0</v>
      </c>
      <c r="CG7" s="395">
        <f t="shared" si="7"/>
        <v>0</v>
      </c>
      <c r="CH7" s="395">
        <f t="shared" si="7"/>
        <v>0</v>
      </c>
      <c r="CI7" s="395" t="str">
        <f t="shared" si="7"/>
        <v>4.1</v>
      </c>
      <c r="CJ7" s="395" t="str">
        <f t="shared" si="7"/>
        <v>4.2</v>
      </c>
      <c r="CK7" s="395" t="str">
        <f t="shared" si="7"/>
        <v>4.3</v>
      </c>
      <c r="CL7" s="395" t="str">
        <f t="shared" si="7"/>
        <v>4.4</v>
      </c>
      <c r="CM7" s="395">
        <f t="shared" si="7"/>
        <v>0</v>
      </c>
      <c r="CN7" s="395">
        <f t="shared" si="7"/>
        <v>0</v>
      </c>
      <c r="CO7" s="395">
        <f t="shared" si="7"/>
        <v>0</v>
      </c>
      <c r="CP7" s="395" t="str">
        <f t="shared" si="7"/>
        <v>4.1</v>
      </c>
      <c r="CQ7" s="395" t="str">
        <f t="shared" si="7"/>
        <v>4.2</v>
      </c>
      <c r="CR7" s="395" t="str">
        <f t="shared" si="7"/>
        <v>4.3</v>
      </c>
      <c r="CS7" s="395" t="str">
        <f t="shared" si="7"/>
        <v>4.4</v>
      </c>
      <c r="CT7" s="395">
        <f t="shared" si="7"/>
        <v>0</v>
      </c>
      <c r="CU7" s="395">
        <f t="shared" si="7"/>
        <v>0</v>
      </c>
      <c r="CV7" s="395">
        <f t="shared" si="7"/>
        <v>0</v>
      </c>
      <c r="CW7" s="395" t="str">
        <f t="shared" si="7"/>
        <v>4.1</v>
      </c>
      <c r="CX7" s="395" t="str">
        <f t="shared" si="7"/>
        <v>4.2</v>
      </c>
      <c r="CY7" s="395" t="str">
        <f t="shared" si="7"/>
        <v>4.3</v>
      </c>
      <c r="CZ7" s="395" t="str">
        <f t="shared" si="7"/>
        <v>4.4</v>
      </c>
      <c r="DA7" s="395">
        <f t="shared" si="7"/>
        <v>0</v>
      </c>
      <c r="DB7" s="395">
        <f t="shared" si="7"/>
        <v>0</v>
      </c>
      <c r="DC7" s="395">
        <f t="shared" si="7"/>
        <v>0</v>
      </c>
      <c r="DD7" s="468" t="str">
        <f t="shared" ref="DD7:DJ7" si="8">CB7</f>
        <v>4.1</v>
      </c>
      <c r="DE7" s="468" t="str">
        <f t="shared" si="8"/>
        <v>4.2</v>
      </c>
      <c r="DF7" s="468" t="str">
        <f t="shared" si="8"/>
        <v>4.3</v>
      </c>
      <c r="DG7" s="468" t="str">
        <f t="shared" si="8"/>
        <v>4.4</v>
      </c>
      <c r="DH7" s="468">
        <f t="shared" si="8"/>
        <v>0</v>
      </c>
      <c r="DI7" s="468">
        <f t="shared" si="8"/>
        <v>0</v>
      </c>
      <c r="DJ7" s="468">
        <f t="shared" si="8"/>
        <v>0</v>
      </c>
      <c r="DK7" s="1226"/>
      <c r="DL7" s="967"/>
      <c r="DM7" s="945"/>
      <c r="DP7" s="39">
        <v>1</v>
      </c>
      <c r="DQ7" s="39">
        <v>2</v>
      </c>
      <c r="DR7" s="39">
        <v>3</v>
      </c>
      <c r="DS7" s="39">
        <v>4</v>
      </c>
      <c r="DT7" s="39">
        <v>5</v>
      </c>
      <c r="DU7" s="39">
        <v>6</v>
      </c>
      <c r="DV7" s="39">
        <v>7</v>
      </c>
      <c r="DW7" s="39">
        <v>8</v>
      </c>
      <c r="DX7" s="39">
        <v>9</v>
      </c>
      <c r="DY7" s="39">
        <v>10</v>
      </c>
      <c r="DZ7" s="452">
        <v>11</v>
      </c>
      <c r="EA7" s="1218"/>
      <c r="EB7" s="39">
        <v>1</v>
      </c>
      <c r="EC7" s="39">
        <v>2</v>
      </c>
      <c r="ED7" s="39">
        <v>3</v>
      </c>
      <c r="EE7" s="39">
        <v>4</v>
      </c>
      <c r="EF7" s="39">
        <v>5</v>
      </c>
      <c r="EG7" s="39">
        <v>6</v>
      </c>
      <c r="EH7" s="39">
        <v>7</v>
      </c>
      <c r="EI7" s="39">
        <v>8</v>
      </c>
      <c r="EJ7" s="39">
        <v>9</v>
      </c>
      <c r="EK7" s="39">
        <v>10</v>
      </c>
      <c r="EL7" s="452">
        <v>11</v>
      </c>
      <c r="EM7" s="1218"/>
      <c r="EN7" s="39">
        <v>1</v>
      </c>
      <c r="EO7" s="39">
        <v>2</v>
      </c>
      <c r="EP7" s="39">
        <v>3</v>
      </c>
      <c r="EQ7" s="39">
        <v>4</v>
      </c>
      <c r="ER7" s="39">
        <v>5</v>
      </c>
      <c r="ES7" s="39">
        <v>6</v>
      </c>
      <c r="ET7" s="39">
        <v>7</v>
      </c>
      <c r="EU7" s="39">
        <v>8</v>
      </c>
      <c r="EV7" s="39">
        <v>9</v>
      </c>
      <c r="EW7" s="39">
        <v>10</v>
      </c>
      <c r="EX7" s="39">
        <v>11</v>
      </c>
      <c r="EY7" s="1222"/>
      <c r="EZ7" s="974"/>
      <c r="FA7" s="975"/>
      <c r="FB7" s="975"/>
      <c r="FC7" s="977"/>
      <c r="FD7" s="977"/>
      <c r="FE7" s="977"/>
      <c r="FF7" s="974"/>
      <c r="FG7" s="975"/>
      <c r="FH7" s="975"/>
      <c r="FI7" s="977"/>
      <c r="FJ7" s="977"/>
      <c r="FK7" s="977"/>
      <c r="FL7" s="974"/>
      <c r="FM7" s="975"/>
      <c r="FN7" s="975"/>
      <c r="FO7" s="977"/>
      <c r="FP7" s="977"/>
      <c r="FQ7" s="977"/>
      <c r="FR7" s="974"/>
      <c r="FS7" s="975"/>
      <c r="FT7" s="975"/>
      <c r="FU7" s="977"/>
      <c r="FV7" s="977"/>
      <c r="FW7" s="977"/>
      <c r="FX7" s="974"/>
      <c r="FY7" s="975"/>
      <c r="FZ7" s="975"/>
      <c r="GA7" s="977"/>
      <c r="GB7" s="977"/>
      <c r="GC7" s="977"/>
      <c r="GD7" s="974"/>
      <c r="GE7" s="975"/>
      <c r="GF7" s="975"/>
      <c r="GG7" s="977"/>
      <c r="GH7" s="977"/>
      <c r="GI7" s="977"/>
      <c r="GJ7" s="974"/>
      <c r="GK7" s="975"/>
      <c r="GL7" s="975"/>
      <c r="GM7" s="977"/>
      <c r="GN7" s="977"/>
      <c r="GO7" s="977"/>
      <c r="GP7" s="974"/>
      <c r="GQ7" s="975"/>
      <c r="GR7" s="975"/>
      <c r="GS7" s="977"/>
      <c r="GT7" s="977"/>
      <c r="GU7" s="977"/>
      <c r="GV7" s="974"/>
      <c r="GW7" s="975"/>
      <c r="GX7" s="975"/>
      <c r="GY7" s="977"/>
      <c r="GZ7" s="977"/>
      <c r="HA7" s="977"/>
      <c r="HB7" s="974"/>
      <c r="HC7" s="975"/>
      <c r="HD7" s="975"/>
      <c r="HE7" s="977"/>
      <c r="HF7" s="977"/>
      <c r="HG7" s="977"/>
      <c r="HH7" s="974"/>
      <c r="HI7" s="975"/>
      <c r="HJ7" s="975"/>
      <c r="HK7" s="977"/>
      <c r="HL7" s="977"/>
      <c r="HM7" s="977"/>
      <c r="HN7" s="573"/>
      <c r="HO7" s="574"/>
      <c r="HP7" s="573"/>
      <c r="HQ7" s="573"/>
      <c r="HR7" s="573"/>
      <c r="HS7" s="573"/>
      <c r="HT7" s="573"/>
      <c r="HU7" s="573"/>
      <c r="HV7" s="573"/>
      <c r="HW7" s="573"/>
      <c r="HX7" s="573"/>
      <c r="IA7" s="242"/>
      <c r="IB7" s="242"/>
      <c r="IC7" s="1223"/>
      <c r="ID7" s="740"/>
      <c r="IE7" s="1184"/>
      <c r="IF7" s="1184"/>
      <c r="IG7" s="1184"/>
      <c r="IH7" s="1184"/>
      <c r="II7" s="1184"/>
      <c r="IJ7" s="1184"/>
      <c r="IK7" s="1184"/>
      <c r="IL7" s="1184"/>
      <c r="IM7" s="1184"/>
      <c r="IN7" s="1184"/>
      <c r="IO7" s="1184"/>
      <c r="IP7" s="982"/>
      <c r="IQ7" s="982"/>
      <c r="IR7" s="982"/>
      <c r="IT7" s="984"/>
      <c r="IU7" s="984"/>
      <c r="IV7" s="984"/>
      <c r="IW7" s="984"/>
      <c r="IX7" s="984"/>
      <c r="IY7" s="984"/>
      <c r="IZ7" s="984"/>
      <c r="JA7" s="984"/>
      <c r="JB7" s="984"/>
      <c r="JC7" s="984"/>
      <c r="JD7" s="984"/>
      <c r="JE7" s="978"/>
      <c r="JG7" s="1224"/>
    </row>
    <row r="8" spans="1:267" ht="30" customHeight="1">
      <c r="A8" s="223">
        <v>1</v>
      </c>
      <c r="B8" s="223" t="str">
        <f>SISWA!B6</f>
        <v>Afif Rafiudin</v>
      </c>
      <c r="C8" s="123">
        <v>80</v>
      </c>
      <c r="D8" s="123"/>
      <c r="E8" s="123"/>
      <c r="F8" s="123"/>
      <c r="G8" s="123"/>
      <c r="H8" s="123"/>
      <c r="I8" s="123"/>
      <c r="J8" s="255">
        <v>90</v>
      </c>
      <c r="K8" s="255"/>
      <c r="L8" s="255"/>
      <c r="M8" s="255"/>
      <c r="N8" s="255"/>
      <c r="O8" s="255"/>
      <c r="P8" s="255"/>
      <c r="Q8" s="256">
        <v>80</v>
      </c>
      <c r="R8" s="256"/>
      <c r="S8" s="256"/>
      <c r="T8" s="256"/>
      <c r="U8" s="256"/>
      <c r="V8" s="256"/>
      <c r="W8" s="256"/>
      <c r="X8" s="123"/>
      <c r="Y8" s="123"/>
      <c r="Z8" s="123">
        <v>75</v>
      </c>
      <c r="AA8" s="123"/>
      <c r="AB8" s="123"/>
      <c r="AC8" s="123"/>
      <c r="AD8" s="123"/>
      <c r="AE8" s="255"/>
      <c r="AF8" s="255"/>
      <c r="AG8" s="255">
        <v>75</v>
      </c>
      <c r="AH8" s="255"/>
      <c r="AI8" s="255"/>
      <c r="AJ8" s="255"/>
      <c r="AK8" s="255"/>
      <c r="AL8" s="256"/>
      <c r="AM8" s="256"/>
      <c r="AN8" s="256">
        <v>80</v>
      </c>
      <c r="AO8" s="256"/>
      <c r="AP8" s="256"/>
      <c r="AQ8" s="256"/>
      <c r="AR8" s="256"/>
      <c r="AS8" s="123"/>
      <c r="AT8" s="123">
        <v>75</v>
      </c>
      <c r="AU8" s="123"/>
      <c r="AV8" s="123"/>
      <c r="AW8" s="123"/>
      <c r="AX8" s="123"/>
      <c r="AY8" s="123"/>
      <c r="AZ8" s="255"/>
      <c r="BA8" s="255">
        <v>75</v>
      </c>
      <c r="BB8" s="255"/>
      <c r="BC8" s="255"/>
      <c r="BD8" s="255"/>
      <c r="BE8" s="255"/>
      <c r="BF8" s="255"/>
      <c r="BG8" s="256"/>
      <c r="BH8" s="256">
        <v>80</v>
      </c>
      <c r="BI8" s="256"/>
      <c r="BJ8" s="256"/>
      <c r="BK8" s="256"/>
      <c r="BL8" s="256"/>
      <c r="BM8" s="256"/>
      <c r="BN8" s="123"/>
      <c r="BO8" s="123"/>
      <c r="BP8" s="123">
        <v>90</v>
      </c>
      <c r="BQ8" s="123"/>
      <c r="BR8" s="123"/>
      <c r="BS8" s="123"/>
      <c r="BT8" s="123"/>
      <c r="BU8" s="255"/>
      <c r="BV8" s="255"/>
      <c r="BW8" s="255">
        <v>90</v>
      </c>
      <c r="BX8" s="255"/>
      <c r="BY8" s="255"/>
      <c r="BZ8" s="255"/>
      <c r="CA8" s="255"/>
      <c r="CB8" s="256"/>
      <c r="CC8" s="256"/>
      <c r="CD8" s="256">
        <v>75</v>
      </c>
      <c r="CE8" s="256"/>
      <c r="CF8" s="256"/>
      <c r="CG8" s="256"/>
      <c r="CH8" s="256"/>
      <c r="CI8" s="458"/>
      <c r="CJ8" s="458">
        <v>85</v>
      </c>
      <c r="CK8" s="458"/>
      <c r="CL8" s="458"/>
      <c r="CM8" s="458"/>
      <c r="CN8" s="458"/>
      <c r="CO8" s="458"/>
      <c r="CP8" s="459"/>
      <c r="CQ8" s="459">
        <v>75</v>
      </c>
      <c r="CR8" s="459"/>
      <c r="CS8" s="459"/>
      <c r="CT8" s="459"/>
      <c r="CU8" s="459"/>
      <c r="CV8" s="459"/>
      <c r="CW8" s="256"/>
      <c r="CX8" s="256">
        <v>80</v>
      </c>
      <c r="CY8" s="256"/>
      <c r="CZ8" s="256"/>
      <c r="DA8" s="256"/>
      <c r="DB8" s="256"/>
      <c r="DC8" s="256"/>
      <c r="DD8" s="257">
        <f t="shared" ref="DD8:DJ8" si="9">IFERROR(HO8," ")</f>
        <v>83.333333333333329</v>
      </c>
      <c r="DE8" s="257">
        <f t="shared" si="9"/>
        <v>80</v>
      </c>
      <c r="DF8" s="257">
        <f t="shared" si="9"/>
        <v>86.666666666666671</v>
      </c>
      <c r="DG8" s="257" t="str">
        <f t="shared" si="9"/>
        <v/>
      </c>
      <c r="DH8" s="257" t="str">
        <f t="shared" si="9"/>
        <v/>
      </c>
      <c r="DI8" s="257" t="str">
        <f t="shared" si="9"/>
        <v/>
      </c>
      <c r="DJ8" s="257" t="str">
        <f t="shared" si="9"/>
        <v/>
      </c>
      <c r="DK8" s="756">
        <f>IFERROR(HZ8," ")</f>
        <v>83</v>
      </c>
      <c r="DL8" s="291" t="str">
        <f>IF(DK8&gt;100,"  ",IF(DK8&gt;=DQ$1,"A",IF(DK8&gt;=DQ$2,"B",IF(DK8&gt;=DQ$3,"C",IF(DK8&gt;=1,"D","")))))</f>
        <v>B</v>
      </c>
      <c r="DM8" s="243" t="str">
        <f>IFERROR(JG8," ")</f>
        <v>Ananda Afif baik dalam mempraktikkan pola lantai pada gerak tari kreasi dearah, cukup dalam menyanyikan lagu-lagu dalam berbagai tangga nada dengan iringan musik.</v>
      </c>
      <c r="DN8" s="39"/>
      <c r="DO8" s="39"/>
      <c r="DP8" s="257">
        <f t="shared" ref="DP8:DV8" si="10">IFERROR(MAX(C8,X8,AS8,BN8,CI8)," ")</f>
        <v>80</v>
      </c>
      <c r="DQ8" s="257">
        <f t="shared" si="10"/>
        <v>85</v>
      </c>
      <c r="DR8" s="257">
        <f t="shared" si="10"/>
        <v>90</v>
      </c>
      <c r="DS8" s="257">
        <f t="shared" si="10"/>
        <v>0</v>
      </c>
      <c r="DT8" s="257">
        <f t="shared" si="10"/>
        <v>0</v>
      </c>
      <c r="DU8" s="257">
        <f t="shared" si="10"/>
        <v>0</v>
      </c>
      <c r="DV8" s="257">
        <f t="shared" si="10"/>
        <v>0</v>
      </c>
      <c r="DW8" s="257"/>
      <c r="DX8" s="257"/>
      <c r="DY8" s="257"/>
      <c r="DZ8" s="257"/>
      <c r="EA8" s="232">
        <f>MAX(DP8:DZ8)</f>
        <v>90</v>
      </c>
      <c r="EB8" s="257">
        <f t="shared" ref="EB8:EH8" si="11">IFERROR(MAX(J8,AE8,AZ8,BU8,CP8)," ")</f>
        <v>90</v>
      </c>
      <c r="EC8" s="257">
        <f t="shared" si="11"/>
        <v>75</v>
      </c>
      <c r="ED8" s="257">
        <f t="shared" si="11"/>
        <v>90</v>
      </c>
      <c r="EE8" s="257">
        <f t="shared" si="11"/>
        <v>0</v>
      </c>
      <c r="EF8" s="257">
        <f t="shared" si="11"/>
        <v>0</v>
      </c>
      <c r="EG8" s="257">
        <f t="shared" si="11"/>
        <v>0</v>
      </c>
      <c r="EH8" s="257">
        <f t="shared" si="11"/>
        <v>0</v>
      </c>
      <c r="EI8" s="257"/>
      <c r="EJ8" s="257"/>
      <c r="EK8" s="257"/>
      <c r="EL8" s="257"/>
      <c r="EM8" s="232">
        <f>MAX(EB8:EL8)</f>
        <v>90</v>
      </c>
      <c r="EN8" s="257">
        <f t="shared" ref="EN8:ET8" si="12">IFERROR(MAX(Q8,AL8,BG8,CB8,CW8)," ")</f>
        <v>80</v>
      </c>
      <c r="EO8" s="257">
        <f t="shared" si="12"/>
        <v>80</v>
      </c>
      <c r="EP8" s="257">
        <f t="shared" si="12"/>
        <v>80</v>
      </c>
      <c r="EQ8" s="257">
        <f t="shared" si="12"/>
        <v>0</v>
      </c>
      <c r="ER8" s="257">
        <f t="shared" si="12"/>
        <v>0</v>
      </c>
      <c r="ES8" s="257">
        <f t="shared" si="12"/>
        <v>0</v>
      </c>
      <c r="ET8" s="257">
        <f t="shared" si="12"/>
        <v>0</v>
      </c>
      <c r="EU8" s="257"/>
      <c r="EV8" s="257"/>
      <c r="EW8" s="257"/>
      <c r="EX8" s="257"/>
      <c r="EY8" s="232">
        <f>MAX(EN8:EX8)</f>
        <v>80</v>
      </c>
      <c r="EZ8" s="257">
        <f>DP8</f>
        <v>80</v>
      </c>
      <c r="FA8" s="257">
        <f>EB8</f>
        <v>90</v>
      </c>
      <c r="FB8" s="257">
        <f>EN8</f>
        <v>80</v>
      </c>
      <c r="FC8" s="575">
        <f>COUNTIF(EZ8:FB8,)</f>
        <v>0</v>
      </c>
      <c r="FD8" s="506">
        <f>3-FC8</f>
        <v>3</v>
      </c>
      <c r="FE8" s="39">
        <f>IFERROR(SUM(EZ8:FB8)/FD8,"")</f>
        <v>83.333333333333329</v>
      </c>
      <c r="FF8" s="257">
        <f>DQ8</f>
        <v>85</v>
      </c>
      <c r="FG8" s="257">
        <f>EC8</f>
        <v>75</v>
      </c>
      <c r="FH8" s="257">
        <f>EO8</f>
        <v>80</v>
      </c>
      <c r="FI8" s="575">
        <f>COUNTIF(FF8:FH8,)</f>
        <v>0</v>
      </c>
      <c r="FJ8" s="506">
        <f>3-FI8</f>
        <v>3</v>
      </c>
      <c r="FK8" s="39">
        <f>IFERROR(SUM(FF8:FH8)/FJ8,"")</f>
        <v>80</v>
      </c>
      <c r="FL8" s="257">
        <f>DR8</f>
        <v>90</v>
      </c>
      <c r="FM8" s="257">
        <f>ED8</f>
        <v>90</v>
      </c>
      <c r="FN8" s="257">
        <f>EP8</f>
        <v>80</v>
      </c>
      <c r="FO8" s="575">
        <f>COUNTIF(FL8:FN8,)</f>
        <v>0</v>
      </c>
      <c r="FP8" s="506">
        <f>3-FO8</f>
        <v>3</v>
      </c>
      <c r="FQ8" s="39">
        <f>IFERROR(SUM(FL8:FN8)/FP8,"")</f>
        <v>86.666666666666671</v>
      </c>
      <c r="FR8" s="257">
        <f>DS8</f>
        <v>0</v>
      </c>
      <c r="FS8" s="257">
        <f>EE8</f>
        <v>0</v>
      </c>
      <c r="FT8" s="257">
        <f>EQ8</f>
        <v>0</v>
      </c>
      <c r="FU8" s="575">
        <f>COUNTIF(FR8:FT8,)</f>
        <v>3</v>
      </c>
      <c r="FV8" s="506">
        <f>3-FU8</f>
        <v>0</v>
      </c>
      <c r="FW8" s="39" t="str">
        <f>IFERROR(SUM(FR8:FT8)/FV8,"")</f>
        <v/>
      </c>
      <c r="FX8" s="257">
        <f>DT8</f>
        <v>0</v>
      </c>
      <c r="FY8" s="257">
        <f>EF8</f>
        <v>0</v>
      </c>
      <c r="FZ8" s="257">
        <f>ER8</f>
        <v>0</v>
      </c>
      <c r="GA8" s="575">
        <f>COUNTIF(FX8:FZ8,)</f>
        <v>3</v>
      </c>
      <c r="GB8" s="506">
        <f>3-GA8</f>
        <v>0</v>
      </c>
      <c r="GC8" s="39" t="str">
        <f>IFERROR(SUM(FX8:FZ8)/GB8,"")</f>
        <v/>
      </c>
      <c r="GD8" s="257">
        <f>DU8</f>
        <v>0</v>
      </c>
      <c r="GE8" s="257">
        <f>EG8</f>
        <v>0</v>
      </c>
      <c r="GF8" s="257">
        <f>ES8</f>
        <v>0</v>
      </c>
      <c r="GG8" s="575">
        <f>COUNTIF(GD8:GF8,)</f>
        <v>3</v>
      </c>
      <c r="GH8" s="506">
        <f>3-GG8</f>
        <v>0</v>
      </c>
      <c r="GI8" s="39" t="str">
        <f>IFERROR(SUM(GD8:GF8)/GH8,"")</f>
        <v/>
      </c>
      <c r="GJ8" s="257">
        <f>DV8</f>
        <v>0</v>
      </c>
      <c r="GK8" s="257">
        <f>EH8</f>
        <v>0</v>
      </c>
      <c r="GL8" s="257">
        <f>ET8</f>
        <v>0</v>
      </c>
      <c r="GM8" s="575">
        <f>COUNTIF(GJ8:GL8,)</f>
        <v>3</v>
      </c>
      <c r="GN8" s="506">
        <f>3-GM8</f>
        <v>0</v>
      </c>
      <c r="GO8" s="39" t="str">
        <f>IFERROR(SUM(GJ8:GL8)/GN8,"")</f>
        <v/>
      </c>
      <c r="GP8" s="257">
        <f>DW8</f>
        <v>0</v>
      </c>
      <c r="GQ8" s="257">
        <f>EI8</f>
        <v>0</v>
      </c>
      <c r="GR8" s="257">
        <f>EU8</f>
        <v>0</v>
      </c>
      <c r="GS8" s="575">
        <f>COUNTIF(GP8:GR8,)</f>
        <v>3</v>
      </c>
      <c r="GT8" s="506">
        <f>3-GS8</f>
        <v>0</v>
      </c>
      <c r="GU8" s="39" t="str">
        <f>IFERROR(SUM(GP8:GR8)/GT8,"")</f>
        <v/>
      </c>
      <c r="GV8" s="257">
        <f>DX8</f>
        <v>0</v>
      </c>
      <c r="GW8" s="257">
        <f>EJ8</f>
        <v>0</v>
      </c>
      <c r="GX8" s="257">
        <f>EV8</f>
        <v>0</v>
      </c>
      <c r="GY8" s="575">
        <f>COUNTIF(GV8:GX8,)</f>
        <v>3</v>
      </c>
      <c r="GZ8" s="506">
        <f>3-GY8</f>
        <v>0</v>
      </c>
      <c r="HA8" s="39" t="str">
        <f>IFERROR(SUM(GV8:GX8)/GZ8,"")</f>
        <v/>
      </c>
      <c r="HB8" s="257">
        <f>DY8</f>
        <v>0</v>
      </c>
      <c r="HC8" s="257">
        <f>EK8</f>
        <v>0</v>
      </c>
      <c r="HD8" s="257">
        <f>EW8</f>
        <v>0</v>
      </c>
      <c r="HE8" s="575">
        <f>COUNTIF(HB8:HD8,)</f>
        <v>3</v>
      </c>
      <c r="HF8" s="506">
        <f>3-HE8</f>
        <v>0</v>
      </c>
      <c r="HG8" s="39" t="str">
        <f>IFERROR(SUM(HB8:HD8)/HF8,"")</f>
        <v/>
      </c>
      <c r="HH8" s="257">
        <f>DZ8</f>
        <v>0</v>
      </c>
      <c r="HI8" s="257">
        <f>EL8</f>
        <v>0</v>
      </c>
      <c r="HJ8" s="257">
        <f>EX8</f>
        <v>0</v>
      </c>
      <c r="HK8" s="575">
        <f>COUNTIF(HH8:HJ8,)</f>
        <v>3</v>
      </c>
      <c r="HL8" s="506">
        <f>3-HK8</f>
        <v>0</v>
      </c>
      <c r="HM8" s="39" t="str">
        <f>IFERROR(SUM(HH8:HJ8)/HL8,"")</f>
        <v/>
      </c>
      <c r="HN8" s="39"/>
      <c r="HO8" s="39">
        <f>FE8</f>
        <v>83.333333333333329</v>
      </c>
      <c r="HP8" s="39">
        <f>FK8</f>
        <v>80</v>
      </c>
      <c r="HQ8" s="39">
        <f>FQ8</f>
        <v>86.666666666666671</v>
      </c>
      <c r="HR8" s="39" t="str">
        <f>FW8</f>
        <v/>
      </c>
      <c r="HS8" s="39" t="str">
        <f>GC8</f>
        <v/>
      </c>
      <c r="HT8" s="39" t="str">
        <f>GI8</f>
        <v/>
      </c>
      <c r="HU8" s="39" t="str">
        <f>GO8</f>
        <v/>
      </c>
      <c r="HV8" s="39"/>
      <c r="HW8" s="39"/>
      <c r="HX8" s="39"/>
      <c r="HY8" s="39"/>
      <c r="HZ8" s="39">
        <f>IFERROR(ROUND(AVERAGE(HO8:HU8),0),"")</f>
        <v>83</v>
      </c>
      <c r="IA8" s="68">
        <f>MAX(HO8:HU8)</f>
        <v>86.666666666666671</v>
      </c>
      <c r="IB8" s="68">
        <f>MIN(HO8:HU8)</f>
        <v>80</v>
      </c>
      <c r="IC8" s="39" t="str">
        <f>SISWA!E6</f>
        <v>Afif</v>
      </c>
      <c r="ID8" s="39" t="str">
        <f>IF(IP8&gt;1,"Ananda "&amp;IC8&amp;" ","")</f>
        <v xml:space="preserve">Ananda Afif </v>
      </c>
      <c r="IE8" s="207" t="str">
        <f>IF(HO8=$IA8,$IA8,"")</f>
        <v/>
      </c>
      <c r="IF8" s="207" t="str">
        <f t="shared" ref="IF8:IK8" si="13">IF(HP8=$IA8,$IA8,"")</f>
        <v/>
      </c>
      <c r="IG8" s="207">
        <f t="shared" si="13"/>
        <v>86.666666666666671</v>
      </c>
      <c r="IH8" s="207" t="str">
        <f t="shared" si="13"/>
        <v/>
      </c>
      <c r="II8" s="207" t="str">
        <f t="shared" si="13"/>
        <v/>
      </c>
      <c r="IJ8" s="207" t="str">
        <f t="shared" si="13"/>
        <v/>
      </c>
      <c r="IK8" s="207" t="str">
        <f t="shared" si="13"/>
        <v/>
      </c>
      <c r="IL8" s="207"/>
      <c r="IM8" s="207"/>
      <c r="IN8" s="207"/>
      <c r="IO8" s="207"/>
      <c r="IP8" s="39">
        <f>SUM(IE8:IK8)</f>
        <v>86.666666666666671</v>
      </c>
      <c r="IQ8" s="68" t="str">
        <f>LOOKUP(IA8,(IE8:IO8),($IE$6:$IO$6))</f>
        <v>mempraktikkan pola lantai pada gerak tari kreasi dearah</v>
      </c>
      <c r="IR8" s="576" t="str">
        <f>IF(IA8&gt;100,"",IF(IA8&gt;DQ$1,"sangat baik dalam "&amp;IQ8,IF(IA8&gt;=DQ$2,"baik dalam "&amp;IQ8,IF(IA8&gt;=DQ$3,"cukup dalam "&amp;IQ8,IF(IA8&lt;DQ$3,"dengan bimbingan dapat meningkatkan dalam "&amp;IQ8,IF(IA8&lt;1," ",””))))))</f>
        <v>baik dalam mempraktikkan pola lantai pada gerak tari kreasi dearah</v>
      </c>
      <c r="IS8" s="223"/>
      <c r="IT8" s="223" t="str">
        <f>IF(HO8=$IB8,$IB8,"")</f>
        <v/>
      </c>
      <c r="IU8" s="223">
        <f t="shared" ref="IU8:IZ8" si="14">IF(HP8=$IB8,$IB8,"")</f>
        <v>80</v>
      </c>
      <c r="IV8" s="223" t="str">
        <f t="shared" si="14"/>
        <v/>
      </c>
      <c r="IW8" s="223" t="str">
        <f t="shared" si="14"/>
        <v/>
      </c>
      <c r="IX8" s="223" t="str">
        <f t="shared" si="14"/>
        <v/>
      </c>
      <c r="IY8" s="223" t="str">
        <f t="shared" si="14"/>
        <v/>
      </c>
      <c r="IZ8" s="223" t="str">
        <f t="shared" si="14"/>
        <v/>
      </c>
      <c r="JA8" s="223"/>
      <c r="JB8" s="223"/>
      <c r="JC8" s="223"/>
      <c r="JD8" s="223"/>
      <c r="JE8" s="223" t="str">
        <f>LOOKUP(IB8,(IT8:JD8),($IT$6:$JD$6))</f>
        <v>menyanyikan lagu-lagu dalam berbagai tangga nada dengan iringan musik</v>
      </c>
      <c r="JF8" s="577" t="str">
        <f>IF(IB8&gt;100,"",IF(IB8&gt;=DQ$1,"sangat baik dalam "&amp;JE8,IF(IB8&gt;=DQ$2,"baik dalam "&amp;JE8,IF(IB8&gt;=DQ$3,"cukup dalam "&amp;JE8,IF(IB8&lt;DQ$3,"dengan bimbingan dapat meningkatkan dalam "&amp;JE8,IF(IB8&lt;1," ",””))))))</f>
        <v>cukup dalam menyanyikan lagu-lagu dalam berbagai tangga nada dengan iringan musik</v>
      </c>
      <c r="JG8" s="223" t="str">
        <f>CONCATENATE(ID8&amp;IR8&amp;", "&amp;JF8&amp;".")</f>
        <v>Ananda Afif baik dalam mempraktikkan pola lantai pada gerak tari kreasi dearah, cukup dalam menyanyikan lagu-lagu dalam berbagai tangga nada dengan iringan musik.</v>
      </c>
    </row>
    <row r="9" spans="1:267" ht="30" customHeight="1">
      <c r="A9" s="39">
        <v>2</v>
      </c>
      <c r="B9" s="223" t="str">
        <f>SISWA!B7</f>
        <v>Ahmad Faiq Athaya</v>
      </c>
      <c r="C9" s="123">
        <v>80</v>
      </c>
      <c r="D9" s="123"/>
      <c r="E9" s="123"/>
      <c r="F9" s="123"/>
      <c r="G9" s="123"/>
      <c r="H9" s="123"/>
      <c r="I9" s="123"/>
      <c r="J9" s="255">
        <v>80</v>
      </c>
      <c r="K9" s="255"/>
      <c r="L9" s="255"/>
      <c r="M9" s="255"/>
      <c r="N9" s="255"/>
      <c r="O9" s="255"/>
      <c r="P9" s="255"/>
      <c r="Q9" s="256">
        <v>80</v>
      </c>
      <c r="R9" s="256"/>
      <c r="S9" s="256"/>
      <c r="T9" s="256"/>
      <c r="U9" s="256"/>
      <c r="V9" s="256"/>
      <c r="W9" s="256"/>
      <c r="X9" s="123"/>
      <c r="Y9" s="123"/>
      <c r="Z9" s="123">
        <v>90</v>
      </c>
      <c r="AA9" s="123"/>
      <c r="AB9" s="123"/>
      <c r="AC9" s="123"/>
      <c r="AD9" s="123"/>
      <c r="AE9" s="255"/>
      <c r="AF9" s="255"/>
      <c r="AG9" s="255">
        <v>90</v>
      </c>
      <c r="AH9" s="255"/>
      <c r="AI9" s="255"/>
      <c r="AJ9" s="255"/>
      <c r="AK9" s="255"/>
      <c r="AL9" s="256"/>
      <c r="AM9" s="256"/>
      <c r="AN9" s="256">
        <v>90</v>
      </c>
      <c r="AO9" s="256"/>
      <c r="AP9" s="256"/>
      <c r="AQ9" s="256"/>
      <c r="AR9" s="256"/>
      <c r="AS9" s="123"/>
      <c r="AT9" s="123">
        <v>80</v>
      </c>
      <c r="AU9" s="123"/>
      <c r="AV9" s="123"/>
      <c r="AW9" s="123"/>
      <c r="AX9" s="123"/>
      <c r="AY9" s="123"/>
      <c r="AZ9" s="255"/>
      <c r="BA9" s="255">
        <v>90</v>
      </c>
      <c r="BB9" s="255"/>
      <c r="BC9" s="255"/>
      <c r="BD9" s="255"/>
      <c r="BE9" s="255"/>
      <c r="BF9" s="255"/>
      <c r="BG9" s="256"/>
      <c r="BH9" s="256">
        <v>80</v>
      </c>
      <c r="BI9" s="256"/>
      <c r="BJ9" s="256"/>
      <c r="BK9" s="256"/>
      <c r="BL9" s="256"/>
      <c r="BM9" s="256"/>
      <c r="BN9" s="123"/>
      <c r="BO9" s="123"/>
      <c r="BP9" s="123">
        <v>90</v>
      </c>
      <c r="BQ9" s="123"/>
      <c r="BR9" s="123"/>
      <c r="BS9" s="123"/>
      <c r="BT9" s="123"/>
      <c r="BU9" s="255"/>
      <c r="BV9" s="255"/>
      <c r="BW9" s="255">
        <v>90</v>
      </c>
      <c r="BX9" s="255"/>
      <c r="BY9" s="255"/>
      <c r="BZ9" s="255"/>
      <c r="CA9" s="255"/>
      <c r="CB9" s="256"/>
      <c r="CC9" s="256"/>
      <c r="CD9" s="256">
        <v>90</v>
      </c>
      <c r="CE9" s="256"/>
      <c r="CF9" s="256"/>
      <c r="CG9" s="256"/>
      <c r="CH9" s="256"/>
      <c r="CI9" s="458"/>
      <c r="CJ9" s="458">
        <v>90</v>
      </c>
      <c r="CK9" s="458"/>
      <c r="CL9" s="458"/>
      <c r="CM9" s="458"/>
      <c r="CN9" s="458"/>
      <c r="CO9" s="458"/>
      <c r="CP9" s="459"/>
      <c r="CQ9" s="459">
        <v>90</v>
      </c>
      <c r="CR9" s="459"/>
      <c r="CS9" s="459"/>
      <c r="CT9" s="459"/>
      <c r="CU9" s="459"/>
      <c r="CV9" s="459"/>
      <c r="CW9" s="256"/>
      <c r="CX9" s="256">
        <v>85</v>
      </c>
      <c r="CY9" s="256"/>
      <c r="CZ9" s="256"/>
      <c r="DA9" s="256"/>
      <c r="DB9" s="256"/>
      <c r="DC9" s="256"/>
      <c r="DD9" s="257">
        <f t="shared" ref="DD9:DD42" si="15">IFERROR(HO9," ")</f>
        <v>80</v>
      </c>
      <c r="DE9" s="257">
        <f t="shared" ref="DE9:DE42" si="16">IFERROR(HP9," ")</f>
        <v>88.333333333333329</v>
      </c>
      <c r="DF9" s="257">
        <f t="shared" ref="DF9:DF42" si="17">IFERROR(HQ9," ")</f>
        <v>90</v>
      </c>
      <c r="DG9" s="257" t="str">
        <f t="shared" ref="DG9:DG42" si="18">IFERROR(HR9," ")</f>
        <v/>
      </c>
      <c r="DH9" s="257" t="str">
        <f t="shared" ref="DH9:DH42" si="19">IFERROR(HS9," ")</f>
        <v/>
      </c>
      <c r="DI9" s="257" t="str">
        <f t="shared" ref="DI9:DI42" si="20">IFERROR(HT9," ")</f>
        <v/>
      </c>
      <c r="DJ9" s="257" t="str">
        <f t="shared" ref="DJ9:DJ42" si="21">IFERROR(HU9," ")</f>
        <v/>
      </c>
      <c r="DK9" s="756">
        <f t="shared" ref="DK9:DK42" si="22">IFERROR(HZ9," ")</f>
        <v>86</v>
      </c>
      <c r="DL9" s="291" t="str">
        <f t="shared" ref="DL9:DL42" si="23">IF(DK9&gt;100,"  ",IF(DK9&gt;=DQ$1,"A",IF(DK9&gt;=DQ$2,"B",IF(DK9&gt;=DQ$3,"C",IF(DK9&gt;=1,"D","")))))</f>
        <v>B</v>
      </c>
      <c r="DM9" s="243" t="str">
        <f t="shared" ref="DM9:DM42" si="24">IFERROR(JG9," ")</f>
        <v>Ananda Athaya baik dalam mempraktikkan pola lantai pada gerak tari kreasi dearah, cukup dalam membuat gambar cerita.</v>
      </c>
      <c r="DN9" s="39"/>
      <c r="DO9" s="39"/>
      <c r="DP9" s="257">
        <f t="shared" ref="DP9:DP42" si="25">IFERROR(MAX(C9,X9,AS9,BN9,CI9)," ")</f>
        <v>80</v>
      </c>
      <c r="DQ9" s="257">
        <f t="shared" ref="DQ9:DQ42" si="26">IFERROR(MAX(D9,Y9,AT9,BO9,CJ9)," ")</f>
        <v>90</v>
      </c>
      <c r="DR9" s="257">
        <f t="shared" ref="DR9:DR42" si="27">IFERROR(MAX(E9,Z9,AU9,BP9,CK9)," ")</f>
        <v>90</v>
      </c>
      <c r="DS9" s="257">
        <f t="shared" ref="DS9:DS42" si="28">IFERROR(MAX(F9,AA9,AV9,BQ9,CL9)," ")</f>
        <v>0</v>
      </c>
      <c r="DT9" s="257">
        <f t="shared" ref="DT9:DT42" si="29">IFERROR(MAX(G9,AB9,AW9,BR9,CM9)," ")</f>
        <v>0</v>
      </c>
      <c r="DU9" s="257">
        <f t="shared" ref="DU9:DU42" si="30">IFERROR(MAX(H9,AC9,AX9,BS9,CN9)," ")</f>
        <v>0</v>
      </c>
      <c r="DV9" s="257">
        <f t="shared" ref="DV9:DV42" si="31">IFERROR(MAX(I9,AD9,AY9,BT9,CO9)," ")</f>
        <v>0</v>
      </c>
      <c r="DW9" s="257"/>
      <c r="DX9" s="257"/>
      <c r="DY9" s="257"/>
      <c r="DZ9" s="257"/>
      <c r="EA9" s="232">
        <f t="shared" ref="EA9:EA42" si="32">MAX(DP9:DZ9)</f>
        <v>90</v>
      </c>
      <c r="EB9" s="257">
        <f t="shared" ref="EB9:EB42" si="33">IFERROR(MAX(J9,AE9,AZ9,BU9,CP9)," ")</f>
        <v>80</v>
      </c>
      <c r="EC9" s="257">
        <f t="shared" ref="EC9:EC42" si="34">IFERROR(MAX(K9,AF9,BA9,BV9,CQ9)," ")</f>
        <v>90</v>
      </c>
      <c r="ED9" s="257">
        <f t="shared" ref="ED9:ED42" si="35">IFERROR(MAX(L9,AG9,BB9,BW9,CR9)," ")</f>
        <v>90</v>
      </c>
      <c r="EE9" s="257">
        <f t="shared" ref="EE9:EE42" si="36">IFERROR(MAX(M9,AH9,BC9,BX9,CS9)," ")</f>
        <v>0</v>
      </c>
      <c r="EF9" s="257">
        <f t="shared" ref="EF9:EF42" si="37">IFERROR(MAX(N9,AI9,BD9,BY9,CT9)," ")</f>
        <v>0</v>
      </c>
      <c r="EG9" s="257">
        <f t="shared" ref="EG9:EG42" si="38">IFERROR(MAX(O9,AJ9,BE9,BZ9,CU9)," ")</f>
        <v>0</v>
      </c>
      <c r="EH9" s="257">
        <f t="shared" ref="EH9:EH42" si="39">IFERROR(MAX(P9,AK9,BF9,CA9,CV9)," ")</f>
        <v>0</v>
      </c>
      <c r="EI9" s="257"/>
      <c r="EJ9" s="257"/>
      <c r="EK9" s="257"/>
      <c r="EL9" s="257"/>
      <c r="EM9" s="232">
        <f t="shared" ref="EM9:EM42" si="40">MAX(EB9:EL9)</f>
        <v>90</v>
      </c>
      <c r="EN9" s="257">
        <f t="shared" ref="EN9:EN42" si="41">IFERROR(MAX(Q9,AL9,BG9,CB9,CW9)," ")</f>
        <v>80</v>
      </c>
      <c r="EO9" s="257">
        <f t="shared" ref="EO9:EO42" si="42">IFERROR(MAX(R9,AM9,BH9,CC9,CX9)," ")</f>
        <v>85</v>
      </c>
      <c r="EP9" s="257">
        <f t="shared" ref="EP9:EP42" si="43">IFERROR(MAX(S9,AN9,BI9,CD9,CY9)," ")</f>
        <v>90</v>
      </c>
      <c r="EQ9" s="257">
        <f t="shared" ref="EQ9:EQ42" si="44">IFERROR(MAX(T9,AO9,BJ9,CE9,CZ9)," ")</f>
        <v>0</v>
      </c>
      <c r="ER9" s="257">
        <f t="shared" ref="ER9:ER42" si="45">IFERROR(MAX(U9,AP9,BK9,CF9,DA9)," ")</f>
        <v>0</v>
      </c>
      <c r="ES9" s="257">
        <f t="shared" ref="ES9:ES42" si="46">IFERROR(MAX(V9,AQ9,BL9,CG9,DB9)," ")</f>
        <v>0</v>
      </c>
      <c r="ET9" s="257">
        <f t="shared" ref="ET9:ET42" si="47">IFERROR(MAX(W9,AR9,BM9,CH9,DC9)," ")</f>
        <v>0</v>
      </c>
      <c r="EU9" s="257"/>
      <c r="EV9" s="257"/>
      <c r="EW9" s="257"/>
      <c r="EX9" s="257"/>
      <c r="EY9" s="232">
        <f t="shared" ref="EY9:EY42" si="48">MAX(EN9:EX9)</f>
        <v>90</v>
      </c>
      <c r="EZ9" s="257">
        <f t="shared" ref="EZ9:EZ42" si="49">DP9</f>
        <v>80</v>
      </c>
      <c r="FA9" s="257">
        <f t="shared" ref="FA9:FA42" si="50">EB9</f>
        <v>80</v>
      </c>
      <c r="FB9" s="257">
        <f t="shared" ref="FB9:FB42" si="51">EN9</f>
        <v>80</v>
      </c>
      <c r="FC9" s="575">
        <f t="shared" ref="FC9:FC42" si="52">COUNTIF(EZ9:FB9,)</f>
        <v>0</v>
      </c>
      <c r="FD9" s="506">
        <f t="shared" ref="FD9:FD42" si="53">3-FC9</f>
        <v>3</v>
      </c>
      <c r="FE9" s="39">
        <f t="shared" ref="FE9:FE42" si="54">IFERROR(SUM(EZ9:FB9)/FD9,"")</f>
        <v>80</v>
      </c>
      <c r="FF9" s="257">
        <f t="shared" ref="FF9:FF42" si="55">DQ9</f>
        <v>90</v>
      </c>
      <c r="FG9" s="257">
        <f t="shared" ref="FG9:FG42" si="56">EC9</f>
        <v>90</v>
      </c>
      <c r="FH9" s="257">
        <f t="shared" ref="FH9:FH42" si="57">EO9</f>
        <v>85</v>
      </c>
      <c r="FI9" s="575">
        <f t="shared" ref="FI9:FI42" si="58">COUNTIF(FF9:FH9,)</f>
        <v>0</v>
      </c>
      <c r="FJ9" s="506">
        <f t="shared" ref="FJ9:FJ42" si="59">3-FI9</f>
        <v>3</v>
      </c>
      <c r="FK9" s="39">
        <f t="shared" ref="FK9:FK42" si="60">IFERROR(SUM(FF9:FH9)/FJ9,"")</f>
        <v>88.333333333333329</v>
      </c>
      <c r="FL9" s="257">
        <f t="shared" ref="FL9:FL42" si="61">DR9</f>
        <v>90</v>
      </c>
      <c r="FM9" s="257">
        <f t="shared" ref="FM9:FM42" si="62">ED9</f>
        <v>90</v>
      </c>
      <c r="FN9" s="257">
        <f t="shared" ref="FN9:FN42" si="63">EP9</f>
        <v>90</v>
      </c>
      <c r="FO9" s="575">
        <f t="shared" ref="FO9:FO42" si="64">COUNTIF(FL9:FN9,)</f>
        <v>0</v>
      </c>
      <c r="FP9" s="506">
        <f t="shared" ref="FP9:FP42" si="65">3-FO9</f>
        <v>3</v>
      </c>
      <c r="FQ9" s="39">
        <f t="shared" ref="FQ9:FQ42" si="66">IFERROR(SUM(FL9:FN9)/FP9,"")</f>
        <v>90</v>
      </c>
      <c r="FR9" s="257">
        <f t="shared" ref="FR9:FR42" si="67">DS9</f>
        <v>0</v>
      </c>
      <c r="FS9" s="257">
        <f t="shared" ref="FS9:FS42" si="68">EE9</f>
        <v>0</v>
      </c>
      <c r="FT9" s="257">
        <f t="shared" ref="FT9:FT42" si="69">EQ9</f>
        <v>0</v>
      </c>
      <c r="FU9" s="575">
        <f t="shared" ref="FU9:FU42" si="70">COUNTIF(FR9:FT9,)</f>
        <v>3</v>
      </c>
      <c r="FV9" s="506">
        <f t="shared" ref="FV9:FV42" si="71">3-FU9</f>
        <v>0</v>
      </c>
      <c r="FW9" s="39" t="str">
        <f t="shared" ref="FW9:FW42" si="72">IFERROR(SUM(FR9:FT9)/FV9,"")</f>
        <v/>
      </c>
      <c r="FX9" s="257">
        <f t="shared" ref="FX9:FX42" si="73">DT9</f>
        <v>0</v>
      </c>
      <c r="FY9" s="257">
        <f t="shared" ref="FY9:FY42" si="74">EF9</f>
        <v>0</v>
      </c>
      <c r="FZ9" s="257">
        <f t="shared" ref="FZ9:FZ42" si="75">ER9</f>
        <v>0</v>
      </c>
      <c r="GA9" s="575">
        <f t="shared" ref="GA9:GA42" si="76">COUNTIF(FX9:FZ9,)</f>
        <v>3</v>
      </c>
      <c r="GB9" s="506">
        <f t="shared" ref="GB9:GB42" si="77">3-GA9</f>
        <v>0</v>
      </c>
      <c r="GC9" s="39" t="str">
        <f t="shared" ref="GC9:GC42" si="78">IFERROR(SUM(FX9:FZ9)/GB9,"")</f>
        <v/>
      </c>
      <c r="GD9" s="257">
        <f t="shared" ref="GD9:GD42" si="79">DU9</f>
        <v>0</v>
      </c>
      <c r="GE9" s="257">
        <f t="shared" ref="GE9:GE42" si="80">EG9</f>
        <v>0</v>
      </c>
      <c r="GF9" s="257">
        <f t="shared" ref="GF9:GF42" si="81">ES9</f>
        <v>0</v>
      </c>
      <c r="GG9" s="575">
        <f t="shared" ref="GG9:GG42" si="82">COUNTIF(GD9:GF9,)</f>
        <v>3</v>
      </c>
      <c r="GH9" s="506">
        <f t="shared" ref="GH9:GH42" si="83">3-GG9</f>
        <v>0</v>
      </c>
      <c r="GI9" s="39" t="str">
        <f t="shared" ref="GI9:GI42" si="84">IFERROR(SUM(GD9:GF9)/GH9,"")</f>
        <v/>
      </c>
      <c r="GJ9" s="257">
        <f t="shared" ref="GJ9:GJ42" si="85">DV9</f>
        <v>0</v>
      </c>
      <c r="GK9" s="257">
        <f t="shared" ref="GK9:GK42" si="86">EH9</f>
        <v>0</v>
      </c>
      <c r="GL9" s="257">
        <f t="shared" ref="GL9:GL42" si="87">ET9</f>
        <v>0</v>
      </c>
      <c r="GM9" s="575">
        <f t="shared" ref="GM9:GM42" si="88">COUNTIF(GJ9:GL9,)</f>
        <v>3</v>
      </c>
      <c r="GN9" s="506">
        <f t="shared" ref="GN9:GN42" si="89">3-GM9</f>
        <v>0</v>
      </c>
      <c r="GO9" s="39" t="str">
        <f t="shared" ref="GO9:GO42" si="90">IFERROR(SUM(GJ9:GL9)/GN9,"")</f>
        <v/>
      </c>
      <c r="GP9" s="257">
        <f t="shared" ref="GP9:GP42" si="91">DW9</f>
        <v>0</v>
      </c>
      <c r="GQ9" s="257">
        <f t="shared" ref="GQ9:GQ42" si="92">EI9</f>
        <v>0</v>
      </c>
      <c r="GR9" s="257">
        <f t="shared" ref="GR9:GR42" si="93">EU9</f>
        <v>0</v>
      </c>
      <c r="GS9" s="575">
        <f t="shared" ref="GS9:GS42" si="94">COUNTIF(GP9:GR9,)</f>
        <v>3</v>
      </c>
      <c r="GT9" s="506">
        <f t="shared" ref="GT9:GT42" si="95">3-GS9</f>
        <v>0</v>
      </c>
      <c r="GU9" s="39" t="str">
        <f t="shared" ref="GU9:GU42" si="96">IFERROR(SUM(GP9:GR9)/GT9,"")</f>
        <v/>
      </c>
      <c r="GV9" s="257">
        <f t="shared" ref="GV9:GV42" si="97">DX9</f>
        <v>0</v>
      </c>
      <c r="GW9" s="257">
        <f t="shared" ref="GW9:GW42" si="98">EJ9</f>
        <v>0</v>
      </c>
      <c r="GX9" s="257">
        <f t="shared" ref="GX9:GX42" si="99">EV9</f>
        <v>0</v>
      </c>
      <c r="GY9" s="575">
        <f t="shared" ref="GY9:GY42" si="100">COUNTIF(GV9:GX9,)</f>
        <v>3</v>
      </c>
      <c r="GZ9" s="506">
        <f t="shared" ref="GZ9:GZ42" si="101">3-GY9</f>
        <v>0</v>
      </c>
      <c r="HA9" s="39" t="str">
        <f t="shared" ref="HA9:HA42" si="102">IFERROR(SUM(GV9:GX9)/GZ9,"")</f>
        <v/>
      </c>
      <c r="HB9" s="257">
        <f t="shared" ref="HB9:HB42" si="103">DY9</f>
        <v>0</v>
      </c>
      <c r="HC9" s="257">
        <f t="shared" ref="HC9:HC42" si="104">EK9</f>
        <v>0</v>
      </c>
      <c r="HD9" s="257">
        <f t="shared" ref="HD9:HD42" si="105">EW9</f>
        <v>0</v>
      </c>
      <c r="HE9" s="575">
        <f t="shared" ref="HE9:HE42" si="106">COUNTIF(HB9:HD9,)</f>
        <v>3</v>
      </c>
      <c r="HF9" s="506">
        <f t="shared" ref="HF9:HF42" si="107">3-HE9</f>
        <v>0</v>
      </c>
      <c r="HG9" s="39" t="str">
        <f t="shared" ref="HG9:HG42" si="108">IFERROR(SUM(HB9:HD9)/HF9,"")</f>
        <v/>
      </c>
      <c r="HH9" s="257">
        <f t="shared" ref="HH9:HH42" si="109">DZ9</f>
        <v>0</v>
      </c>
      <c r="HI9" s="257">
        <f t="shared" ref="HI9:HI42" si="110">EL9</f>
        <v>0</v>
      </c>
      <c r="HJ9" s="257">
        <f t="shared" ref="HJ9:HJ42" si="111">EX9</f>
        <v>0</v>
      </c>
      <c r="HK9" s="575">
        <f t="shared" ref="HK9:HK42" si="112">COUNTIF(HH9:HJ9,)</f>
        <v>3</v>
      </c>
      <c r="HL9" s="506">
        <f t="shared" ref="HL9:HL42" si="113">3-HK9</f>
        <v>0</v>
      </c>
      <c r="HM9" s="39" t="str">
        <f t="shared" ref="HM9:HM42" si="114">IFERROR(SUM(HH9:HJ9)/HL9,"")</f>
        <v/>
      </c>
      <c r="HN9" s="39"/>
      <c r="HO9" s="39">
        <f t="shared" ref="HO9:HO42" si="115">FE9</f>
        <v>80</v>
      </c>
      <c r="HP9" s="39">
        <f t="shared" ref="HP9:HP42" si="116">FK9</f>
        <v>88.333333333333329</v>
      </c>
      <c r="HQ9" s="39">
        <f t="shared" ref="HQ9:HQ42" si="117">FQ9</f>
        <v>90</v>
      </c>
      <c r="HR9" s="39" t="str">
        <f t="shared" ref="HR9:HR42" si="118">FW9</f>
        <v/>
      </c>
      <c r="HS9" s="39" t="str">
        <f t="shared" ref="HS9:HS42" si="119">GC9</f>
        <v/>
      </c>
      <c r="HT9" s="39" t="str">
        <f t="shared" ref="HT9:HT42" si="120">GI9</f>
        <v/>
      </c>
      <c r="HU9" s="39" t="str">
        <f t="shared" ref="HU9:HU42" si="121">GO9</f>
        <v/>
      </c>
      <c r="HV9" s="39"/>
      <c r="HW9" s="39"/>
      <c r="HX9" s="39"/>
      <c r="HY9" s="39"/>
      <c r="HZ9" s="39">
        <f t="shared" ref="HZ9:HZ42" si="122">IFERROR(ROUND(AVERAGE(HO9:HU9),0),"")</f>
        <v>86</v>
      </c>
      <c r="IA9" s="68">
        <f t="shared" ref="IA9:IA42" si="123">MAX(HO9:HU9)</f>
        <v>90</v>
      </c>
      <c r="IB9" s="68">
        <f t="shared" ref="IB9:IB42" si="124">MIN(HO9:HU9)</f>
        <v>80</v>
      </c>
      <c r="IC9" s="39" t="str">
        <f>SISWA!E7</f>
        <v>Athaya</v>
      </c>
      <c r="ID9" s="39" t="str">
        <f t="shared" ref="ID9:ID42" si="125">IF(IP9&gt;1,"Ananda "&amp;IC9&amp;" ","")</f>
        <v xml:space="preserve">Ananda Athaya </v>
      </c>
      <c r="IE9" s="207" t="str">
        <f t="shared" ref="IE9:IE42" si="126">IF(HO9=$IA9,$IA9,"")</f>
        <v/>
      </c>
      <c r="IF9" s="207" t="str">
        <f t="shared" ref="IF9:IF42" si="127">IF(HP9=$IA9,$IA9,"")</f>
        <v/>
      </c>
      <c r="IG9" s="207">
        <f t="shared" ref="IG9:IG42" si="128">IF(HQ9=$IA9,$IA9,"")</f>
        <v>90</v>
      </c>
      <c r="IH9" s="207" t="str">
        <f t="shared" ref="IH9:IH42" si="129">IF(HR9=$IA9,$IA9,"")</f>
        <v/>
      </c>
      <c r="II9" s="207" t="str">
        <f t="shared" ref="II9:II42" si="130">IF(HS9=$IA9,$IA9,"")</f>
        <v/>
      </c>
      <c r="IJ9" s="207" t="str">
        <f t="shared" ref="IJ9:IJ42" si="131">IF(HT9=$IA9,$IA9,"")</f>
        <v/>
      </c>
      <c r="IK9" s="207" t="str">
        <f t="shared" ref="IK9:IK42" si="132">IF(HU9=$IA9,$IA9,"")</f>
        <v/>
      </c>
      <c r="IL9" s="207"/>
      <c r="IM9" s="207"/>
      <c r="IN9" s="207"/>
      <c r="IO9" s="207"/>
      <c r="IP9" s="39">
        <f t="shared" ref="IP9:IP42" si="133">SUM(IE9:IK9)</f>
        <v>90</v>
      </c>
      <c r="IQ9" s="68" t="str">
        <f t="shared" ref="IQ9:IQ42" si="134">LOOKUP(IA9,(IE9:IO9),($IE$6:$IO$6))</f>
        <v>mempraktikkan pola lantai pada gerak tari kreasi dearah</v>
      </c>
      <c r="IR9" s="576" t="str">
        <f>IF(IA9&gt;100,"",IF(IA9&gt;DQ$1,"sangat baik dalam "&amp;IQ9,IF(IA9&gt;=DQ$2,"baik dalam "&amp;IQ9,IF(IA9&gt;=DQ$3,"cukup dalam "&amp;IQ9,IF(IA9&lt;DQ$3,"dengan bimbingan dapat meningkatkan dalam "&amp;IQ9,IF(IA9&lt;1," ",””))))))</f>
        <v>baik dalam mempraktikkan pola lantai pada gerak tari kreasi dearah</v>
      </c>
      <c r="IS9" s="223"/>
      <c r="IT9" s="223">
        <f t="shared" ref="IT9:IT42" si="135">IF(HO9=$IB9,$IB9,"")</f>
        <v>80</v>
      </c>
      <c r="IU9" s="223" t="str">
        <f t="shared" ref="IU9:IU42" si="136">IF(HP9=$IB9,$IB9,"")</f>
        <v/>
      </c>
      <c r="IV9" s="223" t="str">
        <f t="shared" ref="IV9:IV42" si="137">IF(HQ9=$IB9,$IB9,"")</f>
        <v/>
      </c>
      <c r="IW9" s="223" t="str">
        <f t="shared" ref="IW9:IW42" si="138">IF(HR9=$IB9,$IB9,"")</f>
        <v/>
      </c>
      <c r="IX9" s="223" t="str">
        <f t="shared" ref="IX9:IX42" si="139">IF(HS9=$IB9,$IB9,"")</f>
        <v/>
      </c>
      <c r="IY9" s="223" t="str">
        <f t="shared" ref="IY9:IY42" si="140">IF(HT9=$IB9,$IB9,"")</f>
        <v/>
      </c>
      <c r="IZ9" s="223" t="str">
        <f t="shared" ref="IZ9:IZ42" si="141">IF(HU9=$IB9,$IB9,"")</f>
        <v/>
      </c>
      <c r="JA9" s="223"/>
      <c r="JB9" s="223"/>
      <c r="JC9" s="223"/>
      <c r="JD9" s="223"/>
      <c r="JE9" s="223" t="str">
        <f t="shared" ref="JE9:JE42" si="142">LOOKUP(IB9,(IT9:JD9),($IT$6:$JD$6))</f>
        <v>membuat gambar cerita</v>
      </c>
      <c r="JF9" s="577" t="str">
        <f>IF(IB9&gt;100,"",IF(IB9&gt;=DQ$1,"sangat baik dalam "&amp;JE9,IF(IB9&gt;=DQ$2,"baik dalam "&amp;JE9,IF(IB9&gt;=DQ$3,"cukup dalam "&amp;JE9,IF(IB9&lt;DQ$3,"dengan bimbingan dapat meningkatkan dalam "&amp;JE9,IF(IB9&lt;1," ",””))))))</f>
        <v>cukup dalam membuat gambar cerita</v>
      </c>
      <c r="JG9" s="223" t="str">
        <f t="shared" ref="JG9:JG42" si="143">CONCATENATE(ID9&amp;IR9&amp;", "&amp;JF9&amp;".")</f>
        <v>Ananda Athaya baik dalam mempraktikkan pola lantai pada gerak tari kreasi dearah, cukup dalam membuat gambar cerita.</v>
      </c>
    </row>
    <row r="10" spans="1:267" ht="30" customHeight="1">
      <c r="A10" s="39">
        <v>3</v>
      </c>
      <c r="B10" s="223" t="str">
        <f>SISWA!B8</f>
        <v>Amira Zerlinda</v>
      </c>
      <c r="C10" s="123">
        <v>80</v>
      </c>
      <c r="D10" s="123"/>
      <c r="E10" s="123"/>
      <c r="F10" s="123"/>
      <c r="G10" s="123"/>
      <c r="H10" s="123"/>
      <c r="I10" s="123"/>
      <c r="J10" s="255">
        <v>90</v>
      </c>
      <c r="K10" s="255"/>
      <c r="L10" s="255"/>
      <c r="M10" s="255"/>
      <c r="N10" s="255"/>
      <c r="O10" s="255"/>
      <c r="P10" s="255"/>
      <c r="Q10" s="256">
        <v>90</v>
      </c>
      <c r="R10" s="256"/>
      <c r="S10" s="256"/>
      <c r="T10" s="256"/>
      <c r="U10" s="256"/>
      <c r="V10" s="256"/>
      <c r="W10" s="256"/>
      <c r="X10" s="123"/>
      <c r="Y10" s="123"/>
      <c r="Z10" s="123">
        <v>85</v>
      </c>
      <c r="AA10" s="123"/>
      <c r="AB10" s="123"/>
      <c r="AC10" s="123"/>
      <c r="AD10" s="123"/>
      <c r="AE10" s="255"/>
      <c r="AF10" s="255"/>
      <c r="AG10" s="255">
        <v>85</v>
      </c>
      <c r="AH10" s="255"/>
      <c r="AI10" s="255"/>
      <c r="AJ10" s="255"/>
      <c r="AK10" s="255"/>
      <c r="AL10" s="256"/>
      <c r="AM10" s="256"/>
      <c r="AN10" s="256">
        <v>75</v>
      </c>
      <c r="AO10" s="256"/>
      <c r="AP10" s="256"/>
      <c r="AQ10" s="256"/>
      <c r="AR10" s="256"/>
      <c r="AS10" s="123"/>
      <c r="AT10" s="123">
        <v>90</v>
      </c>
      <c r="AU10" s="123"/>
      <c r="AV10" s="123"/>
      <c r="AW10" s="123"/>
      <c r="AX10" s="123"/>
      <c r="AY10" s="123"/>
      <c r="AZ10" s="255"/>
      <c r="BA10" s="255">
        <v>90</v>
      </c>
      <c r="BB10" s="255"/>
      <c r="BC10" s="255"/>
      <c r="BD10" s="255"/>
      <c r="BE10" s="255"/>
      <c r="BF10" s="255"/>
      <c r="BG10" s="256"/>
      <c r="BH10" s="256">
        <v>85</v>
      </c>
      <c r="BI10" s="256"/>
      <c r="BJ10" s="256"/>
      <c r="BK10" s="256"/>
      <c r="BL10" s="256"/>
      <c r="BM10" s="256"/>
      <c r="BN10" s="123"/>
      <c r="BO10" s="123"/>
      <c r="BP10" s="123">
        <v>90</v>
      </c>
      <c r="BQ10" s="123"/>
      <c r="BR10" s="123"/>
      <c r="BS10" s="123"/>
      <c r="BT10" s="123"/>
      <c r="BU10" s="255"/>
      <c r="BV10" s="255"/>
      <c r="BW10" s="255">
        <v>90</v>
      </c>
      <c r="BX10" s="255"/>
      <c r="BY10" s="255"/>
      <c r="BZ10" s="255"/>
      <c r="CA10" s="255"/>
      <c r="CB10" s="256"/>
      <c r="CC10" s="256"/>
      <c r="CD10" s="256">
        <v>90</v>
      </c>
      <c r="CE10" s="256"/>
      <c r="CF10" s="256"/>
      <c r="CG10" s="256"/>
      <c r="CH10" s="256"/>
      <c r="CI10" s="458"/>
      <c r="CJ10" s="458">
        <v>75</v>
      </c>
      <c r="CK10" s="458"/>
      <c r="CL10" s="458"/>
      <c r="CM10" s="458"/>
      <c r="CN10" s="458"/>
      <c r="CO10" s="458"/>
      <c r="CP10" s="459"/>
      <c r="CQ10" s="459">
        <v>75</v>
      </c>
      <c r="CR10" s="459"/>
      <c r="CS10" s="459"/>
      <c r="CT10" s="459"/>
      <c r="CU10" s="459"/>
      <c r="CV10" s="459"/>
      <c r="CW10" s="256"/>
      <c r="CX10" s="256">
        <v>80</v>
      </c>
      <c r="CY10" s="256"/>
      <c r="CZ10" s="256"/>
      <c r="DA10" s="256"/>
      <c r="DB10" s="256"/>
      <c r="DC10" s="256"/>
      <c r="DD10" s="257">
        <f t="shared" si="15"/>
        <v>86.666666666666671</v>
      </c>
      <c r="DE10" s="257">
        <f t="shared" si="16"/>
        <v>88.333333333333329</v>
      </c>
      <c r="DF10" s="257">
        <f t="shared" si="17"/>
        <v>90</v>
      </c>
      <c r="DG10" s="257" t="str">
        <f t="shared" si="18"/>
        <v/>
      </c>
      <c r="DH10" s="257" t="str">
        <f t="shared" si="19"/>
        <v/>
      </c>
      <c r="DI10" s="257" t="str">
        <f t="shared" si="20"/>
        <v/>
      </c>
      <c r="DJ10" s="257" t="str">
        <f t="shared" si="21"/>
        <v/>
      </c>
      <c r="DK10" s="756">
        <f t="shared" si="22"/>
        <v>88</v>
      </c>
      <c r="DL10" s="291" t="str">
        <f t="shared" si="23"/>
        <v>B</v>
      </c>
      <c r="DM10" s="243" t="str">
        <f t="shared" si="24"/>
        <v>Ananda Amira baik dalam mempraktikkan pola lantai pada gerak tari kreasi dearah, baik dalam membuat gambar cerita.</v>
      </c>
      <c r="DN10" s="39"/>
      <c r="DO10" s="39"/>
      <c r="DP10" s="257">
        <f t="shared" si="25"/>
        <v>80</v>
      </c>
      <c r="DQ10" s="257">
        <f t="shared" si="26"/>
        <v>90</v>
      </c>
      <c r="DR10" s="257">
        <f t="shared" si="27"/>
        <v>90</v>
      </c>
      <c r="DS10" s="257">
        <f t="shared" si="28"/>
        <v>0</v>
      </c>
      <c r="DT10" s="257">
        <f t="shared" si="29"/>
        <v>0</v>
      </c>
      <c r="DU10" s="257">
        <f t="shared" si="30"/>
        <v>0</v>
      </c>
      <c r="DV10" s="257">
        <f t="shared" si="31"/>
        <v>0</v>
      </c>
      <c r="DW10" s="257"/>
      <c r="DX10" s="257"/>
      <c r="DY10" s="257"/>
      <c r="DZ10" s="257"/>
      <c r="EA10" s="232">
        <f t="shared" si="32"/>
        <v>90</v>
      </c>
      <c r="EB10" s="257">
        <f t="shared" si="33"/>
        <v>90</v>
      </c>
      <c r="EC10" s="257">
        <f t="shared" si="34"/>
        <v>90</v>
      </c>
      <c r="ED10" s="257">
        <f t="shared" si="35"/>
        <v>90</v>
      </c>
      <c r="EE10" s="257">
        <f t="shared" si="36"/>
        <v>0</v>
      </c>
      <c r="EF10" s="257">
        <f t="shared" si="37"/>
        <v>0</v>
      </c>
      <c r="EG10" s="257">
        <f t="shared" si="38"/>
        <v>0</v>
      </c>
      <c r="EH10" s="257">
        <f t="shared" si="39"/>
        <v>0</v>
      </c>
      <c r="EI10" s="257"/>
      <c r="EJ10" s="257"/>
      <c r="EK10" s="257"/>
      <c r="EL10" s="257"/>
      <c r="EM10" s="232">
        <f t="shared" si="40"/>
        <v>90</v>
      </c>
      <c r="EN10" s="257">
        <f t="shared" si="41"/>
        <v>90</v>
      </c>
      <c r="EO10" s="257">
        <f t="shared" si="42"/>
        <v>85</v>
      </c>
      <c r="EP10" s="257">
        <f t="shared" si="43"/>
        <v>90</v>
      </c>
      <c r="EQ10" s="257">
        <f t="shared" si="44"/>
        <v>0</v>
      </c>
      <c r="ER10" s="257">
        <f t="shared" si="45"/>
        <v>0</v>
      </c>
      <c r="ES10" s="257">
        <f t="shared" si="46"/>
        <v>0</v>
      </c>
      <c r="ET10" s="257">
        <f t="shared" si="47"/>
        <v>0</v>
      </c>
      <c r="EU10" s="257"/>
      <c r="EV10" s="257"/>
      <c r="EW10" s="257"/>
      <c r="EX10" s="257"/>
      <c r="EY10" s="232">
        <f t="shared" si="48"/>
        <v>90</v>
      </c>
      <c r="EZ10" s="257">
        <f t="shared" si="49"/>
        <v>80</v>
      </c>
      <c r="FA10" s="257">
        <f t="shared" si="50"/>
        <v>90</v>
      </c>
      <c r="FB10" s="257">
        <f t="shared" si="51"/>
        <v>90</v>
      </c>
      <c r="FC10" s="575">
        <f t="shared" si="52"/>
        <v>0</v>
      </c>
      <c r="FD10" s="506">
        <f t="shared" si="53"/>
        <v>3</v>
      </c>
      <c r="FE10" s="39">
        <f t="shared" si="54"/>
        <v>86.666666666666671</v>
      </c>
      <c r="FF10" s="257">
        <f t="shared" si="55"/>
        <v>90</v>
      </c>
      <c r="FG10" s="257">
        <f t="shared" si="56"/>
        <v>90</v>
      </c>
      <c r="FH10" s="257">
        <f t="shared" si="57"/>
        <v>85</v>
      </c>
      <c r="FI10" s="575">
        <f t="shared" si="58"/>
        <v>0</v>
      </c>
      <c r="FJ10" s="506">
        <f t="shared" si="59"/>
        <v>3</v>
      </c>
      <c r="FK10" s="39">
        <f t="shared" si="60"/>
        <v>88.333333333333329</v>
      </c>
      <c r="FL10" s="257">
        <f t="shared" si="61"/>
        <v>90</v>
      </c>
      <c r="FM10" s="257">
        <f t="shared" si="62"/>
        <v>90</v>
      </c>
      <c r="FN10" s="257">
        <f t="shared" si="63"/>
        <v>90</v>
      </c>
      <c r="FO10" s="575">
        <f t="shared" si="64"/>
        <v>0</v>
      </c>
      <c r="FP10" s="506">
        <f t="shared" si="65"/>
        <v>3</v>
      </c>
      <c r="FQ10" s="39">
        <f t="shared" si="66"/>
        <v>90</v>
      </c>
      <c r="FR10" s="257">
        <f t="shared" si="67"/>
        <v>0</v>
      </c>
      <c r="FS10" s="257">
        <f t="shared" si="68"/>
        <v>0</v>
      </c>
      <c r="FT10" s="257">
        <f t="shared" si="69"/>
        <v>0</v>
      </c>
      <c r="FU10" s="575">
        <f t="shared" si="70"/>
        <v>3</v>
      </c>
      <c r="FV10" s="506">
        <f t="shared" si="71"/>
        <v>0</v>
      </c>
      <c r="FW10" s="39" t="str">
        <f t="shared" si="72"/>
        <v/>
      </c>
      <c r="FX10" s="257">
        <f t="shared" si="73"/>
        <v>0</v>
      </c>
      <c r="FY10" s="257">
        <f t="shared" si="74"/>
        <v>0</v>
      </c>
      <c r="FZ10" s="257">
        <f t="shared" si="75"/>
        <v>0</v>
      </c>
      <c r="GA10" s="575">
        <f t="shared" si="76"/>
        <v>3</v>
      </c>
      <c r="GB10" s="506">
        <f t="shared" si="77"/>
        <v>0</v>
      </c>
      <c r="GC10" s="39" t="str">
        <f t="shared" si="78"/>
        <v/>
      </c>
      <c r="GD10" s="257">
        <f t="shared" si="79"/>
        <v>0</v>
      </c>
      <c r="GE10" s="257">
        <f t="shared" si="80"/>
        <v>0</v>
      </c>
      <c r="GF10" s="257">
        <f t="shared" si="81"/>
        <v>0</v>
      </c>
      <c r="GG10" s="575">
        <f t="shared" si="82"/>
        <v>3</v>
      </c>
      <c r="GH10" s="506">
        <f t="shared" si="83"/>
        <v>0</v>
      </c>
      <c r="GI10" s="39" t="str">
        <f t="shared" si="84"/>
        <v/>
      </c>
      <c r="GJ10" s="257">
        <f t="shared" si="85"/>
        <v>0</v>
      </c>
      <c r="GK10" s="257">
        <f t="shared" si="86"/>
        <v>0</v>
      </c>
      <c r="GL10" s="257">
        <f t="shared" si="87"/>
        <v>0</v>
      </c>
      <c r="GM10" s="575">
        <f t="shared" si="88"/>
        <v>3</v>
      </c>
      <c r="GN10" s="506">
        <f t="shared" si="89"/>
        <v>0</v>
      </c>
      <c r="GO10" s="39" t="str">
        <f t="shared" si="90"/>
        <v/>
      </c>
      <c r="GP10" s="257">
        <f t="shared" si="91"/>
        <v>0</v>
      </c>
      <c r="GQ10" s="257">
        <f t="shared" si="92"/>
        <v>0</v>
      </c>
      <c r="GR10" s="257">
        <f t="shared" si="93"/>
        <v>0</v>
      </c>
      <c r="GS10" s="575">
        <f t="shared" si="94"/>
        <v>3</v>
      </c>
      <c r="GT10" s="506">
        <f t="shared" si="95"/>
        <v>0</v>
      </c>
      <c r="GU10" s="39" t="str">
        <f t="shared" si="96"/>
        <v/>
      </c>
      <c r="GV10" s="257">
        <f t="shared" si="97"/>
        <v>0</v>
      </c>
      <c r="GW10" s="257">
        <f t="shared" si="98"/>
        <v>0</v>
      </c>
      <c r="GX10" s="257">
        <f t="shared" si="99"/>
        <v>0</v>
      </c>
      <c r="GY10" s="575">
        <f t="shared" si="100"/>
        <v>3</v>
      </c>
      <c r="GZ10" s="506">
        <f t="shared" si="101"/>
        <v>0</v>
      </c>
      <c r="HA10" s="39" t="str">
        <f t="shared" si="102"/>
        <v/>
      </c>
      <c r="HB10" s="257">
        <f t="shared" si="103"/>
        <v>0</v>
      </c>
      <c r="HC10" s="257">
        <f t="shared" si="104"/>
        <v>0</v>
      </c>
      <c r="HD10" s="257">
        <f t="shared" si="105"/>
        <v>0</v>
      </c>
      <c r="HE10" s="575">
        <f t="shared" si="106"/>
        <v>3</v>
      </c>
      <c r="HF10" s="506">
        <f t="shared" si="107"/>
        <v>0</v>
      </c>
      <c r="HG10" s="39" t="str">
        <f t="shared" si="108"/>
        <v/>
      </c>
      <c r="HH10" s="257">
        <f t="shared" si="109"/>
        <v>0</v>
      </c>
      <c r="HI10" s="257">
        <f t="shared" si="110"/>
        <v>0</v>
      </c>
      <c r="HJ10" s="257">
        <f t="shared" si="111"/>
        <v>0</v>
      </c>
      <c r="HK10" s="575">
        <f t="shared" si="112"/>
        <v>3</v>
      </c>
      <c r="HL10" s="506">
        <f t="shared" si="113"/>
        <v>0</v>
      </c>
      <c r="HM10" s="39" t="str">
        <f t="shared" si="114"/>
        <v/>
      </c>
      <c r="HN10" s="39"/>
      <c r="HO10" s="39">
        <f t="shared" si="115"/>
        <v>86.666666666666671</v>
      </c>
      <c r="HP10" s="39">
        <f t="shared" si="116"/>
        <v>88.333333333333329</v>
      </c>
      <c r="HQ10" s="39">
        <f t="shared" si="117"/>
        <v>90</v>
      </c>
      <c r="HR10" s="39" t="str">
        <f t="shared" si="118"/>
        <v/>
      </c>
      <c r="HS10" s="39" t="str">
        <f t="shared" si="119"/>
        <v/>
      </c>
      <c r="HT10" s="39" t="str">
        <f t="shared" si="120"/>
        <v/>
      </c>
      <c r="HU10" s="39" t="str">
        <f t="shared" si="121"/>
        <v/>
      </c>
      <c r="HV10" s="39"/>
      <c r="HW10" s="39"/>
      <c r="HX10" s="39"/>
      <c r="HY10" s="39"/>
      <c r="HZ10" s="39">
        <f t="shared" si="122"/>
        <v>88</v>
      </c>
      <c r="IA10" s="68">
        <f t="shared" si="123"/>
        <v>90</v>
      </c>
      <c r="IB10" s="68">
        <f t="shared" si="124"/>
        <v>86.666666666666671</v>
      </c>
      <c r="IC10" s="39" t="str">
        <f>SISWA!E8</f>
        <v>Amira</v>
      </c>
      <c r="ID10" s="39" t="str">
        <f t="shared" si="125"/>
        <v xml:space="preserve">Ananda Amira </v>
      </c>
      <c r="IE10" s="207" t="str">
        <f t="shared" si="126"/>
        <v/>
      </c>
      <c r="IF10" s="207" t="str">
        <f t="shared" si="127"/>
        <v/>
      </c>
      <c r="IG10" s="207">
        <f t="shared" si="128"/>
        <v>90</v>
      </c>
      <c r="IH10" s="207" t="str">
        <f t="shared" si="129"/>
        <v/>
      </c>
      <c r="II10" s="207" t="str">
        <f t="shared" si="130"/>
        <v/>
      </c>
      <c r="IJ10" s="207" t="str">
        <f t="shared" si="131"/>
        <v/>
      </c>
      <c r="IK10" s="207" t="str">
        <f t="shared" si="132"/>
        <v/>
      </c>
      <c r="IL10" s="207"/>
      <c r="IM10" s="207"/>
      <c r="IN10" s="207"/>
      <c r="IO10" s="207"/>
      <c r="IP10" s="39">
        <f t="shared" si="133"/>
        <v>90</v>
      </c>
      <c r="IQ10" s="68" t="str">
        <f t="shared" si="134"/>
        <v>mempraktikkan pola lantai pada gerak tari kreasi dearah</v>
      </c>
      <c r="IR10" s="576" t="str">
        <f>IF(IA10&gt;100,"",IF(IA10&gt;DQ$1,"sangat baik dalam "&amp;IQ10,IF(IA10&gt;=DQ$2,"baik dalam "&amp;IQ10,IF(IA10&gt;=DQ$3,"cukup dalam "&amp;IQ10,IF(IA10&lt;DQ$3,"dengan bimbingan dapat meningkatkan dalam "&amp;IQ10,IF(IA10&lt;1," ",””))))))</f>
        <v>baik dalam mempraktikkan pola lantai pada gerak tari kreasi dearah</v>
      </c>
      <c r="IS10" s="223"/>
      <c r="IT10" s="223">
        <f t="shared" si="135"/>
        <v>86.666666666666671</v>
      </c>
      <c r="IU10" s="223" t="str">
        <f t="shared" si="136"/>
        <v/>
      </c>
      <c r="IV10" s="223" t="str">
        <f t="shared" si="137"/>
        <v/>
      </c>
      <c r="IW10" s="223" t="str">
        <f t="shared" si="138"/>
        <v/>
      </c>
      <c r="IX10" s="223" t="str">
        <f t="shared" si="139"/>
        <v/>
      </c>
      <c r="IY10" s="223" t="str">
        <f t="shared" si="140"/>
        <v/>
      </c>
      <c r="IZ10" s="223" t="str">
        <f t="shared" si="141"/>
        <v/>
      </c>
      <c r="JA10" s="223"/>
      <c r="JB10" s="223"/>
      <c r="JC10" s="223"/>
      <c r="JD10" s="223"/>
      <c r="JE10" s="223" t="str">
        <f t="shared" si="142"/>
        <v>membuat gambar cerita</v>
      </c>
      <c r="JF10" s="577" t="str">
        <f>IF(IB10&gt;100,"",IF(IB10&gt;=DQ$1,"sangat baik dalam "&amp;JE10,IF(IB10&gt;=DQ$2,"baik dalam "&amp;JE10,IF(IB10&gt;=DQ$3,"cukup dalam "&amp;JE10,IF(IB10&lt;DQ$3,"dengan bimbingan dapat meningkatkan dalam "&amp;JE10,IF(IB10&lt;1," ",””))))))</f>
        <v>baik dalam membuat gambar cerita</v>
      </c>
      <c r="JG10" s="223" t="str">
        <f t="shared" si="143"/>
        <v>Ananda Amira baik dalam mempraktikkan pola lantai pada gerak tari kreasi dearah, baik dalam membuat gambar cerita.</v>
      </c>
    </row>
    <row r="11" spans="1:267" ht="30" customHeight="1">
      <c r="A11" s="39">
        <v>4</v>
      </c>
      <c r="B11" s="223" t="str">
        <f>SISWA!B9</f>
        <v>Andrian Putra Pangestu</v>
      </c>
      <c r="C11" s="123">
        <v>75</v>
      </c>
      <c r="D11" s="123"/>
      <c r="E11" s="123"/>
      <c r="F11" s="123"/>
      <c r="G11" s="123"/>
      <c r="H11" s="123"/>
      <c r="I11" s="123"/>
      <c r="J11" s="255">
        <v>75</v>
      </c>
      <c r="K11" s="255"/>
      <c r="L11" s="255"/>
      <c r="M11" s="255"/>
      <c r="N11" s="255"/>
      <c r="O11" s="255"/>
      <c r="P11" s="255"/>
      <c r="Q11" s="256">
        <v>75</v>
      </c>
      <c r="R11" s="256"/>
      <c r="S11" s="256"/>
      <c r="T11" s="256"/>
      <c r="U11" s="256"/>
      <c r="V11" s="256"/>
      <c r="W11" s="256"/>
      <c r="X11" s="123"/>
      <c r="Y11" s="123"/>
      <c r="Z11" s="123">
        <v>75</v>
      </c>
      <c r="AA11" s="123"/>
      <c r="AB11" s="123"/>
      <c r="AC11" s="123"/>
      <c r="AD11" s="123"/>
      <c r="AE11" s="255"/>
      <c r="AF11" s="255"/>
      <c r="AG11" s="255">
        <v>75</v>
      </c>
      <c r="AH11" s="255"/>
      <c r="AI11" s="255"/>
      <c r="AJ11" s="255"/>
      <c r="AK11" s="255"/>
      <c r="AL11" s="256"/>
      <c r="AM11" s="256"/>
      <c r="AN11" s="256">
        <v>75</v>
      </c>
      <c r="AO11" s="256"/>
      <c r="AP11" s="256"/>
      <c r="AQ11" s="256"/>
      <c r="AR11" s="256"/>
      <c r="AS11" s="123"/>
      <c r="AT11" s="123">
        <v>75</v>
      </c>
      <c r="AU11" s="123"/>
      <c r="AV11" s="123"/>
      <c r="AW11" s="123"/>
      <c r="AX11" s="123"/>
      <c r="AY11" s="123"/>
      <c r="AZ11" s="255"/>
      <c r="BA11" s="255">
        <v>75</v>
      </c>
      <c r="BB11" s="255"/>
      <c r="BC11" s="255"/>
      <c r="BD11" s="255"/>
      <c r="BE11" s="255"/>
      <c r="BF11" s="255"/>
      <c r="BG11" s="256"/>
      <c r="BH11" s="256">
        <v>75</v>
      </c>
      <c r="BI11" s="256"/>
      <c r="BJ11" s="256"/>
      <c r="BK11" s="256"/>
      <c r="BL11" s="256"/>
      <c r="BM11" s="256"/>
      <c r="BN11" s="123"/>
      <c r="BO11" s="123"/>
      <c r="BP11" s="123">
        <v>75</v>
      </c>
      <c r="BQ11" s="123"/>
      <c r="BR11" s="123"/>
      <c r="BS11" s="123"/>
      <c r="BT11" s="123"/>
      <c r="BU11" s="255"/>
      <c r="BV11" s="255"/>
      <c r="BW11" s="255">
        <v>75</v>
      </c>
      <c r="BX11" s="255"/>
      <c r="BY11" s="255"/>
      <c r="BZ11" s="255"/>
      <c r="CA11" s="255"/>
      <c r="CB11" s="256"/>
      <c r="CC11" s="256"/>
      <c r="CD11" s="256">
        <v>75</v>
      </c>
      <c r="CE11" s="256"/>
      <c r="CF11" s="256"/>
      <c r="CG11" s="256"/>
      <c r="CH11" s="256"/>
      <c r="CI11" s="458"/>
      <c r="CJ11" s="458">
        <v>75</v>
      </c>
      <c r="CK11" s="458"/>
      <c r="CL11" s="458"/>
      <c r="CM11" s="458"/>
      <c r="CN11" s="458"/>
      <c r="CO11" s="458"/>
      <c r="CP11" s="459"/>
      <c r="CQ11" s="459">
        <v>75</v>
      </c>
      <c r="CR11" s="459"/>
      <c r="CS11" s="459"/>
      <c r="CT11" s="459"/>
      <c r="CU11" s="459"/>
      <c r="CV11" s="459"/>
      <c r="CW11" s="256"/>
      <c r="CX11" s="256">
        <v>80</v>
      </c>
      <c r="CY11" s="256"/>
      <c r="CZ11" s="256"/>
      <c r="DA11" s="256"/>
      <c r="DB11" s="256"/>
      <c r="DC11" s="256"/>
      <c r="DD11" s="257">
        <f t="shared" si="15"/>
        <v>75</v>
      </c>
      <c r="DE11" s="257">
        <f t="shared" si="16"/>
        <v>76.666666666666671</v>
      </c>
      <c r="DF11" s="257">
        <f t="shared" si="17"/>
        <v>75</v>
      </c>
      <c r="DG11" s="257" t="str">
        <f t="shared" si="18"/>
        <v/>
      </c>
      <c r="DH11" s="257" t="str">
        <f t="shared" si="19"/>
        <v/>
      </c>
      <c r="DI11" s="257" t="str">
        <f t="shared" si="20"/>
        <v/>
      </c>
      <c r="DJ11" s="257" t="str">
        <f t="shared" si="21"/>
        <v/>
      </c>
      <c r="DK11" s="756">
        <f t="shared" si="22"/>
        <v>76</v>
      </c>
      <c r="DL11" s="291" t="str">
        <f t="shared" si="23"/>
        <v>C</v>
      </c>
      <c r="DM11" s="243" t="str">
        <f t="shared" si="24"/>
        <v>Ananda Andri cukup dalam menyanyikan lagu-lagu dalam berbagai tangga nada dengan iringan musik, cukup dalam mempraktikkan pola lantai pada gerak tari kreasi dearah.</v>
      </c>
      <c r="DN11" s="39"/>
      <c r="DO11" s="39"/>
      <c r="DP11" s="257">
        <f t="shared" si="25"/>
        <v>75</v>
      </c>
      <c r="DQ11" s="257">
        <f t="shared" si="26"/>
        <v>75</v>
      </c>
      <c r="DR11" s="257">
        <f t="shared" si="27"/>
        <v>75</v>
      </c>
      <c r="DS11" s="257">
        <f t="shared" si="28"/>
        <v>0</v>
      </c>
      <c r="DT11" s="257">
        <f t="shared" si="29"/>
        <v>0</v>
      </c>
      <c r="DU11" s="257">
        <f t="shared" si="30"/>
        <v>0</v>
      </c>
      <c r="DV11" s="257">
        <f t="shared" si="31"/>
        <v>0</v>
      </c>
      <c r="DW11" s="257"/>
      <c r="DX11" s="257"/>
      <c r="DY11" s="257"/>
      <c r="DZ11" s="257"/>
      <c r="EA11" s="232">
        <f t="shared" si="32"/>
        <v>75</v>
      </c>
      <c r="EB11" s="257">
        <f t="shared" si="33"/>
        <v>75</v>
      </c>
      <c r="EC11" s="257">
        <f t="shared" si="34"/>
        <v>75</v>
      </c>
      <c r="ED11" s="257">
        <f t="shared" si="35"/>
        <v>75</v>
      </c>
      <c r="EE11" s="257">
        <f t="shared" si="36"/>
        <v>0</v>
      </c>
      <c r="EF11" s="257">
        <f t="shared" si="37"/>
        <v>0</v>
      </c>
      <c r="EG11" s="257">
        <f t="shared" si="38"/>
        <v>0</v>
      </c>
      <c r="EH11" s="257">
        <f t="shared" si="39"/>
        <v>0</v>
      </c>
      <c r="EI11" s="257"/>
      <c r="EJ11" s="257"/>
      <c r="EK11" s="257"/>
      <c r="EL11" s="257"/>
      <c r="EM11" s="232">
        <f t="shared" si="40"/>
        <v>75</v>
      </c>
      <c r="EN11" s="257">
        <f t="shared" si="41"/>
        <v>75</v>
      </c>
      <c r="EO11" s="257">
        <f t="shared" si="42"/>
        <v>80</v>
      </c>
      <c r="EP11" s="257">
        <f t="shared" si="43"/>
        <v>75</v>
      </c>
      <c r="EQ11" s="257">
        <f t="shared" si="44"/>
        <v>0</v>
      </c>
      <c r="ER11" s="257">
        <f t="shared" si="45"/>
        <v>0</v>
      </c>
      <c r="ES11" s="257">
        <f t="shared" si="46"/>
        <v>0</v>
      </c>
      <c r="ET11" s="257">
        <f t="shared" si="47"/>
        <v>0</v>
      </c>
      <c r="EU11" s="257"/>
      <c r="EV11" s="257"/>
      <c r="EW11" s="257"/>
      <c r="EX11" s="257"/>
      <c r="EY11" s="232">
        <f t="shared" si="48"/>
        <v>80</v>
      </c>
      <c r="EZ11" s="257">
        <f t="shared" si="49"/>
        <v>75</v>
      </c>
      <c r="FA11" s="257">
        <f t="shared" si="50"/>
        <v>75</v>
      </c>
      <c r="FB11" s="257">
        <f t="shared" si="51"/>
        <v>75</v>
      </c>
      <c r="FC11" s="575">
        <f t="shared" si="52"/>
        <v>0</v>
      </c>
      <c r="FD11" s="506">
        <f t="shared" si="53"/>
        <v>3</v>
      </c>
      <c r="FE11" s="39">
        <f t="shared" si="54"/>
        <v>75</v>
      </c>
      <c r="FF11" s="257">
        <f t="shared" si="55"/>
        <v>75</v>
      </c>
      <c r="FG11" s="257">
        <f t="shared" si="56"/>
        <v>75</v>
      </c>
      <c r="FH11" s="257">
        <f t="shared" si="57"/>
        <v>80</v>
      </c>
      <c r="FI11" s="575">
        <f t="shared" si="58"/>
        <v>0</v>
      </c>
      <c r="FJ11" s="506">
        <f t="shared" si="59"/>
        <v>3</v>
      </c>
      <c r="FK11" s="39">
        <f t="shared" si="60"/>
        <v>76.666666666666671</v>
      </c>
      <c r="FL11" s="257">
        <f t="shared" si="61"/>
        <v>75</v>
      </c>
      <c r="FM11" s="257">
        <f t="shared" si="62"/>
        <v>75</v>
      </c>
      <c r="FN11" s="257">
        <f t="shared" si="63"/>
        <v>75</v>
      </c>
      <c r="FO11" s="575">
        <f t="shared" si="64"/>
        <v>0</v>
      </c>
      <c r="FP11" s="506">
        <f t="shared" si="65"/>
        <v>3</v>
      </c>
      <c r="FQ11" s="39">
        <f t="shared" si="66"/>
        <v>75</v>
      </c>
      <c r="FR11" s="257">
        <f t="shared" si="67"/>
        <v>0</v>
      </c>
      <c r="FS11" s="257">
        <f t="shared" si="68"/>
        <v>0</v>
      </c>
      <c r="FT11" s="257">
        <f t="shared" si="69"/>
        <v>0</v>
      </c>
      <c r="FU11" s="575">
        <f t="shared" si="70"/>
        <v>3</v>
      </c>
      <c r="FV11" s="506">
        <f t="shared" si="71"/>
        <v>0</v>
      </c>
      <c r="FW11" s="39" t="str">
        <f t="shared" si="72"/>
        <v/>
      </c>
      <c r="FX11" s="257">
        <f t="shared" si="73"/>
        <v>0</v>
      </c>
      <c r="FY11" s="257">
        <f t="shared" si="74"/>
        <v>0</v>
      </c>
      <c r="FZ11" s="257">
        <f t="shared" si="75"/>
        <v>0</v>
      </c>
      <c r="GA11" s="575">
        <f t="shared" si="76"/>
        <v>3</v>
      </c>
      <c r="GB11" s="506">
        <f t="shared" si="77"/>
        <v>0</v>
      </c>
      <c r="GC11" s="39" t="str">
        <f t="shared" si="78"/>
        <v/>
      </c>
      <c r="GD11" s="257">
        <f t="shared" si="79"/>
        <v>0</v>
      </c>
      <c r="GE11" s="257">
        <f t="shared" si="80"/>
        <v>0</v>
      </c>
      <c r="GF11" s="257">
        <f t="shared" si="81"/>
        <v>0</v>
      </c>
      <c r="GG11" s="575">
        <f t="shared" si="82"/>
        <v>3</v>
      </c>
      <c r="GH11" s="506">
        <f t="shared" si="83"/>
        <v>0</v>
      </c>
      <c r="GI11" s="39" t="str">
        <f t="shared" si="84"/>
        <v/>
      </c>
      <c r="GJ11" s="257">
        <f t="shared" si="85"/>
        <v>0</v>
      </c>
      <c r="GK11" s="257">
        <f t="shared" si="86"/>
        <v>0</v>
      </c>
      <c r="GL11" s="257">
        <f t="shared" si="87"/>
        <v>0</v>
      </c>
      <c r="GM11" s="575">
        <f t="shared" si="88"/>
        <v>3</v>
      </c>
      <c r="GN11" s="506">
        <f t="shared" si="89"/>
        <v>0</v>
      </c>
      <c r="GO11" s="39" t="str">
        <f t="shared" si="90"/>
        <v/>
      </c>
      <c r="GP11" s="257">
        <f t="shared" si="91"/>
        <v>0</v>
      </c>
      <c r="GQ11" s="257">
        <f t="shared" si="92"/>
        <v>0</v>
      </c>
      <c r="GR11" s="257">
        <f t="shared" si="93"/>
        <v>0</v>
      </c>
      <c r="GS11" s="575">
        <f t="shared" si="94"/>
        <v>3</v>
      </c>
      <c r="GT11" s="506">
        <f t="shared" si="95"/>
        <v>0</v>
      </c>
      <c r="GU11" s="39" t="str">
        <f t="shared" si="96"/>
        <v/>
      </c>
      <c r="GV11" s="257">
        <f t="shared" si="97"/>
        <v>0</v>
      </c>
      <c r="GW11" s="257">
        <f t="shared" si="98"/>
        <v>0</v>
      </c>
      <c r="GX11" s="257">
        <f t="shared" si="99"/>
        <v>0</v>
      </c>
      <c r="GY11" s="575">
        <f t="shared" si="100"/>
        <v>3</v>
      </c>
      <c r="GZ11" s="506">
        <f t="shared" si="101"/>
        <v>0</v>
      </c>
      <c r="HA11" s="39" t="str">
        <f t="shared" si="102"/>
        <v/>
      </c>
      <c r="HB11" s="257">
        <f t="shared" si="103"/>
        <v>0</v>
      </c>
      <c r="HC11" s="257">
        <f t="shared" si="104"/>
        <v>0</v>
      </c>
      <c r="HD11" s="257">
        <f t="shared" si="105"/>
        <v>0</v>
      </c>
      <c r="HE11" s="575">
        <f t="shared" si="106"/>
        <v>3</v>
      </c>
      <c r="HF11" s="506">
        <f t="shared" si="107"/>
        <v>0</v>
      </c>
      <c r="HG11" s="39" t="str">
        <f t="shared" si="108"/>
        <v/>
      </c>
      <c r="HH11" s="257">
        <f t="shared" si="109"/>
        <v>0</v>
      </c>
      <c r="HI11" s="257">
        <f t="shared" si="110"/>
        <v>0</v>
      </c>
      <c r="HJ11" s="257">
        <f t="shared" si="111"/>
        <v>0</v>
      </c>
      <c r="HK11" s="575">
        <f t="shared" si="112"/>
        <v>3</v>
      </c>
      <c r="HL11" s="506">
        <f t="shared" si="113"/>
        <v>0</v>
      </c>
      <c r="HM11" s="39" t="str">
        <f t="shared" si="114"/>
        <v/>
      </c>
      <c r="HN11" s="39"/>
      <c r="HO11" s="39">
        <f t="shared" si="115"/>
        <v>75</v>
      </c>
      <c r="HP11" s="39">
        <f t="shared" si="116"/>
        <v>76.666666666666671</v>
      </c>
      <c r="HQ11" s="39">
        <f t="shared" si="117"/>
        <v>75</v>
      </c>
      <c r="HR11" s="39" t="str">
        <f t="shared" si="118"/>
        <v/>
      </c>
      <c r="HS11" s="39" t="str">
        <f t="shared" si="119"/>
        <v/>
      </c>
      <c r="HT11" s="39" t="str">
        <f t="shared" si="120"/>
        <v/>
      </c>
      <c r="HU11" s="39" t="str">
        <f t="shared" si="121"/>
        <v/>
      </c>
      <c r="HV11" s="39"/>
      <c r="HW11" s="39"/>
      <c r="HX11" s="39"/>
      <c r="HY11" s="39"/>
      <c r="HZ11" s="39">
        <f t="shared" si="122"/>
        <v>76</v>
      </c>
      <c r="IA11" s="68">
        <f t="shared" si="123"/>
        <v>76.666666666666671</v>
      </c>
      <c r="IB11" s="68">
        <f t="shared" si="124"/>
        <v>75</v>
      </c>
      <c r="IC11" s="39" t="str">
        <f>SISWA!E9</f>
        <v>Andri</v>
      </c>
      <c r="ID11" s="39" t="str">
        <f t="shared" si="125"/>
        <v xml:space="preserve">Ananda Andri </v>
      </c>
      <c r="IE11" s="207" t="str">
        <f t="shared" si="126"/>
        <v/>
      </c>
      <c r="IF11" s="207">
        <f t="shared" si="127"/>
        <v>76.666666666666671</v>
      </c>
      <c r="IG11" s="207" t="str">
        <f t="shared" si="128"/>
        <v/>
      </c>
      <c r="IH11" s="207" t="str">
        <f t="shared" si="129"/>
        <v/>
      </c>
      <c r="II11" s="207" t="str">
        <f t="shared" si="130"/>
        <v/>
      </c>
      <c r="IJ11" s="207" t="str">
        <f t="shared" si="131"/>
        <v/>
      </c>
      <c r="IK11" s="207" t="str">
        <f t="shared" si="132"/>
        <v/>
      </c>
      <c r="IL11" s="207"/>
      <c r="IM11" s="207"/>
      <c r="IN11" s="207"/>
      <c r="IO11" s="207"/>
      <c r="IP11" s="39">
        <f t="shared" si="133"/>
        <v>76.666666666666671</v>
      </c>
      <c r="IQ11" s="68" t="str">
        <f t="shared" si="134"/>
        <v>menyanyikan lagu-lagu dalam berbagai tangga nada dengan iringan musik</v>
      </c>
      <c r="IR11" s="576" t="str">
        <f>IF(IA11&gt;100,"",IF(IA11&gt;DQ$1,"sangat baik dalam "&amp;IQ11,IF(IA11&gt;=DQ$2,"baik dalam "&amp;IQ11,IF(IA11&gt;=DQ$3,"cukup dalam "&amp;IQ11,IF(IA11&lt;DQ$3,"dengan bimbingan dapat meningkatkan dalam "&amp;IQ11,IF(IA11&lt;1," ",””))))))</f>
        <v>cukup dalam menyanyikan lagu-lagu dalam berbagai tangga nada dengan iringan musik</v>
      </c>
      <c r="IS11" s="223"/>
      <c r="IT11" s="223">
        <f t="shared" si="135"/>
        <v>75</v>
      </c>
      <c r="IU11" s="223" t="str">
        <f t="shared" si="136"/>
        <v/>
      </c>
      <c r="IV11" s="223">
        <f t="shared" si="137"/>
        <v>75</v>
      </c>
      <c r="IW11" s="223" t="str">
        <f t="shared" si="138"/>
        <v/>
      </c>
      <c r="IX11" s="223" t="str">
        <f t="shared" si="139"/>
        <v/>
      </c>
      <c r="IY11" s="223" t="str">
        <f t="shared" si="140"/>
        <v/>
      </c>
      <c r="IZ11" s="223" t="str">
        <f t="shared" si="141"/>
        <v/>
      </c>
      <c r="JA11" s="223"/>
      <c r="JB11" s="223"/>
      <c r="JC11" s="223"/>
      <c r="JD11" s="223"/>
      <c r="JE11" s="223" t="str">
        <f t="shared" si="142"/>
        <v>mempraktikkan pola lantai pada gerak tari kreasi dearah</v>
      </c>
      <c r="JF11" s="577" t="str">
        <f>IF(IB11&gt;100,"",IF(IB11&gt;=DQ$1,"sangat baik dalam "&amp;JE11,IF(IB11&gt;=DQ$2,"baik dalam "&amp;JE11,IF(IB11&gt;=DQ$3,"cukup dalam "&amp;JE11,IF(IB11&lt;DQ$3,"dengan bimbingan dapat meningkatkan dalam "&amp;JE11,IF(IB11&lt;1," ",””))))))</f>
        <v>cukup dalam mempraktikkan pola lantai pada gerak tari kreasi dearah</v>
      </c>
      <c r="JG11" s="223" t="str">
        <f t="shared" si="143"/>
        <v>Ananda Andri cukup dalam menyanyikan lagu-lagu dalam berbagai tangga nada dengan iringan musik, cukup dalam mempraktikkan pola lantai pada gerak tari kreasi dearah.</v>
      </c>
    </row>
    <row r="12" spans="1:267" ht="30" customHeight="1">
      <c r="A12" s="39">
        <v>5</v>
      </c>
      <c r="B12" s="223" t="str">
        <f>SISWA!B10</f>
        <v>Gresiya Suma Safitri</v>
      </c>
      <c r="C12" s="123">
        <v>80</v>
      </c>
      <c r="D12" s="123"/>
      <c r="E12" s="123"/>
      <c r="F12" s="123"/>
      <c r="G12" s="123"/>
      <c r="H12" s="123"/>
      <c r="I12" s="123"/>
      <c r="J12" s="255">
        <v>75</v>
      </c>
      <c r="K12" s="255"/>
      <c r="L12" s="255"/>
      <c r="M12" s="255"/>
      <c r="N12" s="255"/>
      <c r="O12" s="255"/>
      <c r="P12" s="255"/>
      <c r="Q12" s="256">
        <v>75</v>
      </c>
      <c r="R12" s="256"/>
      <c r="S12" s="256"/>
      <c r="T12" s="256"/>
      <c r="U12" s="256"/>
      <c r="V12" s="256"/>
      <c r="W12" s="256"/>
      <c r="X12" s="123"/>
      <c r="Y12" s="123"/>
      <c r="Z12" s="123">
        <v>90</v>
      </c>
      <c r="AA12" s="123"/>
      <c r="AB12" s="123"/>
      <c r="AC12" s="123"/>
      <c r="AD12" s="123"/>
      <c r="AE12" s="255"/>
      <c r="AF12" s="255"/>
      <c r="AG12" s="255">
        <v>80</v>
      </c>
      <c r="AH12" s="255"/>
      <c r="AI12" s="255"/>
      <c r="AJ12" s="255"/>
      <c r="AK12" s="255"/>
      <c r="AL12" s="256"/>
      <c r="AM12" s="256"/>
      <c r="AN12" s="256">
        <v>90</v>
      </c>
      <c r="AO12" s="256"/>
      <c r="AP12" s="256"/>
      <c r="AQ12" s="256"/>
      <c r="AR12" s="256"/>
      <c r="AS12" s="123"/>
      <c r="AT12" s="123">
        <v>90</v>
      </c>
      <c r="AU12" s="123"/>
      <c r="AV12" s="123"/>
      <c r="AW12" s="123"/>
      <c r="AX12" s="123"/>
      <c r="AY12" s="123"/>
      <c r="AZ12" s="255"/>
      <c r="BA12" s="255">
        <v>85</v>
      </c>
      <c r="BB12" s="255"/>
      <c r="BC12" s="255"/>
      <c r="BD12" s="255"/>
      <c r="BE12" s="255"/>
      <c r="BF12" s="255"/>
      <c r="BG12" s="256"/>
      <c r="BH12" s="256">
        <v>75</v>
      </c>
      <c r="BI12" s="256"/>
      <c r="BJ12" s="256"/>
      <c r="BK12" s="256"/>
      <c r="BL12" s="256"/>
      <c r="BM12" s="256"/>
      <c r="BN12" s="123"/>
      <c r="BO12" s="123"/>
      <c r="BP12" s="123">
        <v>90</v>
      </c>
      <c r="BQ12" s="123"/>
      <c r="BR12" s="123"/>
      <c r="BS12" s="123"/>
      <c r="BT12" s="123"/>
      <c r="BU12" s="255"/>
      <c r="BV12" s="255"/>
      <c r="BW12" s="255">
        <v>90</v>
      </c>
      <c r="BX12" s="255"/>
      <c r="BY12" s="255"/>
      <c r="BZ12" s="255"/>
      <c r="CA12" s="255"/>
      <c r="CB12" s="256"/>
      <c r="CC12" s="256"/>
      <c r="CD12" s="256">
        <v>75</v>
      </c>
      <c r="CE12" s="256"/>
      <c r="CF12" s="256"/>
      <c r="CG12" s="256"/>
      <c r="CH12" s="256"/>
      <c r="CI12" s="458"/>
      <c r="CJ12" s="458">
        <v>75</v>
      </c>
      <c r="CK12" s="458"/>
      <c r="CL12" s="458"/>
      <c r="CM12" s="458"/>
      <c r="CN12" s="458"/>
      <c r="CO12" s="458"/>
      <c r="CP12" s="459"/>
      <c r="CQ12" s="459">
        <v>85</v>
      </c>
      <c r="CR12" s="459"/>
      <c r="CS12" s="459"/>
      <c r="CT12" s="459"/>
      <c r="CU12" s="459"/>
      <c r="CV12" s="459"/>
      <c r="CW12" s="256"/>
      <c r="CX12" s="256">
        <v>80</v>
      </c>
      <c r="CY12" s="256"/>
      <c r="CZ12" s="256"/>
      <c r="DA12" s="256"/>
      <c r="DB12" s="256"/>
      <c r="DC12" s="256"/>
      <c r="DD12" s="257">
        <f t="shared" si="15"/>
        <v>76.666666666666671</v>
      </c>
      <c r="DE12" s="257">
        <f t="shared" si="16"/>
        <v>85</v>
      </c>
      <c r="DF12" s="257">
        <f t="shared" si="17"/>
        <v>90</v>
      </c>
      <c r="DG12" s="257" t="str">
        <f t="shared" si="18"/>
        <v/>
      </c>
      <c r="DH12" s="257" t="str">
        <f t="shared" si="19"/>
        <v/>
      </c>
      <c r="DI12" s="257" t="str">
        <f t="shared" si="20"/>
        <v/>
      </c>
      <c r="DJ12" s="257" t="str">
        <f t="shared" si="21"/>
        <v/>
      </c>
      <c r="DK12" s="756">
        <f t="shared" si="22"/>
        <v>84</v>
      </c>
      <c r="DL12" s="291" t="str">
        <f t="shared" si="23"/>
        <v>B</v>
      </c>
      <c r="DM12" s="243" t="str">
        <f t="shared" si="24"/>
        <v>Ananda Gresia baik dalam mempraktikkan pola lantai pada gerak tari kreasi dearah, cukup dalam membuat gambar cerita.</v>
      </c>
      <c r="DN12" s="39"/>
      <c r="DO12" s="39"/>
      <c r="DP12" s="257">
        <f t="shared" si="25"/>
        <v>80</v>
      </c>
      <c r="DQ12" s="257">
        <f t="shared" si="26"/>
        <v>90</v>
      </c>
      <c r="DR12" s="257">
        <f t="shared" si="27"/>
        <v>90</v>
      </c>
      <c r="DS12" s="257">
        <f t="shared" si="28"/>
        <v>0</v>
      </c>
      <c r="DT12" s="257">
        <f t="shared" si="29"/>
        <v>0</v>
      </c>
      <c r="DU12" s="257">
        <f t="shared" si="30"/>
        <v>0</v>
      </c>
      <c r="DV12" s="257">
        <f t="shared" si="31"/>
        <v>0</v>
      </c>
      <c r="DW12" s="257"/>
      <c r="DX12" s="257"/>
      <c r="DY12" s="257"/>
      <c r="DZ12" s="257"/>
      <c r="EA12" s="232">
        <f t="shared" si="32"/>
        <v>90</v>
      </c>
      <c r="EB12" s="257">
        <f t="shared" si="33"/>
        <v>75</v>
      </c>
      <c r="EC12" s="257">
        <f t="shared" si="34"/>
        <v>85</v>
      </c>
      <c r="ED12" s="257">
        <f t="shared" si="35"/>
        <v>90</v>
      </c>
      <c r="EE12" s="257">
        <f t="shared" si="36"/>
        <v>0</v>
      </c>
      <c r="EF12" s="257">
        <f t="shared" si="37"/>
        <v>0</v>
      </c>
      <c r="EG12" s="257">
        <f t="shared" si="38"/>
        <v>0</v>
      </c>
      <c r="EH12" s="257">
        <f t="shared" si="39"/>
        <v>0</v>
      </c>
      <c r="EI12" s="257"/>
      <c r="EJ12" s="257"/>
      <c r="EK12" s="257"/>
      <c r="EL12" s="257"/>
      <c r="EM12" s="232">
        <f t="shared" si="40"/>
        <v>90</v>
      </c>
      <c r="EN12" s="257">
        <f t="shared" si="41"/>
        <v>75</v>
      </c>
      <c r="EO12" s="257">
        <f t="shared" si="42"/>
        <v>80</v>
      </c>
      <c r="EP12" s="257">
        <f t="shared" si="43"/>
        <v>90</v>
      </c>
      <c r="EQ12" s="257">
        <f t="shared" si="44"/>
        <v>0</v>
      </c>
      <c r="ER12" s="257">
        <f t="shared" si="45"/>
        <v>0</v>
      </c>
      <c r="ES12" s="257">
        <f t="shared" si="46"/>
        <v>0</v>
      </c>
      <c r="ET12" s="257">
        <f t="shared" si="47"/>
        <v>0</v>
      </c>
      <c r="EU12" s="257"/>
      <c r="EV12" s="257"/>
      <c r="EW12" s="257"/>
      <c r="EX12" s="257"/>
      <c r="EY12" s="232">
        <f t="shared" si="48"/>
        <v>90</v>
      </c>
      <c r="EZ12" s="257">
        <f t="shared" si="49"/>
        <v>80</v>
      </c>
      <c r="FA12" s="257">
        <f t="shared" si="50"/>
        <v>75</v>
      </c>
      <c r="FB12" s="257">
        <f t="shared" si="51"/>
        <v>75</v>
      </c>
      <c r="FC12" s="575">
        <f t="shared" si="52"/>
        <v>0</v>
      </c>
      <c r="FD12" s="506">
        <f t="shared" si="53"/>
        <v>3</v>
      </c>
      <c r="FE12" s="39">
        <f t="shared" si="54"/>
        <v>76.666666666666671</v>
      </c>
      <c r="FF12" s="257">
        <f t="shared" si="55"/>
        <v>90</v>
      </c>
      <c r="FG12" s="257">
        <f t="shared" si="56"/>
        <v>85</v>
      </c>
      <c r="FH12" s="257">
        <f t="shared" si="57"/>
        <v>80</v>
      </c>
      <c r="FI12" s="575">
        <f t="shared" si="58"/>
        <v>0</v>
      </c>
      <c r="FJ12" s="506">
        <f t="shared" si="59"/>
        <v>3</v>
      </c>
      <c r="FK12" s="39">
        <f t="shared" si="60"/>
        <v>85</v>
      </c>
      <c r="FL12" s="257">
        <f t="shared" si="61"/>
        <v>90</v>
      </c>
      <c r="FM12" s="257">
        <f t="shared" si="62"/>
        <v>90</v>
      </c>
      <c r="FN12" s="257">
        <f t="shared" si="63"/>
        <v>90</v>
      </c>
      <c r="FO12" s="575">
        <f t="shared" si="64"/>
        <v>0</v>
      </c>
      <c r="FP12" s="506">
        <f t="shared" si="65"/>
        <v>3</v>
      </c>
      <c r="FQ12" s="39">
        <f t="shared" si="66"/>
        <v>90</v>
      </c>
      <c r="FR12" s="257">
        <f t="shared" si="67"/>
        <v>0</v>
      </c>
      <c r="FS12" s="257">
        <f t="shared" si="68"/>
        <v>0</v>
      </c>
      <c r="FT12" s="257">
        <f t="shared" si="69"/>
        <v>0</v>
      </c>
      <c r="FU12" s="575">
        <f t="shared" si="70"/>
        <v>3</v>
      </c>
      <c r="FV12" s="506">
        <f t="shared" si="71"/>
        <v>0</v>
      </c>
      <c r="FW12" s="39" t="str">
        <f t="shared" si="72"/>
        <v/>
      </c>
      <c r="FX12" s="257">
        <f t="shared" si="73"/>
        <v>0</v>
      </c>
      <c r="FY12" s="257">
        <f t="shared" si="74"/>
        <v>0</v>
      </c>
      <c r="FZ12" s="257">
        <f t="shared" si="75"/>
        <v>0</v>
      </c>
      <c r="GA12" s="575">
        <f t="shared" si="76"/>
        <v>3</v>
      </c>
      <c r="GB12" s="506">
        <f t="shared" si="77"/>
        <v>0</v>
      </c>
      <c r="GC12" s="39" t="str">
        <f t="shared" si="78"/>
        <v/>
      </c>
      <c r="GD12" s="257">
        <f t="shared" si="79"/>
        <v>0</v>
      </c>
      <c r="GE12" s="257">
        <f t="shared" si="80"/>
        <v>0</v>
      </c>
      <c r="GF12" s="257">
        <f t="shared" si="81"/>
        <v>0</v>
      </c>
      <c r="GG12" s="575">
        <f t="shared" si="82"/>
        <v>3</v>
      </c>
      <c r="GH12" s="506">
        <f t="shared" si="83"/>
        <v>0</v>
      </c>
      <c r="GI12" s="39" t="str">
        <f t="shared" si="84"/>
        <v/>
      </c>
      <c r="GJ12" s="257">
        <f t="shared" si="85"/>
        <v>0</v>
      </c>
      <c r="GK12" s="257">
        <f t="shared" si="86"/>
        <v>0</v>
      </c>
      <c r="GL12" s="257">
        <f t="shared" si="87"/>
        <v>0</v>
      </c>
      <c r="GM12" s="575">
        <f t="shared" si="88"/>
        <v>3</v>
      </c>
      <c r="GN12" s="506">
        <f t="shared" si="89"/>
        <v>0</v>
      </c>
      <c r="GO12" s="39" t="str">
        <f t="shared" si="90"/>
        <v/>
      </c>
      <c r="GP12" s="257">
        <f t="shared" si="91"/>
        <v>0</v>
      </c>
      <c r="GQ12" s="257">
        <f t="shared" si="92"/>
        <v>0</v>
      </c>
      <c r="GR12" s="257">
        <f t="shared" si="93"/>
        <v>0</v>
      </c>
      <c r="GS12" s="575">
        <f t="shared" si="94"/>
        <v>3</v>
      </c>
      <c r="GT12" s="506">
        <f t="shared" si="95"/>
        <v>0</v>
      </c>
      <c r="GU12" s="39" t="str">
        <f t="shared" si="96"/>
        <v/>
      </c>
      <c r="GV12" s="257">
        <f t="shared" si="97"/>
        <v>0</v>
      </c>
      <c r="GW12" s="257">
        <f t="shared" si="98"/>
        <v>0</v>
      </c>
      <c r="GX12" s="257">
        <f t="shared" si="99"/>
        <v>0</v>
      </c>
      <c r="GY12" s="575">
        <f t="shared" si="100"/>
        <v>3</v>
      </c>
      <c r="GZ12" s="506">
        <f t="shared" si="101"/>
        <v>0</v>
      </c>
      <c r="HA12" s="39" t="str">
        <f t="shared" si="102"/>
        <v/>
      </c>
      <c r="HB12" s="257">
        <f t="shared" si="103"/>
        <v>0</v>
      </c>
      <c r="HC12" s="257">
        <f t="shared" si="104"/>
        <v>0</v>
      </c>
      <c r="HD12" s="257">
        <f t="shared" si="105"/>
        <v>0</v>
      </c>
      <c r="HE12" s="575">
        <f t="shared" si="106"/>
        <v>3</v>
      </c>
      <c r="HF12" s="506">
        <f t="shared" si="107"/>
        <v>0</v>
      </c>
      <c r="HG12" s="39" t="str">
        <f t="shared" si="108"/>
        <v/>
      </c>
      <c r="HH12" s="257">
        <f t="shared" si="109"/>
        <v>0</v>
      </c>
      <c r="HI12" s="257">
        <f t="shared" si="110"/>
        <v>0</v>
      </c>
      <c r="HJ12" s="257">
        <f t="shared" si="111"/>
        <v>0</v>
      </c>
      <c r="HK12" s="575">
        <f t="shared" si="112"/>
        <v>3</v>
      </c>
      <c r="HL12" s="506">
        <f t="shared" si="113"/>
        <v>0</v>
      </c>
      <c r="HM12" s="39" t="str">
        <f t="shared" si="114"/>
        <v/>
      </c>
      <c r="HN12" s="39"/>
      <c r="HO12" s="39">
        <f t="shared" si="115"/>
        <v>76.666666666666671</v>
      </c>
      <c r="HP12" s="39">
        <f t="shared" si="116"/>
        <v>85</v>
      </c>
      <c r="HQ12" s="39">
        <f t="shared" si="117"/>
        <v>90</v>
      </c>
      <c r="HR12" s="39" t="str">
        <f t="shared" si="118"/>
        <v/>
      </c>
      <c r="HS12" s="39" t="str">
        <f t="shared" si="119"/>
        <v/>
      </c>
      <c r="HT12" s="39" t="str">
        <f t="shared" si="120"/>
        <v/>
      </c>
      <c r="HU12" s="39" t="str">
        <f t="shared" si="121"/>
        <v/>
      </c>
      <c r="HV12" s="39"/>
      <c r="HW12" s="39"/>
      <c r="HX12" s="39"/>
      <c r="HY12" s="39"/>
      <c r="HZ12" s="39">
        <f t="shared" si="122"/>
        <v>84</v>
      </c>
      <c r="IA12" s="68">
        <f t="shared" si="123"/>
        <v>90</v>
      </c>
      <c r="IB12" s="68">
        <f t="shared" si="124"/>
        <v>76.666666666666671</v>
      </c>
      <c r="IC12" s="39" t="str">
        <f>SISWA!E10</f>
        <v>Gresia</v>
      </c>
      <c r="ID12" s="39" t="str">
        <f t="shared" si="125"/>
        <v xml:space="preserve">Ananda Gresia </v>
      </c>
      <c r="IE12" s="207" t="str">
        <f t="shared" si="126"/>
        <v/>
      </c>
      <c r="IF12" s="207" t="str">
        <f t="shared" si="127"/>
        <v/>
      </c>
      <c r="IG12" s="207">
        <f t="shared" si="128"/>
        <v>90</v>
      </c>
      <c r="IH12" s="207" t="str">
        <f t="shared" si="129"/>
        <v/>
      </c>
      <c r="II12" s="207" t="str">
        <f t="shared" si="130"/>
        <v/>
      </c>
      <c r="IJ12" s="207" t="str">
        <f t="shared" si="131"/>
        <v/>
      </c>
      <c r="IK12" s="207" t="str">
        <f t="shared" si="132"/>
        <v/>
      </c>
      <c r="IL12" s="207"/>
      <c r="IM12" s="207"/>
      <c r="IN12" s="207"/>
      <c r="IO12" s="207"/>
      <c r="IP12" s="39">
        <f t="shared" si="133"/>
        <v>90</v>
      </c>
      <c r="IQ12" s="68" t="str">
        <f t="shared" si="134"/>
        <v>mempraktikkan pola lantai pada gerak tari kreasi dearah</v>
      </c>
      <c r="IR12" s="576" t="str">
        <f>IF(IA12&gt;100,"",IF(IA12&gt;DQ$1,"sangat baik dalam "&amp;IQ12,IF(IA12&gt;=DQ$2,"baik dalam "&amp;IQ12,IF(IA12&gt;=DQ$3,"cukup dalam "&amp;IQ12,IF(IA12&lt;DQ$3,"dengan bimbingan dapat meningkatkan dalam "&amp;IQ12,IF(IA12&lt;1," ",””))))))</f>
        <v>baik dalam mempraktikkan pola lantai pada gerak tari kreasi dearah</v>
      </c>
      <c r="IS12" s="223"/>
      <c r="IT12" s="223">
        <f t="shared" si="135"/>
        <v>76.666666666666671</v>
      </c>
      <c r="IU12" s="223" t="str">
        <f t="shared" si="136"/>
        <v/>
      </c>
      <c r="IV12" s="223" t="str">
        <f t="shared" si="137"/>
        <v/>
      </c>
      <c r="IW12" s="223" t="str">
        <f t="shared" si="138"/>
        <v/>
      </c>
      <c r="IX12" s="223" t="str">
        <f t="shared" si="139"/>
        <v/>
      </c>
      <c r="IY12" s="223" t="str">
        <f t="shared" si="140"/>
        <v/>
      </c>
      <c r="IZ12" s="223" t="str">
        <f t="shared" si="141"/>
        <v/>
      </c>
      <c r="JA12" s="223"/>
      <c r="JB12" s="223"/>
      <c r="JC12" s="223"/>
      <c r="JD12" s="223"/>
      <c r="JE12" s="223" t="str">
        <f t="shared" si="142"/>
        <v>membuat gambar cerita</v>
      </c>
      <c r="JF12" s="577" t="str">
        <f>IF(IB12&gt;100,"",IF(IB12&gt;=DQ$1,"sangat baik dalam "&amp;JE12,IF(IB12&gt;=DQ$2,"baik dalam "&amp;JE12,IF(IB12&gt;=DQ$3,"cukup dalam "&amp;JE12,IF(IB12&lt;DQ$3,"dengan bimbingan dapat meningkatkan dalam "&amp;JE12,IF(IB12&lt;1," ",””))))))</f>
        <v>cukup dalam membuat gambar cerita</v>
      </c>
      <c r="JG12" s="223" t="str">
        <f t="shared" si="143"/>
        <v>Ananda Gresia baik dalam mempraktikkan pola lantai pada gerak tari kreasi dearah, cukup dalam membuat gambar cerita.</v>
      </c>
    </row>
    <row r="13" spans="1:267" ht="30" customHeight="1">
      <c r="A13" s="39">
        <v>6</v>
      </c>
      <c r="B13" s="223" t="str">
        <f>SISWA!B11</f>
        <v>Hasna Fathitya Sabrina</v>
      </c>
      <c r="C13" s="123">
        <v>80</v>
      </c>
      <c r="D13" s="123"/>
      <c r="E13" s="123"/>
      <c r="F13" s="123"/>
      <c r="G13" s="123"/>
      <c r="H13" s="123"/>
      <c r="I13" s="123"/>
      <c r="J13" s="255">
        <v>90</v>
      </c>
      <c r="K13" s="255"/>
      <c r="L13" s="255"/>
      <c r="M13" s="255"/>
      <c r="N13" s="255"/>
      <c r="O13" s="255"/>
      <c r="P13" s="255"/>
      <c r="Q13" s="256">
        <v>80</v>
      </c>
      <c r="R13" s="256"/>
      <c r="S13" s="256"/>
      <c r="T13" s="256"/>
      <c r="U13" s="256"/>
      <c r="V13" s="256"/>
      <c r="W13" s="256"/>
      <c r="X13" s="123"/>
      <c r="Y13" s="123"/>
      <c r="Z13" s="123">
        <v>90</v>
      </c>
      <c r="AA13" s="123"/>
      <c r="AB13" s="123"/>
      <c r="AC13" s="123"/>
      <c r="AD13" s="123"/>
      <c r="AE13" s="255"/>
      <c r="AF13" s="255"/>
      <c r="AG13" s="255">
        <v>85</v>
      </c>
      <c r="AH13" s="255"/>
      <c r="AI13" s="255"/>
      <c r="AJ13" s="255"/>
      <c r="AK13" s="255"/>
      <c r="AL13" s="256"/>
      <c r="AM13" s="256"/>
      <c r="AN13" s="256">
        <v>90</v>
      </c>
      <c r="AO13" s="256"/>
      <c r="AP13" s="256"/>
      <c r="AQ13" s="256"/>
      <c r="AR13" s="256"/>
      <c r="AS13" s="123"/>
      <c r="AT13" s="123">
        <v>75</v>
      </c>
      <c r="AU13" s="123"/>
      <c r="AV13" s="123"/>
      <c r="AW13" s="123"/>
      <c r="AX13" s="123"/>
      <c r="AY13" s="123"/>
      <c r="AZ13" s="255"/>
      <c r="BA13" s="255">
        <v>90</v>
      </c>
      <c r="BB13" s="255"/>
      <c r="BC13" s="255"/>
      <c r="BD13" s="255"/>
      <c r="BE13" s="255"/>
      <c r="BF13" s="255"/>
      <c r="BG13" s="256"/>
      <c r="BH13" s="256">
        <v>90</v>
      </c>
      <c r="BI13" s="256"/>
      <c r="BJ13" s="256"/>
      <c r="BK13" s="256"/>
      <c r="BL13" s="256"/>
      <c r="BM13" s="256"/>
      <c r="BN13" s="123"/>
      <c r="BO13" s="123"/>
      <c r="BP13" s="123">
        <v>90</v>
      </c>
      <c r="BQ13" s="123"/>
      <c r="BR13" s="123"/>
      <c r="BS13" s="123"/>
      <c r="BT13" s="123"/>
      <c r="BU13" s="255"/>
      <c r="BV13" s="255"/>
      <c r="BW13" s="255">
        <v>90</v>
      </c>
      <c r="BX13" s="255"/>
      <c r="BY13" s="255"/>
      <c r="BZ13" s="255"/>
      <c r="CA13" s="255"/>
      <c r="CB13" s="256"/>
      <c r="CC13" s="256"/>
      <c r="CD13" s="256">
        <v>75</v>
      </c>
      <c r="CE13" s="256"/>
      <c r="CF13" s="256"/>
      <c r="CG13" s="256"/>
      <c r="CH13" s="256"/>
      <c r="CI13" s="458"/>
      <c r="CJ13" s="458">
        <v>75</v>
      </c>
      <c r="CK13" s="458"/>
      <c r="CL13" s="458"/>
      <c r="CM13" s="458"/>
      <c r="CN13" s="458"/>
      <c r="CO13" s="458"/>
      <c r="CP13" s="459"/>
      <c r="CQ13" s="459">
        <v>90</v>
      </c>
      <c r="CR13" s="459"/>
      <c r="CS13" s="459"/>
      <c r="CT13" s="459"/>
      <c r="CU13" s="459"/>
      <c r="CV13" s="459"/>
      <c r="CW13" s="256"/>
      <c r="CX13" s="256">
        <v>80</v>
      </c>
      <c r="CY13" s="256"/>
      <c r="CZ13" s="256"/>
      <c r="DA13" s="256"/>
      <c r="DB13" s="256"/>
      <c r="DC13" s="256"/>
      <c r="DD13" s="257">
        <f t="shared" si="15"/>
        <v>83.333333333333329</v>
      </c>
      <c r="DE13" s="257">
        <f t="shared" si="16"/>
        <v>85</v>
      </c>
      <c r="DF13" s="257">
        <f t="shared" si="17"/>
        <v>90</v>
      </c>
      <c r="DG13" s="257" t="str">
        <f t="shared" si="18"/>
        <v/>
      </c>
      <c r="DH13" s="257" t="str">
        <f t="shared" si="19"/>
        <v/>
      </c>
      <c r="DI13" s="257" t="str">
        <f t="shared" si="20"/>
        <v/>
      </c>
      <c r="DJ13" s="257" t="str">
        <f t="shared" si="21"/>
        <v/>
      </c>
      <c r="DK13" s="756">
        <f t="shared" si="22"/>
        <v>86</v>
      </c>
      <c r="DL13" s="291" t="str">
        <f t="shared" si="23"/>
        <v>B</v>
      </c>
      <c r="DM13" s="243" t="str">
        <f t="shared" si="24"/>
        <v>Ananda Hasna baik dalam mempraktikkan pola lantai pada gerak tari kreasi dearah, baik dalam membuat gambar cerita.</v>
      </c>
      <c r="DN13" s="39"/>
      <c r="DO13" s="39"/>
      <c r="DP13" s="257">
        <f t="shared" si="25"/>
        <v>80</v>
      </c>
      <c r="DQ13" s="257">
        <f t="shared" si="26"/>
        <v>75</v>
      </c>
      <c r="DR13" s="257">
        <f t="shared" si="27"/>
        <v>90</v>
      </c>
      <c r="DS13" s="257">
        <f t="shared" si="28"/>
        <v>0</v>
      </c>
      <c r="DT13" s="257">
        <f t="shared" si="29"/>
        <v>0</v>
      </c>
      <c r="DU13" s="257">
        <f t="shared" si="30"/>
        <v>0</v>
      </c>
      <c r="DV13" s="257">
        <f t="shared" si="31"/>
        <v>0</v>
      </c>
      <c r="DW13" s="257"/>
      <c r="DX13" s="257"/>
      <c r="DY13" s="257"/>
      <c r="DZ13" s="257"/>
      <c r="EA13" s="232">
        <f t="shared" si="32"/>
        <v>90</v>
      </c>
      <c r="EB13" s="257">
        <f t="shared" si="33"/>
        <v>90</v>
      </c>
      <c r="EC13" s="257">
        <f t="shared" si="34"/>
        <v>90</v>
      </c>
      <c r="ED13" s="257">
        <f t="shared" si="35"/>
        <v>90</v>
      </c>
      <c r="EE13" s="257">
        <f t="shared" si="36"/>
        <v>0</v>
      </c>
      <c r="EF13" s="257">
        <f t="shared" si="37"/>
        <v>0</v>
      </c>
      <c r="EG13" s="257">
        <f t="shared" si="38"/>
        <v>0</v>
      </c>
      <c r="EH13" s="257">
        <f t="shared" si="39"/>
        <v>0</v>
      </c>
      <c r="EI13" s="257"/>
      <c r="EJ13" s="257"/>
      <c r="EK13" s="257"/>
      <c r="EL13" s="257"/>
      <c r="EM13" s="232">
        <f t="shared" si="40"/>
        <v>90</v>
      </c>
      <c r="EN13" s="257">
        <f t="shared" si="41"/>
        <v>80</v>
      </c>
      <c r="EO13" s="257">
        <f t="shared" si="42"/>
        <v>90</v>
      </c>
      <c r="EP13" s="257">
        <f t="shared" si="43"/>
        <v>90</v>
      </c>
      <c r="EQ13" s="257">
        <f t="shared" si="44"/>
        <v>0</v>
      </c>
      <c r="ER13" s="257">
        <f t="shared" si="45"/>
        <v>0</v>
      </c>
      <c r="ES13" s="257">
        <f t="shared" si="46"/>
        <v>0</v>
      </c>
      <c r="ET13" s="257">
        <f t="shared" si="47"/>
        <v>0</v>
      </c>
      <c r="EU13" s="257"/>
      <c r="EV13" s="257"/>
      <c r="EW13" s="257"/>
      <c r="EX13" s="257"/>
      <c r="EY13" s="232">
        <f t="shared" si="48"/>
        <v>90</v>
      </c>
      <c r="EZ13" s="257">
        <f t="shared" si="49"/>
        <v>80</v>
      </c>
      <c r="FA13" s="257">
        <f t="shared" si="50"/>
        <v>90</v>
      </c>
      <c r="FB13" s="257">
        <f t="shared" si="51"/>
        <v>80</v>
      </c>
      <c r="FC13" s="575">
        <f t="shared" si="52"/>
        <v>0</v>
      </c>
      <c r="FD13" s="506">
        <f t="shared" si="53"/>
        <v>3</v>
      </c>
      <c r="FE13" s="39">
        <f t="shared" si="54"/>
        <v>83.333333333333329</v>
      </c>
      <c r="FF13" s="257">
        <f t="shared" si="55"/>
        <v>75</v>
      </c>
      <c r="FG13" s="257">
        <f t="shared" si="56"/>
        <v>90</v>
      </c>
      <c r="FH13" s="257">
        <f t="shared" si="57"/>
        <v>90</v>
      </c>
      <c r="FI13" s="575">
        <f t="shared" si="58"/>
        <v>0</v>
      </c>
      <c r="FJ13" s="506">
        <f t="shared" si="59"/>
        <v>3</v>
      </c>
      <c r="FK13" s="39">
        <f t="shared" si="60"/>
        <v>85</v>
      </c>
      <c r="FL13" s="257">
        <f t="shared" si="61"/>
        <v>90</v>
      </c>
      <c r="FM13" s="257">
        <f t="shared" si="62"/>
        <v>90</v>
      </c>
      <c r="FN13" s="257">
        <f t="shared" si="63"/>
        <v>90</v>
      </c>
      <c r="FO13" s="575">
        <f t="shared" si="64"/>
        <v>0</v>
      </c>
      <c r="FP13" s="506">
        <f t="shared" si="65"/>
        <v>3</v>
      </c>
      <c r="FQ13" s="39">
        <f t="shared" si="66"/>
        <v>90</v>
      </c>
      <c r="FR13" s="257">
        <f t="shared" si="67"/>
        <v>0</v>
      </c>
      <c r="FS13" s="257">
        <f t="shared" si="68"/>
        <v>0</v>
      </c>
      <c r="FT13" s="257">
        <f t="shared" si="69"/>
        <v>0</v>
      </c>
      <c r="FU13" s="575">
        <f t="shared" si="70"/>
        <v>3</v>
      </c>
      <c r="FV13" s="506">
        <f t="shared" si="71"/>
        <v>0</v>
      </c>
      <c r="FW13" s="39" t="str">
        <f t="shared" si="72"/>
        <v/>
      </c>
      <c r="FX13" s="257">
        <f t="shared" si="73"/>
        <v>0</v>
      </c>
      <c r="FY13" s="257">
        <f t="shared" si="74"/>
        <v>0</v>
      </c>
      <c r="FZ13" s="257">
        <f t="shared" si="75"/>
        <v>0</v>
      </c>
      <c r="GA13" s="575">
        <f t="shared" si="76"/>
        <v>3</v>
      </c>
      <c r="GB13" s="506">
        <f t="shared" si="77"/>
        <v>0</v>
      </c>
      <c r="GC13" s="39" t="str">
        <f t="shared" si="78"/>
        <v/>
      </c>
      <c r="GD13" s="257">
        <f t="shared" si="79"/>
        <v>0</v>
      </c>
      <c r="GE13" s="257">
        <f t="shared" si="80"/>
        <v>0</v>
      </c>
      <c r="GF13" s="257">
        <f t="shared" si="81"/>
        <v>0</v>
      </c>
      <c r="GG13" s="575">
        <f t="shared" si="82"/>
        <v>3</v>
      </c>
      <c r="GH13" s="506">
        <f t="shared" si="83"/>
        <v>0</v>
      </c>
      <c r="GI13" s="39" t="str">
        <f t="shared" si="84"/>
        <v/>
      </c>
      <c r="GJ13" s="257">
        <f t="shared" si="85"/>
        <v>0</v>
      </c>
      <c r="GK13" s="257">
        <f t="shared" si="86"/>
        <v>0</v>
      </c>
      <c r="GL13" s="257">
        <f t="shared" si="87"/>
        <v>0</v>
      </c>
      <c r="GM13" s="575">
        <f t="shared" si="88"/>
        <v>3</v>
      </c>
      <c r="GN13" s="506">
        <f t="shared" si="89"/>
        <v>0</v>
      </c>
      <c r="GO13" s="39" t="str">
        <f t="shared" si="90"/>
        <v/>
      </c>
      <c r="GP13" s="257">
        <f t="shared" si="91"/>
        <v>0</v>
      </c>
      <c r="GQ13" s="257">
        <f t="shared" si="92"/>
        <v>0</v>
      </c>
      <c r="GR13" s="257">
        <f t="shared" si="93"/>
        <v>0</v>
      </c>
      <c r="GS13" s="575">
        <f t="shared" si="94"/>
        <v>3</v>
      </c>
      <c r="GT13" s="506">
        <f t="shared" si="95"/>
        <v>0</v>
      </c>
      <c r="GU13" s="39" t="str">
        <f t="shared" si="96"/>
        <v/>
      </c>
      <c r="GV13" s="257">
        <f t="shared" si="97"/>
        <v>0</v>
      </c>
      <c r="GW13" s="257">
        <f t="shared" si="98"/>
        <v>0</v>
      </c>
      <c r="GX13" s="257">
        <f t="shared" si="99"/>
        <v>0</v>
      </c>
      <c r="GY13" s="575">
        <f t="shared" si="100"/>
        <v>3</v>
      </c>
      <c r="GZ13" s="506">
        <f t="shared" si="101"/>
        <v>0</v>
      </c>
      <c r="HA13" s="39" t="str">
        <f t="shared" si="102"/>
        <v/>
      </c>
      <c r="HB13" s="257">
        <f t="shared" si="103"/>
        <v>0</v>
      </c>
      <c r="HC13" s="257">
        <f t="shared" si="104"/>
        <v>0</v>
      </c>
      <c r="HD13" s="257">
        <f t="shared" si="105"/>
        <v>0</v>
      </c>
      <c r="HE13" s="575">
        <f t="shared" si="106"/>
        <v>3</v>
      </c>
      <c r="HF13" s="506">
        <f t="shared" si="107"/>
        <v>0</v>
      </c>
      <c r="HG13" s="39" t="str">
        <f t="shared" si="108"/>
        <v/>
      </c>
      <c r="HH13" s="257">
        <f t="shared" si="109"/>
        <v>0</v>
      </c>
      <c r="HI13" s="257">
        <f t="shared" si="110"/>
        <v>0</v>
      </c>
      <c r="HJ13" s="257">
        <f t="shared" si="111"/>
        <v>0</v>
      </c>
      <c r="HK13" s="575">
        <f t="shared" si="112"/>
        <v>3</v>
      </c>
      <c r="HL13" s="506">
        <f t="shared" si="113"/>
        <v>0</v>
      </c>
      <c r="HM13" s="39" t="str">
        <f t="shared" si="114"/>
        <v/>
      </c>
      <c r="HN13" s="39"/>
      <c r="HO13" s="39">
        <f t="shared" si="115"/>
        <v>83.333333333333329</v>
      </c>
      <c r="HP13" s="39">
        <f t="shared" si="116"/>
        <v>85</v>
      </c>
      <c r="HQ13" s="39">
        <f t="shared" si="117"/>
        <v>90</v>
      </c>
      <c r="HR13" s="39" t="str">
        <f t="shared" si="118"/>
        <v/>
      </c>
      <c r="HS13" s="39" t="str">
        <f t="shared" si="119"/>
        <v/>
      </c>
      <c r="HT13" s="39" t="str">
        <f t="shared" si="120"/>
        <v/>
      </c>
      <c r="HU13" s="39" t="str">
        <f t="shared" si="121"/>
        <v/>
      </c>
      <c r="HV13" s="39"/>
      <c r="HW13" s="39"/>
      <c r="HX13" s="39"/>
      <c r="HY13" s="39"/>
      <c r="HZ13" s="39">
        <f t="shared" si="122"/>
        <v>86</v>
      </c>
      <c r="IA13" s="68">
        <f t="shared" si="123"/>
        <v>90</v>
      </c>
      <c r="IB13" s="68">
        <f t="shared" si="124"/>
        <v>83.333333333333329</v>
      </c>
      <c r="IC13" s="39" t="str">
        <f>SISWA!E11</f>
        <v>Hasna</v>
      </c>
      <c r="ID13" s="39" t="str">
        <f t="shared" si="125"/>
        <v xml:space="preserve">Ananda Hasna </v>
      </c>
      <c r="IE13" s="207" t="str">
        <f t="shared" si="126"/>
        <v/>
      </c>
      <c r="IF13" s="207" t="str">
        <f t="shared" si="127"/>
        <v/>
      </c>
      <c r="IG13" s="207">
        <f t="shared" si="128"/>
        <v>90</v>
      </c>
      <c r="IH13" s="207" t="str">
        <f t="shared" si="129"/>
        <v/>
      </c>
      <c r="II13" s="207" t="str">
        <f t="shared" si="130"/>
        <v/>
      </c>
      <c r="IJ13" s="207" t="str">
        <f t="shared" si="131"/>
        <v/>
      </c>
      <c r="IK13" s="207" t="str">
        <f t="shared" si="132"/>
        <v/>
      </c>
      <c r="IL13" s="207"/>
      <c r="IM13" s="207"/>
      <c r="IN13" s="207"/>
      <c r="IO13" s="207"/>
      <c r="IP13" s="39">
        <f t="shared" si="133"/>
        <v>90</v>
      </c>
      <c r="IQ13" s="68" t="str">
        <f t="shared" si="134"/>
        <v>mempraktikkan pola lantai pada gerak tari kreasi dearah</v>
      </c>
      <c r="IR13" s="576" t="str">
        <f>IF(IA13&gt;100,"",IF(IA13&gt;DQ$1,"sangat baik dalam "&amp;IQ13,IF(IA13&gt;=DQ$2,"baik dalam "&amp;IQ13,IF(IA13&gt;=DQ$3,"cukup dalam "&amp;IQ13,IF(IA13&lt;DQ$3,"dengan bimbingan dapat meningkatkan dalam "&amp;IQ13,IF(IA13&lt;1," ",””))))))</f>
        <v>baik dalam mempraktikkan pola lantai pada gerak tari kreasi dearah</v>
      </c>
      <c r="IS13" s="223"/>
      <c r="IT13" s="223">
        <f t="shared" si="135"/>
        <v>83.333333333333329</v>
      </c>
      <c r="IU13" s="223" t="str">
        <f t="shared" si="136"/>
        <v/>
      </c>
      <c r="IV13" s="223" t="str">
        <f t="shared" si="137"/>
        <v/>
      </c>
      <c r="IW13" s="223" t="str">
        <f t="shared" si="138"/>
        <v/>
      </c>
      <c r="IX13" s="223" t="str">
        <f t="shared" si="139"/>
        <v/>
      </c>
      <c r="IY13" s="223" t="str">
        <f t="shared" si="140"/>
        <v/>
      </c>
      <c r="IZ13" s="223" t="str">
        <f t="shared" si="141"/>
        <v/>
      </c>
      <c r="JA13" s="223"/>
      <c r="JB13" s="223"/>
      <c r="JC13" s="223"/>
      <c r="JD13" s="223"/>
      <c r="JE13" s="223" t="str">
        <f t="shared" si="142"/>
        <v>membuat gambar cerita</v>
      </c>
      <c r="JF13" s="577" t="str">
        <f>IF(IB13&gt;100,"",IF(IB13&gt;=DQ$1,"sangat baik dalam "&amp;JE13,IF(IB13&gt;=DQ$2,"baik dalam "&amp;JE13,IF(IB13&gt;=DQ$3,"cukup dalam "&amp;JE13,IF(IB13&lt;DQ$3,"dengan bimbingan dapat meningkatkan dalam "&amp;JE13,IF(IB13&lt;1," ",””))))))</f>
        <v>baik dalam membuat gambar cerita</v>
      </c>
      <c r="JG13" s="223" t="str">
        <f t="shared" si="143"/>
        <v>Ananda Hasna baik dalam mempraktikkan pola lantai pada gerak tari kreasi dearah, baik dalam membuat gambar cerita.</v>
      </c>
    </row>
    <row r="14" spans="1:267" ht="30" customHeight="1">
      <c r="A14" s="39">
        <v>7</v>
      </c>
      <c r="B14" s="223" t="str">
        <f>SISWA!B12</f>
        <v>Indah Fitria Ningrum</v>
      </c>
      <c r="C14" s="123">
        <v>75</v>
      </c>
      <c r="D14" s="123"/>
      <c r="E14" s="123"/>
      <c r="F14" s="123"/>
      <c r="G14" s="123"/>
      <c r="H14" s="123"/>
      <c r="I14" s="123"/>
      <c r="J14" s="255">
        <v>75</v>
      </c>
      <c r="K14" s="255"/>
      <c r="L14" s="255"/>
      <c r="M14" s="255"/>
      <c r="N14" s="255"/>
      <c r="O14" s="255"/>
      <c r="P14" s="255"/>
      <c r="Q14" s="256">
        <v>75</v>
      </c>
      <c r="R14" s="256"/>
      <c r="S14" s="256"/>
      <c r="T14" s="256"/>
      <c r="U14" s="256"/>
      <c r="V14" s="256"/>
      <c r="W14" s="256"/>
      <c r="X14" s="123"/>
      <c r="Y14" s="123"/>
      <c r="Z14" s="123">
        <v>75</v>
      </c>
      <c r="AA14" s="123"/>
      <c r="AB14" s="123"/>
      <c r="AC14" s="123"/>
      <c r="AD14" s="123"/>
      <c r="AE14" s="255"/>
      <c r="AF14" s="255"/>
      <c r="AG14" s="255">
        <v>85</v>
      </c>
      <c r="AH14" s="255"/>
      <c r="AI14" s="255"/>
      <c r="AJ14" s="255"/>
      <c r="AK14" s="255"/>
      <c r="AL14" s="256"/>
      <c r="AM14" s="256"/>
      <c r="AN14" s="256">
        <v>90</v>
      </c>
      <c r="AO14" s="256"/>
      <c r="AP14" s="256"/>
      <c r="AQ14" s="256"/>
      <c r="AR14" s="256"/>
      <c r="AS14" s="123"/>
      <c r="AT14" s="123">
        <v>90</v>
      </c>
      <c r="AU14" s="123"/>
      <c r="AV14" s="123"/>
      <c r="AW14" s="123"/>
      <c r="AX14" s="123"/>
      <c r="AY14" s="123"/>
      <c r="AZ14" s="255"/>
      <c r="BA14" s="255">
        <v>90</v>
      </c>
      <c r="BB14" s="255"/>
      <c r="BC14" s="255"/>
      <c r="BD14" s="255"/>
      <c r="BE14" s="255"/>
      <c r="BF14" s="255"/>
      <c r="BG14" s="256"/>
      <c r="BH14" s="256">
        <v>80</v>
      </c>
      <c r="BI14" s="256"/>
      <c r="BJ14" s="256"/>
      <c r="BK14" s="256"/>
      <c r="BL14" s="256"/>
      <c r="BM14" s="256"/>
      <c r="BN14" s="123"/>
      <c r="BO14" s="123"/>
      <c r="BP14" s="123">
        <v>90</v>
      </c>
      <c r="BQ14" s="123"/>
      <c r="BR14" s="123"/>
      <c r="BS14" s="123"/>
      <c r="BT14" s="123"/>
      <c r="BU14" s="255"/>
      <c r="BV14" s="255"/>
      <c r="BW14" s="255">
        <v>85</v>
      </c>
      <c r="BX14" s="255"/>
      <c r="BY14" s="255"/>
      <c r="BZ14" s="255"/>
      <c r="CA14" s="255"/>
      <c r="CB14" s="256"/>
      <c r="CC14" s="256"/>
      <c r="CD14" s="256">
        <v>85</v>
      </c>
      <c r="CE14" s="256"/>
      <c r="CF14" s="256"/>
      <c r="CG14" s="256"/>
      <c r="CH14" s="256"/>
      <c r="CI14" s="458"/>
      <c r="CJ14" s="458">
        <v>80</v>
      </c>
      <c r="CK14" s="458"/>
      <c r="CL14" s="458"/>
      <c r="CM14" s="458"/>
      <c r="CN14" s="458"/>
      <c r="CO14" s="458"/>
      <c r="CP14" s="459"/>
      <c r="CQ14" s="459">
        <v>85</v>
      </c>
      <c r="CR14" s="459"/>
      <c r="CS14" s="459"/>
      <c r="CT14" s="459"/>
      <c r="CU14" s="459"/>
      <c r="CV14" s="459"/>
      <c r="CW14" s="256"/>
      <c r="CX14" s="256">
        <v>85</v>
      </c>
      <c r="CY14" s="256"/>
      <c r="CZ14" s="256"/>
      <c r="DA14" s="256"/>
      <c r="DB14" s="256"/>
      <c r="DC14" s="256"/>
      <c r="DD14" s="257">
        <f t="shared" si="15"/>
        <v>75</v>
      </c>
      <c r="DE14" s="257">
        <f t="shared" si="16"/>
        <v>88.333333333333329</v>
      </c>
      <c r="DF14" s="257">
        <f t="shared" si="17"/>
        <v>88.333333333333329</v>
      </c>
      <c r="DG14" s="257" t="str">
        <f t="shared" si="18"/>
        <v/>
      </c>
      <c r="DH14" s="257" t="str">
        <f t="shared" si="19"/>
        <v/>
      </c>
      <c r="DI14" s="257" t="str">
        <f t="shared" si="20"/>
        <v/>
      </c>
      <c r="DJ14" s="257" t="str">
        <f t="shared" si="21"/>
        <v/>
      </c>
      <c r="DK14" s="756">
        <f t="shared" si="22"/>
        <v>84</v>
      </c>
      <c r="DL14" s="291" t="str">
        <f t="shared" si="23"/>
        <v>B</v>
      </c>
      <c r="DM14" s="243" t="str">
        <f t="shared" si="24"/>
        <v>Ananda Indah baik dalam mempraktikkan pola lantai pada gerak tari kreasi dearah, cukup dalam membuat gambar cerita.</v>
      </c>
      <c r="DN14" s="39"/>
      <c r="DO14" s="39"/>
      <c r="DP14" s="257">
        <f t="shared" si="25"/>
        <v>75</v>
      </c>
      <c r="DQ14" s="257">
        <f t="shared" si="26"/>
        <v>90</v>
      </c>
      <c r="DR14" s="257">
        <f t="shared" si="27"/>
        <v>90</v>
      </c>
      <c r="DS14" s="257">
        <f t="shared" si="28"/>
        <v>0</v>
      </c>
      <c r="DT14" s="257">
        <f t="shared" si="29"/>
        <v>0</v>
      </c>
      <c r="DU14" s="257">
        <f t="shared" si="30"/>
        <v>0</v>
      </c>
      <c r="DV14" s="257">
        <f t="shared" si="31"/>
        <v>0</v>
      </c>
      <c r="DW14" s="257"/>
      <c r="DX14" s="257"/>
      <c r="DY14" s="257"/>
      <c r="DZ14" s="257"/>
      <c r="EA14" s="232">
        <f t="shared" si="32"/>
        <v>90</v>
      </c>
      <c r="EB14" s="257">
        <f t="shared" si="33"/>
        <v>75</v>
      </c>
      <c r="EC14" s="257">
        <f t="shared" si="34"/>
        <v>90</v>
      </c>
      <c r="ED14" s="257">
        <f t="shared" si="35"/>
        <v>85</v>
      </c>
      <c r="EE14" s="257">
        <f t="shared" si="36"/>
        <v>0</v>
      </c>
      <c r="EF14" s="257">
        <f t="shared" si="37"/>
        <v>0</v>
      </c>
      <c r="EG14" s="257">
        <f t="shared" si="38"/>
        <v>0</v>
      </c>
      <c r="EH14" s="257">
        <f t="shared" si="39"/>
        <v>0</v>
      </c>
      <c r="EI14" s="257"/>
      <c r="EJ14" s="257"/>
      <c r="EK14" s="257"/>
      <c r="EL14" s="257"/>
      <c r="EM14" s="232">
        <f t="shared" si="40"/>
        <v>90</v>
      </c>
      <c r="EN14" s="257">
        <f t="shared" si="41"/>
        <v>75</v>
      </c>
      <c r="EO14" s="257">
        <f t="shared" si="42"/>
        <v>85</v>
      </c>
      <c r="EP14" s="257">
        <f t="shared" si="43"/>
        <v>90</v>
      </c>
      <c r="EQ14" s="257">
        <f t="shared" si="44"/>
        <v>0</v>
      </c>
      <c r="ER14" s="257">
        <f t="shared" si="45"/>
        <v>0</v>
      </c>
      <c r="ES14" s="257">
        <f t="shared" si="46"/>
        <v>0</v>
      </c>
      <c r="ET14" s="257">
        <f t="shared" si="47"/>
        <v>0</v>
      </c>
      <c r="EU14" s="257"/>
      <c r="EV14" s="257"/>
      <c r="EW14" s="257"/>
      <c r="EX14" s="257"/>
      <c r="EY14" s="232">
        <f t="shared" si="48"/>
        <v>90</v>
      </c>
      <c r="EZ14" s="257">
        <f t="shared" si="49"/>
        <v>75</v>
      </c>
      <c r="FA14" s="257">
        <f t="shared" si="50"/>
        <v>75</v>
      </c>
      <c r="FB14" s="257">
        <f t="shared" si="51"/>
        <v>75</v>
      </c>
      <c r="FC14" s="575">
        <f t="shared" si="52"/>
        <v>0</v>
      </c>
      <c r="FD14" s="506">
        <f t="shared" si="53"/>
        <v>3</v>
      </c>
      <c r="FE14" s="39">
        <f t="shared" si="54"/>
        <v>75</v>
      </c>
      <c r="FF14" s="257">
        <f t="shared" si="55"/>
        <v>90</v>
      </c>
      <c r="FG14" s="257">
        <f t="shared" si="56"/>
        <v>90</v>
      </c>
      <c r="FH14" s="257">
        <f t="shared" si="57"/>
        <v>85</v>
      </c>
      <c r="FI14" s="575">
        <f t="shared" si="58"/>
        <v>0</v>
      </c>
      <c r="FJ14" s="506">
        <f t="shared" si="59"/>
        <v>3</v>
      </c>
      <c r="FK14" s="39">
        <f t="shared" si="60"/>
        <v>88.333333333333329</v>
      </c>
      <c r="FL14" s="257">
        <f t="shared" si="61"/>
        <v>90</v>
      </c>
      <c r="FM14" s="257">
        <f t="shared" si="62"/>
        <v>85</v>
      </c>
      <c r="FN14" s="257">
        <f t="shared" si="63"/>
        <v>90</v>
      </c>
      <c r="FO14" s="575">
        <f t="shared" si="64"/>
        <v>0</v>
      </c>
      <c r="FP14" s="506">
        <f t="shared" si="65"/>
        <v>3</v>
      </c>
      <c r="FQ14" s="39">
        <f t="shared" si="66"/>
        <v>88.333333333333329</v>
      </c>
      <c r="FR14" s="257">
        <f t="shared" si="67"/>
        <v>0</v>
      </c>
      <c r="FS14" s="257">
        <f t="shared" si="68"/>
        <v>0</v>
      </c>
      <c r="FT14" s="257">
        <f t="shared" si="69"/>
        <v>0</v>
      </c>
      <c r="FU14" s="575">
        <f t="shared" si="70"/>
        <v>3</v>
      </c>
      <c r="FV14" s="506">
        <f t="shared" si="71"/>
        <v>0</v>
      </c>
      <c r="FW14" s="39" t="str">
        <f t="shared" si="72"/>
        <v/>
      </c>
      <c r="FX14" s="257">
        <f t="shared" si="73"/>
        <v>0</v>
      </c>
      <c r="FY14" s="257">
        <f t="shared" si="74"/>
        <v>0</v>
      </c>
      <c r="FZ14" s="257">
        <f t="shared" si="75"/>
        <v>0</v>
      </c>
      <c r="GA14" s="575">
        <f t="shared" si="76"/>
        <v>3</v>
      </c>
      <c r="GB14" s="506">
        <f t="shared" si="77"/>
        <v>0</v>
      </c>
      <c r="GC14" s="39" t="str">
        <f t="shared" si="78"/>
        <v/>
      </c>
      <c r="GD14" s="257">
        <f t="shared" si="79"/>
        <v>0</v>
      </c>
      <c r="GE14" s="257">
        <f t="shared" si="80"/>
        <v>0</v>
      </c>
      <c r="GF14" s="257">
        <f t="shared" si="81"/>
        <v>0</v>
      </c>
      <c r="GG14" s="575">
        <f t="shared" si="82"/>
        <v>3</v>
      </c>
      <c r="GH14" s="506">
        <f t="shared" si="83"/>
        <v>0</v>
      </c>
      <c r="GI14" s="39" t="str">
        <f t="shared" si="84"/>
        <v/>
      </c>
      <c r="GJ14" s="257">
        <f t="shared" si="85"/>
        <v>0</v>
      </c>
      <c r="GK14" s="257">
        <f t="shared" si="86"/>
        <v>0</v>
      </c>
      <c r="GL14" s="257">
        <f t="shared" si="87"/>
        <v>0</v>
      </c>
      <c r="GM14" s="575">
        <f t="shared" si="88"/>
        <v>3</v>
      </c>
      <c r="GN14" s="506">
        <f t="shared" si="89"/>
        <v>0</v>
      </c>
      <c r="GO14" s="39" t="str">
        <f t="shared" si="90"/>
        <v/>
      </c>
      <c r="GP14" s="257">
        <f t="shared" si="91"/>
        <v>0</v>
      </c>
      <c r="GQ14" s="257">
        <f t="shared" si="92"/>
        <v>0</v>
      </c>
      <c r="GR14" s="257">
        <f t="shared" si="93"/>
        <v>0</v>
      </c>
      <c r="GS14" s="575">
        <f t="shared" si="94"/>
        <v>3</v>
      </c>
      <c r="GT14" s="506">
        <f t="shared" si="95"/>
        <v>0</v>
      </c>
      <c r="GU14" s="39" t="str">
        <f t="shared" si="96"/>
        <v/>
      </c>
      <c r="GV14" s="257">
        <f t="shared" si="97"/>
        <v>0</v>
      </c>
      <c r="GW14" s="257">
        <f t="shared" si="98"/>
        <v>0</v>
      </c>
      <c r="GX14" s="257">
        <f t="shared" si="99"/>
        <v>0</v>
      </c>
      <c r="GY14" s="575">
        <f t="shared" si="100"/>
        <v>3</v>
      </c>
      <c r="GZ14" s="506">
        <f t="shared" si="101"/>
        <v>0</v>
      </c>
      <c r="HA14" s="39" t="str">
        <f t="shared" si="102"/>
        <v/>
      </c>
      <c r="HB14" s="257">
        <f t="shared" si="103"/>
        <v>0</v>
      </c>
      <c r="HC14" s="257">
        <f t="shared" si="104"/>
        <v>0</v>
      </c>
      <c r="HD14" s="257">
        <f t="shared" si="105"/>
        <v>0</v>
      </c>
      <c r="HE14" s="575">
        <f t="shared" si="106"/>
        <v>3</v>
      </c>
      <c r="HF14" s="506">
        <f t="shared" si="107"/>
        <v>0</v>
      </c>
      <c r="HG14" s="39" t="str">
        <f t="shared" si="108"/>
        <v/>
      </c>
      <c r="HH14" s="257">
        <f t="shared" si="109"/>
        <v>0</v>
      </c>
      <c r="HI14" s="257">
        <f t="shared" si="110"/>
        <v>0</v>
      </c>
      <c r="HJ14" s="257">
        <f t="shared" si="111"/>
        <v>0</v>
      </c>
      <c r="HK14" s="575">
        <f t="shared" si="112"/>
        <v>3</v>
      </c>
      <c r="HL14" s="506">
        <f t="shared" si="113"/>
        <v>0</v>
      </c>
      <c r="HM14" s="39" t="str">
        <f t="shared" si="114"/>
        <v/>
      </c>
      <c r="HN14" s="39"/>
      <c r="HO14" s="39">
        <f t="shared" si="115"/>
        <v>75</v>
      </c>
      <c r="HP14" s="39">
        <f t="shared" si="116"/>
        <v>88.333333333333329</v>
      </c>
      <c r="HQ14" s="39">
        <f t="shared" si="117"/>
        <v>88.333333333333329</v>
      </c>
      <c r="HR14" s="39" t="str">
        <f t="shared" si="118"/>
        <v/>
      </c>
      <c r="HS14" s="39" t="str">
        <f t="shared" si="119"/>
        <v/>
      </c>
      <c r="HT14" s="39" t="str">
        <f t="shared" si="120"/>
        <v/>
      </c>
      <c r="HU14" s="39" t="str">
        <f t="shared" si="121"/>
        <v/>
      </c>
      <c r="HV14" s="39"/>
      <c r="HW14" s="39"/>
      <c r="HX14" s="39"/>
      <c r="HY14" s="39"/>
      <c r="HZ14" s="39">
        <f t="shared" si="122"/>
        <v>84</v>
      </c>
      <c r="IA14" s="68">
        <f t="shared" si="123"/>
        <v>88.333333333333329</v>
      </c>
      <c r="IB14" s="68">
        <f t="shared" si="124"/>
        <v>75</v>
      </c>
      <c r="IC14" s="39" t="str">
        <f>SISWA!E12</f>
        <v>Indah</v>
      </c>
      <c r="ID14" s="39" t="str">
        <f t="shared" si="125"/>
        <v xml:space="preserve">Ananda Indah </v>
      </c>
      <c r="IE14" s="207" t="str">
        <f t="shared" si="126"/>
        <v/>
      </c>
      <c r="IF14" s="207">
        <f t="shared" si="127"/>
        <v>88.333333333333329</v>
      </c>
      <c r="IG14" s="207">
        <f t="shared" si="128"/>
        <v>88.333333333333329</v>
      </c>
      <c r="IH14" s="207" t="str">
        <f t="shared" si="129"/>
        <v/>
      </c>
      <c r="II14" s="207" t="str">
        <f t="shared" si="130"/>
        <v/>
      </c>
      <c r="IJ14" s="207" t="str">
        <f t="shared" si="131"/>
        <v/>
      </c>
      <c r="IK14" s="207" t="str">
        <f t="shared" si="132"/>
        <v/>
      </c>
      <c r="IL14" s="207"/>
      <c r="IM14" s="207"/>
      <c r="IN14" s="207"/>
      <c r="IO14" s="207"/>
      <c r="IP14" s="39">
        <f t="shared" si="133"/>
        <v>176.66666666666666</v>
      </c>
      <c r="IQ14" s="68" t="str">
        <f t="shared" si="134"/>
        <v>mempraktikkan pola lantai pada gerak tari kreasi dearah</v>
      </c>
      <c r="IR14" s="576" t="str">
        <f>IF(IA14&gt;100,"",IF(IA14&gt;DQ$1,"sangat baik dalam "&amp;IQ14,IF(IA14&gt;=DQ$2,"baik dalam "&amp;IQ14,IF(IA14&gt;=DQ$3,"cukup dalam "&amp;IQ14,IF(IA14&lt;DQ$3,"dengan bimbingan dapat meningkatkan dalam "&amp;IQ14,IF(IA14&lt;1," ",””))))))</f>
        <v>baik dalam mempraktikkan pola lantai pada gerak tari kreasi dearah</v>
      </c>
      <c r="IS14" s="223"/>
      <c r="IT14" s="223">
        <f t="shared" si="135"/>
        <v>75</v>
      </c>
      <c r="IU14" s="223" t="str">
        <f t="shared" si="136"/>
        <v/>
      </c>
      <c r="IV14" s="223" t="str">
        <f t="shared" si="137"/>
        <v/>
      </c>
      <c r="IW14" s="223" t="str">
        <f t="shared" si="138"/>
        <v/>
      </c>
      <c r="IX14" s="223" t="str">
        <f t="shared" si="139"/>
        <v/>
      </c>
      <c r="IY14" s="223" t="str">
        <f t="shared" si="140"/>
        <v/>
      </c>
      <c r="IZ14" s="223" t="str">
        <f t="shared" si="141"/>
        <v/>
      </c>
      <c r="JA14" s="223"/>
      <c r="JB14" s="223"/>
      <c r="JC14" s="223"/>
      <c r="JD14" s="223"/>
      <c r="JE14" s="223" t="str">
        <f t="shared" si="142"/>
        <v>membuat gambar cerita</v>
      </c>
      <c r="JF14" s="577" t="str">
        <f>IF(IB14&gt;100,"",IF(IB14&gt;=DQ$1,"sangat baik dalam "&amp;JE14,IF(IB14&gt;=DQ$2,"baik dalam "&amp;JE14,IF(IB14&gt;=DQ$3,"cukup dalam "&amp;JE14,IF(IB14&lt;DQ$3,"dengan bimbingan dapat meningkatkan dalam "&amp;JE14,IF(IB14&lt;1," ",””))))))</f>
        <v>cukup dalam membuat gambar cerita</v>
      </c>
      <c r="JG14" s="223" t="str">
        <f t="shared" si="143"/>
        <v>Ananda Indah baik dalam mempraktikkan pola lantai pada gerak tari kreasi dearah, cukup dalam membuat gambar cerita.</v>
      </c>
    </row>
    <row r="15" spans="1:267" ht="30" customHeight="1">
      <c r="A15" s="39">
        <v>8</v>
      </c>
      <c r="B15" s="223" t="str">
        <f>SISWA!B13</f>
        <v>Muhammad Ilham Sarifuddin</v>
      </c>
      <c r="C15" s="123">
        <v>85</v>
      </c>
      <c r="D15" s="123"/>
      <c r="E15" s="123"/>
      <c r="F15" s="123"/>
      <c r="G15" s="123"/>
      <c r="H15" s="123"/>
      <c r="I15" s="123"/>
      <c r="J15" s="255">
        <v>80</v>
      </c>
      <c r="K15" s="255"/>
      <c r="L15" s="255"/>
      <c r="M15" s="255"/>
      <c r="N15" s="255"/>
      <c r="O15" s="255"/>
      <c r="P15" s="255"/>
      <c r="Q15" s="256">
        <v>75</v>
      </c>
      <c r="R15" s="256"/>
      <c r="S15" s="256"/>
      <c r="T15" s="256"/>
      <c r="U15" s="256"/>
      <c r="V15" s="256"/>
      <c r="W15" s="256"/>
      <c r="X15" s="123"/>
      <c r="Y15" s="123"/>
      <c r="Z15" s="123">
        <v>75</v>
      </c>
      <c r="AA15" s="123"/>
      <c r="AB15" s="123"/>
      <c r="AC15" s="123"/>
      <c r="AD15" s="123"/>
      <c r="AE15" s="255"/>
      <c r="AF15" s="255"/>
      <c r="AG15" s="255">
        <v>75</v>
      </c>
      <c r="AH15" s="255"/>
      <c r="AI15" s="255"/>
      <c r="AJ15" s="255"/>
      <c r="AK15" s="255"/>
      <c r="AL15" s="256"/>
      <c r="AM15" s="256"/>
      <c r="AN15" s="256">
        <v>75</v>
      </c>
      <c r="AO15" s="256"/>
      <c r="AP15" s="256"/>
      <c r="AQ15" s="256"/>
      <c r="AR15" s="256"/>
      <c r="AS15" s="123"/>
      <c r="AT15" s="123">
        <v>90</v>
      </c>
      <c r="AU15" s="123"/>
      <c r="AV15" s="123"/>
      <c r="AW15" s="123"/>
      <c r="AX15" s="123"/>
      <c r="AY15" s="123"/>
      <c r="AZ15" s="255"/>
      <c r="BA15" s="255">
        <v>85</v>
      </c>
      <c r="BB15" s="255"/>
      <c r="BC15" s="255"/>
      <c r="BD15" s="255"/>
      <c r="BE15" s="255"/>
      <c r="BF15" s="255"/>
      <c r="BG15" s="256"/>
      <c r="BH15" s="256">
        <v>75</v>
      </c>
      <c r="BI15" s="256"/>
      <c r="BJ15" s="256"/>
      <c r="BK15" s="256"/>
      <c r="BL15" s="256"/>
      <c r="BM15" s="256"/>
      <c r="BN15" s="123"/>
      <c r="BO15" s="123"/>
      <c r="BP15" s="123">
        <v>90</v>
      </c>
      <c r="BQ15" s="123"/>
      <c r="BR15" s="123"/>
      <c r="BS15" s="123"/>
      <c r="BT15" s="123"/>
      <c r="BU15" s="255"/>
      <c r="BV15" s="255"/>
      <c r="BW15" s="255">
        <v>75</v>
      </c>
      <c r="BX15" s="255"/>
      <c r="BY15" s="255"/>
      <c r="BZ15" s="255"/>
      <c r="CA15" s="255"/>
      <c r="CB15" s="256"/>
      <c r="CC15" s="256"/>
      <c r="CD15" s="256">
        <v>75</v>
      </c>
      <c r="CE15" s="256"/>
      <c r="CF15" s="256"/>
      <c r="CG15" s="256"/>
      <c r="CH15" s="256"/>
      <c r="CI15" s="458"/>
      <c r="CJ15" s="458">
        <v>85</v>
      </c>
      <c r="CK15" s="458"/>
      <c r="CL15" s="458"/>
      <c r="CM15" s="458"/>
      <c r="CN15" s="458"/>
      <c r="CO15" s="458"/>
      <c r="CP15" s="459"/>
      <c r="CQ15" s="459">
        <v>80</v>
      </c>
      <c r="CR15" s="459"/>
      <c r="CS15" s="459"/>
      <c r="CT15" s="459"/>
      <c r="CU15" s="459"/>
      <c r="CV15" s="459"/>
      <c r="CW15" s="256"/>
      <c r="CX15" s="256">
        <v>80</v>
      </c>
      <c r="CY15" s="256"/>
      <c r="CZ15" s="256"/>
      <c r="DA15" s="256"/>
      <c r="DB15" s="256"/>
      <c r="DC15" s="256"/>
      <c r="DD15" s="257">
        <f t="shared" si="15"/>
        <v>80</v>
      </c>
      <c r="DE15" s="257">
        <f t="shared" si="16"/>
        <v>85</v>
      </c>
      <c r="DF15" s="257">
        <f t="shared" si="17"/>
        <v>80</v>
      </c>
      <c r="DG15" s="257" t="str">
        <f t="shared" si="18"/>
        <v/>
      </c>
      <c r="DH15" s="257" t="str">
        <f t="shared" si="19"/>
        <v/>
      </c>
      <c r="DI15" s="257" t="str">
        <f t="shared" si="20"/>
        <v/>
      </c>
      <c r="DJ15" s="257" t="str">
        <f t="shared" si="21"/>
        <v/>
      </c>
      <c r="DK15" s="756">
        <f t="shared" si="22"/>
        <v>82</v>
      </c>
      <c r="DL15" s="291" t="str">
        <f t="shared" si="23"/>
        <v>C</v>
      </c>
      <c r="DM15" s="243" t="str">
        <f t="shared" si="24"/>
        <v>Ananda Ilham baik dalam menyanyikan lagu-lagu dalam berbagai tangga nada dengan iringan musik, cukup dalam mempraktikkan pola lantai pada gerak tari kreasi dearah.</v>
      </c>
      <c r="DN15" s="39"/>
      <c r="DO15" s="39"/>
      <c r="DP15" s="257">
        <f t="shared" si="25"/>
        <v>85</v>
      </c>
      <c r="DQ15" s="257">
        <f t="shared" si="26"/>
        <v>90</v>
      </c>
      <c r="DR15" s="257">
        <f t="shared" si="27"/>
        <v>90</v>
      </c>
      <c r="DS15" s="257">
        <f t="shared" si="28"/>
        <v>0</v>
      </c>
      <c r="DT15" s="257">
        <f t="shared" si="29"/>
        <v>0</v>
      </c>
      <c r="DU15" s="257">
        <f t="shared" si="30"/>
        <v>0</v>
      </c>
      <c r="DV15" s="257">
        <f t="shared" si="31"/>
        <v>0</v>
      </c>
      <c r="DW15" s="257"/>
      <c r="DX15" s="257"/>
      <c r="DY15" s="257"/>
      <c r="DZ15" s="257"/>
      <c r="EA15" s="232">
        <f t="shared" si="32"/>
        <v>90</v>
      </c>
      <c r="EB15" s="257">
        <f t="shared" si="33"/>
        <v>80</v>
      </c>
      <c r="EC15" s="257">
        <f t="shared" si="34"/>
        <v>85</v>
      </c>
      <c r="ED15" s="257">
        <f t="shared" si="35"/>
        <v>75</v>
      </c>
      <c r="EE15" s="257">
        <f t="shared" si="36"/>
        <v>0</v>
      </c>
      <c r="EF15" s="257">
        <f t="shared" si="37"/>
        <v>0</v>
      </c>
      <c r="EG15" s="257">
        <f t="shared" si="38"/>
        <v>0</v>
      </c>
      <c r="EH15" s="257">
        <f t="shared" si="39"/>
        <v>0</v>
      </c>
      <c r="EI15" s="257"/>
      <c r="EJ15" s="257"/>
      <c r="EK15" s="257"/>
      <c r="EL15" s="257"/>
      <c r="EM15" s="232">
        <f t="shared" si="40"/>
        <v>85</v>
      </c>
      <c r="EN15" s="257">
        <f t="shared" si="41"/>
        <v>75</v>
      </c>
      <c r="EO15" s="257">
        <f t="shared" si="42"/>
        <v>80</v>
      </c>
      <c r="EP15" s="257">
        <f t="shared" si="43"/>
        <v>75</v>
      </c>
      <c r="EQ15" s="257">
        <f t="shared" si="44"/>
        <v>0</v>
      </c>
      <c r="ER15" s="257">
        <f t="shared" si="45"/>
        <v>0</v>
      </c>
      <c r="ES15" s="257">
        <f t="shared" si="46"/>
        <v>0</v>
      </c>
      <c r="ET15" s="257">
        <f t="shared" si="47"/>
        <v>0</v>
      </c>
      <c r="EU15" s="257"/>
      <c r="EV15" s="257"/>
      <c r="EW15" s="257"/>
      <c r="EX15" s="257"/>
      <c r="EY15" s="232">
        <f t="shared" si="48"/>
        <v>80</v>
      </c>
      <c r="EZ15" s="257">
        <f t="shared" si="49"/>
        <v>85</v>
      </c>
      <c r="FA15" s="257">
        <f t="shared" si="50"/>
        <v>80</v>
      </c>
      <c r="FB15" s="257">
        <f t="shared" si="51"/>
        <v>75</v>
      </c>
      <c r="FC15" s="575">
        <f t="shared" si="52"/>
        <v>0</v>
      </c>
      <c r="FD15" s="506">
        <f t="shared" si="53"/>
        <v>3</v>
      </c>
      <c r="FE15" s="39">
        <f t="shared" si="54"/>
        <v>80</v>
      </c>
      <c r="FF15" s="257">
        <f t="shared" si="55"/>
        <v>90</v>
      </c>
      <c r="FG15" s="257">
        <f t="shared" si="56"/>
        <v>85</v>
      </c>
      <c r="FH15" s="257">
        <f t="shared" si="57"/>
        <v>80</v>
      </c>
      <c r="FI15" s="575">
        <f t="shared" si="58"/>
        <v>0</v>
      </c>
      <c r="FJ15" s="506">
        <f t="shared" si="59"/>
        <v>3</v>
      </c>
      <c r="FK15" s="39">
        <f t="shared" si="60"/>
        <v>85</v>
      </c>
      <c r="FL15" s="257">
        <f t="shared" si="61"/>
        <v>90</v>
      </c>
      <c r="FM15" s="257">
        <f t="shared" si="62"/>
        <v>75</v>
      </c>
      <c r="FN15" s="257">
        <f t="shared" si="63"/>
        <v>75</v>
      </c>
      <c r="FO15" s="575">
        <f t="shared" si="64"/>
        <v>0</v>
      </c>
      <c r="FP15" s="506">
        <f t="shared" si="65"/>
        <v>3</v>
      </c>
      <c r="FQ15" s="39">
        <f t="shared" si="66"/>
        <v>80</v>
      </c>
      <c r="FR15" s="257">
        <f t="shared" si="67"/>
        <v>0</v>
      </c>
      <c r="FS15" s="257">
        <f t="shared" si="68"/>
        <v>0</v>
      </c>
      <c r="FT15" s="257">
        <f t="shared" si="69"/>
        <v>0</v>
      </c>
      <c r="FU15" s="575">
        <f t="shared" si="70"/>
        <v>3</v>
      </c>
      <c r="FV15" s="506">
        <f t="shared" si="71"/>
        <v>0</v>
      </c>
      <c r="FW15" s="39" t="str">
        <f t="shared" si="72"/>
        <v/>
      </c>
      <c r="FX15" s="257">
        <f t="shared" si="73"/>
        <v>0</v>
      </c>
      <c r="FY15" s="257">
        <f t="shared" si="74"/>
        <v>0</v>
      </c>
      <c r="FZ15" s="257">
        <f t="shared" si="75"/>
        <v>0</v>
      </c>
      <c r="GA15" s="575">
        <f t="shared" si="76"/>
        <v>3</v>
      </c>
      <c r="GB15" s="506">
        <f t="shared" si="77"/>
        <v>0</v>
      </c>
      <c r="GC15" s="39" t="str">
        <f t="shared" si="78"/>
        <v/>
      </c>
      <c r="GD15" s="257">
        <f t="shared" si="79"/>
        <v>0</v>
      </c>
      <c r="GE15" s="257">
        <f t="shared" si="80"/>
        <v>0</v>
      </c>
      <c r="GF15" s="257">
        <f t="shared" si="81"/>
        <v>0</v>
      </c>
      <c r="GG15" s="575">
        <f t="shared" si="82"/>
        <v>3</v>
      </c>
      <c r="GH15" s="506">
        <f t="shared" si="83"/>
        <v>0</v>
      </c>
      <c r="GI15" s="39" t="str">
        <f t="shared" si="84"/>
        <v/>
      </c>
      <c r="GJ15" s="257">
        <f t="shared" si="85"/>
        <v>0</v>
      </c>
      <c r="GK15" s="257">
        <f t="shared" si="86"/>
        <v>0</v>
      </c>
      <c r="GL15" s="257">
        <f t="shared" si="87"/>
        <v>0</v>
      </c>
      <c r="GM15" s="575">
        <f t="shared" si="88"/>
        <v>3</v>
      </c>
      <c r="GN15" s="506">
        <f t="shared" si="89"/>
        <v>0</v>
      </c>
      <c r="GO15" s="39" t="str">
        <f t="shared" si="90"/>
        <v/>
      </c>
      <c r="GP15" s="257">
        <f t="shared" si="91"/>
        <v>0</v>
      </c>
      <c r="GQ15" s="257">
        <f t="shared" si="92"/>
        <v>0</v>
      </c>
      <c r="GR15" s="257">
        <f t="shared" si="93"/>
        <v>0</v>
      </c>
      <c r="GS15" s="575">
        <f t="shared" si="94"/>
        <v>3</v>
      </c>
      <c r="GT15" s="506">
        <f t="shared" si="95"/>
        <v>0</v>
      </c>
      <c r="GU15" s="39" t="str">
        <f t="shared" si="96"/>
        <v/>
      </c>
      <c r="GV15" s="257">
        <f t="shared" si="97"/>
        <v>0</v>
      </c>
      <c r="GW15" s="257">
        <f t="shared" si="98"/>
        <v>0</v>
      </c>
      <c r="GX15" s="257">
        <f t="shared" si="99"/>
        <v>0</v>
      </c>
      <c r="GY15" s="575">
        <f t="shared" si="100"/>
        <v>3</v>
      </c>
      <c r="GZ15" s="506">
        <f t="shared" si="101"/>
        <v>0</v>
      </c>
      <c r="HA15" s="39" t="str">
        <f t="shared" si="102"/>
        <v/>
      </c>
      <c r="HB15" s="257">
        <f t="shared" si="103"/>
        <v>0</v>
      </c>
      <c r="HC15" s="257">
        <f t="shared" si="104"/>
        <v>0</v>
      </c>
      <c r="HD15" s="257">
        <f t="shared" si="105"/>
        <v>0</v>
      </c>
      <c r="HE15" s="575">
        <f t="shared" si="106"/>
        <v>3</v>
      </c>
      <c r="HF15" s="506">
        <f t="shared" si="107"/>
        <v>0</v>
      </c>
      <c r="HG15" s="39" t="str">
        <f t="shared" si="108"/>
        <v/>
      </c>
      <c r="HH15" s="257">
        <f t="shared" si="109"/>
        <v>0</v>
      </c>
      <c r="HI15" s="257">
        <f t="shared" si="110"/>
        <v>0</v>
      </c>
      <c r="HJ15" s="257">
        <f t="shared" si="111"/>
        <v>0</v>
      </c>
      <c r="HK15" s="575">
        <f t="shared" si="112"/>
        <v>3</v>
      </c>
      <c r="HL15" s="506">
        <f t="shared" si="113"/>
        <v>0</v>
      </c>
      <c r="HM15" s="39" t="str">
        <f t="shared" si="114"/>
        <v/>
      </c>
      <c r="HN15" s="39"/>
      <c r="HO15" s="39">
        <f t="shared" si="115"/>
        <v>80</v>
      </c>
      <c r="HP15" s="39">
        <f t="shared" si="116"/>
        <v>85</v>
      </c>
      <c r="HQ15" s="39">
        <f t="shared" si="117"/>
        <v>80</v>
      </c>
      <c r="HR15" s="39" t="str">
        <f t="shared" si="118"/>
        <v/>
      </c>
      <c r="HS15" s="39" t="str">
        <f t="shared" si="119"/>
        <v/>
      </c>
      <c r="HT15" s="39" t="str">
        <f t="shared" si="120"/>
        <v/>
      </c>
      <c r="HU15" s="39" t="str">
        <f t="shared" si="121"/>
        <v/>
      </c>
      <c r="HV15" s="39"/>
      <c r="HW15" s="39"/>
      <c r="HX15" s="39"/>
      <c r="HY15" s="39"/>
      <c r="HZ15" s="39">
        <f t="shared" si="122"/>
        <v>82</v>
      </c>
      <c r="IA15" s="68">
        <f t="shared" si="123"/>
        <v>85</v>
      </c>
      <c r="IB15" s="68">
        <f t="shared" si="124"/>
        <v>80</v>
      </c>
      <c r="IC15" s="39" t="str">
        <f>SISWA!E13</f>
        <v>Ilham</v>
      </c>
      <c r="ID15" s="39" t="str">
        <f t="shared" si="125"/>
        <v xml:space="preserve">Ananda Ilham </v>
      </c>
      <c r="IE15" s="207" t="str">
        <f t="shared" si="126"/>
        <v/>
      </c>
      <c r="IF15" s="207">
        <f t="shared" si="127"/>
        <v>85</v>
      </c>
      <c r="IG15" s="207" t="str">
        <f t="shared" si="128"/>
        <v/>
      </c>
      <c r="IH15" s="207" t="str">
        <f t="shared" si="129"/>
        <v/>
      </c>
      <c r="II15" s="207" t="str">
        <f t="shared" si="130"/>
        <v/>
      </c>
      <c r="IJ15" s="207" t="str">
        <f t="shared" si="131"/>
        <v/>
      </c>
      <c r="IK15" s="207" t="str">
        <f t="shared" si="132"/>
        <v/>
      </c>
      <c r="IL15" s="207"/>
      <c r="IM15" s="207"/>
      <c r="IN15" s="207"/>
      <c r="IO15" s="207"/>
      <c r="IP15" s="39">
        <f t="shared" si="133"/>
        <v>85</v>
      </c>
      <c r="IQ15" s="68" t="str">
        <f t="shared" si="134"/>
        <v>menyanyikan lagu-lagu dalam berbagai tangga nada dengan iringan musik</v>
      </c>
      <c r="IR15" s="576" t="str">
        <f>IF(IA15&gt;100,"",IF(IA15&gt;DQ$1,"sangat baik dalam "&amp;IQ15,IF(IA15&gt;=DQ$2,"baik dalam "&amp;IQ15,IF(IA15&gt;=DQ$3,"cukup dalam "&amp;IQ15,IF(IA15&lt;DQ$3,"dengan bimbingan dapat meningkatkan dalam "&amp;IQ15,IF(IA15&lt;1," ",””))))))</f>
        <v>baik dalam menyanyikan lagu-lagu dalam berbagai tangga nada dengan iringan musik</v>
      </c>
      <c r="IS15" s="223"/>
      <c r="IT15" s="223">
        <f t="shared" si="135"/>
        <v>80</v>
      </c>
      <c r="IU15" s="223" t="str">
        <f t="shared" si="136"/>
        <v/>
      </c>
      <c r="IV15" s="223">
        <f t="shared" si="137"/>
        <v>80</v>
      </c>
      <c r="IW15" s="223" t="str">
        <f t="shared" si="138"/>
        <v/>
      </c>
      <c r="IX15" s="223" t="str">
        <f t="shared" si="139"/>
        <v/>
      </c>
      <c r="IY15" s="223" t="str">
        <f t="shared" si="140"/>
        <v/>
      </c>
      <c r="IZ15" s="223" t="str">
        <f t="shared" si="141"/>
        <v/>
      </c>
      <c r="JA15" s="223"/>
      <c r="JB15" s="223"/>
      <c r="JC15" s="223"/>
      <c r="JD15" s="223"/>
      <c r="JE15" s="223" t="str">
        <f t="shared" si="142"/>
        <v>mempraktikkan pola lantai pada gerak tari kreasi dearah</v>
      </c>
      <c r="JF15" s="577" t="str">
        <f>IF(IB15&gt;100,"",IF(IB15&gt;=DQ$1,"sangat baik dalam "&amp;JE15,IF(IB15&gt;=DQ$2,"baik dalam "&amp;JE15,IF(IB15&gt;=DQ$3,"cukup dalam "&amp;JE15,IF(IB15&lt;DQ$3,"dengan bimbingan dapat meningkatkan dalam "&amp;JE15,IF(IB15&lt;1," ",””))))))</f>
        <v>cukup dalam mempraktikkan pola lantai pada gerak tari kreasi dearah</v>
      </c>
      <c r="JG15" s="223" t="str">
        <f t="shared" si="143"/>
        <v>Ananda Ilham baik dalam menyanyikan lagu-lagu dalam berbagai tangga nada dengan iringan musik, cukup dalam mempraktikkan pola lantai pada gerak tari kreasi dearah.</v>
      </c>
    </row>
    <row r="16" spans="1:267" ht="30" customHeight="1">
      <c r="A16" s="39">
        <v>9</v>
      </c>
      <c r="B16" s="223" t="str">
        <f>SISWA!B14</f>
        <v>Muhammad Raditya Ainul Yaqin</v>
      </c>
      <c r="C16" s="123">
        <v>90</v>
      </c>
      <c r="D16" s="123"/>
      <c r="E16" s="123"/>
      <c r="F16" s="123"/>
      <c r="G16" s="123"/>
      <c r="H16" s="123"/>
      <c r="I16" s="123"/>
      <c r="J16" s="255">
        <v>85</v>
      </c>
      <c r="K16" s="255"/>
      <c r="L16" s="255"/>
      <c r="M16" s="255"/>
      <c r="N16" s="255"/>
      <c r="O16" s="255"/>
      <c r="P16" s="255"/>
      <c r="Q16" s="256">
        <v>75</v>
      </c>
      <c r="R16" s="256"/>
      <c r="S16" s="256"/>
      <c r="T16" s="256"/>
      <c r="U16" s="256"/>
      <c r="V16" s="256"/>
      <c r="W16" s="256"/>
      <c r="X16" s="123"/>
      <c r="Y16" s="123"/>
      <c r="Z16" s="123">
        <v>80</v>
      </c>
      <c r="AA16" s="123"/>
      <c r="AB16" s="123"/>
      <c r="AC16" s="123"/>
      <c r="AD16" s="123"/>
      <c r="AE16" s="255"/>
      <c r="AF16" s="255"/>
      <c r="AG16" s="255">
        <v>75</v>
      </c>
      <c r="AH16" s="255"/>
      <c r="AI16" s="255"/>
      <c r="AJ16" s="255"/>
      <c r="AK16" s="255"/>
      <c r="AL16" s="256"/>
      <c r="AM16" s="256"/>
      <c r="AN16" s="256">
        <v>75</v>
      </c>
      <c r="AO16" s="256"/>
      <c r="AP16" s="256"/>
      <c r="AQ16" s="256"/>
      <c r="AR16" s="256"/>
      <c r="AS16" s="123"/>
      <c r="AT16" s="123">
        <v>90</v>
      </c>
      <c r="AU16" s="123"/>
      <c r="AV16" s="123"/>
      <c r="AW16" s="123"/>
      <c r="AX16" s="123"/>
      <c r="AY16" s="123"/>
      <c r="AZ16" s="255"/>
      <c r="BA16" s="255">
        <v>75</v>
      </c>
      <c r="BB16" s="255"/>
      <c r="BC16" s="255"/>
      <c r="BD16" s="255"/>
      <c r="BE16" s="255"/>
      <c r="BF16" s="255"/>
      <c r="BG16" s="256"/>
      <c r="BH16" s="256">
        <v>75</v>
      </c>
      <c r="BI16" s="256"/>
      <c r="BJ16" s="256"/>
      <c r="BK16" s="256"/>
      <c r="BL16" s="256"/>
      <c r="BM16" s="256"/>
      <c r="BN16" s="123"/>
      <c r="BO16" s="123"/>
      <c r="BP16" s="123">
        <v>80</v>
      </c>
      <c r="BQ16" s="123"/>
      <c r="BR16" s="123"/>
      <c r="BS16" s="123"/>
      <c r="BT16" s="123"/>
      <c r="BU16" s="255"/>
      <c r="BV16" s="255"/>
      <c r="BW16" s="255">
        <v>85</v>
      </c>
      <c r="BX16" s="255"/>
      <c r="BY16" s="255"/>
      <c r="BZ16" s="255"/>
      <c r="CA16" s="255"/>
      <c r="CB16" s="256"/>
      <c r="CC16" s="256"/>
      <c r="CD16" s="256">
        <v>75</v>
      </c>
      <c r="CE16" s="256"/>
      <c r="CF16" s="256"/>
      <c r="CG16" s="256"/>
      <c r="CH16" s="256"/>
      <c r="CI16" s="458"/>
      <c r="CJ16" s="458">
        <v>75</v>
      </c>
      <c r="CK16" s="458"/>
      <c r="CL16" s="458"/>
      <c r="CM16" s="458"/>
      <c r="CN16" s="458"/>
      <c r="CO16" s="458"/>
      <c r="CP16" s="459"/>
      <c r="CQ16" s="459">
        <v>80</v>
      </c>
      <c r="CR16" s="459"/>
      <c r="CS16" s="459"/>
      <c r="CT16" s="459"/>
      <c r="CU16" s="459"/>
      <c r="CV16" s="459"/>
      <c r="CW16" s="256"/>
      <c r="CX16" s="256">
        <v>80</v>
      </c>
      <c r="CY16" s="256"/>
      <c r="CZ16" s="256"/>
      <c r="DA16" s="256"/>
      <c r="DB16" s="256"/>
      <c r="DC16" s="256"/>
      <c r="DD16" s="257">
        <f t="shared" si="15"/>
        <v>83.333333333333329</v>
      </c>
      <c r="DE16" s="257">
        <f t="shared" si="16"/>
        <v>83.333333333333329</v>
      </c>
      <c r="DF16" s="257">
        <f t="shared" si="17"/>
        <v>80</v>
      </c>
      <c r="DG16" s="257" t="str">
        <f t="shared" si="18"/>
        <v/>
      </c>
      <c r="DH16" s="257" t="str">
        <f t="shared" si="19"/>
        <v/>
      </c>
      <c r="DI16" s="257" t="str">
        <f t="shared" si="20"/>
        <v/>
      </c>
      <c r="DJ16" s="257" t="str">
        <f t="shared" si="21"/>
        <v/>
      </c>
      <c r="DK16" s="756">
        <f t="shared" si="22"/>
        <v>82</v>
      </c>
      <c r="DL16" s="291" t="str">
        <f t="shared" si="23"/>
        <v>C</v>
      </c>
      <c r="DM16" s="243" t="str">
        <f t="shared" si="24"/>
        <v>Ananda Radit baik dalam menyanyikan lagu-lagu dalam berbagai tangga nada dengan iringan musik, cukup dalam mempraktikkan pola lantai pada gerak tari kreasi dearah.</v>
      </c>
      <c r="DN16" s="39"/>
      <c r="DO16" s="39"/>
      <c r="DP16" s="257">
        <f t="shared" si="25"/>
        <v>90</v>
      </c>
      <c r="DQ16" s="257">
        <f t="shared" si="26"/>
        <v>90</v>
      </c>
      <c r="DR16" s="257">
        <f t="shared" si="27"/>
        <v>80</v>
      </c>
      <c r="DS16" s="257">
        <f t="shared" si="28"/>
        <v>0</v>
      </c>
      <c r="DT16" s="257">
        <f t="shared" si="29"/>
        <v>0</v>
      </c>
      <c r="DU16" s="257">
        <f t="shared" si="30"/>
        <v>0</v>
      </c>
      <c r="DV16" s="257">
        <f t="shared" si="31"/>
        <v>0</v>
      </c>
      <c r="DW16" s="257"/>
      <c r="DX16" s="257"/>
      <c r="DY16" s="257"/>
      <c r="DZ16" s="257"/>
      <c r="EA16" s="232">
        <f t="shared" si="32"/>
        <v>90</v>
      </c>
      <c r="EB16" s="257">
        <f t="shared" si="33"/>
        <v>85</v>
      </c>
      <c r="EC16" s="257">
        <f t="shared" si="34"/>
        <v>80</v>
      </c>
      <c r="ED16" s="257">
        <f t="shared" si="35"/>
        <v>85</v>
      </c>
      <c r="EE16" s="257">
        <f t="shared" si="36"/>
        <v>0</v>
      </c>
      <c r="EF16" s="257">
        <f t="shared" si="37"/>
        <v>0</v>
      </c>
      <c r="EG16" s="257">
        <f t="shared" si="38"/>
        <v>0</v>
      </c>
      <c r="EH16" s="257">
        <f t="shared" si="39"/>
        <v>0</v>
      </c>
      <c r="EI16" s="257"/>
      <c r="EJ16" s="257"/>
      <c r="EK16" s="257"/>
      <c r="EL16" s="257"/>
      <c r="EM16" s="232">
        <f t="shared" si="40"/>
        <v>85</v>
      </c>
      <c r="EN16" s="257">
        <f t="shared" si="41"/>
        <v>75</v>
      </c>
      <c r="EO16" s="257">
        <f t="shared" si="42"/>
        <v>80</v>
      </c>
      <c r="EP16" s="257">
        <f t="shared" si="43"/>
        <v>75</v>
      </c>
      <c r="EQ16" s="257">
        <f t="shared" si="44"/>
        <v>0</v>
      </c>
      <c r="ER16" s="257">
        <f t="shared" si="45"/>
        <v>0</v>
      </c>
      <c r="ES16" s="257">
        <f t="shared" si="46"/>
        <v>0</v>
      </c>
      <c r="ET16" s="257">
        <f t="shared" si="47"/>
        <v>0</v>
      </c>
      <c r="EU16" s="257"/>
      <c r="EV16" s="257"/>
      <c r="EW16" s="257"/>
      <c r="EX16" s="257"/>
      <c r="EY16" s="232">
        <f t="shared" si="48"/>
        <v>80</v>
      </c>
      <c r="EZ16" s="257">
        <f t="shared" si="49"/>
        <v>90</v>
      </c>
      <c r="FA16" s="257">
        <f t="shared" si="50"/>
        <v>85</v>
      </c>
      <c r="FB16" s="257">
        <f t="shared" si="51"/>
        <v>75</v>
      </c>
      <c r="FC16" s="575">
        <f t="shared" si="52"/>
        <v>0</v>
      </c>
      <c r="FD16" s="506">
        <f t="shared" si="53"/>
        <v>3</v>
      </c>
      <c r="FE16" s="39">
        <f t="shared" si="54"/>
        <v>83.333333333333329</v>
      </c>
      <c r="FF16" s="257">
        <f t="shared" si="55"/>
        <v>90</v>
      </c>
      <c r="FG16" s="257">
        <f t="shared" si="56"/>
        <v>80</v>
      </c>
      <c r="FH16" s="257">
        <f t="shared" si="57"/>
        <v>80</v>
      </c>
      <c r="FI16" s="575">
        <f t="shared" si="58"/>
        <v>0</v>
      </c>
      <c r="FJ16" s="506">
        <f t="shared" si="59"/>
        <v>3</v>
      </c>
      <c r="FK16" s="39">
        <f t="shared" si="60"/>
        <v>83.333333333333329</v>
      </c>
      <c r="FL16" s="257">
        <f t="shared" si="61"/>
        <v>80</v>
      </c>
      <c r="FM16" s="257">
        <f t="shared" si="62"/>
        <v>85</v>
      </c>
      <c r="FN16" s="257">
        <f t="shared" si="63"/>
        <v>75</v>
      </c>
      <c r="FO16" s="575">
        <f t="shared" si="64"/>
        <v>0</v>
      </c>
      <c r="FP16" s="506">
        <f t="shared" si="65"/>
        <v>3</v>
      </c>
      <c r="FQ16" s="39">
        <f t="shared" si="66"/>
        <v>80</v>
      </c>
      <c r="FR16" s="257">
        <f t="shared" si="67"/>
        <v>0</v>
      </c>
      <c r="FS16" s="257">
        <f t="shared" si="68"/>
        <v>0</v>
      </c>
      <c r="FT16" s="257">
        <f t="shared" si="69"/>
        <v>0</v>
      </c>
      <c r="FU16" s="575">
        <f t="shared" si="70"/>
        <v>3</v>
      </c>
      <c r="FV16" s="506">
        <f t="shared" si="71"/>
        <v>0</v>
      </c>
      <c r="FW16" s="39" t="str">
        <f t="shared" si="72"/>
        <v/>
      </c>
      <c r="FX16" s="257">
        <f t="shared" si="73"/>
        <v>0</v>
      </c>
      <c r="FY16" s="257">
        <f t="shared" si="74"/>
        <v>0</v>
      </c>
      <c r="FZ16" s="257">
        <f t="shared" si="75"/>
        <v>0</v>
      </c>
      <c r="GA16" s="575">
        <f t="shared" si="76"/>
        <v>3</v>
      </c>
      <c r="GB16" s="506">
        <f t="shared" si="77"/>
        <v>0</v>
      </c>
      <c r="GC16" s="39" t="str">
        <f t="shared" si="78"/>
        <v/>
      </c>
      <c r="GD16" s="257">
        <f t="shared" si="79"/>
        <v>0</v>
      </c>
      <c r="GE16" s="257">
        <f t="shared" si="80"/>
        <v>0</v>
      </c>
      <c r="GF16" s="257">
        <f t="shared" si="81"/>
        <v>0</v>
      </c>
      <c r="GG16" s="575">
        <f t="shared" si="82"/>
        <v>3</v>
      </c>
      <c r="GH16" s="506">
        <f t="shared" si="83"/>
        <v>0</v>
      </c>
      <c r="GI16" s="39" t="str">
        <f t="shared" si="84"/>
        <v/>
      </c>
      <c r="GJ16" s="257">
        <f t="shared" si="85"/>
        <v>0</v>
      </c>
      <c r="GK16" s="257">
        <f t="shared" si="86"/>
        <v>0</v>
      </c>
      <c r="GL16" s="257">
        <f t="shared" si="87"/>
        <v>0</v>
      </c>
      <c r="GM16" s="575">
        <f t="shared" si="88"/>
        <v>3</v>
      </c>
      <c r="GN16" s="506">
        <f t="shared" si="89"/>
        <v>0</v>
      </c>
      <c r="GO16" s="39" t="str">
        <f t="shared" si="90"/>
        <v/>
      </c>
      <c r="GP16" s="257">
        <f t="shared" si="91"/>
        <v>0</v>
      </c>
      <c r="GQ16" s="257">
        <f t="shared" si="92"/>
        <v>0</v>
      </c>
      <c r="GR16" s="257">
        <f t="shared" si="93"/>
        <v>0</v>
      </c>
      <c r="GS16" s="575">
        <f t="shared" si="94"/>
        <v>3</v>
      </c>
      <c r="GT16" s="506">
        <f t="shared" si="95"/>
        <v>0</v>
      </c>
      <c r="GU16" s="39" t="str">
        <f t="shared" si="96"/>
        <v/>
      </c>
      <c r="GV16" s="257">
        <f t="shared" si="97"/>
        <v>0</v>
      </c>
      <c r="GW16" s="257">
        <f t="shared" si="98"/>
        <v>0</v>
      </c>
      <c r="GX16" s="257">
        <f t="shared" si="99"/>
        <v>0</v>
      </c>
      <c r="GY16" s="575">
        <f t="shared" si="100"/>
        <v>3</v>
      </c>
      <c r="GZ16" s="506">
        <f t="shared" si="101"/>
        <v>0</v>
      </c>
      <c r="HA16" s="39" t="str">
        <f t="shared" si="102"/>
        <v/>
      </c>
      <c r="HB16" s="257">
        <f t="shared" si="103"/>
        <v>0</v>
      </c>
      <c r="HC16" s="257">
        <f t="shared" si="104"/>
        <v>0</v>
      </c>
      <c r="HD16" s="257">
        <f t="shared" si="105"/>
        <v>0</v>
      </c>
      <c r="HE16" s="575">
        <f t="shared" si="106"/>
        <v>3</v>
      </c>
      <c r="HF16" s="506">
        <f t="shared" si="107"/>
        <v>0</v>
      </c>
      <c r="HG16" s="39" t="str">
        <f t="shared" si="108"/>
        <v/>
      </c>
      <c r="HH16" s="257">
        <f t="shared" si="109"/>
        <v>0</v>
      </c>
      <c r="HI16" s="257">
        <f t="shared" si="110"/>
        <v>0</v>
      </c>
      <c r="HJ16" s="257">
        <f t="shared" si="111"/>
        <v>0</v>
      </c>
      <c r="HK16" s="575">
        <f t="shared" si="112"/>
        <v>3</v>
      </c>
      <c r="HL16" s="506">
        <f t="shared" si="113"/>
        <v>0</v>
      </c>
      <c r="HM16" s="39" t="str">
        <f t="shared" si="114"/>
        <v/>
      </c>
      <c r="HN16" s="39"/>
      <c r="HO16" s="39">
        <f t="shared" si="115"/>
        <v>83.333333333333329</v>
      </c>
      <c r="HP16" s="39">
        <f t="shared" si="116"/>
        <v>83.333333333333329</v>
      </c>
      <c r="HQ16" s="39">
        <f t="shared" si="117"/>
        <v>80</v>
      </c>
      <c r="HR16" s="39" t="str">
        <f t="shared" si="118"/>
        <v/>
      </c>
      <c r="HS16" s="39" t="str">
        <f t="shared" si="119"/>
        <v/>
      </c>
      <c r="HT16" s="39" t="str">
        <f t="shared" si="120"/>
        <v/>
      </c>
      <c r="HU16" s="39" t="str">
        <f t="shared" si="121"/>
        <v/>
      </c>
      <c r="HV16" s="39"/>
      <c r="HW16" s="39"/>
      <c r="HX16" s="39"/>
      <c r="HY16" s="39"/>
      <c r="HZ16" s="39">
        <f t="shared" si="122"/>
        <v>82</v>
      </c>
      <c r="IA16" s="68">
        <f t="shared" si="123"/>
        <v>83.333333333333329</v>
      </c>
      <c r="IB16" s="68">
        <f t="shared" si="124"/>
        <v>80</v>
      </c>
      <c r="IC16" s="39" t="str">
        <f>SISWA!E14</f>
        <v>Radit</v>
      </c>
      <c r="ID16" s="39" t="str">
        <f t="shared" si="125"/>
        <v xml:space="preserve">Ananda Radit </v>
      </c>
      <c r="IE16" s="207">
        <f t="shared" si="126"/>
        <v>83.333333333333329</v>
      </c>
      <c r="IF16" s="207">
        <f t="shared" si="127"/>
        <v>83.333333333333329</v>
      </c>
      <c r="IG16" s="207" t="str">
        <f t="shared" si="128"/>
        <v/>
      </c>
      <c r="IH16" s="207" t="str">
        <f t="shared" si="129"/>
        <v/>
      </c>
      <c r="II16" s="207" t="str">
        <f t="shared" si="130"/>
        <v/>
      </c>
      <c r="IJ16" s="207" t="str">
        <f t="shared" si="131"/>
        <v/>
      </c>
      <c r="IK16" s="207" t="str">
        <f t="shared" si="132"/>
        <v/>
      </c>
      <c r="IL16" s="207"/>
      <c r="IM16" s="207"/>
      <c r="IN16" s="207"/>
      <c r="IO16" s="207"/>
      <c r="IP16" s="39">
        <f t="shared" si="133"/>
        <v>166.66666666666666</v>
      </c>
      <c r="IQ16" s="68" t="str">
        <f t="shared" si="134"/>
        <v>menyanyikan lagu-lagu dalam berbagai tangga nada dengan iringan musik</v>
      </c>
      <c r="IR16" s="576" t="str">
        <f>IF(IA16&gt;100,"",IF(IA16&gt;DQ$1,"sangat baik dalam "&amp;IQ16,IF(IA16&gt;=DQ$2,"baik dalam "&amp;IQ16,IF(IA16&gt;=DQ$3,"cukup dalam "&amp;IQ16,IF(IA16&lt;DQ$3,"dengan bimbingan dapat meningkatkan dalam "&amp;IQ16,IF(IA16&lt;1," ",””))))))</f>
        <v>baik dalam menyanyikan lagu-lagu dalam berbagai tangga nada dengan iringan musik</v>
      </c>
      <c r="IS16" s="223"/>
      <c r="IT16" s="223" t="str">
        <f t="shared" si="135"/>
        <v/>
      </c>
      <c r="IU16" s="223" t="str">
        <f t="shared" si="136"/>
        <v/>
      </c>
      <c r="IV16" s="223">
        <f t="shared" si="137"/>
        <v>80</v>
      </c>
      <c r="IW16" s="223" t="str">
        <f t="shared" si="138"/>
        <v/>
      </c>
      <c r="IX16" s="223" t="str">
        <f t="shared" si="139"/>
        <v/>
      </c>
      <c r="IY16" s="223" t="str">
        <f t="shared" si="140"/>
        <v/>
      </c>
      <c r="IZ16" s="223" t="str">
        <f t="shared" si="141"/>
        <v/>
      </c>
      <c r="JA16" s="223"/>
      <c r="JB16" s="223"/>
      <c r="JC16" s="223"/>
      <c r="JD16" s="223"/>
      <c r="JE16" s="223" t="str">
        <f t="shared" si="142"/>
        <v>mempraktikkan pola lantai pada gerak tari kreasi dearah</v>
      </c>
      <c r="JF16" s="577" t="str">
        <f>IF(IB16&gt;100,"",IF(IB16&gt;=DQ$1,"sangat baik dalam "&amp;JE16,IF(IB16&gt;=DQ$2,"baik dalam "&amp;JE16,IF(IB16&gt;=DQ$3,"cukup dalam "&amp;JE16,IF(IB16&lt;DQ$3,"dengan bimbingan dapat meningkatkan dalam "&amp;JE16,IF(IB16&lt;1," ",””))))))</f>
        <v>cukup dalam mempraktikkan pola lantai pada gerak tari kreasi dearah</v>
      </c>
      <c r="JG16" s="223" t="str">
        <f t="shared" si="143"/>
        <v>Ananda Radit baik dalam menyanyikan lagu-lagu dalam berbagai tangga nada dengan iringan musik, cukup dalam mempraktikkan pola lantai pada gerak tari kreasi dearah.</v>
      </c>
    </row>
    <row r="17" spans="1:267" ht="30" customHeight="1">
      <c r="A17" s="39">
        <v>10</v>
      </c>
      <c r="B17" s="223" t="str">
        <f>SISWA!B15</f>
        <v>Muhammad Shulhan Al-farisi</v>
      </c>
      <c r="C17" s="123">
        <v>90</v>
      </c>
      <c r="D17" s="123"/>
      <c r="E17" s="123"/>
      <c r="F17" s="123"/>
      <c r="G17" s="123"/>
      <c r="H17" s="123"/>
      <c r="I17" s="123"/>
      <c r="J17" s="255">
        <v>90</v>
      </c>
      <c r="K17" s="255"/>
      <c r="L17" s="255"/>
      <c r="M17" s="255"/>
      <c r="N17" s="255"/>
      <c r="O17" s="255"/>
      <c r="P17" s="255"/>
      <c r="Q17" s="256">
        <v>75</v>
      </c>
      <c r="R17" s="256"/>
      <c r="S17" s="256"/>
      <c r="T17" s="256"/>
      <c r="U17" s="256"/>
      <c r="V17" s="256"/>
      <c r="W17" s="256"/>
      <c r="X17" s="123"/>
      <c r="Y17" s="123"/>
      <c r="Z17" s="123">
        <v>80</v>
      </c>
      <c r="AA17" s="123"/>
      <c r="AB17" s="123"/>
      <c r="AC17" s="123"/>
      <c r="AD17" s="123"/>
      <c r="AE17" s="255"/>
      <c r="AF17" s="255"/>
      <c r="AG17" s="255">
        <v>75</v>
      </c>
      <c r="AH17" s="255"/>
      <c r="AI17" s="255"/>
      <c r="AJ17" s="255"/>
      <c r="AK17" s="255"/>
      <c r="AL17" s="256"/>
      <c r="AM17" s="256"/>
      <c r="AN17" s="256">
        <v>80</v>
      </c>
      <c r="AO17" s="256"/>
      <c r="AP17" s="256"/>
      <c r="AQ17" s="256"/>
      <c r="AR17" s="256"/>
      <c r="AS17" s="123"/>
      <c r="AT17" s="123">
        <v>90</v>
      </c>
      <c r="AU17" s="123"/>
      <c r="AV17" s="123"/>
      <c r="AW17" s="123"/>
      <c r="AX17" s="123"/>
      <c r="AY17" s="123"/>
      <c r="AZ17" s="255"/>
      <c r="BA17" s="255">
        <v>90</v>
      </c>
      <c r="BB17" s="255"/>
      <c r="BC17" s="255"/>
      <c r="BD17" s="255"/>
      <c r="BE17" s="255"/>
      <c r="BF17" s="255"/>
      <c r="BG17" s="256"/>
      <c r="BH17" s="256">
        <v>75</v>
      </c>
      <c r="BI17" s="256"/>
      <c r="BJ17" s="256"/>
      <c r="BK17" s="256"/>
      <c r="BL17" s="256"/>
      <c r="BM17" s="256"/>
      <c r="BN17" s="123"/>
      <c r="BO17" s="123"/>
      <c r="BP17" s="123">
        <v>85</v>
      </c>
      <c r="BQ17" s="123"/>
      <c r="BR17" s="123"/>
      <c r="BS17" s="123"/>
      <c r="BT17" s="123"/>
      <c r="BU17" s="255"/>
      <c r="BV17" s="255"/>
      <c r="BW17" s="255">
        <v>75</v>
      </c>
      <c r="BX17" s="255"/>
      <c r="BY17" s="255"/>
      <c r="BZ17" s="255"/>
      <c r="CA17" s="255"/>
      <c r="CB17" s="256"/>
      <c r="CC17" s="256"/>
      <c r="CD17" s="256">
        <v>75</v>
      </c>
      <c r="CE17" s="256"/>
      <c r="CF17" s="256"/>
      <c r="CG17" s="256"/>
      <c r="CH17" s="256"/>
      <c r="CI17" s="458"/>
      <c r="CJ17" s="458">
        <v>85</v>
      </c>
      <c r="CK17" s="458"/>
      <c r="CL17" s="458"/>
      <c r="CM17" s="458"/>
      <c r="CN17" s="458"/>
      <c r="CO17" s="458"/>
      <c r="CP17" s="459"/>
      <c r="CQ17" s="459">
        <v>75</v>
      </c>
      <c r="CR17" s="459"/>
      <c r="CS17" s="459"/>
      <c r="CT17" s="459"/>
      <c r="CU17" s="459"/>
      <c r="CV17" s="459"/>
      <c r="CW17" s="256"/>
      <c r="CX17" s="256">
        <v>85</v>
      </c>
      <c r="CY17" s="256"/>
      <c r="CZ17" s="256"/>
      <c r="DA17" s="256"/>
      <c r="DB17" s="256"/>
      <c r="DC17" s="256"/>
      <c r="DD17" s="257">
        <f t="shared" si="15"/>
        <v>85</v>
      </c>
      <c r="DE17" s="257">
        <f t="shared" si="16"/>
        <v>88.333333333333329</v>
      </c>
      <c r="DF17" s="257">
        <f t="shared" si="17"/>
        <v>80</v>
      </c>
      <c r="DG17" s="257" t="str">
        <f t="shared" si="18"/>
        <v/>
      </c>
      <c r="DH17" s="257" t="str">
        <f t="shared" si="19"/>
        <v/>
      </c>
      <c r="DI17" s="257" t="str">
        <f t="shared" si="20"/>
        <v/>
      </c>
      <c r="DJ17" s="257" t="str">
        <f t="shared" si="21"/>
        <v/>
      </c>
      <c r="DK17" s="756">
        <f t="shared" si="22"/>
        <v>84</v>
      </c>
      <c r="DL17" s="291" t="str">
        <f t="shared" si="23"/>
        <v>B</v>
      </c>
      <c r="DM17" s="243" t="str">
        <f t="shared" si="24"/>
        <v>Ananda Shulhan baik dalam menyanyikan lagu-lagu dalam berbagai tangga nada dengan iringan musik, cukup dalam mempraktikkan pola lantai pada gerak tari kreasi dearah.</v>
      </c>
      <c r="DN17" s="39"/>
      <c r="DO17" s="39"/>
      <c r="DP17" s="257">
        <f t="shared" si="25"/>
        <v>90</v>
      </c>
      <c r="DQ17" s="257">
        <f t="shared" si="26"/>
        <v>90</v>
      </c>
      <c r="DR17" s="257">
        <f t="shared" si="27"/>
        <v>85</v>
      </c>
      <c r="DS17" s="257">
        <f t="shared" si="28"/>
        <v>0</v>
      </c>
      <c r="DT17" s="257">
        <f t="shared" si="29"/>
        <v>0</v>
      </c>
      <c r="DU17" s="257">
        <f t="shared" si="30"/>
        <v>0</v>
      </c>
      <c r="DV17" s="257">
        <f t="shared" si="31"/>
        <v>0</v>
      </c>
      <c r="DW17" s="257"/>
      <c r="DX17" s="257"/>
      <c r="DY17" s="257"/>
      <c r="DZ17" s="257"/>
      <c r="EA17" s="232">
        <f t="shared" si="32"/>
        <v>90</v>
      </c>
      <c r="EB17" s="257">
        <f t="shared" si="33"/>
        <v>90</v>
      </c>
      <c r="EC17" s="257">
        <f t="shared" si="34"/>
        <v>90</v>
      </c>
      <c r="ED17" s="257">
        <f t="shared" si="35"/>
        <v>75</v>
      </c>
      <c r="EE17" s="257">
        <f t="shared" si="36"/>
        <v>0</v>
      </c>
      <c r="EF17" s="257">
        <f t="shared" si="37"/>
        <v>0</v>
      </c>
      <c r="EG17" s="257">
        <f t="shared" si="38"/>
        <v>0</v>
      </c>
      <c r="EH17" s="257">
        <f t="shared" si="39"/>
        <v>0</v>
      </c>
      <c r="EI17" s="257"/>
      <c r="EJ17" s="257"/>
      <c r="EK17" s="257"/>
      <c r="EL17" s="257"/>
      <c r="EM17" s="232">
        <f t="shared" si="40"/>
        <v>90</v>
      </c>
      <c r="EN17" s="257">
        <f t="shared" si="41"/>
        <v>75</v>
      </c>
      <c r="EO17" s="257">
        <f t="shared" si="42"/>
        <v>85</v>
      </c>
      <c r="EP17" s="257">
        <f t="shared" si="43"/>
        <v>80</v>
      </c>
      <c r="EQ17" s="257">
        <f t="shared" si="44"/>
        <v>0</v>
      </c>
      <c r="ER17" s="257">
        <f t="shared" si="45"/>
        <v>0</v>
      </c>
      <c r="ES17" s="257">
        <f t="shared" si="46"/>
        <v>0</v>
      </c>
      <c r="ET17" s="257">
        <f t="shared" si="47"/>
        <v>0</v>
      </c>
      <c r="EU17" s="257"/>
      <c r="EV17" s="257"/>
      <c r="EW17" s="257"/>
      <c r="EX17" s="257"/>
      <c r="EY17" s="232">
        <f t="shared" si="48"/>
        <v>85</v>
      </c>
      <c r="EZ17" s="257">
        <f t="shared" si="49"/>
        <v>90</v>
      </c>
      <c r="FA17" s="257">
        <f t="shared" si="50"/>
        <v>90</v>
      </c>
      <c r="FB17" s="257">
        <f t="shared" si="51"/>
        <v>75</v>
      </c>
      <c r="FC17" s="575">
        <f t="shared" si="52"/>
        <v>0</v>
      </c>
      <c r="FD17" s="506">
        <f t="shared" si="53"/>
        <v>3</v>
      </c>
      <c r="FE17" s="39">
        <f t="shared" si="54"/>
        <v>85</v>
      </c>
      <c r="FF17" s="257">
        <f t="shared" si="55"/>
        <v>90</v>
      </c>
      <c r="FG17" s="257">
        <f t="shared" si="56"/>
        <v>90</v>
      </c>
      <c r="FH17" s="257">
        <f t="shared" si="57"/>
        <v>85</v>
      </c>
      <c r="FI17" s="575">
        <f t="shared" si="58"/>
        <v>0</v>
      </c>
      <c r="FJ17" s="506">
        <f t="shared" si="59"/>
        <v>3</v>
      </c>
      <c r="FK17" s="39">
        <f t="shared" si="60"/>
        <v>88.333333333333329</v>
      </c>
      <c r="FL17" s="257">
        <f t="shared" si="61"/>
        <v>85</v>
      </c>
      <c r="FM17" s="257">
        <f t="shared" si="62"/>
        <v>75</v>
      </c>
      <c r="FN17" s="257">
        <f t="shared" si="63"/>
        <v>80</v>
      </c>
      <c r="FO17" s="575">
        <f t="shared" si="64"/>
        <v>0</v>
      </c>
      <c r="FP17" s="506">
        <f t="shared" si="65"/>
        <v>3</v>
      </c>
      <c r="FQ17" s="39">
        <f t="shared" si="66"/>
        <v>80</v>
      </c>
      <c r="FR17" s="257">
        <f t="shared" si="67"/>
        <v>0</v>
      </c>
      <c r="FS17" s="257">
        <f t="shared" si="68"/>
        <v>0</v>
      </c>
      <c r="FT17" s="257">
        <f t="shared" si="69"/>
        <v>0</v>
      </c>
      <c r="FU17" s="575">
        <f t="shared" si="70"/>
        <v>3</v>
      </c>
      <c r="FV17" s="506">
        <f t="shared" si="71"/>
        <v>0</v>
      </c>
      <c r="FW17" s="39" t="str">
        <f t="shared" si="72"/>
        <v/>
      </c>
      <c r="FX17" s="257">
        <f t="shared" si="73"/>
        <v>0</v>
      </c>
      <c r="FY17" s="257">
        <f t="shared" si="74"/>
        <v>0</v>
      </c>
      <c r="FZ17" s="257">
        <f t="shared" si="75"/>
        <v>0</v>
      </c>
      <c r="GA17" s="575">
        <f t="shared" si="76"/>
        <v>3</v>
      </c>
      <c r="GB17" s="506">
        <f t="shared" si="77"/>
        <v>0</v>
      </c>
      <c r="GC17" s="39" t="str">
        <f t="shared" si="78"/>
        <v/>
      </c>
      <c r="GD17" s="257">
        <f t="shared" si="79"/>
        <v>0</v>
      </c>
      <c r="GE17" s="257">
        <f t="shared" si="80"/>
        <v>0</v>
      </c>
      <c r="GF17" s="257">
        <f t="shared" si="81"/>
        <v>0</v>
      </c>
      <c r="GG17" s="575">
        <f t="shared" si="82"/>
        <v>3</v>
      </c>
      <c r="GH17" s="506">
        <f t="shared" si="83"/>
        <v>0</v>
      </c>
      <c r="GI17" s="39" t="str">
        <f t="shared" si="84"/>
        <v/>
      </c>
      <c r="GJ17" s="257">
        <f t="shared" si="85"/>
        <v>0</v>
      </c>
      <c r="GK17" s="257">
        <f t="shared" si="86"/>
        <v>0</v>
      </c>
      <c r="GL17" s="257">
        <f t="shared" si="87"/>
        <v>0</v>
      </c>
      <c r="GM17" s="575">
        <f t="shared" si="88"/>
        <v>3</v>
      </c>
      <c r="GN17" s="506">
        <f t="shared" si="89"/>
        <v>0</v>
      </c>
      <c r="GO17" s="39" t="str">
        <f t="shared" si="90"/>
        <v/>
      </c>
      <c r="GP17" s="257">
        <f t="shared" si="91"/>
        <v>0</v>
      </c>
      <c r="GQ17" s="257">
        <f t="shared" si="92"/>
        <v>0</v>
      </c>
      <c r="GR17" s="257">
        <f t="shared" si="93"/>
        <v>0</v>
      </c>
      <c r="GS17" s="575">
        <f t="shared" si="94"/>
        <v>3</v>
      </c>
      <c r="GT17" s="506">
        <f t="shared" si="95"/>
        <v>0</v>
      </c>
      <c r="GU17" s="39" t="str">
        <f t="shared" si="96"/>
        <v/>
      </c>
      <c r="GV17" s="257">
        <f t="shared" si="97"/>
        <v>0</v>
      </c>
      <c r="GW17" s="257">
        <f t="shared" si="98"/>
        <v>0</v>
      </c>
      <c r="GX17" s="257">
        <f t="shared" si="99"/>
        <v>0</v>
      </c>
      <c r="GY17" s="575">
        <f t="shared" si="100"/>
        <v>3</v>
      </c>
      <c r="GZ17" s="506">
        <f t="shared" si="101"/>
        <v>0</v>
      </c>
      <c r="HA17" s="39" t="str">
        <f t="shared" si="102"/>
        <v/>
      </c>
      <c r="HB17" s="257">
        <f t="shared" si="103"/>
        <v>0</v>
      </c>
      <c r="HC17" s="257">
        <f t="shared" si="104"/>
        <v>0</v>
      </c>
      <c r="HD17" s="257">
        <f t="shared" si="105"/>
        <v>0</v>
      </c>
      <c r="HE17" s="575">
        <f t="shared" si="106"/>
        <v>3</v>
      </c>
      <c r="HF17" s="506">
        <f t="shared" si="107"/>
        <v>0</v>
      </c>
      <c r="HG17" s="39" t="str">
        <f t="shared" si="108"/>
        <v/>
      </c>
      <c r="HH17" s="257">
        <f t="shared" si="109"/>
        <v>0</v>
      </c>
      <c r="HI17" s="257">
        <f t="shared" si="110"/>
        <v>0</v>
      </c>
      <c r="HJ17" s="257">
        <f t="shared" si="111"/>
        <v>0</v>
      </c>
      <c r="HK17" s="575">
        <f t="shared" si="112"/>
        <v>3</v>
      </c>
      <c r="HL17" s="506">
        <f t="shared" si="113"/>
        <v>0</v>
      </c>
      <c r="HM17" s="39" t="str">
        <f t="shared" si="114"/>
        <v/>
      </c>
      <c r="HN17" s="39"/>
      <c r="HO17" s="39">
        <f t="shared" si="115"/>
        <v>85</v>
      </c>
      <c r="HP17" s="39">
        <f t="shared" si="116"/>
        <v>88.333333333333329</v>
      </c>
      <c r="HQ17" s="39">
        <f t="shared" si="117"/>
        <v>80</v>
      </c>
      <c r="HR17" s="39" t="str">
        <f t="shared" si="118"/>
        <v/>
      </c>
      <c r="HS17" s="39" t="str">
        <f t="shared" si="119"/>
        <v/>
      </c>
      <c r="HT17" s="39" t="str">
        <f t="shared" si="120"/>
        <v/>
      </c>
      <c r="HU17" s="39" t="str">
        <f t="shared" si="121"/>
        <v/>
      </c>
      <c r="HV17" s="39"/>
      <c r="HW17" s="39"/>
      <c r="HX17" s="39"/>
      <c r="HY17" s="39"/>
      <c r="HZ17" s="39">
        <f t="shared" si="122"/>
        <v>84</v>
      </c>
      <c r="IA17" s="68">
        <f t="shared" si="123"/>
        <v>88.333333333333329</v>
      </c>
      <c r="IB17" s="68">
        <f t="shared" si="124"/>
        <v>80</v>
      </c>
      <c r="IC17" s="39" t="str">
        <f>SISWA!E15</f>
        <v>Shulhan</v>
      </c>
      <c r="ID17" s="39" t="str">
        <f t="shared" si="125"/>
        <v xml:space="preserve">Ananda Shulhan </v>
      </c>
      <c r="IE17" s="207" t="str">
        <f t="shared" si="126"/>
        <v/>
      </c>
      <c r="IF17" s="207">
        <f t="shared" si="127"/>
        <v>88.333333333333329</v>
      </c>
      <c r="IG17" s="207" t="str">
        <f t="shared" si="128"/>
        <v/>
      </c>
      <c r="IH17" s="207" t="str">
        <f t="shared" si="129"/>
        <v/>
      </c>
      <c r="II17" s="207" t="str">
        <f t="shared" si="130"/>
        <v/>
      </c>
      <c r="IJ17" s="207" t="str">
        <f t="shared" si="131"/>
        <v/>
      </c>
      <c r="IK17" s="207" t="str">
        <f t="shared" si="132"/>
        <v/>
      </c>
      <c r="IL17" s="207"/>
      <c r="IM17" s="207"/>
      <c r="IN17" s="207"/>
      <c r="IO17" s="207"/>
      <c r="IP17" s="39">
        <f t="shared" si="133"/>
        <v>88.333333333333329</v>
      </c>
      <c r="IQ17" s="68" t="str">
        <f t="shared" si="134"/>
        <v>menyanyikan lagu-lagu dalam berbagai tangga nada dengan iringan musik</v>
      </c>
      <c r="IR17" s="576" t="str">
        <f>IF(IA17&gt;100,"",IF(IA17&gt;DQ$1,"sangat baik dalam "&amp;IQ17,IF(IA17&gt;=DQ$2,"baik dalam "&amp;IQ17,IF(IA17&gt;=DQ$3,"cukup dalam "&amp;IQ17,IF(IA17&lt;DQ$3,"dengan bimbingan dapat meningkatkan dalam "&amp;IQ17,IF(IA17&lt;1," ",””))))))</f>
        <v>baik dalam menyanyikan lagu-lagu dalam berbagai tangga nada dengan iringan musik</v>
      </c>
      <c r="IS17" s="223"/>
      <c r="IT17" s="223" t="str">
        <f t="shared" si="135"/>
        <v/>
      </c>
      <c r="IU17" s="223" t="str">
        <f t="shared" si="136"/>
        <v/>
      </c>
      <c r="IV17" s="223">
        <f t="shared" si="137"/>
        <v>80</v>
      </c>
      <c r="IW17" s="223" t="str">
        <f t="shared" si="138"/>
        <v/>
      </c>
      <c r="IX17" s="223" t="str">
        <f t="shared" si="139"/>
        <v/>
      </c>
      <c r="IY17" s="223" t="str">
        <f t="shared" si="140"/>
        <v/>
      </c>
      <c r="IZ17" s="223" t="str">
        <f t="shared" si="141"/>
        <v/>
      </c>
      <c r="JA17" s="223"/>
      <c r="JB17" s="223"/>
      <c r="JC17" s="223"/>
      <c r="JD17" s="223"/>
      <c r="JE17" s="223" t="str">
        <f t="shared" si="142"/>
        <v>mempraktikkan pola lantai pada gerak tari kreasi dearah</v>
      </c>
      <c r="JF17" s="577" t="str">
        <f>IF(IB17&gt;100,"",IF(IB17&gt;=DQ$1,"sangat baik dalam "&amp;JE17,IF(IB17&gt;=DQ$2,"baik dalam "&amp;JE17,IF(IB17&gt;=DQ$3,"cukup dalam "&amp;JE17,IF(IB17&lt;DQ$3,"dengan bimbingan dapat meningkatkan dalam "&amp;JE17,IF(IB17&lt;1," ",””))))))</f>
        <v>cukup dalam mempraktikkan pola lantai pada gerak tari kreasi dearah</v>
      </c>
      <c r="JG17" s="223" t="str">
        <f t="shared" si="143"/>
        <v>Ananda Shulhan baik dalam menyanyikan lagu-lagu dalam berbagai tangga nada dengan iringan musik, cukup dalam mempraktikkan pola lantai pada gerak tari kreasi dearah.</v>
      </c>
    </row>
    <row r="18" spans="1:267" ht="30" customHeight="1">
      <c r="A18" s="39">
        <v>11</v>
      </c>
      <c r="B18" s="223" t="str">
        <f>SISWA!B16</f>
        <v>Novaris Dwi Firmansyah</v>
      </c>
      <c r="C18" s="123">
        <v>75</v>
      </c>
      <c r="D18" s="123"/>
      <c r="E18" s="123"/>
      <c r="F18" s="123"/>
      <c r="G18" s="123"/>
      <c r="H18" s="123"/>
      <c r="I18" s="123"/>
      <c r="J18" s="255">
        <v>75</v>
      </c>
      <c r="K18" s="255"/>
      <c r="L18" s="255"/>
      <c r="M18" s="255"/>
      <c r="N18" s="255"/>
      <c r="O18" s="255"/>
      <c r="P18" s="255"/>
      <c r="Q18" s="256">
        <v>75</v>
      </c>
      <c r="R18" s="256"/>
      <c r="S18" s="256"/>
      <c r="T18" s="256"/>
      <c r="U18" s="256"/>
      <c r="V18" s="256"/>
      <c r="W18" s="256"/>
      <c r="X18" s="123"/>
      <c r="Y18" s="123"/>
      <c r="Z18" s="123">
        <v>80</v>
      </c>
      <c r="AA18" s="123"/>
      <c r="AB18" s="123"/>
      <c r="AC18" s="123"/>
      <c r="AD18" s="123"/>
      <c r="AE18" s="255"/>
      <c r="AF18" s="255"/>
      <c r="AG18" s="255">
        <v>75</v>
      </c>
      <c r="AH18" s="255"/>
      <c r="AI18" s="255"/>
      <c r="AJ18" s="255"/>
      <c r="AK18" s="255"/>
      <c r="AL18" s="256"/>
      <c r="AM18" s="256"/>
      <c r="AN18" s="256">
        <v>75</v>
      </c>
      <c r="AO18" s="256"/>
      <c r="AP18" s="256"/>
      <c r="AQ18" s="256"/>
      <c r="AR18" s="256"/>
      <c r="AS18" s="123"/>
      <c r="AT18" s="123">
        <v>90</v>
      </c>
      <c r="AU18" s="123"/>
      <c r="AV18" s="123"/>
      <c r="AW18" s="123"/>
      <c r="AX18" s="123"/>
      <c r="AY18" s="123"/>
      <c r="AZ18" s="255"/>
      <c r="BA18" s="255">
        <v>90</v>
      </c>
      <c r="BB18" s="255"/>
      <c r="BC18" s="255"/>
      <c r="BD18" s="255"/>
      <c r="BE18" s="255"/>
      <c r="BF18" s="255"/>
      <c r="BG18" s="256"/>
      <c r="BH18" s="256">
        <v>75</v>
      </c>
      <c r="BI18" s="256"/>
      <c r="BJ18" s="256"/>
      <c r="BK18" s="256"/>
      <c r="BL18" s="256"/>
      <c r="BM18" s="256"/>
      <c r="BN18" s="123"/>
      <c r="BO18" s="123"/>
      <c r="BP18" s="123">
        <v>85</v>
      </c>
      <c r="BQ18" s="123"/>
      <c r="BR18" s="123"/>
      <c r="BS18" s="123"/>
      <c r="BT18" s="123"/>
      <c r="BU18" s="255"/>
      <c r="BV18" s="255"/>
      <c r="BW18" s="255">
        <v>75</v>
      </c>
      <c r="BX18" s="255"/>
      <c r="BY18" s="255"/>
      <c r="BZ18" s="255"/>
      <c r="CA18" s="255"/>
      <c r="CB18" s="256"/>
      <c r="CC18" s="256"/>
      <c r="CD18" s="256">
        <v>75</v>
      </c>
      <c r="CE18" s="256"/>
      <c r="CF18" s="256"/>
      <c r="CG18" s="256"/>
      <c r="CH18" s="256"/>
      <c r="CI18" s="458"/>
      <c r="CJ18" s="458">
        <v>75</v>
      </c>
      <c r="CK18" s="458"/>
      <c r="CL18" s="458"/>
      <c r="CM18" s="458"/>
      <c r="CN18" s="458"/>
      <c r="CO18" s="458"/>
      <c r="CP18" s="459"/>
      <c r="CQ18" s="459">
        <v>75</v>
      </c>
      <c r="CR18" s="459"/>
      <c r="CS18" s="459"/>
      <c r="CT18" s="459"/>
      <c r="CU18" s="459"/>
      <c r="CV18" s="459"/>
      <c r="CW18" s="256"/>
      <c r="CX18" s="256">
        <v>80</v>
      </c>
      <c r="CY18" s="256"/>
      <c r="CZ18" s="256"/>
      <c r="DA18" s="256"/>
      <c r="DB18" s="256"/>
      <c r="DC18" s="256"/>
      <c r="DD18" s="257">
        <f t="shared" si="15"/>
        <v>75</v>
      </c>
      <c r="DE18" s="257">
        <f t="shared" si="16"/>
        <v>86.666666666666671</v>
      </c>
      <c r="DF18" s="257">
        <f t="shared" si="17"/>
        <v>78.333333333333329</v>
      </c>
      <c r="DG18" s="257" t="str">
        <f t="shared" si="18"/>
        <v/>
      </c>
      <c r="DH18" s="257" t="str">
        <f t="shared" si="19"/>
        <v/>
      </c>
      <c r="DI18" s="257" t="str">
        <f t="shared" si="20"/>
        <v/>
      </c>
      <c r="DJ18" s="257" t="str">
        <f t="shared" si="21"/>
        <v/>
      </c>
      <c r="DK18" s="756">
        <f t="shared" si="22"/>
        <v>80</v>
      </c>
      <c r="DL18" s="291" t="str">
        <f t="shared" si="23"/>
        <v>C</v>
      </c>
      <c r="DM18" s="243" t="str">
        <f t="shared" si="24"/>
        <v>Ananda Varis baik dalam menyanyikan lagu-lagu dalam berbagai tangga nada dengan iringan musik, cukup dalam membuat gambar cerita.</v>
      </c>
      <c r="DN18" s="39"/>
      <c r="DO18" s="39"/>
      <c r="DP18" s="257">
        <f t="shared" si="25"/>
        <v>75</v>
      </c>
      <c r="DQ18" s="257">
        <f t="shared" si="26"/>
        <v>90</v>
      </c>
      <c r="DR18" s="257">
        <f t="shared" si="27"/>
        <v>85</v>
      </c>
      <c r="DS18" s="257">
        <f t="shared" si="28"/>
        <v>0</v>
      </c>
      <c r="DT18" s="257">
        <f t="shared" si="29"/>
        <v>0</v>
      </c>
      <c r="DU18" s="257">
        <f t="shared" si="30"/>
        <v>0</v>
      </c>
      <c r="DV18" s="257">
        <f t="shared" si="31"/>
        <v>0</v>
      </c>
      <c r="DW18" s="257"/>
      <c r="DX18" s="257"/>
      <c r="DY18" s="257"/>
      <c r="DZ18" s="257"/>
      <c r="EA18" s="232">
        <f t="shared" si="32"/>
        <v>90</v>
      </c>
      <c r="EB18" s="257">
        <f t="shared" si="33"/>
        <v>75</v>
      </c>
      <c r="EC18" s="257">
        <f t="shared" si="34"/>
        <v>90</v>
      </c>
      <c r="ED18" s="257">
        <f t="shared" si="35"/>
        <v>75</v>
      </c>
      <c r="EE18" s="257">
        <f t="shared" si="36"/>
        <v>0</v>
      </c>
      <c r="EF18" s="257">
        <f t="shared" si="37"/>
        <v>0</v>
      </c>
      <c r="EG18" s="257">
        <f t="shared" si="38"/>
        <v>0</v>
      </c>
      <c r="EH18" s="257">
        <f t="shared" si="39"/>
        <v>0</v>
      </c>
      <c r="EI18" s="257"/>
      <c r="EJ18" s="257"/>
      <c r="EK18" s="257"/>
      <c r="EL18" s="257"/>
      <c r="EM18" s="232">
        <f t="shared" si="40"/>
        <v>90</v>
      </c>
      <c r="EN18" s="257">
        <f t="shared" si="41"/>
        <v>75</v>
      </c>
      <c r="EO18" s="257">
        <f t="shared" si="42"/>
        <v>80</v>
      </c>
      <c r="EP18" s="257">
        <f t="shared" si="43"/>
        <v>75</v>
      </c>
      <c r="EQ18" s="257">
        <f t="shared" si="44"/>
        <v>0</v>
      </c>
      <c r="ER18" s="257">
        <f t="shared" si="45"/>
        <v>0</v>
      </c>
      <c r="ES18" s="257">
        <f t="shared" si="46"/>
        <v>0</v>
      </c>
      <c r="ET18" s="257">
        <f t="shared" si="47"/>
        <v>0</v>
      </c>
      <c r="EU18" s="257"/>
      <c r="EV18" s="257"/>
      <c r="EW18" s="257"/>
      <c r="EX18" s="257"/>
      <c r="EY18" s="232">
        <f t="shared" si="48"/>
        <v>80</v>
      </c>
      <c r="EZ18" s="257">
        <f t="shared" si="49"/>
        <v>75</v>
      </c>
      <c r="FA18" s="257">
        <f t="shared" si="50"/>
        <v>75</v>
      </c>
      <c r="FB18" s="257">
        <f t="shared" si="51"/>
        <v>75</v>
      </c>
      <c r="FC18" s="575">
        <f t="shared" si="52"/>
        <v>0</v>
      </c>
      <c r="FD18" s="506">
        <f t="shared" si="53"/>
        <v>3</v>
      </c>
      <c r="FE18" s="39">
        <f t="shared" si="54"/>
        <v>75</v>
      </c>
      <c r="FF18" s="257">
        <f t="shared" si="55"/>
        <v>90</v>
      </c>
      <c r="FG18" s="257">
        <f t="shared" si="56"/>
        <v>90</v>
      </c>
      <c r="FH18" s="257">
        <f t="shared" si="57"/>
        <v>80</v>
      </c>
      <c r="FI18" s="575">
        <f t="shared" si="58"/>
        <v>0</v>
      </c>
      <c r="FJ18" s="506">
        <f t="shared" si="59"/>
        <v>3</v>
      </c>
      <c r="FK18" s="39">
        <f t="shared" si="60"/>
        <v>86.666666666666671</v>
      </c>
      <c r="FL18" s="257">
        <f t="shared" si="61"/>
        <v>85</v>
      </c>
      <c r="FM18" s="257">
        <f t="shared" si="62"/>
        <v>75</v>
      </c>
      <c r="FN18" s="257">
        <f t="shared" si="63"/>
        <v>75</v>
      </c>
      <c r="FO18" s="575">
        <f t="shared" si="64"/>
        <v>0</v>
      </c>
      <c r="FP18" s="506">
        <f t="shared" si="65"/>
        <v>3</v>
      </c>
      <c r="FQ18" s="39">
        <f t="shared" si="66"/>
        <v>78.333333333333329</v>
      </c>
      <c r="FR18" s="257">
        <f t="shared" si="67"/>
        <v>0</v>
      </c>
      <c r="FS18" s="257">
        <f t="shared" si="68"/>
        <v>0</v>
      </c>
      <c r="FT18" s="257">
        <f t="shared" si="69"/>
        <v>0</v>
      </c>
      <c r="FU18" s="575">
        <f t="shared" si="70"/>
        <v>3</v>
      </c>
      <c r="FV18" s="506">
        <f t="shared" si="71"/>
        <v>0</v>
      </c>
      <c r="FW18" s="39" t="str">
        <f t="shared" si="72"/>
        <v/>
      </c>
      <c r="FX18" s="257">
        <f t="shared" si="73"/>
        <v>0</v>
      </c>
      <c r="FY18" s="257">
        <f t="shared" si="74"/>
        <v>0</v>
      </c>
      <c r="FZ18" s="257">
        <f t="shared" si="75"/>
        <v>0</v>
      </c>
      <c r="GA18" s="575">
        <f t="shared" si="76"/>
        <v>3</v>
      </c>
      <c r="GB18" s="506">
        <f t="shared" si="77"/>
        <v>0</v>
      </c>
      <c r="GC18" s="39" t="str">
        <f t="shared" si="78"/>
        <v/>
      </c>
      <c r="GD18" s="257">
        <f t="shared" si="79"/>
        <v>0</v>
      </c>
      <c r="GE18" s="257">
        <f t="shared" si="80"/>
        <v>0</v>
      </c>
      <c r="GF18" s="257">
        <f t="shared" si="81"/>
        <v>0</v>
      </c>
      <c r="GG18" s="575">
        <f t="shared" si="82"/>
        <v>3</v>
      </c>
      <c r="GH18" s="506">
        <f t="shared" si="83"/>
        <v>0</v>
      </c>
      <c r="GI18" s="39" t="str">
        <f t="shared" si="84"/>
        <v/>
      </c>
      <c r="GJ18" s="257">
        <f t="shared" si="85"/>
        <v>0</v>
      </c>
      <c r="GK18" s="257">
        <f t="shared" si="86"/>
        <v>0</v>
      </c>
      <c r="GL18" s="257">
        <f t="shared" si="87"/>
        <v>0</v>
      </c>
      <c r="GM18" s="575">
        <f t="shared" si="88"/>
        <v>3</v>
      </c>
      <c r="GN18" s="506">
        <f t="shared" si="89"/>
        <v>0</v>
      </c>
      <c r="GO18" s="39" t="str">
        <f t="shared" si="90"/>
        <v/>
      </c>
      <c r="GP18" s="257">
        <f t="shared" si="91"/>
        <v>0</v>
      </c>
      <c r="GQ18" s="257">
        <f t="shared" si="92"/>
        <v>0</v>
      </c>
      <c r="GR18" s="257">
        <f t="shared" si="93"/>
        <v>0</v>
      </c>
      <c r="GS18" s="575">
        <f t="shared" si="94"/>
        <v>3</v>
      </c>
      <c r="GT18" s="506">
        <f t="shared" si="95"/>
        <v>0</v>
      </c>
      <c r="GU18" s="39" t="str">
        <f t="shared" si="96"/>
        <v/>
      </c>
      <c r="GV18" s="257">
        <f t="shared" si="97"/>
        <v>0</v>
      </c>
      <c r="GW18" s="257">
        <f t="shared" si="98"/>
        <v>0</v>
      </c>
      <c r="GX18" s="257">
        <f t="shared" si="99"/>
        <v>0</v>
      </c>
      <c r="GY18" s="575">
        <f t="shared" si="100"/>
        <v>3</v>
      </c>
      <c r="GZ18" s="506">
        <f t="shared" si="101"/>
        <v>0</v>
      </c>
      <c r="HA18" s="39" t="str">
        <f t="shared" si="102"/>
        <v/>
      </c>
      <c r="HB18" s="257">
        <f t="shared" si="103"/>
        <v>0</v>
      </c>
      <c r="HC18" s="257">
        <f t="shared" si="104"/>
        <v>0</v>
      </c>
      <c r="HD18" s="257">
        <f t="shared" si="105"/>
        <v>0</v>
      </c>
      <c r="HE18" s="575">
        <f t="shared" si="106"/>
        <v>3</v>
      </c>
      <c r="HF18" s="506">
        <f t="shared" si="107"/>
        <v>0</v>
      </c>
      <c r="HG18" s="39" t="str">
        <f t="shared" si="108"/>
        <v/>
      </c>
      <c r="HH18" s="257">
        <f t="shared" si="109"/>
        <v>0</v>
      </c>
      <c r="HI18" s="257">
        <f t="shared" si="110"/>
        <v>0</v>
      </c>
      <c r="HJ18" s="257">
        <f t="shared" si="111"/>
        <v>0</v>
      </c>
      <c r="HK18" s="575">
        <f t="shared" si="112"/>
        <v>3</v>
      </c>
      <c r="HL18" s="506">
        <f t="shared" si="113"/>
        <v>0</v>
      </c>
      <c r="HM18" s="39" t="str">
        <f t="shared" si="114"/>
        <v/>
      </c>
      <c r="HN18" s="39"/>
      <c r="HO18" s="39">
        <f t="shared" si="115"/>
        <v>75</v>
      </c>
      <c r="HP18" s="39">
        <f t="shared" si="116"/>
        <v>86.666666666666671</v>
      </c>
      <c r="HQ18" s="39">
        <f t="shared" si="117"/>
        <v>78.333333333333329</v>
      </c>
      <c r="HR18" s="39" t="str">
        <f t="shared" si="118"/>
        <v/>
      </c>
      <c r="HS18" s="39" t="str">
        <f t="shared" si="119"/>
        <v/>
      </c>
      <c r="HT18" s="39" t="str">
        <f t="shared" si="120"/>
        <v/>
      </c>
      <c r="HU18" s="39" t="str">
        <f t="shared" si="121"/>
        <v/>
      </c>
      <c r="HV18" s="39"/>
      <c r="HW18" s="39"/>
      <c r="HX18" s="39"/>
      <c r="HY18" s="39"/>
      <c r="HZ18" s="39">
        <f t="shared" si="122"/>
        <v>80</v>
      </c>
      <c r="IA18" s="68">
        <f t="shared" si="123"/>
        <v>86.666666666666671</v>
      </c>
      <c r="IB18" s="68">
        <f t="shared" si="124"/>
        <v>75</v>
      </c>
      <c r="IC18" s="39" t="str">
        <f>SISWA!E16</f>
        <v>Varis</v>
      </c>
      <c r="ID18" s="39" t="str">
        <f t="shared" si="125"/>
        <v xml:space="preserve">Ananda Varis </v>
      </c>
      <c r="IE18" s="207" t="str">
        <f t="shared" si="126"/>
        <v/>
      </c>
      <c r="IF18" s="207">
        <f t="shared" si="127"/>
        <v>86.666666666666671</v>
      </c>
      <c r="IG18" s="207" t="str">
        <f t="shared" si="128"/>
        <v/>
      </c>
      <c r="IH18" s="207" t="str">
        <f t="shared" si="129"/>
        <v/>
      </c>
      <c r="II18" s="207" t="str">
        <f t="shared" si="130"/>
        <v/>
      </c>
      <c r="IJ18" s="207" t="str">
        <f t="shared" si="131"/>
        <v/>
      </c>
      <c r="IK18" s="207" t="str">
        <f t="shared" si="132"/>
        <v/>
      </c>
      <c r="IL18" s="207"/>
      <c r="IM18" s="207"/>
      <c r="IN18" s="207"/>
      <c r="IO18" s="207"/>
      <c r="IP18" s="39">
        <f t="shared" si="133"/>
        <v>86.666666666666671</v>
      </c>
      <c r="IQ18" s="68" t="str">
        <f t="shared" si="134"/>
        <v>menyanyikan lagu-lagu dalam berbagai tangga nada dengan iringan musik</v>
      </c>
      <c r="IR18" s="576" t="str">
        <f>IF(IA18&gt;100,"",IF(IA18&gt;DQ$1,"sangat baik dalam "&amp;IQ18,IF(IA18&gt;=DQ$2,"baik dalam "&amp;IQ18,IF(IA18&gt;=DQ$3,"cukup dalam "&amp;IQ18,IF(IA18&lt;DQ$3,"dengan bimbingan dapat meningkatkan dalam "&amp;IQ18,IF(IA18&lt;1," ",””))))))</f>
        <v>baik dalam menyanyikan lagu-lagu dalam berbagai tangga nada dengan iringan musik</v>
      </c>
      <c r="IS18" s="223"/>
      <c r="IT18" s="223">
        <f t="shared" si="135"/>
        <v>75</v>
      </c>
      <c r="IU18" s="223" t="str">
        <f t="shared" si="136"/>
        <v/>
      </c>
      <c r="IV18" s="223" t="str">
        <f t="shared" si="137"/>
        <v/>
      </c>
      <c r="IW18" s="223" t="str">
        <f t="shared" si="138"/>
        <v/>
      </c>
      <c r="IX18" s="223" t="str">
        <f t="shared" si="139"/>
        <v/>
      </c>
      <c r="IY18" s="223" t="str">
        <f t="shared" si="140"/>
        <v/>
      </c>
      <c r="IZ18" s="223" t="str">
        <f t="shared" si="141"/>
        <v/>
      </c>
      <c r="JA18" s="223"/>
      <c r="JB18" s="223"/>
      <c r="JC18" s="223"/>
      <c r="JD18" s="223"/>
      <c r="JE18" s="223" t="str">
        <f t="shared" si="142"/>
        <v>membuat gambar cerita</v>
      </c>
      <c r="JF18" s="577" t="str">
        <f>IF(IB18&gt;100,"",IF(IB18&gt;=DQ$1,"sangat baik dalam "&amp;JE18,IF(IB18&gt;=DQ$2,"baik dalam "&amp;JE18,IF(IB18&gt;=DQ$3,"cukup dalam "&amp;JE18,IF(IB18&lt;DQ$3,"dengan bimbingan dapat meningkatkan dalam "&amp;JE18,IF(IB18&lt;1," ",””))))))</f>
        <v>cukup dalam membuat gambar cerita</v>
      </c>
      <c r="JG18" s="223" t="str">
        <f t="shared" si="143"/>
        <v>Ananda Varis baik dalam menyanyikan lagu-lagu dalam berbagai tangga nada dengan iringan musik, cukup dalam membuat gambar cerita.</v>
      </c>
    </row>
    <row r="19" spans="1:267" ht="30" customHeight="1">
      <c r="A19" s="39">
        <v>12</v>
      </c>
      <c r="B19" s="223" t="str">
        <f>SISWA!B17</f>
        <v>Oktafiya Duwi Safitri</v>
      </c>
      <c r="C19" s="123">
        <v>75</v>
      </c>
      <c r="D19" s="123"/>
      <c r="E19" s="123"/>
      <c r="F19" s="123"/>
      <c r="G19" s="123"/>
      <c r="H19" s="123"/>
      <c r="I19" s="123"/>
      <c r="J19" s="255">
        <v>75</v>
      </c>
      <c r="K19" s="255"/>
      <c r="L19" s="255"/>
      <c r="M19" s="255"/>
      <c r="N19" s="255"/>
      <c r="O19" s="255"/>
      <c r="P19" s="255"/>
      <c r="Q19" s="256">
        <v>75</v>
      </c>
      <c r="R19" s="256"/>
      <c r="S19" s="256"/>
      <c r="T19" s="256"/>
      <c r="U19" s="256"/>
      <c r="V19" s="256"/>
      <c r="W19" s="256"/>
      <c r="X19" s="123"/>
      <c r="Y19" s="123"/>
      <c r="Z19" s="123">
        <v>75</v>
      </c>
      <c r="AA19" s="123"/>
      <c r="AB19" s="123"/>
      <c r="AC19" s="123"/>
      <c r="AD19" s="123"/>
      <c r="AE19" s="255"/>
      <c r="AF19" s="255"/>
      <c r="AG19" s="255">
        <v>75</v>
      </c>
      <c r="AH19" s="255"/>
      <c r="AI19" s="255"/>
      <c r="AJ19" s="255"/>
      <c r="AK19" s="255"/>
      <c r="AL19" s="256"/>
      <c r="AM19" s="256"/>
      <c r="AN19" s="256">
        <v>75</v>
      </c>
      <c r="AO19" s="256"/>
      <c r="AP19" s="256"/>
      <c r="AQ19" s="256"/>
      <c r="AR19" s="256"/>
      <c r="AS19" s="123"/>
      <c r="AT19" s="123">
        <v>75</v>
      </c>
      <c r="AU19" s="123"/>
      <c r="AV19" s="123"/>
      <c r="AW19" s="123"/>
      <c r="AX19" s="123"/>
      <c r="AY19" s="123"/>
      <c r="AZ19" s="255"/>
      <c r="BA19" s="255">
        <v>80</v>
      </c>
      <c r="BB19" s="255"/>
      <c r="BC19" s="255"/>
      <c r="BD19" s="255"/>
      <c r="BE19" s="255"/>
      <c r="BF19" s="255"/>
      <c r="BG19" s="256"/>
      <c r="BH19" s="256">
        <v>75</v>
      </c>
      <c r="BI19" s="256"/>
      <c r="BJ19" s="256"/>
      <c r="BK19" s="256"/>
      <c r="BL19" s="256"/>
      <c r="BM19" s="256"/>
      <c r="BN19" s="123"/>
      <c r="BO19" s="123"/>
      <c r="BP19" s="123">
        <v>85</v>
      </c>
      <c r="BQ19" s="123"/>
      <c r="BR19" s="123"/>
      <c r="BS19" s="123"/>
      <c r="BT19" s="123"/>
      <c r="BU19" s="255"/>
      <c r="BV19" s="255"/>
      <c r="BW19" s="255">
        <v>75</v>
      </c>
      <c r="BX19" s="255"/>
      <c r="BY19" s="255"/>
      <c r="BZ19" s="255"/>
      <c r="CA19" s="255"/>
      <c r="CB19" s="256"/>
      <c r="CC19" s="256"/>
      <c r="CD19" s="256">
        <v>75</v>
      </c>
      <c r="CE19" s="256"/>
      <c r="CF19" s="256"/>
      <c r="CG19" s="256"/>
      <c r="CH19" s="256"/>
      <c r="CI19" s="458"/>
      <c r="CJ19" s="458">
        <v>80</v>
      </c>
      <c r="CK19" s="458"/>
      <c r="CL19" s="458"/>
      <c r="CM19" s="458"/>
      <c r="CN19" s="458"/>
      <c r="CO19" s="458"/>
      <c r="CP19" s="459"/>
      <c r="CQ19" s="459">
        <v>75</v>
      </c>
      <c r="CR19" s="459"/>
      <c r="CS19" s="459"/>
      <c r="CT19" s="459"/>
      <c r="CU19" s="459"/>
      <c r="CV19" s="459"/>
      <c r="CW19" s="256"/>
      <c r="CX19" s="256">
        <v>80</v>
      </c>
      <c r="CY19" s="256"/>
      <c r="CZ19" s="256"/>
      <c r="DA19" s="256"/>
      <c r="DB19" s="256"/>
      <c r="DC19" s="256"/>
      <c r="DD19" s="257">
        <f t="shared" si="15"/>
        <v>75</v>
      </c>
      <c r="DE19" s="257">
        <f t="shared" si="16"/>
        <v>80</v>
      </c>
      <c r="DF19" s="257">
        <f t="shared" si="17"/>
        <v>78.333333333333329</v>
      </c>
      <c r="DG19" s="257" t="str">
        <f t="shared" si="18"/>
        <v/>
      </c>
      <c r="DH19" s="257" t="str">
        <f t="shared" si="19"/>
        <v/>
      </c>
      <c r="DI19" s="257" t="str">
        <f t="shared" si="20"/>
        <v/>
      </c>
      <c r="DJ19" s="257" t="str">
        <f t="shared" si="21"/>
        <v/>
      </c>
      <c r="DK19" s="756">
        <f t="shared" si="22"/>
        <v>78</v>
      </c>
      <c r="DL19" s="291" t="str">
        <f t="shared" si="23"/>
        <v>C</v>
      </c>
      <c r="DM19" s="243" t="str">
        <f t="shared" si="24"/>
        <v>Ananda Fitri cukup dalam menyanyikan lagu-lagu dalam berbagai tangga nada dengan iringan musik, cukup dalam membuat gambar cerita.</v>
      </c>
      <c r="DN19" s="39"/>
      <c r="DO19" s="39"/>
      <c r="DP19" s="257">
        <f t="shared" si="25"/>
        <v>75</v>
      </c>
      <c r="DQ19" s="257">
        <f t="shared" si="26"/>
        <v>80</v>
      </c>
      <c r="DR19" s="257">
        <f t="shared" si="27"/>
        <v>85</v>
      </c>
      <c r="DS19" s="257">
        <f t="shared" si="28"/>
        <v>0</v>
      </c>
      <c r="DT19" s="257">
        <f t="shared" si="29"/>
        <v>0</v>
      </c>
      <c r="DU19" s="257">
        <f t="shared" si="30"/>
        <v>0</v>
      </c>
      <c r="DV19" s="257">
        <f t="shared" si="31"/>
        <v>0</v>
      </c>
      <c r="DW19" s="257"/>
      <c r="DX19" s="257"/>
      <c r="DY19" s="257"/>
      <c r="DZ19" s="257"/>
      <c r="EA19" s="232">
        <f t="shared" si="32"/>
        <v>85</v>
      </c>
      <c r="EB19" s="257">
        <f t="shared" si="33"/>
        <v>75</v>
      </c>
      <c r="EC19" s="257">
        <f t="shared" si="34"/>
        <v>80</v>
      </c>
      <c r="ED19" s="257">
        <f t="shared" si="35"/>
        <v>75</v>
      </c>
      <c r="EE19" s="257">
        <f t="shared" si="36"/>
        <v>0</v>
      </c>
      <c r="EF19" s="257">
        <f t="shared" si="37"/>
        <v>0</v>
      </c>
      <c r="EG19" s="257">
        <f t="shared" si="38"/>
        <v>0</v>
      </c>
      <c r="EH19" s="257">
        <f t="shared" si="39"/>
        <v>0</v>
      </c>
      <c r="EI19" s="257"/>
      <c r="EJ19" s="257"/>
      <c r="EK19" s="257"/>
      <c r="EL19" s="257"/>
      <c r="EM19" s="232">
        <f t="shared" si="40"/>
        <v>80</v>
      </c>
      <c r="EN19" s="257">
        <f t="shared" si="41"/>
        <v>75</v>
      </c>
      <c r="EO19" s="257">
        <f t="shared" si="42"/>
        <v>80</v>
      </c>
      <c r="EP19" s="257">
        <f t="shared" si="43"/>
        <v>75</v>
      </c>
      <c r="EQ19" s="257">
        <f t="shared" si="44"/>
        <v>0</v>
      </c>
      <c r="ER19" s="257">
        <f t="shared" si="45"/>
        <v>0</v>
      </c>
      <c r="ES19" s="257">
        <f t="shared" si="46"/>
        <v>0</v>
      </c>
      <c r="ET19" s="257">
        <f t="shared" si="47"/>
        <v>0</v>
      </c>
      <c r="EU19" s="257"/>
      <c r="EV19" s="257"/>
      <c r="EW19" s="257"/>
      <c r="EX19" s="257"/>
      <c r="EY19" s="232">
        <f t="shared" si="48"/>
        <v>80</v>
      </c>
      <c r="EZ19" s="257">
        <f t="shared" si="49"/>
        <v>75</v>
      </c>
      <c r="FA19" s="257">
        <f t="shared" si="50"/>
        <v>75</v>
      </c>
      <c r="FB19" s="257">
        <f t="shared" si="51"/>
        <v>75</v>
      </c>
      <c r="FC19" s="575">
        <f t="shared" si="52"/>
        <v>0</v>
      </c>
      <c r="FD19" s="506">
        <f t="shared" si="53"/>
        <v>3</v>
      </c>
      <c r="FE19" s="39">
        <f t="shared" si="54"/>
        <v>75</v>
      </c>
      <c r="FF19" s="257">
        <f t="shared" si="55"/>
        <v>80</v>
      </c>
      <c r="FG19" s="257">
        <f t="shared" si="56"/>
        <v>80</v>
      </c>
      <c r="FH19" s="257">
        <f t="shared" si="57"/>
        <v>80</v>
      </c>
      <c r="FI19" s="575">
        <f t="shared" si="58"/>
        <v>0</v>
      </c>
      <c r="FJ19" s="506">
        <f t="shared" si="59"/>
        <v>3</v>
      </c>
      <c r="FK19" s="39">
        <f t="shared" si="60"/>
        <v>80</v>
      </c>
      <c r="FL19" s="257">
        <f t="shared" si="61"/>
        <v>85</v>
      </c>
      <c r="FM19" s="257">
        <f t="shared" si="62"/>
        <v>75</v>
      </c>
      <c r="FN19" s="257">
        <f t="shared" si="63"/>
        <v>75</v>
      </c>
      <c r="FO19" s="575">
        <f t="shared" si="64"/>
        <v>0</v>
      </c>
      <c r="FP19" s="506">
        <f t="shared" si="65"/>
        <v>3</v>
      </c>
      <c r="FQ19" s="39">
        <f t="shared" si="66"/>
        <v>78.333333333333329</v>
      </c>
      <c r="FR19" s="257">
        <f t="shared" si="67"/>
        <v>0</v>
      </c>
      <c r="FS19" s="257">
        <f t="shared" si="68"/>
        <v>0</v>
      </c>
      <c r="FT19" s="257">
        <f t="shared" si="69"/>
        <v>0</v>
      </c>
      <c r="FU19" s="575">
        <f t="shared" si="70"/>
        <v>3</v>
      </c>
      <c r="FV19" s="506">
        <f t="shared" si="71"/>
        <v>0</v>
      </c>
      <c r="FW19" s="39" t="str">
        <f t="shared" si="72"/>
        <v/>
      </c>
      <c r="FX19" s="257">
        <f t="shared" si="73"/>
        <v>0</v>
      </c>
      <c r="FY19" s="257">
        <f t="shared" si="74"/>
        <v>0</v>
      </c>
      <c r="FZ19" s="257">
        <f t="shared" si="75"/>
        <v>0</v>
      </c>
      <c r="GA19" s="575">
        <f t="shared" si="76"/>
        <v>3</v>
      </c>
      <c r="GB19" s="506">
        <f t="shared" si="77"/>
        <v>0</v>
      </c>
      <c r="GC19" s="39" t="str">
        <f t="shared" si="78"/>
        <v/>
      </c>
      <c r="GD19" s="257">
        <f t="shared" si="79"/>
        <v>0</v>
      </c>
      <c r="GE19" s="257">
        <f t="shared" si="80"/>
        <v>0</v>
      </c>
      <c r="GF19" s="257">
        <f t="shared" si="81"/>
        <v>0</v>
      </c>
      <c r="GG19" s="575">
        <f t="shared" si="82"/>
        <v>3</v>
      </c>
      <c r="GH19" s="506">
        <f t="shared" si="83"/>
        <v>0</v>
      </c>
      <c r="GI19" s="39" t="str">
        <f t="shared" si="84"/>
        <v/>
      </c>
      <c r="GJ19" s="257">
        <f t="shared" si="85"/>
        <v>0</v>
      </c>
      <c r="GK19" s="257">
        <f t="shared" si="86"/>
        <v>0</v>
      </c>
      <c r="GL19" s="257">
        <f t="shared" si="87"/>
        <v>0</v>
      </c>
      <c r="GM19" s="575">
        <f t="shared" si="88"/>
        <v>3</v>
      </c>
      <c r="GN19" s="506">
        <f t="shared" si="89"/>
        <v>0</v>
      </c>
      <c r="GO19" s="39" t="str">
        <f t="shared" si="90"/>
        <v/>
      </c>
      <c r="GP19" s="257">
        <f t="shared" si="91"/>
        <v>0</v>
      </c>
      <c r="GQ19" s="257">
        <f t="shared" si="92"/>
        <v>0</v>
      </c>
      <c r="GR19" s="257">
        <f t="shared" si="93"/>
        <v>0</v>
      </c>
      <c r="GS19" s="575">
        <f t="shared" si="94"/>
        <v>3</v>
      </c>
      <c r="GT19" s="506">
        <f t="shared" si="95"/>
        <v>0</v>
      </c>
      <c r="GU19" s="39" t="str">
        <f t="shared" si="96"/>
        <v/>
      </c>
      <c r="GV19" s="257">
        <f t="shared" si="97"/>
        <v>0</v>
      </c>
      <c r="GW19" s="257">
        <f t="shared" si="98"/>
        <v>0</v>
      </c>
      <c r="GX19" s="257">
        <f t="shared" si="99"/>
        <v>0</v>
      </c>
      <c r="GY19" s="575">
        <f t="shared" si="100"/>
        <v>3</v>
      </c>
      <c r="GZ19" s="506">
        <f t="shared" si="101"/>
        <v>0</v>
      </c>
      <c r="HA19" s="39" t="str">
        <f t="shared" si="102"/>
        <v/>
      </c>
      <c r="HB19" s="257">
        <f t="shared" si="103"/>
        <v>0</v>
      </c>
      <c r="HC19" s="257">
        <f t="shared" si="104"/>
        <v>0</v>
      </c>
      <c r="HD19" s="257">
        <f t="shared" si="105"/>
        <v>0</v>
      </c>
      <c r="HE19" s="575">
        <f t="shared" si="106"/>
        <v>3</v>
      </c>
      <c r="HF19" s="506">
        <f t="shared" si="107"/>
        <v>0</v>
      </c>
      <c r="HG19" s="39" t="str">
        <f t="shared" si="108"/>
        <v/>
      </c>
      <c r="HH19" s="257">
        <f t="shared" si="109"/>
        <v>0</v>
      </c>
      <c r="HI19" s="257">
        <f t="shared" si="110"/>
        <v>0</v>
      </c>
      <c r="HJ19" s="257">
        <f t="shared" si="111"/>
        <v>0</v>
      </c>
      <c r="HK19" s="575">
        <f t="shared" si="112"/>
        <v>3</v>
      </c>
      <c r="HL19" s="506">
        <f t="shared" si="113"/>
        <v>0</v>
      </c>
      <c r="HM19" s="39" t="str">
        <f t="shared" si="114"/>
        <v/>
      </c>
      <c r="HN19" s="39"/>
      <c r="HO19" s="39">
        <f t="shared" si="115"/>
        <v>75</v>
      </c>
      <c r="HP19" s="39">
        <f t="shared" si="116"/>
        <v>80</v>
      </c>
      <c r="HQ19" s="39">
        <f t="shared" si="117"/>
        <v>78.333333333333329</v>
      </c>
      <c r="HR19" s="39" t="str">
        <f t="shared" si="118"/>
        <v/>
      </c>
      <c r="HS19" s="39" t="str">
        <f t="shared" si="119"/>
        <v/>
      </c>
      <c r="HT19" s="39" t="str">
        <f t="shared" si="120"/>
        <v/>
      </c>
      <c r="HU19" s="39" t="str">
        <f t="shared" si="121"/>
        <v/>
      </c>
      <c r="HV19" s="39"/>
      <c r="HW19" s="39"/>
      <c r="HX19" s="39"/>
      <c r="HY19" s="39"/>
      <c r="HZ19" s="39">
        <f t="shared" si="122"/>
        <v>78</v>
      </c>
      <c r="IA19" s="68">
        <f t="shared" si="123"/>
        <v>80</v>
      </c>
      <c r="IB19" s="68">
        <f t="shared" si="124"/>
        <v>75</v>
      </c>
      <c r="IC19" s="39" t="str">
        <f>SISWA!E17</f>
        <v>Fitri</v>
      </c>
      <c r="ID19" s="39" t="str">
        <f t="shared" si="125"/>
        <v xml:space="preserve">Ananda Fitri </v>
      </c>
      <c r="IE19" s="207" t="str">
        <f t="shared" si="126"/>
        <v/>
      </c>
      <c r="IF19" s="207">
        <f t="shared" si="127"/>
        <v>80</v>
      </c>
      <c r="IG19" s="207" t="str">
        <f t="shared" si="128"/>
        <v/>
      </c>
      <c r="IH19" s="207" t="str">
        <f t="shared" si="129"/>
        <v/>
      </c>
      <c r="II19" s="207" t="str">
        <f t="shared" si="130"/>
        <v/>
      </c>
      <c r="IJ19" s="207" t="str">
        <f t="shared" si="131"/>
        <v/>
      </c>
      <c r="IK19" s="207" t="str">
        <f t="shared" si="132"/>
        <v/>
      </c>
      <c r="IL19" s="207"/>
      <c r="IM19" s="207"/>
      <c r="IN19" s="207"/>
      <c r="IO19" s="207"/>
      <c r="IP19" s="39">
        <f t="shared" si="133"/>
        <v>80</v>
      </c>
      <c r="IQ19" s="68" t="str">
        <f t="shared" si="134"/>
        <v>menyanyikan lagu-lagu dalam berbagai tangga nada dengan iringan musik</v>
      </c>
      <c r="IR19" s="576" t="str">
        <f>IF(IA19&gt;100,"",IF(IA19&gt;DQ$1,"sangat baik dalam "&amp;IQ19,IF(IA19&gt;=DQ$2,"baik dalam "&amp;IQ19,IF(IA19&gt;=DQ$3,"cukup dalam "&amp;IQ19,IF(IA19&lt;DQ$3,"dengan bimbingan dapat meningkatkan dalam "&amp;IQ19,IF(IA19&lt;1," ",””))))))</f>
        <v>cukup dalam menyanyikan lagu-lagu dalam berbagai tangga nada dengan iringan musik</v>
      </c>
      <c r="IS19" s="223"/>
      <c r="IT19" s="223">
        <f t="shared" si="135"/>
        <v>75</v>
      </c>
      <c r="IU19" s="223" t="str">
        <f t="shared" si="136"/>
        <v/>
      </c>
      <c r="IV19" s="223" t="str">
        <f t="shared" si="137"/>
        <v/>
      </c>
      <c r="IW19" s="223" t="str">
        <f t="shared" si="138"/>
        <v/>
      </c>
      <c r="IX19" s="223" t="str">
        <f t="shared" si="139"/>
        <v/>
      </c>
      <c r="IY19" s="223" t="str">
        <f t="shared" si="140"/>
        <v/>
      </c>
      <c r="IZ19" s="223" t="str">
        <f t="shared" si="141"/>
        <v/>
      </c>
      <c r="JA19" s="223"/>
      <c r="JB19" s="223"/>
      <c r="JC19" s="223"/>
      <c r="JD19" s="223"/>
      <c r="JE19" s="223" t="str">
        <f t="shared" si="142"/>
        <v>membuat gambar cerita</v>
      </c>
      <c r="JF19" s="577" t="str">
        <f>IF(IB19&gt;100,"",IF(IB19&gt;=DQ$1,"sangat baik dalam "&amp;JE19,IF(IB19&gt;=DQ$2,"baik dalam "&amp;JE19,IF(IB19&gt;=DQ$3,"cukup dalam "&amp;JE19,IF(IB19&lt;DQ$3,"dengan bimbingan dapat meningkatkan dalam "&amp;JE19,IF(IB19&lt;1," ",””))))))</f>
        <v>cukup dalam membuat gambar cerita</v>
      </c>
      <c r="JG19" s="223" t="str">
        <f t="shared" si="143"/>
        <v>Ananda Fitri cukup dalam menyanyikan lagu-lagu dalam berbagai tangga nada dengan iringan musik, cukup dalam membuat gambar cerita.</v>
      </c>
    </row>
    <row r="20" spans="1:267" ht="30" customHeight="1">
      <c r="A20" s="39">
        <v>13</v>
      </c>
      <c r="B20" s="223" t="str">
        <f>SISWA!B18</f>
        <v>Prastika Guntur Firmansyah</v>
      </c>
      <c r="C20" s="123">
        <v>85</v>
      </c>
      <c r="D20" s="123"/>
      <c r="E20" s="123"/>
      <c r="F20" s="123"/>
      <c r="G20" s="123"/>
      <c r="H20" s="123"/>
      <c r="I20" s="123"/>
      <c r="J20" s="255">
        <v>90</v>
      </c>
      <c r="K20" s="255"/>
      <c r="L20" s="255"/>
      <c r="M20" s="255"/>
      <c r="N20" s="255"/>
      <c r="O20" s="255"/>
      <c r="P20" s="255"/>
      <c r="Q20" s="256">
        <v>85</v>
      </c>
      <c r="R20" s="256"/>
      <c r="S20" s="256"/>
      <c r="T20" s="256"/>
      <c r="U20" s="256"/>
      <c r="V20" s="256"/>
      <c r="W20" s="256"/>
      <c r="X20" s="123"/>
      <c r="Y20" s="123"/>
      <c r="Z20" s="123">
        <v>80</v>
      </c>
      <c r="AA20" s="123"/>
      <c r="AB20" s="123"/>
      <c r="AC20" s="123"/>
      <c r="AD20" s="123"/>
      <c r="AE20" s="255"/>
      <c r="AF20" s="255"/>
      <c r="AG20" s="255">
        <v>75</v>
      </c>
      <c r="AH20" s="255"/>
      <c r="AI20" s="255"/>
      <c r="AJ20" s="255"/>
      <c r="AK20" s="255"/>
      <c r="AL20" s="256"/>
      <c r="AM20" s="256"/>
      <c r="AN20" s="256">
        <v>75</v>
      </c>
      <c r="AO20" s="256"/>
      <c r="AP20" s="256"/>
      <c r="AQ20" s="256"/>
      <c r="AR20" s="256"/>
      <c r="AS20" s="123"/>
      <c r="AT20" s="123">
        <v>75</v>
      </c>
      <c r="AU20" s="123"/>
      <c r="AV20" s="123"/>
      <c r="AW20" s="123"/>
      <c r="AX20" s="123"/>
      <c r="AY20" s="123"/>
      <c r="AZ20" s="255"/>
      <c r="BA20" s="255">
        <v>75</v>
      </c>
      <c r="BB20" s="255"/>
      <c r="BC20" s="255"/>
      <c r="BD20" s="255"/>
      <c r="BE20" s="255"/>
      <c r="BF20" s="255"/>
      <c r="BG20" s="256"/>
      <c r="BH20" s="256">
        <v>75</v>
      </c>
      <c r="BI20" s="256"/>
      <c r="BJ20" s="256"/>
      <c r="BK20" s="256"/>
      <c r="BL20" s="256"/>
      <c r="BM20" s="256"/>
      <c r="BN20" s="123"/>
      <c r="BO20" s="123"/>
      <c r="BP20" s="123">
        <v>90</v>
      </c>
      <c r="BQ20" s="123"/>
      <c r="BR20" s="123"/>
      <c r="BS20" s="123"/>
      <c r="BT20" s="123"/>
      <c r="BU20" s="255"/>
      <c r="BV20" s="255"/>
      <c r="BW20" s="255">
        <v>80</v>
      </c>
      <c r="BX20" s="255"/>
      <c r="BY20" s="255"/>
      <c r="BZ20" s="255"/>
      <c r="CA20" s="255"/>
      <c r="CB20" s="256"/>
      <c r="CC20" s="256"/>
      <c r="CD20" s="256">
        <v>75</v>
      </c>
      <c r="CE20" s="256"/>
      <c r="CF20" s="256"/>
      <c r="CG20" s="256"/>
      <c r="CH20" s="256"/>
      <c r="CI20" s="458"/>
      <c r="CJ20" s="458">
        <v>85</v>
      </c>
      <c r="CK20" s="458"/>
      <c r="CL20" s="458"/>
      <c r="CM20" s="458"/>
      <c r="CN20" s="458"/>
      <c r="CO20" s="458"/>
      <c r="CP20" s="459"/>
      <c r="CQ20" s="459">
        <v>90</v>
      </c>
      <c r="CR20" s="459"/>
      <c r="CS20" s="459"/>
      <c r="CT20" s="459"/>
      <c r="CU20" s="459"/>
      <c r="CV20" s="459"/>
      <c r="CW20" s="256"/>
      <c r="CX20" s="256">
        <v>80</v>
      </c>
      <c r="CY20" s="256"/>
      <c r="CZ20" s="256"/>
      <c r="DA20" s="256"/>
      <c r="DB20" s="256"/>
      <c r="DC20" s="256"/>
      <c r="DD20" s="257">
        <f t="shared" si="15"/>
        <v>86.666666666666671</v>
      </c>
      <c r="DE20" s="257">
        <f t="shared" si="16"/>
        <v>85</v>
      </c>
      <c r="DF20" s="257">
        <f t="shared" si="17"/>
        <v>81.666666666666671</v>
      </c>
      <c r="DG20" s="257" t="str">
        <f t="shared" si="18"/>
        <v/>
      </c>
      <c r="DH20" s="257" t="str">
        <f t="shared" si="19"/>
        <v/>
      </c>
      <c r="DI20" s="257" t="str">
        <f t="shared" si="20"/>
        <v/>
      </c>
      <c r="DJ20" s="257" t="str">
        <f t="shared" si="21"/>
        <v/>
      </c>
      <c r="DK20" s="756">
        <f t="shared" si="22"/>
        <v>84</v>
      </c>
      <c r="DL20" s="291" t="str">
        <f t="shared" si="23"/>
        <v>B</v>
      </c>
      <c r="DM20" s="243" t="str">
        <f t="shared" si="24"/>
        <v>Ananda Pras baik dalam membuat gambar cerita, cukup dalam mempraktikkan pola lantai pada gerak tari kreasi dearah.</v>
      </c>
      <c r="DN20" s="39"/>
      <c r="DO20" s="39"/>
      <c r="DP20" s="257">
        <f t="shared" si="25"/>
        <v>85</v>
      </c>
      <c r="DQ20" s="257">
        <f t="shared" si="26"/>
        <v>85</v>
      </c>
      <c r="DR20" s="257">
        <f t="shared" si="27"/>
        <v>90</v>
      </c>
      <c r="DS20" s="257">
        <f t="shared" si="28"/>
        <v>0</v>
      </c>
      <c r="DT20" s="257">
        <f t="shared" si="29"/>
        <v>0</v>
      </c>
      <c r="DU20" s="257">
        <f t="shared" si="30"/>
        <v>0</v>
      </c>
      <c r="DV20" s="257">
        <f t="shared" si="31"/>
        <v>0</v>
      </c>
      <c r="DW20" s="257"/>
      <c r="DX20" s="257"/>
      <c r="DY20" s="257"/>
      <c r="DZ20" s="257"/>
      <c r="EA20" s="232">
        <f t="shared" si="32"/>
        <v>90</v>
      </c>
      <c r="EB20" s="257">
        <f t="shared" si="33"/>
        <v>90</v>
      </c>
      <c r="EC20" s="257">
        <f t="shared" si="34"/>
        <v>90</v>
      </c>
      <c r="ED20" s="257">
        <f t="shared" si="35"/>
        <v>80</v>
      </c>
      <c r="EE20" s="257">
        <f t="shared" si="36"/>
        <v>0</v>
      </c>
      <c r="EF20" s="257">
        <f t="shared" si="37"/>
        <v>0</v>
      </c>
      <c r="EG20" s="257">
        <f t="shared" si="38"/>
        <v>0</v>
      </c>
      <c r="EH20" s="257">
        <f t="shared" si="39"/>
        <v>0</v>
      </c>
      <c r="EI20" s="257"/>
      <c r="EJ20" s="257"/>
      <c r="EK20" s="257"/>
      <c r="EL20" s="257"/>
      <c r="EM20" s="232">
        <f t="shared" si="40"/>
        <v>90</v>
      </c>
      <c r="EN20" s="257">
        <f t="shared" si="41"/>
        <v>85</v>
      </c>
      <c r="EO20" s="257">
        <f t="shared" si="42"/>
        <v>80</v>
      </c>
      <c r="EP20" s="257">
        <f t="shared" si="43"/>
        <v>75</v>
      </c>
      <c r="EQ20" s="257">
        <f t="shared" si="44"/>
        <v>0</v>
      </c>
      <c r="ER20" s="257">
        <f t="shared" si="45"/>
        <v>0</v>
      </c>
      <c r="ES20" s="257">
        <f t="shared" si="46"/>
        <v>0</v>
      </c>
      <c r="ET20" s="257">
        <f t="shared" si="47"/>
        <v>0</v>
      </c>
      <c r="EU20" s="257"/>
      <c r="EV20" s="257"/>
      <c r="EW20" s="257"/>
      <c r="EX20" s="257"/>
      <c r="EY20" s="232">
        <f t="shared" si="48"/>
        <v>85</v>
      </c>
      <c r="EZ20" s="257">
        <f t="shared" si="49"/>
        <v>85</v>
      </c>
      <c r="FA20" s="257">
        <f t="shared" si="50"/>
        <v>90</v>
      </c>
      <c r="FB20" s="257">
        <f t="shared" si="51"/>
        <v>85</v>
      </c>
      <c r="FC20" s="575">
        <f t="shared" si="52"/>
        <v>0</v>
      </c>
      <c r="FD20" s="506">
        <f t="shared" si="53"/>
        <v>3</v>
      </c>
      <c r="FE20" s="39">
        <f t="shared" si="54"/>
        <v>86.666666666666671</v>
      </c>
      <c r="FF20" s="257">
        <f t="shared" si="55"/>
        <v>85</v>
      </c>
      <c r="FG20" s="257">
        <f t="shared" si="56"/>
        <v>90</v>
      </c>
      <c r="FH20" s="257">
        <f t="shared" si="57"/>
        <v>80</v>
      </c>
      <c r="FI20" s="575">
        <f t="shared" si="58"/>
        <v>0</v>
      </c>
      <c r="FJ20" s="506">
        <f t="shared" si="59"/>
        <v>3</v>
      </c>
      <c r="FK20" s="39">
        <f t="shared" si="60"/>
        <v>85</v>
      </c>
      <c r="FL20" s="257">
        <f t="shared" si="61"/>
        <v>90</v>
      </c>
      <c r="FM20" s="257">
        <f t="shared" si="62"/>
        <v>80</v>
      </c>
      <c r="FN20" s="257">
        <f t="shared" si="63"/>
        <v>75</v>
      </c>
      <c r="FO20" s="575">
        <f t="shared" si="64"/>
        <v>0</v>
      </c>
      <c r="FP20" s="506">
        <f t="shared" si="65"/>
        <v>3</v>
      </c>
      <c r="FQ20" s="39">
        <f t="shared" si="66"/>
        <v>81.666666666666671</v>
      </c>
      <c r="FR20" s="257">
        <f t="shared" si="67"/>
        <v>0</v>
      </c>
      <c r="FS20" s="257">
        <f t="shared" si="68"/>
        <v>0</v>
      </c>
      <c r="FT20" s="257">
        <f t="shared" si="69"/>
        <v>0</v>
      </c>
      <c r="FU20" s="575">
        <f t="shared" si="70"/>
        <v>3</v>
      </c>
      <c r="FV20" s="506">
        <f t="shared" si="71"/>
        <v>0</v>
      </c>
      <c r="FW20" s="39" t="str">
        <f t="shared" si="72"/>
        <v/>
      </c>
      <c r="FX20" s="257">
        <f t="shared" si="73"/>
        <v>0</v>
      </c>
      <c r="FY20" s="257">
        <f t="shared" si="74"/>
        <v>0</v>
      </c>
      <c r="FZ20" s="257">
        <f t="shared" si="75"/>
        <v>0</v>
      </c>
      <c r="GA20" s="575">
        <f t="shared" si="76"/>
        <v>3</v>
      </c>
      <c r="GB20" s="506">
        <f t="shared" si="77"/>
        <v>0</v>
      </c>
      <c r="GC20" s="39" t="str">
        <f t="shared" si="78"/>
        <v/>
      </c>
      <c r="GD20" s="257">
        <f t="shared" si="79"/>
        <v>0</v>
      </c>
      <c r="GE20" s="257">
        <f t="shared" si="80"/>
        <v>0</v>
      </c>
      <c r="GF20" s="257">
        <f t="shared" si="81"/>
        <v>0</v>
      </c>
      <c r="GG20" s="575">
        <f t="shared" si="82"/>
        <v>3</v>
      </c>
      <c r="GH20" s="506">
        <f t="shared" si="83"/>
        <v>0</v>
      </c>
      <c r="GI20" s="39" t="str">
        <f t="shared" si="84"/>
        <v/>
      </c>
      <c r="GJ20" s="257">
        <f t="shared" si="85"/>
        <v>0</v>
      </c>
      <c r="GK20" s="257">
        <f t="shared" si="86"/>
        <v>0</v>
      </c>
      <c r="GL20" s="257">
        <f t="shared" si="87"/>
        <v>0</v>
      </c>
      <c r="GM20" s="575">
        <f t="shared" si="88"/>
        <v>3</v>
      </c>
      <c r="GN20" s="506">
        <f t="shared" si="89"/>
        <v>0</v>
      </c>
      <c r="GO20" s="39" t="str">
        <f t="shared" si="90"/>
        <v/>
      </c>
      <c r="GP20" s="257">
        <f t="shared" si="91"/>
        <v>0</v>
      </c>
      <c r="GQ20" s="257">
        <f t="shared" si="92"/>
        <v>0</v>
      </c>
      <c r="GR20" s="257">
        <f t="shared" si="93"/>
        <v>0</v>
      </c>
      <c r="GS20" s="575">
        <f t="shared" si="94"/>
        <v>3</v>
      </c>
      <c r="GT20" s="506">
        <f t="shared" si="95"/>
        <v>0</v>
      </c>
      <c r="GU20" s="39" t="str">
        <f t="shared" si="96"/>
        <v/>
      </c>
      <c r="GV20" s="257">
        <f t="shared" si="97"/>
        <v>0</v>
      </c>
      <c r="GW20" s="257">
        <f t="shared" si="98"/>
        <v>0</v>
      </c>
      <c r="GX20" s="257">
        <f t="shared" si="99"/>
        <v>0</v>
      </c>
      <c r="GY20" s="575">
        <f t="shared" si="100"/>
        <v>3</v>
      </c>
      <c r="GZ20" s="506">
        <f t="shared" si="101"/>
        <v>0</v>
      </c>
      <c r="HA20" s="39" t="str">
        <f t="shared" si="102"/>
        <v/>
      </c>
      <c r="HB20" s="257">
        <f t="shared" si="103"/>
        <v>0</v>
      </c>
      <c r="HC20" s="257">
        <f t="shared" si="104"/>
        <v>0</v>
      </c>
      <c r="HD20" s="257">
        <f t="shared" si="105"/>
        <v>0</v>
      </c>
      <c r="HE20" s="575">
        <f t="shared" si="106"/>
        <v>3</v>
      </c>
      <c r="HF20" s="506">
        <f t="shared" si="107"/>
        <v>0</v>
      </c>
      <c r="HG20" s="39" t="str">
        <f t="shared" si="108"/>
        <v/>
      </c>
      <c r="HH20" s="257">
        <f t="shared" si="109"/>
        <v>0</v>
      </c>
      <c r="HI20" s="257">
        <f t="shared" si="110"/>
        <v>0</v>
      </c>
      <c r="HJ20" s="257">
        <f t="shared" si="111"/>
        <v>0</v>
      </c>
      <c r="HK20" s="575">
        <f t="shared" si="112"/>
        <v>3</v>
      </c>
      <c r="HL20" s="506">
        <f t="shared" si="113"/>
        <v>0</v>
      </c>
      <c r="HM20" s="39" t="str">
        <f t="shared" si="114"/>
        <v/>
      </c>
      <c r="HN20" s="39"/>
      <c r="HO20" s="39">
        <f t="shared" si="115"/>
        <v>86.666666666666671</v>
      </c>
      <c r="HP20" s="39">
        <f t="shared" si="116"/>
        <v>85</v>
      </c>
      <c r="HQ20" s="39">
        <f t="shared" si="117"/>
        <v>81.666666666666671</v>
      </c>
      <c r="HR20" s="39" t="str">
        <f t="shared" si="118"/>
        <v/>
      </c>
      <c r="HS20" s="39" t="str">
        <f t="shared" si="119"/>
        <v/>
      </c>
      <c r="HT20" s="39" t="str">
        <f t="shared" si="120"/>
        <v/>
      </c>
      <c r="HU20" s="39" t="str">
        <f t="shared" si="121"/>
        <v/>
      </c>
      <c r="HV20" s="39"/>
      <c r="HW20" s="39"/>
      <c r="HX20" s="39"/>
      <c r="HY20" s="39"/>
      <c r="HZ20" s="39">
        <f t="shared" si="122"/>
        <v>84</v>
      </c>
      <c r="IA20" s="68">
        <f t="shared" si="123"/>
        <v>86.666666666666671</v>
      </c>
      <c r="IB20" s="68">
        <f t="shared" si="124"/>
        <v>81.666666666666671</v>
      </c>
      <c r="IC20" s="39" t="str">
        <f>SISWA!E18</f>
        <v>Pras</v>
      </c>
      <c r="ID20" s="39" t="str">
        <f t="shared" si="125"/>
        <v xml:space="preserve">Ananda Pras </v>
      </c>
      <c r="IE20" s="207">
        <f t="shared" si="126"/>
        <v>86.666666666666671</v>
      </c>
      <c r="IF20" s="207" t="str">
        <f t="shared" si="127"/>
        <v/>
      </c>
      <c r="IG20" s="207" t="str">
        <f t="shared" si="128"/>
        <v/>
      </c>
      <c r="IH20" s="207" t="str">
        <f t="shared" si="129"/>
        <v/>
      </c>
      <c r="II20" s="207" t="str">
        <f t="shared" si="130"/>
        <v/>
      </c>
      <c r="IJ20" s="207" t="str">
        <f t="shared" si="131"/>
        <v/>
      </c>
      <c r="IK20" s="207" t="str">
        <f t="shared" si="132"/>
        <v/>
      </c>
      <c r="IL20" s="207"/>
      <c r="IM20" s="207"/>
      <c r="IN20" s="207"/>
      <c r="IO20" s="207"/>
      <c r="IP20" s="39">
        <f t="shared" si="133"/>
        <v>86.666666666666671</v>
      </c>
      <c r="IQ20" s="68" t="str">
        <f t="shared" si="134"/>
        <v>membuat gambar cerita</v>
      </c>
      <c r="IR20" s="576" t="str">
        <f>IF(IA20&gt;100,"",IF(IA20&gt;DQ$1,"sangat baik dalam "&amp;IQ20,IF(IA20&gt;=DQ$2,"baik dalam "&amp;IQ20,IF(IA20&gt;=DQ$3,"cukup dalam "&amp;IQ20,IF(IA20&lt;DQ$3,"dengan bimbingan dapat meningkatkan dalam "&amp;IQ20,IF(IA20&lt;1," ",””))))))</f>
        <v>baik dalam membuat gambar cerita</v>
      </c>
      <c r="IS20" s="223"/>
      <c r="IT20" s="223" t="str">
        <f t="shared" si="135"/>
        <v/>
      </c>
      <c r="IU20" s="223" t="str">
        <f t="shared" si="136"/>
        <v/>
      </c>
      <c r="IV20" s="223">
        <f t="shared" si="137"/>
        <v>81.666666666666671</v>
      </c>
      <c r="IW20" s="223" t="str">
        <f t="shared" si="138"/>
        <v/>
      </c>
      <c r="IX20" s="223" t="str">
        <f t="shared" si="139"/>
        <v/>
      </c>
      <c r="IY20" s="223" t="str">
        <f t="shared" si="140"/>
        <v/>
      </c>
      <c r="IZ20" s="223" t="str">
        <f t="shared" si="141"/>
        <v/>
      </c>
      <c r="JA20" s="223"/>
      <c r="JB20" s="223"/>
      <c r="JC20" s="223"/>
      <c r="JD20" s="223"/>
      <c r="JE20" s="223" t="str">
        <f t="shared" si="142"/>
        <v>mempraktikkan pola lantai pada gerak tari kreasi dearah</v>
      </c>
      <c r="JF20" s="577" t="str">
        <f>IF(IB20&gt;100,"",IF(IB20&gt;=DQ$1,"sangat baik dalam "&amp;JE20,IF(IB20&gt;=DQ$2,"baik dalam "&amp;JE20,IF(IB20&gt;=DQ$3,"cukup dalam "&amp;JE20,IF(IB20&lt;DQ$3,"dengan bimbingan dapat meningkatkan dalam "&amp;JE20,IF(IB20&lt;1," ",””))))))</f>
        <v>cukup dalam mempraktikkan pola lantai pada gerak tari kreasi dearah</v>
      </c>
      <c r="JG20" s="223" t="str">
        <f t="shared" si="143"/>
        <v>Ananda Pras baik dalam membuat gambar cerita, cukup dalam mempraktikkan pola lantai pada gerak tari kreasi dearah.</v>
      </c>
    </row>
    <row r="21" spans="1:267" ht="30" customHeight="1">
      <c r="A21" s="39">
        <v>14</v>
      </c>
      <c r="B21" s="223" t="str">
        <f>SISWA!B19</f>
        <v>Siti Musyafiani</v>
      </c>
      <c r="C21" s="123">
        <v>75</v>
      </c>
      <c r="D21" s="123"/>
      <c r="E21" s="123"/>
      <c r="F21" s="123"/>
      <c r="G21" s="123"/>
      <c r="H21" s="123"/>
      <c r="I21" s="123"/>
      <c r="J21" s="255">
        <v>90</v>
      </c>
      <c r="K21" s="255"/>
      <c r="L21" s="255"/>
      <c r="M21" s="255"/>
      <c r="N21" s="255"/>
      <c r="O21" s="255"/>
      <c r="P21" s="255"/>
      <c r="Q21" s="256">
        <v>75</v>
      </c>
      <c r="R21" s="256"/>
      <c r="S21" s="256"/>
      <c r="T21" s="256"/>
      <c r="U21" s="256"/>
      <c r="V21" s="256"/>
      <c r="W21" s="256"/>
      <c r="X21" s="123"/>
      <c r="Y21" s="123"/>
      <c r="Z21" s="123">
        <v>80</v>
      </c>
      <c r="AA21" s="123"/>
      <c r="AB21" s="123"/>
      <c r="AC21" s="123"/>
      <c r="AD21" s="123"/>
      <c r="AE21" s="255"/>
      <c r="AF21" s="255"/>
      <c r="AG21" s="255">
        <v>80</v>
      </c>
      <c r="AH21" s="255"/>
      <c r="AI21" s="255"/>
      <c r="AJ21" s="255"/>
      <c r="AK21" s="255"/>
      <c r="AL21" s="256"/>
      <c r="AM21" s="256"/>
      <c r="AN21" s="256">
        <v>90</v>
      </c>
      <c r="AO21" s="256"/>
      <c r="AP21" s="256"/>
      <c r="AQ21" s="256"/>
      <c r="AR21" s="256"/>
      <c r="AS21" s="123"/>
      <c r="AT21" s="123">
        <v>90</v>
      </c>
      <c r="AU21" s="123"/>
      <c r="AV21" s="123"/>
      <c r="AW21" s="123"/>
      <c r="AX21" s="123"/>
      <c r="AY21" s="123"/>
      <c r="AZ21" s="255"/>
      <c r="BA21" s="255">
        <v>90</v>
      </c>
      <c r="BB21" s="255"/>
      <c r="BC21" s="255"/>
      <c r="BD21" s="255"/>
      <c r="BE21" s="255"/>
      <c r="BF21" s="255"/>
      <c r="BG21" s="256"/>
      <c r="BH21" s="256">
        <v>80</v>
      </c>
      <c r="BI21" s="256"/>
      <c r="BJ21" s="256"/>
      <c r="BK21" s="256"/>
      <c r="BL21" s="256"/>
      <c r="BM21" s="256"/>
      <c r="BN21" s="123"/>
      <c r="BO21" s="123"/>
      <c r="BP21" s="123">
        <v>90</v>
      </c>
      <c r="BQ21" s="123"/>
      <c r="BR21" s="123"/>
      <c r="BS21" s="123"/>
      <c r="BT21" s="123"/>
      <c r="BU21" s="255"/>
      <c r="BV21" s="255"/>
      <c r="BW21" s="255">
        <v>80</v>
      </c>
      <c r="BX21" s="255"/>
      <c r="BY21" s="255"/>
      <c r="BZ21" s="255"/>
      <c r="CA21" s="255"/>
      <c r="CB21" s="256"/>
      <c r="CC21" s="256"/>
      <c r="CD21" s="256">
        <v>75</v>
      </c>
      <c r="CE21" s="256"/>
      <c r="CF21" s="256"/>
      <c r="CG21" s="256"/>
      <c r="CH21" s="256"/>
      <c r="CI21" s="458"/>
      <c r="CJ21" s="458">
        <v>75</v>
      </c>
      <c r="CK21" s="458"/>
      <c r="CL21" s="458"/>
      <c r="CM21" s="458"/>
      <c r="CN21" s="458"/>
      <c r="CO21" s="458"/>
      <c r="CP21" s="459"/>
      <c r="CQ21" s="459">
        <v>90</v>
      </c>
      <c r="CR21" s="459"/>
      <c r="CS21" s="459"/>
      <c r="CT21" s="459"/>
      <c r="CU21" s="459"/>
      <c r="CV21" s="459"/>
      <c r="CW21" s="256"/>
      <c r="CX21" s="256">
        <v>80</v>
      </c>
      <c r="CY21" s="256"/>
      <c r="CZ21" s="256"/>
      <c r="DA21" s="256"/>
      <c r="DB21" s="256"/>
      <c r="DC21" s="256"/>
      <c r="DD21" s="257">
        <f t="shared" si="15"/>
        <v>80</v>
      </c>
      <c r="DE21" s="257">
        <f t="shared" si="16"/>
        <v>86.666666666666671</v>
      </c>
      <c r="DF21" s="257">
        <f t="shared" si="17"/>
        <v>86.666666666666671</v>
      </c>
      <c r="DG21" s="257" t="str">
        <f t="shared" si="18"/>
        <v/>
      </c>
      <c r="DH21" s="257" t="str">
        <f t="shared" si="19"/>
        <v/>
      </c>
      <c r="DI21" s="257" t="str">
        <f t="shared" si="20"/>
        <v/>
      </c>
      <c r="DJ21" s="257" t="str">
        <f t="shared" si="21"/>
        <v/>
      </c>
      <c r="DK21" s="756">
        <f t="shared" si="22"/>
        <v>84</v>
      </c>
      <c r="DL21" s="291" t="str">
        <f t="shared" si="23"/>
        <v>B</v>
      </c>
      <c r="DM21" s="243" t="str">
        <f t="shared" si="24"/>
        <v>Ananda Fifi baik dalam mempraktikkan pola lantai pada gerak tari kreasi dearah, cukup dalam membuat gambar cerita.</v>
      </c>
      <c r="DN21" s="39"/>
      <c r="DO21" s="39"/>
      <c r="DP21" s="257">
        <f t="shared" si="25"/>
        <v>75</v>
      </c>
      <c r="DQ21" s="257">
        <f t="shared" si="26"/>
        <v>90</v>
      </c>
      <c r="DR21" s="257">
        <f t="shared" si="27"/>
        <v>90</v>
      </c>
      <c r="DS21" s="257">
        <f t="shared" si="28"/>
        <v>0</v>
      </c>
      <c r="DT21" s="257">
        <f t="shared" si="29"/>
        <v>0</v>
      </c>
      <c r="DU21" s="257">
        <f t="shared" si="30"/>
        <v>0</v>
      </c>
      <c r="DV21" s="257">
        <f t="shared" si="31"/>
        <v>0</v>
      </c>
      <c r="DW21" s="257"/>
      <c r="DX21" s="257"/>
      <c r="DY21" s="257"/>
      <c r="DZ21" s="257"/>
      <c r="EA21" s="232">
        <f t="shared" si="32"/>
        <v>90</v>
      </c>
      <c r="EB21" s="257">
        <f t="shared" si="33"/>
        <v>90</v>
      </c>
      <c r="EC21" s="257">
        <f t="shared" si="34"/>
        <v>90</v>
      </c>
      <c r="ED21" s="257">
        <f t="shared" si="35"/>
        <v>80</v>
      </c>
      <c r="EE21" s="257">
        <f t="shared" si="36"/>
        <v>0</v>
      </c>
      <c r="EF21" s="257">
        <f t="shared" si="37"/>
        <v>0</v>
      </c>
      <c r="EG21" s="257">
        <f t="shared" si="38"/>
        <v>0</v>
      </c>
      <c r="EH21" s="257">
        <f t="shared" si="39"/>
        <v>0</v>
      </c>
      <c r="EI21" s="257"/>
      <c r="EJ21" s="257"/>
      <c r="EK21" s="257"/>
      <c r="EL21" s="257"/>
      <c r="EM21" s="232">
        <f t="shared" si="40"/>
        <v>90</v>
      </c>
      <c r="EN21" s="257">
        <f t="shared" si="41"/>
        <v>75</v>
      </c>
      <c r="EO21" s="257">
        <f t="shared" si="42"/>
        <v>80</v>
      </c>
      <c r="EP21" s="257">
        <f t="shared" si="43"/>
        <v>90</v>
      </c>
      <c r="EQ21" s="257">
        <f t="shared" si="44"/>
        <v>0</v>
      </c>
      <c r="ER21" s="257">
        <f t="shared" si="45"/>
        <v>0</v>
      </c>
      <c r="ES21" s="257">
        <f t="shared" si="46"/>
        <v>0</v>
      </c>
      <c r="ET21" s="257">
        <f t="shared" si="47"/>
        <v>0</v>
      </c>
      <c r="EU21" s="257"/>
      <c r="EV21" s="257"/>
      <c r="EW21" s="257"/>
      <c r="EX21" s="257"/>
      <c r="EY21" s="232">
        <f t="shared" si="48"/>
        <v>90</v>
      </c>
      <c r="EZ21" s="257">
        <f t="shared" si="49"/>
        <v>75</v>
      </c>
      <c r="FA21" s="257">
        <f t="shared" si="50"/>
        <v>90</v>
      </c>
      <c r="FB21" s="257">
        <f t="shared" si="51"/>
        <v>75</v>
      </c>
      <c r="FC21" s="575">
        <f t="shared" si="52"/>
        <v>0</v>
      </c>
      <c r="FD21" s="506">
        <f t="shared" si="53"/>
        <v>3</v>
      </c>
      <c r="FE21" s="39">
        <f t="shared" si="54"/>
        <v>80</v>
      </c>
      <c r="FF21" s="257">
        <f t="shared" si="55"/>
        <v>90</v>
      </c>
      <c r="FG21" s="257">
        <f t="shared" si="56"/>
        <v>90</v>
      </c>
      <c r="FH21" s="257">
        <f t="shared" si="57"/>
        <v>80</v>
      </c>
      <c r="FI21" s="575">
        <f t="shared" si="58"/>
        <v>0</v>
      </c>
      <c r="FJ21" s="506">
        <f t="shared" si="59"/>
        <v>3</v>
      </c>
      <c r="FK21" s="39">
        <f t="shared" si="60"/>
        <v>86.666666666666671</v>
      </c>
      <c r="FL21" s="257">
        <f t="shared" si="61"/>
        <v>90</v>
      </c>
      <c r="FM21" s="257">
        <f t="shared" si="62"/>
        <v>80</v>
      </c>
      <c r="FN21" s="257">
        <f t="shared" si="63"/>
        <v>90</v>
      </c>
      <c r="FO21" s="575">
        <f t="shared" si="64"/>
        <v>0</v>
      </c>
      <c r="FP21" s="506">
        <f t="shared" si="65"/>
        <v>3</v>
      </c>
      <c r="FQ21" s="39">
        <f t="shared" si="66"/>
        <v>86.666666666666671</v>
      </c>
      <c r="FR21" s="257">
        <f t="shared" si="67"/>
        <v>0</v>
      </c>
      <c r="FS21" s="257">
        <f t="shared" si="68"/>
        <v>0</v>
      </c>
      <c r="FT21" s="257">
        <f t="shared" si="69"/>
        <v>0</v>
      </c>
      <c r="FU21" s="575">
        <f t="shared" si="70"/>
        <v>3</v>
      </c>
      <c r="FV21" s="506">
        <f t="shared" si="71"/>
        <v>0</v>
      </c>
      <c r="FW21" s="39" t="str">
        <f t="shared" si="72"/>
        <v/>
      </c>
      <c r="FX21" s="257">
        <f t="shared" si="73"/>
        <v>0</v>
      </c>
      <c r="FY21" s="257">
        <f t="shared" si="74"/>
        <v>0</v>
      </c>
      <c r="FZ21" s="257">
        <f t="shared" si="75"/>
        <v>0</v>
      </c>
      <c r="GA21" s="575">
        <f t="shared" si="76"/>
        <v>3</v>
      </c>
      <c r="GB21" s="506">
        <f t="shared" si="77"/>
        <v>0</v>
      </c>
      <c r="GC21" s="39" t="str">
        <f t="shared" si="78"/>
        <v/>
      </c>
      <c r="GD21" s="257">
        <f t="shared" si="79"/>
        <v>0</v>
      </c>
      <c r="GE21" s="257">
        <f t="shared" si="80"/>
        <v>0</v>
      </c>
      <c r="GF21" s="257">
        <f t="shared" si="81"/>
        <v>0</v>
      </c>
      <c r="GG21" s="575">
        <f t="shared" si="82"/>
        <v>3</v>
      </c>
      <c r="GH21" s="506">
        <f t="shared" si="83"/>
        <v>0</v>
      </c>
      <c r="GI21" s="39" t="str">
        <f t="shared" si="84"/>
        <v/>
      </c>
      <c r="GJ21" s="257">
        <f t="shared" si="85"/>
        <v>0</v>
      </c>
      <c r="GK21" s="257">
        <f t="shared" si="86"/>
        <v>0</v>
      </c>
      <c r="GL21" s="257">
        <f t="shared" si="87"/>
        <v>0</v>
      </c>
      <c r="GM21" s="575">
        <f t="shared" si="88"/>
        <v>3</v>
      </c>
      <c r="GN21" s="506">
        <f t="shared" si="89"/>
        <v>0</v>
      </c>
      <c r="GO21" s="39" t="str">
        <f t="shared" si="90"/>
        <v/>
      </c>
      <c r="GP21" s="257">
        <f t="shared" si="91"/>
        <v>0</v>
      </c>
      <c r="GQ21" s="257">
        <f t="shared" si="92"/>
        <v>0</v>
      </c>
      <c r="GR21" s="257">
        <f t="shared" si="93"/>
        <v>0</v>
      </c>
      <c r="GS21" s="575">
        <f t="shared" si="94"/>
        <v>3</v>
      </c>
      <c r="GT21" s="506">
        <f t="shared" si="95"/>
        <v>0</v>
      </c>
      <c r="GU21" s="39" t="str">
        <f t="shared" si="96"/>
        <v/>
      </c>
      <c r="GV21" s="257">
        <f t="shared" si="97"/>
        <v>0</v>
      </c>
      <c r="GW21" s="257">
        <f t="shared" si="98"/>
        <v>0</v>
      </c>
      <c r="GX21" s="257">
        <f t="shared" si="99"/>
        <v>0</v>
      </c>
      <c r="GY21" s="575">
        <f t="shared" si="100"/>
        <v>3</v>
      </c>
      <c r="GZ21" s="506">
        <f t="shared" si="101"/>
        <v>0</v>
      </c>
      <c r="HA21" s="39" t="str">
        <f t="shared" si="102"/>
        <v/>
      </c>
      <c r="HB21" s="257">
        <f t="shared" si="103"/>
        <v>0</v>
      </c>
      <c r="HC21" s="257">
        <f t="shared" si="104"/>
        <v>0</v>
      </c>
      <c r="HD21" s="257">
        <f t="shared" si="105"/>
        <v>0</v>
      </c>
      <c r="HE21" s="575">
        <f t="shared" si="106"/>
        <v>3</v>
      </c>
      <c r="HF21" s="506">
        <f t="shared" si="107"/>
        <v>0</v>
      </c>
      <c r="HG21" s="39" t="str">
        <f t="shared" si="108"/>
        <v/>
      </c>
      <c r="HH21" s="257">
        <f t="shared" si="109"/>
        <v>0</v>
      </c>
      <c r="HI21" s="257">
        <f t="shared" si="110"/>
        <v>0</v>
      </c>
      <c r="HJ21" s="257">
        <f t="shared" si="111"/>
        <v>0</v>
      </c>
      <c r="HK21" s="575">
        <f t="shared" si="112"/>
        <v>3</v>
      </c>
      <c r="HL21" s="506">
        <f t="shared" si="113"/>
        <v>0</v>
      </c>
      <c r="HM21" s="39" t="str">
        <f t="shared" si="114"/>
        <v/>
      </c>
      <c r="HN21" s="39"/>
      <c r="HO21" s="39">
        <f t="shared" si="115"/>
        <v>80</v>
      </c>
      <c r="HP21" s="39">
        <f t="shared" si="116"/>
        <v>86.666666666666671</v>
      </c>
      <c r="HQ21" s="39">
        <f t="shared" si="117"/>
        <v>86.666666666666671</v>
      </c>
      <c r="HR21" s="39" t="str">
        <f t="shared" si="118"/>
        <v/>
      </c>
      <c r="HS21" s="39" t="str">
        <f t="shared" si="119"/>
        <v/>
      </c>
      <c r="HT21" s="39" t="str">
        <f t="shared" si="120"/>
        <v/>
      </c>
      <c r="HU21" s="39" t="str">
        <f t="shared" si="121"/>
        <v/>
      </c>
      <c r="HV21" s="39"/>
      <c r="HW21" s="39"/>
      <c r="HX21" s="39"/>
      <c r="HY21" s="39"/>
      <c r="HZ21" s="39">
        <f t="shared" si="122"/>
        <v>84</v>
      </c>
      <c r="IA21" s="68">
        <f t="shared" si="123"/>
        <v>86.666666666666671</v>
      </c>
      <c r="IB21" s="68">
        <f t="shared" si="124"/>
        <v>80</v>
      </c>
      <c r="IC21" s="39" t="str">
        <f>SISWA!E19</f>
        <v>Fifi</v>
      </c>
      <c r="ID21" s="39" t="str">
        <f t="shared" si="125"/>
        <v xml:space="preserve">Ananda Fifi </v>
      </c>
      <c r="IE21" s="207" t="str">
        <f t="shared" si="126"/>
        <v/>
      </c>
      <c r="IF21" s="207">
        <f t="shared" si="127"/>
        <v>86.666666666666671</v>
      </c>
      <c r="IG21" s="207">
        <f t="shared" si="128"/>
        <v>86.666666666666671</v>
      </c>
      <c r="IH21" s="207" t="str">
        <f t="shared" si="129"/>
        <v/>
      </c>
      <c r="II21" s="207" t="str">
        <f t="shared" si="130"/>
        <v/>
      </c>
      <c r="IJ21" s="207" t="str">
        <f t="shared" si="131"/>
        <v/>
      </c>
      <c r="IK21" s="207" t="str">
        <f t="shared" si="132"/>
        <v/>
      </c>
      <c r="IL21" s="207"/>
      <c r="IM21" s="207"/>
      <c r="IN21" s="207"/>
      <c r="IO21" s="207"/>
      <c r="IP21" s="39">
        <f t="shared" si="133"/>
        <v>173.33333333333334</v>
      </c>
      <c r="IQ21" s="68" t="str">
        <f t="shared" si="134"/>
        <v>mempraktikkan pola lantai pada gerak tari kreasi dearah</v>
      </c>
      <c r="IR21" s="576" t="str">
        <f>IF(IA21&gt;100,"",IF(IA21&gt;DQ$1,"sangat baik dalam "&amp;IQ21,IF(IA21&gt;=DQ$2,"baik dalam "&amp;IQ21,IF(IA21&gt;=DQ$3,"cukup dalam "&amp;IQ21,IF(IA21&lt;DQ$3,"dengan bimbingan dapat meningkatkan dalam "&amp;IQ21,IF(IA21&lt;1," ",””))))))</f>
        <v>baik dalam mempraktikkan pola lantai pada gerak tari kreasi dearah</v>
      </c>
      <c r="IS21" s="223"/>
      <c r="IT21" s="223">
        <f t="shared" si="135"/>
        <v>80</v>
      </c>
      <c r="IU21" s="223" t="str">
        <f t="shared" si="136"/>
        <v/>
      </c>
      <c r="IV21" s="223" t="str">
        <f t="shared" si="137"/>
        <v/>
      </c>
      <c r="IW21" s="223" t="str">
        <f t="shared" si="138"/>
        <v/>
      </c>
      <c r="IX21" s="223" t="str">
        <f t="shared" si="139"/>
        <v/>
      </c>
      <c r="IY21" s="223" t="str">
        <f t="shared" si="140"/>
        <v/>
      </c>
      <c r="IZ21" s="223" t="str">
        <f t="shared" si="141"/>
        <v/>
      </c>
      <c r="JA21" s="223"/>
      <c r="JB21" s="223"/>
      <c r="JC21" s="223"/>
      <c r="JD21" s="223"/>
      <c r="JE21" s="223" t="str">
        <f t="shared" si="142"/>
        <v>membuat gambar cerita</v>
      </c>
      <c r="JF21" s="577" t="str">
        <f>IF(IB21&gt;100,"",IF(IB21&gt;=DQ$1,"sangat baik dalam "&amp;JE21,IF(IB21&gt;=DQ$2,"baik dalam "&amp;JE21,IF(IB21&gt;=DQ$3,"cukup dalam "&amp;JE21,IF(IB21&lt;DQ$3,"dengan bimbingan dapat meningkatkan dalam "&amp;JE21,IF(IB21&lt;1," ",””))))))</f>
        <v>cukup dalam membuat gambar cerita</v>
      </c>
      <c r="JG21" s="223" t="str">
        <f t="shared" si="143"/>
        <v>Ananda Fifi baik dalam mempraktikkan pola lantai pada gerak tari kreasi dearah, cukup dalam membuat gambar cerita.</v>
      </c>
    </row>
    <row r="22" spans="1:267" ht="30" customHeight="1">
      <c r="A22" s="39">
        <v>15</v>
      </c>
      <c r="B22" s="223" t="str">
        <f>SISWA!B20</f>
        <v>Tegar Arya Pangestu</v>
      </c>
      <c r="C22" s="123">
        <v>75</v>
      </c>
      <c r="D22" s="123"/>
      <c r="E22" s="123"/>
      <c r="F22" s="123"/>
      <c r="G22" s="123"/>
      <c r="H22" s="123"/>
      <c r="I22" s="123"/>
      <c r="J22" s="255">
        <v>90</v>
      </c>
      <c r="K22" s="255"/>
      <c r="L22" s="255"/>
      <c r="M22" s="255"/>
      <c r="N22" s="255"/>
      <c r="O22" s="255"/>
      <c r="P22" s="255"/>
      <c r="Q22" s="256">
        <v>75</v>
      </c>
      <c r="R22" s="256"/>
      <c r="S22" s="256"/>
      <c r="T22" s="256"/>
      <c r="U22" s="256"/>
      <c r="V22" s="256"/>
      <c r="W22" s="256"/>
      <c r="X22" s="123"/>
      <c r="Y22" s="123"/>
      <c r="Z22" s="123">
        <v>80</v>
      </c>
      <c r="AA22" s="123"/>
      <c r="AB22" s="123"/>
      <c r="AC22" s="123"/>
      <c r="AD22" s="123"/>
      <c r="AE22" s="255"/>
      <c r="AF22" s="255"/>
      <c r="AG22" s="255">
        <v>90</v>
      </c>
      <c r="AH22" s="255"/>
      <c r="AI22" s="255"/>
      <c r="AJ22" s="255"/>
      <c r="AK22" s="255"/>
      <c r="AL22" s="256"/>
      <c r="AM22" s="256"/>
      <c r="AN22" s="256">
        <v>90</v>
      </c>
      <c r="AO22" s="256"/>
      <c r="AP22" s="256"/>
      <c r="AQ22" s="256"/>
      <c r="AR22" s="256"/>
      <c r="AS22" s="123"/>
      <c r="AT22" s="123">
        <v>90</v>
      </c>
      <c r="AU22" s="123"/>
      <c r="AV22" s="123"/>
      <c r="AW22" s="123"/>
      <c r="AX22" s="123"/>
      <c r="AY22" s="123"/>
      <c r="AZ22" s="255"/>
      <c r="BA22" s="255">
        <v>90</v>
      </c>
      <c r="BB22" s="255"/>
      <c r="BC22" s="255"/>
      <c r="BD22" s="255"/>
      <c r="BE22" s="255"/>
      <c r="BF22" s="255"/>
      <c r="BG22" s="256"/>
      <c r="BH22" s="256">
        <v>85</v>
      </c>
      <c r="BI22" s="256"/>
      <c r="BJ22" s="256"/>
      <c r="BK22" s="256"/>
      <c r="BL22" s="256"/>
      <c r="BM22" s="256"/>
      <c r="BN22" s="123"/>
      <c r="BO22" s="123"/>
      <c r="BP22" s="123">
        <v>90</v>
      </c>
      <c r="BQ22" s="123"/>
      <c r="BR22" s="123"/>
      <c r="BS22" s="123"/>
      <c r="BT22" s="123"/>
      <c r="BU22" s="255"/>
      <c r="BV22" s="255"/>
      <c r="BW22" s="255">
        <v>75</v>
      </c>
      <c r="BX22" s="255"/>
      <c r="BY22" s="255"/>
      <c r="BZ22" s="255"/>
      <c r="CA22" s="255"/>
      <c r="CB22" s="256"/>
      <c r="CC22" s="256"/>
      <c r="CD22" s="256">
        <v>75</v>
      </c>
      <c r="CE22" s="256"/>
      <c r="CF22" s="256"/>
      <c r="CG22" s="256"/>
      <c r="CH22" s="256"/>
      <c r="CI22" s="458"/>
      <c r="CJ22" s="458">
        <v>90</v>
      </c>
      <c r="CK22" s="458"/>
      <c r="CL22" s="458"/>
      <c r="CM22" s="458"/>
      <c r="CN22" s="458"/>
      <c r="CO22" s="458"/>
      <c r="CP22" s="459"/>
      <c r="CQ22" s="459">
        <v>80</v>
      </c>
      <c r="CR22" s="459"/>
      <c r="CS22" s="459"/>
      <c r="CT22" s="459"/>
      <c r="CU22" s="459"/>
      <c r="CV22" s="459"/>
      <c r="CW22" s="256"/>
      <c r="CX22" s="256">
        <v>80</v>
      </c>
      <c r="CY22" s="256"/>
      <c r="CZ22" s="256"/>
      <c r="DA22" s="256"/>
      <c r="DB22" s="256"/>
      <c r="DC22" s="256"/>
      <c r="DD22" s="257">
        <f t="shared" si="15"/>
        <v>80</v>
      </c>
      <c r="DE22" s="257">
        <f t="shared" si="16"/>
        <v>88.333333333333329</v>
      </c>
      <c r="DF22" s="257">
        <f t="shared" si="17"/>
        <v>90</v>
      </c>
      <c r="DG22" s="257" t="str">
        <f t="shared" si="18"/>
        <v/>
      </c>
      <c r="DH22" s="257" t="str">
        <f t="shared" si="19"/>
        <v/>
      </c>
      <c r="DI22" s="257" t="str">
        <f t="shared" si="20"/>
        <v/>
      </c>
      <c r="DJ22" s="257" t="str">
        <f t="shared" si="21"/>
        <v/>
      </c>
      <c r="DK22" s="756">
        <f t="shared" si="22"/>
        <v>86</v>
      </c>
      <c r="DL22" s="291" t="str">
        <f t="shared" si="23"/>
        <v>B</v>
      </c>
      <c r="DM22" s="243" t="str">
        <f t="shared" si="24"/>
        <v>Ananda Tegar baik dalam mempraktikkan pola lantai pada gerak tari kreasi dearah, cukup dalam membuat gambar cerita.</v>
      </c>
      <c r="DN22" s="39"/>
      <c r="DO22" s="39"/>
      <c r="DP22" s="257">
        <f t="shared" si="25"/>
        <v>75</v>
      </c>
      <c r="DQ22" s="257">
        <f t="shared" si="26"/>
        <v>90</v>
      </c>
      <c r="DR22" s="257">
        <f t="shared" si="27"/>
        <v>90</v>
      </c>
      <c r="DS22" s="257">
        <f t="shared" si="28"/>
        <v>0</v>
      </c>
      <c r="DT22" s="257">
        <f t="shared" si="29"/>
        <v>0</v>
      </c>
      <c r="DU22" s="257">
        <f t="shared" si="30"/>
        <v>0</v>
      </c>
      <c r="DV22" s="257">
        <f t="shared" si="31"/>
        <v>0</v>
      </c>
      <c r="DW22" s="257"/>
      <c r="DX22" s="257"/>
      <c r="DY22" s="257"/>
      <c r="DZ22" s="257"/>
      <c r="EA22" s="232">
        <f t="shared" si="32"/>
        <v>90</v>
      </c>
      <c r="EB22" s="257">
        <f t="shared" si="33"/>
        <v>90</v>
      </c>
      <c r="EC22" s="257">
        <f t="shared" si="34"/>
        <v>90</v>
      </c>
      <c r="ED22" s="257">
        <f t="shared" si="35"/>
        <v>90</v>
      </c>
      <c r="EE22" s="257">
        <f t="shared" si="36"/>
        <v>0</v>
      </c>
      <c r="EF22" s="257">
        <f t="shared" si="37"/>
        <v>0</v>
      </c>
      <c r="EG22" s="257">
        <f t="shared" si="38"/>
        <v>0</v>
      </c>
      <c r="EH22" s="257">
        <f t="shared" si="39"/>
        <v>0</v>
      </c>
      <c r="EI22" s="257"/>
      <c r="EJ22" s="257"/>
      <c r="EK22" s="257"/>
      <c r="EL22" s="257"/>
      <c r="EM22" s="232">
        <f t="shared" si="40"/>
        <v>90</v>
      </c>
      <c r="EN22" s="257">
        <f t="shared" si="41"/>
        <v>75</v>
      </c>
      <c r="EO22" s="257">
        <f t="shared" si="42"/>
        <v>85</v>
      </c>
      <c r="EP22" s="257">
        <f t="shared" si="43"/>
        <v>90</v>
      </c>
      <c r="EQ22" s="257">
        <f t="shared" si="44"/>
        <v>0</v>
      </c>
      <c r="ER22" s="257">
        <f t="shared" si="45"/>
        <v>0</v>
      </c>
      <c r="ES22" s="257">
        <f t="shared" si="46"/>
        <v>0</v>
      </c>
      <c r="ET22" s="257">
        <f t="shared" si="47"/>
        <v>0</v>
      </c>
      <c r="EU22" s="257"/>
      <c r="EV22" s="257"/>
      <c r="EW22" s="257"/>
      <c r="EX22" s="257"/>
      <c r="EY22" s="232">
        <f t="shared" si="48"/>
        <v>90</v>
      </c>
      <c r="EZ22" s="257">
        <f t="shared" si="49"/>
        <v>75</v>
      </c>
      <c r="FA22" s="257">
        <f t="shared" si="50"/>
        <v>90</v>
      </c>
      <c r="FB22" s="257">
        <f t="shared" si="51"/>
        <v>75</v>
      </c>
      <c r="FC22" s="575">
        <f t="shared" si="52"/>
        <v>0</v>
      </c>
      <c r="FD22" s="506">
        <f t="shared" si="53"/>
        <v>3</v>
      </c>
      <c r="FE22" s="39">
        <f t="shared" si="54"/>
        <v>80</v>
      </c>
      <c r="FF22" s="257">
        <f t="shared" si="55"/>
        <v>90</v>
      </c>
      <c r="FG22" s="257">
        <f t="shared" si="56"/>
        <v>90</v>
      </c>
      <c r="FH22" s="257">
        <f t="shared" si="57"/>
        <v>85</v>
      </c>
      <c r="FI22" s="575">
        <f t="shared" si="58"/>
        <v>0</v>
      </c>
      <c r="FJ22" s="506">
        <f t="shared" si="59"/>
        <v>3</v>
      </c>
      <c r="FK22" s="39">
        <f t="shared" si="60"/>
        <v>88.333333333333329</v>
      </c>
      <c r="FL22" s="257">
        <f t="shared" si="61"/>
        <v>90</v>
      </c>
      <c r="FM22" s="257">
        <f t="shared" si="62"/>
        <v>90</v>
      </c>
      <c r="FN22" s="257">
        <f t="shared" si="63"/>
        <v>90</v>
      </c>
      <c r="FO22" s="575">
        <f t="shared" si="64"/>
        <v>0</v>
      </c>
      <c r="FP22" s="506">
        <f t="shared" si="65"/>
        <v>3</v>
      </c>
      <c r="FQ22" s="39">
        <f t="shared" si="66"/>
        <v>90</v>
      </c>
      <c r="FR22" s="257">
        <f t="shared" si="67"/>
        <v>0</v>
      </c>
      <c r="FS22" s="257">
        <f t="shared" si="68"/>
        <v>0</v>
      </c>
      <c r="FT22" s="257">
        <f t="shared" si="69"/>
        <v>0</v>
      </c>
      <c r="FU22" s="575">
        <f t="shared" si="70"/>
        <v>3</v>
      </c>
      <c r="FV22" s="506">
        <f t="shared" si="71"/>
        <v>0</v>
      </c>
      <c r="FW22" s="39" t="str">
        <f t="shared" si="72"/>
        <v/>
      </c>
      <c r="FX22" s="257">
        <f t="shared" si="73"/>
        <v>0</v>
      </c>
      <c r="FY22" s="257">
        <f t="shared" si="74"/>
        <v>0</v>
      </c>
      <c r="FZ22" s="257">
        <f t="shared" si="75"/>
        <v>0</v>
      </c>
      <c r="GA22" s="575">
        <f t="shared" si="76"/>
        <v>3</v>
      </c>
      <c r="GB22" s="506">
        <f t="shared" si="77"/>
        <v>0</v>
      </c>
      <c r="GC22" s="39" t="str">
        <f t="shared" si="78"/>
        <v/>
      </c>
      <c r="GD22" s="257">
        <f t="shared" si="79"/>
        <v>0</v>
      </c>
      <c r="GE22" s="257">
        <f t="shared" si="80"/>
        <v>0</v>
      </c>
      <c r="GF22" s="257">
        <f t="shared" si="81"/>
        <v>0</v>
      </c>
      <c r="GG22" s="575">
        <f t="shared" si="82"/>
        <v>3</v>
      </c>
      <c r="GH22" s="506">
        <f t="shared" si="83"/>
        <v>0</v>
      </c>
      <c r="GI22" s="39" t="str">
        <f t="shared" si="84"/>
        <v/>
      </c>
      <c r="GJ22" s="257">
        <f t="shared" si="85"/>
        <v>0</v>
      </c>
      <c r="GK22" s="257">
        <f t="shared" si="86"/>
        <v>0</v>
      </c>
      <c r="GL22" s="257">
        <f t="shared" si="87"/>
        <v>0</v>
      </c>
      <c r="GM22" s="575">
        <f t="shared" si="88"/>
        <v>3</v>
      </c>
      <c r="GN22" s="506">
        <f t="shared" si="89"/>
        <v>0</v>
      </c>
      <c r="GO22" s="39" t="str">
        <f t="shared" si="90"/>
        <v/>
      </c>
      <c r="GP22" s="257">
        <f t="shared" si="91"/>
        <v>0</v>
      </c>
      <c r="GQ22" s="257">
        <f t="shared" si="92"/>
        <v>0</v>
      </c>
      <c r="GR22" s="257">
        <f t="shared" si="93"/>
        <v>0</v>
      </c>
      <c r="GS22" s="575">
        <f t="shared" si="94"/>
        <v>3</v>
      </c>
      <c r="GT22" s="506">
        <f t="shared" si="95"/>
        <v>0</v>
      </c>
      <c r="GU22" s="39" t="str">
        <f t="shared" si="96"/>
        <v/>
      </c>
      <c r="GV22" s="257">
        <f t="shared" si="97"/>
        <v>0</v>
      </c>
      <c r="GW22" s="257">
        <f t="shared" si="98"/>
        <v>0</v>
      </c>
      <c r="GX22" s="257">
        <f t="shared" si="99"/>
        <v>0</v>
      </c>
      <c r="GY22" s="575">
        <f t="shared" si="100"/>
        <v>3</v>
      </c>
      <c r="GZ22" s="506">
        <f t="shared" si="101"/>
        <v>0</v>
      </c>
      <c r="HA22" s="39" t="str">
        <f t="shared" si="102"/>
        <v/>
      </c>
      <c r="HB22" s="257">
        <f t="shared" si="103"/>
        <v>0</v>
      </c>
      <c r="HC22" s="257">
        <f t="shared" si="104"/>
        <v>0</v>
      </c>
      <c r="HD22" s="257">
        <f t="shared" si="105"/>
        <v>0</v>
      </c>
      <c r="HE22" s="575">
        <f t="shared" si="106"/>
        <v>3</v>
      </c>
      <c r="HF22" s="506">
        <f t="shared" si="107"/>
        <v>0</v>
      </c>
      <c r="HG22" s="39" t="str">
        <f t="shared" si="108"/>
        <v/>
      </c>
      <c r="HH22" s="257">
        <f t="shared" si="109"/>
        <v>0</v>
      </c>
      <c r="HI22" s="257">
        <f t="shared" si="110"/>
        <v>0</v>
      </c>
      <c r="HJ22" s="257">
        <f t="shared" si="111"/>
        <v>0</v>
      </c>
      <c r="HK22" s="575">
        <f t="shared" si="112"/>
        <v>3</v>
      </c>
      <c r="HL22" s="506">
        <f t="shared" si="113"/>
        <v>0</v>
      </c>
      <c r="HM22" s="39" t="str">
        <f t="shared" si="114"/>
        <v/>
      </c>
      <c r="HN22" s="39"/>
      <c r="HO22" s="39">
        <f t="shared" si="115"/>
        <v>80</v>
      </c>
      <c r="HP22" s="39">
        <f t="shared" si="116"/>
        <v>88.333333333333329</v>
      </c>
      <c r="HQ22" s="39">
        <f t="shared" si="117"/>
        <v>90</v>
      </c>
      <c r="HR22" s="39" t="str">
        <f t="shared" si="118"/>
        <v/>
      </c>
      <c r="HS22" s="39" t="str">
        <f t="shared" si="119"/>
        <v/>
      </c>
      <c r="HT22" s="39" t="str">
        <f t="shared" si="120"/>
        <v/>
      </c>
      <c r="HU22" s="39" t="str">
        <f t="shared" si="121"/>
        <v/>
      </c>
      <c r="HV22" s="39"/>
      <c r="HW22" s="39"/>
      <c r="HX22" s="39"/>
      <c r="HY22" s="39"/>
      <c r="HZ22" s="39">
        <f t="shared" si="122"/>
        <v>86</v>
      </c>
      <c r="IA22" s="68">
        <f t="shared" si="123"/>
        <v>90</v>
      </c>
      <c r="IB22" s="68">
        <f t="shared" si="124"/>
        <v>80</v>
      </c>
      <c r="IC22" s="39" t="str">
        <f>SISWA!E20</f>
        <v>Tegar</v>
      </c>
      <c r="ID22" s="39" t="str">
        <f t="shared" si="125"/>
        <v xml:space="preserve">Ananda Tegar </v>
      </c>
      <c r="IE22" s="207" t="str">
        <f t="shared" si="126"/>
        <v/>
      </c>
      <c r="IF22" s="207" t="str">
        <f t="shared" si="127"/>
        <v/>
      </c>
      <c r="IG22" s="207">
        <f t="shared" si="128"/>
        <v>90</v>
      </c>
      <c r="IH22" s="207" t="str">
        <f t="shared" si="129"/>
        <v/>
      </c>
      <c r="II22" s="207" t="str">
        <f t="shared" si="130"/>
        <v/>
      </c>
      <c r="IJ22" s="207" t="str">
        <f t="shared" si="131"/>
        <v/>
      </c>
      <c r="IK22" s="207" t="str">
        <f t="shared" si="132"/>
        <v/>
      </c>
      <c r="IL22" s="207"/>
      <c r="IM22" s="207"/>
      <c r="IN22" s="207"/>
      <c r="IO22" s="207"/>
      <c r="IP22" s="39">
        <f t="shared" si="133"/>
        <v>90</v>
      </c>
      <c r="IQ22" s="68" t="str">
        <f t="shared" si="134"/>
        <v>mempraktikkan pola lantai pada gerak tari kreasi dearah</v>
      </c>
      <c r="IR22" s="576" t="str">
        <f>IF(IA22&gt;100,"",IF(IA22&gt;DQ$1,"sangat baik dalam "&amp;IQ22,IF(IA22&gt;=DQ$2,"baik dalam "&amp;IQ22,IF(IA22&gt;=DQ$3,"cukup dalam "&amp;IQ22,IF(IA22&lt;DQ$3,"dengan bimbingan dapat meningkatkan dalam "&amp;IQ22,IF(IA22&lt;1," ",””))))))</f>
        <v>baik dalam mempraktikkan pola lantai pada gerak tari kreasi dearah</v>
      </c>
      <c r="IS22" s="223"/>
      <c r="IT22" s="223">
        <f t="shared" si="135"/>
        <v>80</v>
      </c>
      <c r="IU22" s="223" t="str">
        <f t="shared" si="136"/>
        <v/>
      </c>
      <c r="IV22" s="223" t="str">
        <f t="shared" si="137"/>
        <v/>
      </c>
      <c r="IW22" s="223" t="str">
        <f t="shared" si="138"/>
        <v/>
      </c>
      <c r="IX22" s="223" t="str">
        <f t="shared" si="139"/>
        <v/>
      </c>
      <c r="IY22" s="223" t="str">
        <f t="shared" si="140"/>
        <v/>
      </c>
      <c r="IZ22" s="223" t="str">
        <f t="shared" si="141"/>
        <v/>
      </c>
      <c r="JA22" s="223"/>
      <c r="JB22" s="223"/>
      <c r="JC22" s="223"/>
      <c r="JD22" s="223"/>
      <c r="JE22" s="223" t="str">
        <f t="shared" si="142"/>
        <v>membuat gambar cerita</v>
      </c>
      <c r="JF22" s="577" t="str">
        <f>IF(IB22&gt;100,"",IF(IB22&gt;=DQ$1,"sangat baik dalam "&amp;JE22,IF(IB22&gt;=DQ$2,"baik dalam "&amp;JE22,IF(IB22&gt;=DQ$3,"cukup dalam "&amp;JE22,IF(IB22&lt;DQ$3,"dengan bimbingan dapat meningkatkan dalam "&amp;JE22,IF(IB22&lt;1," ",””))))))</f>
        <v>cukup dalam membuat gambar cerita</v>
      </c>
      <c r="JG22" s="223" t="str">
        <f t="shared" si="143"/>
        <v>Ananda Tegar baik dalam mempraktikkan pola lantai pada gerak tari kreasi dearah, cukup dalam membuat gambar cerita.</v>
      </c>
    </row>
    <row r="23" spans="1:267" ht="30" customHeight="1">
      <c r="A23" s="39">
        <v>16</v>
      </c>
      <c r="B23" s="223">
        <f>SISWA!B21</f>
        <v>0</v>
      </c>
      <c r="C23" s="123"/>
      <c r="D23" s="123"/>
      <c r="E23" s="123"/>
      <c r="F23" s="123"/>
      <c r="G23" s="123"/>
      <c r="H23" s="123"/>
      <c r="I23" s="123"/>
      <c r="J23" s="255"/>
      <c r="K23" s="255"/>
      <c r="L23" s="255"/>
      <c r="M23" s="255"/>
      <c r="N23" s="255"/>
      <c r="O23" s="255"/>
      <c r="P23" s="255"/>
      <c r="Q23" s="256"/>
      <c r="R23" s="256"/>
      <c r="S23" s="256"/>
      <c r="T23" s="256"/>
      <c r="U23" s="256"/>
      <c r="V23" s="256"/>
      <c r="W23" s="256"/>
      <c r="X23" s="123"/>
      <c r="Y23" s="123"/>
      <c r="Z23" s="123"/>
      <c r="AA23" s="123"/>
      <c r="AB23" s="123"/>
      <c r="AC23" s="123"/>
      <c r="AD23" s="123"/>
      <c r="AE23" s="255"/>
      <c r="AF23" s="255"/>
      <c r="AG23" s="255"/>
      <c r="AH23" s="255"/>
      <c r="AI23" s="255"/>
      <c r="AJ23" s="255"/>
      <c r="AK23" s="255"/>
      <c r="AL23" s="256"/>
      <c r="AM23" s="256"/>
      <c r="AN23" s="256"/>
      <c r="AO23" s="256"/>
      <c r="AP23" s="256"/>
      <c r="AQ23" s="256"/>
      <c r="AR23" s="256"/>
      <c r="AS23" s="123"/>
      <c r="AT23" s="123"/>
      <c r="AU23" s="123"/>
      <c r="AV23" s="123"/>
      <c r="AW23" s="123"/>
      <c r="AX23" s="123"/>
      <c r="AY23" s="123"/>
      <c r="AZ23" s="255"/>
      <c r="BA23" s="255"/>
      <c r="BB23" s="255"/>
      <c r="BC23" s="255"/>
      <c r="BD23" s="255"/>
      <c r="BE23" s="255"/>
      <c r="BF23" s="255"/>
      <c r="BG23" s="256"/>
      <c r="BH23" s="256"/>
      <c r="BI23" s="256"/>
      <c r="BJ23" s="256"/>
      <c r="BK23" s="256"/>
      <c r="BL23" s="256"/>
      <c r="BM23" s="256"/>
      <c r="BN23" s="123"/>
      <c r="BO23" s="123"/>
      <c r="BP23" s="123"/>
      <c r="BQ23" s="123"/>
      <c r="BR23" s="123"/>
      <c r="BS23" s="123"/>
      <c r="BT23" s="123"/>
      <c r="BU23" s="255"/>
      <c r="BV23" s="255"/>
      <c r="BW23" s="255"/>
      <c r="BX23" s="255"/>
      <c r="BY23" s="255"/>
      <c r="BZ23" s="255"/>
      <c r="CA23" s="255"/>
      <c r="CB23" s="256"/>
      <c r="CC23" s="256"/>
      <c r="CD23" s="256"/>
      <c r="CE23" s="256"/>
      <c r="CF23" s="256"/>
      <c r="CG23" s="256"/>
      <c r="CH23" s="256"/>
      <c r="CI23" s="458"/>
      <c r="CJ23" s="458"/>
      <c r="CK23" s="458"/>
      <c r="CL23" s="458"/>
      <c r="CM23" s="458"/>
      <c r="CN23" s="458"/>
      <c r="CO23" s="458"/>
      <c r="CP23" s="459"/>
      <c r="CQ23" s="459"/>
      <c r="CR23" s="459"/>
      <c r="CS23" s="459"/>
      <c r="CT23" s="459"/>
      <c r="CU23" s="459"/>
      <c r="CV23" s="459"/>
      <c r="CW23" s="256"/>
      <c r="CX23" s="256"/>
      <c r="CY23" s="256"/>
      <c r="CZ23" s="256"/>
      <c r="DA23" s="256"/>
      <c r="DB23" s="256"/>
      <c r="DC23" s="256"/>
      <c r="DD23" s="257" t="str">
        <f t="shared" si="15"/>
        <v/>
      </c>
      <c r="DE23" s="257" t="str">
        <f t="shared" si="16"/>
        <v/>
      </c>
      <c r="DF23" s="257" t="str">
        <f t="shared" si="17"/>
        <v/>
      </c>
      <c r="DG23" s="257" t="str">
        <f t="shared" si="18"/>
        <v/>
      </c>
      <c r="DH23" s="257" t="str">
        <f t="shared" si="19"/>
        <v/>
      </c>
      <c r="DI23" s="257" t="str">
        <f t="shared" si="20"/>
        <v/>
      </c>
      <c r="DJ23" s="257" t="str">
        <f t="shared" si="21"/>
        <v/>
      </c>
      <c r="DK23" s="756" t="str">
        <f t="shared" si="22"/>
        <v/>
      </c>
      <c r="DL23" s="291" t="str">
        <f t="shared" si="23"/>
        <v xml:space="preserve">  </v>
      </c>
      <c r="DM23" s="243" t="str">
        <f t="shared" si="24"/>
        <v xml:space="preserve"> </v>
      </c>
      <c r="DN23" s="39"/>
      <c r="DO23" s="39"/>
      <c r="DP23" s="257">
        <f t="shared" si="25"/>
        <v>0</v>
      </c>
      <c r="DQ23" s="257">
        <f t="shared" si="26"/>
        <v>0</v>
      </c>
      <c r="DR23" s="257">
        <f t="shared" si="27"/>
        <v>0</v>
      </c>
      <c r="DS23" s="257">
        <f t="shared" si="28"/>
        <v>0</v>
      </c>
      <c r="DT23" s="257">
        <f t="shared" si="29"/>
        <v>0</v>
      </c>
      <c r="DU23" s="257">
        <f t="shared" si="30"/>
        <v>0</v>
      </c>
      <c r="DV23" s="257">
        <f t="shared" si="31"/>
        <v>0</v>
      </c>
      <c r="DW23" s="257"/>
      <c r="DX23" s="257"/>
      <c r="DY23" s="257"/>
      <c r="DZ23" s="257"/>
      <c r="EA23" s="232">
        <f t="shared" si="32"/>
        <v>0</v>
      </c>
      <c r="EB23" s="257">
        <f t="shared" si="33"/>
        <v>0</v>
      </c>
      <c r="EC23" s="257">
        <f t="shared" si="34"/>
        <v>0</v>
      </c>
      <c r="ED23" s="257">
        <f t="shared" si="35"/>
        <v>0</v>
      </c>
      <c r="EE23" s="257">
        <f t="shared" si="36"/>
        <v>0</v>
      </c>
      <c r="EF23" s="257">
        <f t="shared" si="37"/>
        <v>0</v>
      </c>
      <c r="EG23" s="257">
        <f t="shared" si="38"/>
        <v>0</v>
      </c>
      <c r="EH23" s="257">
        <f t="shared" si="39"/>
        <v>0</v>
      </c>
      <c r="EI23" s="257"/>
      <c r="EJ23" s="257"/>
      <c r="EK23" s="257"/>
      <c r="EL23" s="257"/>
      <c r="EM23" s="232">
        <f t="shared" si="40"/>
        <v>0</v>
      </c>
      <c r="EN23" s="257">
        <f t="shared" si="41"/>
        <v>0</v>
      </c>
      <c r="EO23" s="257">
        <f t="shared" si="42"/>
        <v>0</v>
      </c>
      <c r="EP23" s="257">
        <f t="shared" si="43"/>
        <v>0</v>
      </c>
      <c r="EQ23" s="257">
        <f t="shared" si="44"/>
        <v>0</v>
      </c>
      <c r="ER23" s="257">
        <f t="shared" si="45"/>
        <v>0</v>
      </c>
      <c r="ES23" s="257">
        <f t="shared" si="46"/>
        <v>0</v>
      </c>
      <c r="ET23" s="257">
        <f t="shared" si="47"/>
        <v>0</v>
      </c>
      <c r="EU23" s="257"/>
      <c r="EV23" s="257"/>
      <c r="EW23" s="257"/>
      <c r="EX23" s="257"/>
      <c r="EY23" s="232">
        <f t="shared" si="48"/>
        <v>0</v>
      </c>
      <c r="EZ23" s="257">
        <f t="shared" si="49"/>
        <v>0</v>
      </c>
      <c r="FA23" s="257">
        <f t="shared" si="50"/>
        <v>0</v>
      </c>
      <c r="FB23" s="257">
        <f t="shared" si="51"/>
        <v>0</v>
      </c>
      <c r="FC23" s="575">
        <f t="shared" si="52"/>
        <v>3</v>
      </c>
      <c r="FD23" s="506">
        <f t="shared" si="53"/>
        <v>0</v>
      </c>
      <c r="FE23" s="39" t="str">
        <f t="shared" si="54"/>
        <v/>
      </c>
      <c r="FF23" s="257">
        <f t="shared" si="55"/>
        <v>0</v>
      </c>
      <c r="FG23" s="257">
        <f t="shared" si="56"/>
        <v>0</v>
      </c>
      <c r="FH23" s="257">
        <f t="shared" si="57"/>
        <v>0</v>
      </c>
      <c r="FI23" s="575">
        <f t="shared" si="58"/>
        <v>3</v>
      </c>
      <c r="FJ23" s="506">
        <f t="shared" si="59"/>
        <v>0</v>
      </c>
      <c r="FK23" s="39" t="str">
        <f t="shared" si="60"/>
        <v/>
      </c>
      <c r="FL23" s="257">
        <f t="shared" si="61"/>
        <v>0</v>
      </c>
      <c r="FM23" s="257">
        <f t="shared" si="62"/>
        <v>0</v>
      </c>
      <c r="FN23" s="257">
        <f t="shared" si="63"/>
        <v>0</v>
      </c>
      <c r="FO23" s="575">
        <f t="shared" si="64"/>
        <v>3</v>
      </c>
      <c r="FP23" s="506">
        <f t="shared" si="65"/>
        <v>0</v>
      </c>
      <c r="FQ23" s="39" t="str">
        <f t="shared" si="66"/>
        <v/>
      </c>
      <c r="FR23" s="257">
        <f t="shared" si="67"/>
        <v>0</v>
      </c>
      <c r="FS23" s="257">
        <f t="shared" si="68"/>
        <v>0</v>
      </c>
      <c r="FT23" s="257">
        <f t="shared" si="69"/>
        <v>0</v>
      </c>
      <c r="FU23" s="575">
        <f t="shared" si="70"/>
        <v>3</v>
      </c>
      <c r="FV23" s="506">
        <f t="shared" si="71"/>
        <v>0</v>
      </c>
      <c r="FW23" s="39" t="str">
        <f t="shared" si="72"/>
        <v/>
      </c>
      <c r="FX23" s="257">
        <f t="shared" si="73"/>
        <v>0</v>
      </c>
      <c r="FY23" s="257">
        <f t="shared" si="74"/>
        <v>0</v>
      </c>
      <c r="FZ23" s="257">
        <f t="shared" si="75"/>
        <v>0</v>
      </c>
      <c r="GA23" s="575">
        <f t="shared" si="76"/>
        <v>3</v>
      </c>
      <c r="GB23" s="506">
        <f t="shared" si="77"/>
        <v>0</v>
      </c>
      <c r="GC23" s="39" t="str">
        <f t="shared" si="78"/>
        <v/>
      </c>
      <c r="GD23" s="257">
        <f t="shared" si="79"/>
        <v>0</v>
      </c>
      <c r="GE23" s="257">
        <f t="shared" si="80"/>
        <v>0</v>
      </c>
      <c r="GF23" s="257">
        <f t="shared" si="81"/>
        <v>0</v>
      </c>
      <c r="GG23" s="575">
        <f t="shared" si="82"/>
        <v>3</v>
      </c>
      <c r="GH23" s="506">
        <f t="shared" si="83"/>
        <v>0</v>
      </c>
      <c r="GI23" s="39" t="str">
        <f t="shared" si="84"/>
        <v/>
      </c>
      <c r="GJ23" s="257">
        <f t="shared" si="85"/>
        <v>0</v>
      </c>
      <c r="GK23" s="257">
        <f t="shared" si="86"/>
        <v>0</v>
      </c>
      <c r="GL23" s="257">
        <f t="shared" si="87"/>
        <v>0</v>
      </c>
      <c r="GM23" s="575">
        <f t="shared" si="88"/>
        <v>3</v>
      </c>
      <c r="GN23" s="506">
        <f t="shared" si="89"/>
        <v>0</v>
      </c>
      <c r="GO23" s="39" t="str">
        <f t="shared" si="90"/>
        <v/>
      </c>
      <c r="GP23" s="257">
        <f t="shared" si="91"/>
        <v>0</v>
      </c>
      <c r="GQ23" s="257">
        <f t="shared" si="92"/>
        <v>0</v>
      </c>
      <c r="GR23" s="257">
        <f t="shared" si="93"/>
        <v>0</v>
      </c>
      <c r="GS23" s="575">
        <f t="shared" si="94"/>
        <v>3</v>
      </c>
      <c r="GT23" s="506">
        <f t="shared" si="95"/>
        <v>0</v>
      </c>
      <c r="GU23" s="39" t="str">
        <f t="shared" si="96"/>
        <v/>
      </c>
      <c r="GV23" s="257">
        <f t="shared" si="97"/>
        <v>0</v>
      </c>
      <c r="GW23" s="257">
        <f t="shared" si="98"/>
        <v>0</v>
      </c>
      <c r="GX23" s="257">
        <f t="shared" si="99"/>
        <v>0</v>
      </c>
      <c r="GY23" s="575">
        <f t="shared" si="100"/>
        <v>3</v>
      </c>
      <c r="GZ23" s="506">
        <f t="shared" si="101"/>
        <v>0</v>
      </c>
      <c r="HA23" s="39" t="str">
        <f t="shared" si="102"/>
        <v/>
      </c>
      <c r="HB23" s="257">
        <f t="shared" si="103"/>
        <v>0</v>
      </c>
      <c r="HC23" s="257">
        <f t="shared" si="104"/>
        <v>0</v>
      </c>
      <c r="HD23" s="257">
        <f t="shared" si="105"/>
        <v>0</v>
      </c>
      <c r="HE23" s="575">
        <f t="shared" si="106"/>
        <v>3</v>
      </c>
      <c r="HF23" s="506">
        <f t="shared" si="107"/>
        <v>0</v>
      </c>
      <c r="HG23" s="39" t="str">
        <f t="shared" si="108"/>
        <v/>
      </c>
      <c r="HH23" s="257">
        <f t="shared" si="109"/>
        <v>0</v>
      </c>
      <c r="HI23" s="257">
        <f t="shared" si="110"/>
        <v>0</v>
      </c>
      <c r="HJ23" s="257">
        <f t="shared" si="111"/>
        <v>0</v>
      </c>
      <c r="HK23" s="575">
        <f t="shared" si="112"/>
        <v>3</v>
      </c>
      <c r="HL23" s="506">
        <f t="shared" si="113"/>
        <v>0</v>
      </c>
      <c r="HM23" s="39" t="str">
        <f t="shared" si="114"/>
        <v/>
      </c>
      <c r="HN23" s="39"/>
      <c r="HO23" s="39" t="str">
        <f t="shared" si="115"/>
        <v/>
      </c>
      <c r="HP23" s="39" t="str">
        <f t="shared" si="116"/>
        <v/>
      </c>
      <c r="HQ23" s="39" t="str">
        <f t="shared" si="117"/>
        <v/>
      </c>
      <c r="HR23" s="39" t="str">
        <f t="shared" si="118"/>
        <v/>
      </c>
      <c r="HS23" s="39" t="str">
        <f t="shared" si="119"/>
        <v/>
      </c>
      <c r="HT23" s="39" t="str">
        <f t="shared" si="120"/>
        <v/>
      </c>
      <c r="HU23" s="39" t="str">
        <f t="shared" si="121"/>
        <v/>
      </c>
      <c r="HV23" s="39"/>
      <c r="HW23" s="39"/>
      <c r="HX23" s="39"/>
      <c r="HY23" s="39"/>
      <c r="HZ23" s="39" t="str">
        <f t="shared" si="122"/>
        <v/>
      </c>
      <c r="IA23" s="68">
        <f t="shared" si="123"/>
        <v>0</v>
      </c>
      <c r="IB23" s="68">
        <f t="shared" si="124"/>
        <v>0</v>
      </c>
      <c r="IC23" s="39">
        <f>SISWA!E21</f>
        <v>0</v>
      </c>
      <c r="ID23" s="39" t="str">
        <f t="shared" si="125"/>
        <v/>
      </c>
      <c r="IE23" s="207" t="str">
        <f t="shared" si="126"/>
        <v/>
      </c>
      <c r="IF23" s="207" t="str">
        <f t="shared" si="127"/>
        <v/>
      </c>
      <c r="IG23" s="207" t="str">
        <f t="shared" si="128"/>
        <v/>
      </c>
      <c r="IH23" s="207" t="str">
        <f t="shared" si="129"/>
        <v/>
      </c>
      <c r="II23" s="207" t="str">
        <f t="shared" si="130"/>
        <v/>
      </c>
      <c r="IJ23" s="207" t="str">
        <f t="shared" si="131"/>
        <v/>
      </c>
      <c r="IK23" s="207" t="str">
        <f t="shared" si="132"/>
        <v/>
      </c>
      <c r="IL23" s="207"/>
      <c r="IM23" s="207"/>
      <c r="IN23" s="207"/>
      <c r="IO23" s="207"/>
      <c r="IP23" s="39">
        <f t="shared" si="133"/>
        <v>0</v>
      </c>
      <c r="IQ23" s="68" t="e">
        <f t="shared" si="134"/>
        <v>#N/A</v>
      </c>
      <c r="IR23" s="576" t="e">
        <f>IF(IA23&gt;100,"",IF(IA23&gt;DQ$1,"sangat baik dalam "&amp;IQ23,IF(IA23&gt;=DQ$2,"baik dalam "&amp;IQ23,IF(IA23&gt;=DQ$3,"cukup dalam "&amp;IQ23,IF(IA23&lt;DQ$3,"dengan bimbingan dapat meningkatkan dalam "&amp;IQ23,IF(IA23&lt;1," ",””))))))</f>
        <v>#N/A</v>
      </c>
      <c r="IS23" s="223"/>
      <c r="IT23" s="223" t="str">
        <f t="shared" si="135"/>
        <v/>
      </c>
      <c r="IU23" s="223" t="str">
        <f t="shared" si="136"/>
        <v/>
      </c>
      <c r="IV23" s="223" t="str">
        <f t="shared" si="137"/>
        <v/>
      </c>
      <c r="IW23" s="223" t="str">
        <f t="shared" si="138"/>
        <v/>
      </c>
      <c r="IX23" s="223" t="str">
        <f t="shared" si="139"/>
        <v/>
      </c>
      <c r="IY23" s="223" t="str">
        <f t="shared" si="140"/>
        <v/>
      </c>
      <c r="IZ23" s="223" t="str">
        <f t="shared" si="141"/>
        <v/>
      </c>
      <c r="JA23" s="223"/>
      <c r="JB23" s="223"/>
      <c r="JC23" s="223"/>
      <c r="JD23" s="223"/>
      <c r="JE23" s="223" t="e">
        <f t="shared" si="142"/>
        <v>#N/A</v>
      </c>
      <c r="JF23" s="577" t="e">
        <f>IF(IB23&gt;100,"",IF(IB23&gt;=DQ$1,"sangat baik dalam "&amp;JE23,IF(IB23&gt;=DQ$2,"baik dalam "&amp;JE23,IF(IB23&gt;=DQ$3,"cukup dalam "&amp;JE23,IF(IB23&lt;DQ$3,"dengan bimbingan dapat meningkatkan dalam "&amp;JE23,IF(IB23&lt;1," ",””))))))</f>
        <v>#N/A</v>
      </c>
      <c r="JG23" s="223" t="e">
        <f t="shared" si="143"/>
        <v>#N/A</v>
      </c>
    </row>
    <row r="24" spans="1:267" ht="30" customHeight="1">
      <c r="A24" s="39">
        <v>17</v>
      </c>
      <c r="B24" s="223">
        <f>SISWA!B22</f>
        <v>0</v>
      </c>
      <c r="C24" s="123"/>
      <c r="D24" s="123"/>
      <c r="E24" s="123"/>
      <c r="F24" s="123"/>
      <c r="G24" s="123"/>
      <c r="H24" s="123"/>
      <c r="I24" s="123"/>
      <c r="J24" s="255"/>
      <c r="K24" s="255"/>
      <c r="L24" s="255"/>
      <c r="M24" s="255"/>
      <c r="N24" s="255"/>
      <c r="O24" s="255"/>
      <c r="P24" s="255"/>
      <c r="Q24" s="256"/>
      <c r="R24" s="256"/>
      <c r="S24" s="256"/>
      <c r="T24" s="256"/>
      <c r="U24" s="256"/>
      <c r="V24" s="256"/>
      <c r="W24" s="256"/>
      <c r="X24" s="123"/>
      <c r="Y24" s="123"/>
      <c r="Z24" s="123"/>
      <c r="AA24" s="123"/>
      <c r="AB24" s="123"/>
      <c r="AC24" s="123"/>
      <c r="AD24" s="123"/>
      <c r="AE24" s="255"/>
      <c r="AF24" s="255"/>
      <c r="AG24" s="255"/>
      <c r="AH24" s="255"/>
      <c r="AI24" s="255"/>
      <c r="AJ24" s="255"/>
      <c r="AK24" s="255"/>
      <c r="AL24" s="256"/>
      <c r="AM24" s="256"/>
      <c r="AN24" s="256"/>
      <c r="AO24" s="256"/>
      <c r="AP24" s="256"/>
      <c r="AQ24" s="256"/>
      <c r="AR24" s="256"/>
      <c r="AS24" s="123"/>
      <c r="AT24" s="123"/>
      <c r="AU24" s="123"/>
      <c r="AV24" s="123"/>
      <c r="AW24" s="123"/>
      <c r="AX24" s="123"/>
      <c r="AY24" s="123"/>
      <c r="AZ24" s="255"/>
      <c r="BA24" s="255"/>
      <c r="BB24" s="255"/>
      <c r="BC24" s="255"/>
      <c r="BD24" s="255"/>
      <c r="BE24" s="255"/>
      <c r="BF24" s="255"/>
      <c r="BG24" s="256"/>
      <c r="BH24" s="256"/>
      <c r="BI24" s="256"/>
      <c r="BJ24" s="256"/>
      <c r="BK24" s="256"/>
      <c r="BL24" s="256"/>
      <c r="BM24" s="256"/>
      <c r="BN24" s="123"/>
      <c r="BO24" s="123"/>
      <c r="BP24" s="123"/>
      <c r="BQ24" s="123"/>
      <c r="BR24" s="123"/>
      <c r="BS24" s="123"/>
      <c r="BT24" s="123"/>
      <c r="BU24" s="255"/>
      <c r="BV24" s="255"/>
      <c r="BW24" s="255"/>
      <c r="BX24" s="255"/>
      <c r="BY24" s="255"/>
      <c r="BZ24" s="255"/>
      <c r="CA24" s="255"/>
      <c r="CB24" s="256"/>
      <c r="CC24" s="256"/>
      <c r="CD24" s="256"/>
      <c r="CE24" s="256"/>
      <c r="CF24" s="256"/>
      <c r="CG24" s="256"/>
      <c r="CH24" s="256"/>
      <c r="CI24" s="458"/>
      <c r="CJ24" s="458"/>
      <c r="CK24" s="458"/>
      <c r="CL24" s="458"/>
      <c r="CM24" s="458"/>
      <c r="CN24" s="458"/>
      <c r="CO24" s="458"/>
      <c r="CP24" s="459"/>
      <c r="CQ24" s="459"/>
      <c r="CR24" s="459"/>
      <c r="CS24" s="459"/>
      <c r="CT24" s="459"/>
      <c r="CU24" s="459"/>
      <c r="CV24" s="459"/>
      <c r="CW24" s="256"/>
      <c r="CX24" s="256"/>
      <c r="CY24" s="256"/>
      <c r="CZ24" s="256"/>
      <c r="DA24" s="256"/>
      <c r="DB24" s="256"/>
      <c r="DC24" s="256"/>
      <c r="DD24" s="257" t="str">
        <f t="shared" si="15"/>
        <v/>
      </c>
      <c r="DE24" s="257" t="str">
        <f t="shared" si="16"/>
        <v/>
      </c>
      <c r="DF24" s="257" t="str">
        <f t="shared" si="17"/>
        <v/>
      </c>
      <c r="DG24" s="257" t="str">
        <f t="shared" si="18"/>
        <v/>
      </c>
      <c r="DH24" s="257" t="str">
        <f t="shared" si="19"/>
        <v/>
      </c>
      <c r="DI24" s="257" t="str">
        <f t="shared" si="20"/>
        <v/>
      </c>
      <c r="DJ24" s="257" t="str">
        <f t="shared" si="21"/>
        <v/>
      </c>
      <c r="DK24" s="756" t="str">
        <f t="shared" si="22"/>
        <v/>
      </c>
      <c r="DL24" s="291" t="str">
        <f t="shared" si="23"/>
        <v xml:space="preserve">  </v>
      </c>
      <c r="DM24" s="243" t="str">
        <f t="shared" si="24"/>
        <v xml:space="preserve"> </v>
      </c>
      <c r="DN24" s="39"/>
      <c r="DO24" s="39"/>
      <c r="DP24" s="257">
        <f t="shared" si="25"/>
        <v>0</v>
      </c>
      <c r="DQ24" s="257">
        <f t="shared" si="26"/>
        <v>0</v>
      </c>
      <c r="DR24" s="257">
        <f t="shared" si="27"/>
        <v>0</v>
      </c>
      <c r="DS24" s="257">
        <f t="shared" si="28"/>
        <v>0</v>
      </c>
      <c r="DT24" s="257">
        <f t="shared" si="29"/>
        <v>0</v>
      </c>
      <c r="DU24" s="257">
        <f t="shared" si="30"/>
        <v>0</v>
      </c>
      <c r="DV24" s="257">
        <f t="shared" si="31"/>
        <v>0</v>
      </c>
      <c r="DW24" s="257"/>
      <c r="DX24" s="257"/>
      <c r="DY24" s="257"/>
      <c r="DZ24" s="257"/>
      <c r="EA24" s="232">
        <f t="shared" si="32"/>
        <v>0</v>
      </c>
      <c r="EB24" s="257">
        <f t="shared" si="33"/>
        <v>0</v>
      </c>
      <c r="EC24" s="257">
        <f t="shared" si="34"/>
        <v>0</v>
      </c>
      <c r="ED24" s="257">
        <f t="shared" si="35"/>
        <v>0</v>
      </c>
      <c r="EE24" s="257">
        <f t="shared" si="36"/>
        <v>0</v>
      </c>
      <c r="EF24" s="257">
        <f t="shared" si="37"/>
        <v>0</v>
      </c>
      <c r="EG24" s="257">
        <f t="shared" si="38"/>
        <v>0</v>
      </c>
      <c r="EH24" s="257">
        <f t="shared" si="39"/>
        <v>0</v>
      </c>
      <c r="EI24" s="257"/>
      <c r="EJ24" s="257"/>
      <c r="EK24" s="257"/>
      <c r="EL24" s="257"/>
      <c r="EM24" s="232">
        <f t="shared" si="40"/>
        <v>0</v>
      </c>
      <c r="EN24" s="257">
        <f t="shared" si="41"/>
        <v>0</v>
      </c>
      <c r="EO24" s="257">
        <f t="shared" si="42"/>
        <v>0</v>
      </c>
      <c r="EP24" s="257">
        <f t="shared" si="43"/>
        <v>0</v>
      </c>
      <c r="EQ24" s="257">
        <f t="shared" si="44"/>
        <v>0</v>
      </c>
      <c r="ER24" s="257">
        <f t="shared" si="45"/>
        <v>0</v>
      </c>
      <c r="ES24" s="257">
        <f t="shared" si="46"/>
        <v>0</v>
      </c>
      <c r="ET24" s="257">
        <f t="shared" si="47"/>
        <v>0</v>
      </c>
      <c r="EU24" s="257"/>
      <c r="EV24" s="257"/>
      <c r="EW24" s="257"/>
      <c r="EX24" s="257"/>
      <c r="EY24" s="232">
        <f t="shared" si="48"/>
        <v>0</v>
      </c>
      <c r="EZ24" s="257">
        <f t="shared" si="49"/>
        <v>0</v>
      </c>
      <c r="FA24" s="257">
        <f t="shared" si="50"/>
        <v>0</v>
      </c>
      <c r="FB24" s="257">
        <f t="shared" si="51"/>
        <v>0</v>
      </c>
      <c r="FC24" s="575">
        <f t="shared" si="52"/>
        <v>3</v>
      </c>
      <c r="FD24" s="506">
        <f t="shared" si="53"/>
        <v>0</v>
      </c>
      <c r="FE24" s="39" t="str">
        <f t="shared" si="54"/>
        <v/>
      </c>
      <c r="FF24" s="257">
        <f t="shared" si="55"/>
        <v>0</v>
      </c>
      <c r="FG24" s="257">
        <f t="shared" si="56"/>
        <v>0</v>
      </c>
      <c r="FH24" s="257">
        <f t="shared" si="57"/>
        <v>0</v>
      </c>
      <c r="FI24" s="575">
        <f t="shared" si="58"/>
        <v>3</v>
      </c>
      <c r="FJ24" s="506">
        <f t="shared" si="59"/>
        <v>0</v>
      </c>
      <c r="FK24" s="39" t="str">
        <f t="shared" si="60"/>
        <v/>
      </c>
      <c r="FL24" s="257">
        <f t="shared" si="61"/>
        <v>0</v>
      </c>
      <c r="FM24" s="257">
        <f t="shared" si="62"/>
        <v>0</v>
      </c>
      <c r="FN24" s="257">
        <f t="shared" si="63"/>
        <v>0</v>
      </c>
      <c r="FO24" s="575">
        <f t="shared" si="64"/>
        <v>3</v>
      </c>
      <c r="FP24" s="506">
        <f t="shared" si="65"/>
        <v>0</v>
      </c>
      <c r="FQ24" s="39" t="str">
        <f t="shared" si="66"/>
        <v/>
      </c>
      <c r="FR24" s="257">
        <f t="shared" si="67"/>
        <v>0</v>
      </c>
      <c r="FS24" s="257">
        <f t="shared" si="68"/>
        <v>0</v>
      </c>
      <c r="FT24" s="257">
        <f t="shared" si="69"/>
        <v>0</v>
      </c>
      <c r="FU24" s="575">
        <f t="shared" si="70"/>
        <v>3</v>
      </c>
      <c r="FV24" s="506">
        <f t="shared" si="71"/>
        <v>0</v>
      </c>
      <c r="FW24" s="39" t="str">
        <f t="shared" si="72"/>
        <v/>
      </c>
      <c r="FX24" s="257">
        <f t="shared" si="73"/>
        <v>0</v>
      </c>
      <c r="FY24" s="257">
        <f t="shared" si="74"/>
        <v>0</v>
      </c>
      <c r="FZ24" s="257">
        <f t="shared" si="75"/>
        <v>0</v>
      </c>
      <c r="GA24" s="575">
        <f t="shared" si="76"/>
        <v>3</v>
      </c>
      <c r="GB24" s="506">
        <f t="shared" si="77"/>
        <v>0</v>
      </c>
      <c r="GC24" s="39" t="str">
        <f t="shared" si="78"/>
        <v/>
      </c>
      <c r="GD24" s="257">
        <f t="shared" si="79"/>
        <v>0</v>
      </c>
      <c r="GE24" s="257">
        <f t="shared" si="80"/>
        <v>0</v>
      </c>
      <c r="GF24" s="257">
        <f t="shared" si="81"/>
        <v>0</v>
      </c>
      <c r="GG24" s="575">
        <f t="shared" si="82"/>
        <v>3</v>
      </c>
      <c r="GH24" s="506">
        <f t="shared" si="83"/>
        <v>0</v>
      </c>
      <c r="GI24" s="39" t="str">
        <f t="shared" si="84"/>
        <v/>
      </c>
      <c r="GJ24" s="257">
        <f t="shared" si="85"/>
        <v>0</v>
      </c>
      <c r="GK24" s="257">
        <f t="shared" si="86"/>
        <v>0</v>
      </c>
      <c r="GL24" s="257">
        <f t="shared" si="87"/>
        <v>0</v>
      </c>
      <c r="GM24" s="575">
        <f t="shared" si="88"/>
        <v>3</v>
      </c>
      <c r="GN24" s="506">
        <f t="shared" si="89"/>
        <v>0</v>
      </c>
      <c r="GO24" s="39" t="str">
        <f t="shared" si="90"/>
        <v/>
      </c>
      <c r="GP24" s="257">
        <f t="shared" si="91"/>
        <v>0</v>
      </c>
      <c r="GQ24" s="257">
        <f t="shared" si="92"/>
        <v>0</v>
      </c>
      <c r="GR24" s="257">
        <f t="shared" si="93"/>
        <v>0</v>
      </c>
      <c r="GS24" s="575">
        <f t="shared" si="94"/>
        <v>3</v>
      </c>
      <c r="GT24" s="506">
        <f t="shared" si="95"/>
        <v>0</v>
      </c>
      <c r="GU24" s="39" t="str">
        <f t="shared" si="96"/>
        <v/>
      </c>
      <c r="GV24" s="257">
        <f t="shared" si="97"/>
        <v>0</v>
      </c>
      <c r="GW24" s="257">
        <f t="shared" si="98"/>
        <v>0</v>
      </c>
      <c r="GX24" s="257">
        <f t="shared" si="99"/>
        <v>0</v>
      </c>
      <c r="GY24" s="575">
        <f t="shared" si="100"/>
        <v>3</v>
      </c>
      <c r="GZ24" s="506">
        <f t="shared" si="101"/>
        <v>0</v>
      </c>
      <c r="HA24" s="39" t="str">
        <f t="shared" si="102"/>
        <v/>
      </c>
      <c r="HB24" s="257">
        <f t="shared" si="103"/>
        <v>0</v>
      </c>
      <c r="HC24" s="257">
        <f t="shared" si="104"/>
        <v>0</v>
      </c>
      <c r="HD24" s="257">
        <f t="shared" si="105"/>
        <v>0</v>
      </c>
      <c r="HE24" s="575">
        <f t="shared" si="106"/>
        <v>3</v>
      </c>
      <c r="HF24" s="506">
        <f t="shared" si="107"/>
        <v>0</v>
      </c>
      <c r="HG24" s="39" t="str">
        <f t="shared" si="108"/>
        <v/>
      </c>
      <c r="HH24" s="257">
        <f t="shared" si="109"/>
        <v>0</v>
      </c>
      <c r="HI24" s="257">
        <f t="shared" si="110"/>
        <v>0</v>
      </c>
      <c r="HJ24" s="257">
        <f t="shared" si="111"/>
        <v>0</v>
      </c>
      <c r="HK24" s="575">
        <f t="shared" si="112"/>
        <v>3</v>
      </c>
      <c r="HL24" s="506">
        <f t="shared" si="113"/>
        <v>0</v>
      </c>
      <c r="HM24" s="39" t="str">
        <f t="shared" si="114"/>
        <v/>
      </c>
      <c r="HN24" s="39"/>
      <c r="HO24" s="39" t="str">
        <f t="shared" si="115"/>
        <v/>
      </c>
      <c r="HP24" s="39" t="str">
        <f t="shared" si="116"/>
        <v/>
      </c>
      <c r="HQ24" s="39" t="str">
        <f t="shared" si="117"/>
        <v/>
      </c>
      <c r="HR24" s="39" t="str">
        <f t="shared" si="118"/>
        <v/>
      </c>
      <c r="HS24" s="39" t="str">
        <f t="shared" si="119"/>
        <v/>
      </c>
      <c r="HT24" s="39" t="str">
        <f t="shared" si="120"/>
        <v/>
      </c>
      <c r="HU24" s="39" t="str">
        <f t="shared" si="121"/>
        <v/>
      </c>
      <c r="HV24" s="39"/>
      <c r="HW24" s="39"/>
      <c r="HX24" s="39"/>
      <c r="HY24" s="39"/>
      <c r="HZ24" s="39" t="str">
        <f t="shared" si="122"/>
        <v/>
      </c>
      <c r="IA24" s="68">
        <f t="shared" si="123"/>
        <v>0</v>
      </c>
      <c r="IB24" s="68">
        <f t="shared" si="124"/>
        <v>0</v>
      </c>
      <c r="IC24" s="39">
        <f>SISWA!E22</f>
        <v>0</v>
      </c>
      <c r="ID24" s="39" t="str">
        <f t="shared" si="125"/>
        <v/>
      </c>
      <c r="IE24" s="207" t="str">
        <f t="shared" si="126"/>
        <v/>
      </c>
      <c r="IF24" s="207" t="str">
        <f t="shared" si="127"/>
        <v/>
      </c>
      <c r="IG24" s="207" t="str">
        <f t="shared" si="128"/>
        <v/>
      </c>
      <c r="IH24" s="207" t="str">
        <f t="shared" si="129"/>
        <v/>
      </c>
      <c r="II24" s="207" t="str">
        <f t="shared" si="130"/>
        <v/>
      </c>
      <c r="IJ24" s="207" t="str">
        <f t="shared" si="131"/>
        <v/>
      </c>
      <c r="IK24" s="207" t="str">
        <f t="shared" si="132"/>
        <v/>
      </c>
      <c r="IL24" s="207"/>
      <c r="IM24" s="207"/>
      <c r="IN24" s="207"/>
      <c r="IO24" s="207"/>
      <c r="IP24" s="39">
        <f t="shared" si="133"/>
        <v>0</v>
      </c>
      <c r="IQ24" s="68" t="e">
        <f t="shared" si="134"/>
        <v>#N/A</v>
      </c>
      <c r="IR24" s="576" t="e">
        <f>IF(IA24&gt;100,"",IF(IA24&gt;DQ$1,"sangat baik dalam "&amp;IQ24,IF(IA24&gt;=DQ$2,"baik dalam "&amp;IQ24,IF(IA24&gt;=DQ$3,"cukup dalam "&amp;IQ24,IF(IA24&lt;DQ$3,"dengan bimbingan dapat meningkatkan dalam "&amp;IQ24,IF(IA24&lt;1," ",””))))))</f>
        <v>#N/A</v>
      </c>
      <c r="IS24" s="223"/>
      <c r="IT24" s="223" t="str">
        <f t="shared" si="135"/>
        <v/>
      </c>
      <c r="IU24" s="223" t="str">
        <f t="shared" si="136"/>
        <v/>
      </c>
      <c r="IV24" s="223" t="str">
        <f t="shared" si="137"/>
        <v/>
      </c>
      <c r="IW24" s="223" t="str">
        <f t="shared" si="138"/>
        <v/>
      </c>
      <c r="IX24" s="223" t="str">
        <f t="shared" si="139"/>
        <v/>
      </c>
      <c r="IY24" s="223" t="str">
        <f t="shared" si="140"/>
        <v/>
      </c>
      <c r="IZ24" s="223" t="str">
        <f t="shared" si="141"/>
        <v/>
      </c>
      <c r="JA24" s="223"/>
      <c r="JB24" s="223"/>
      <c r="JC24" s="223"/>
      <c r="JD24" s="223"/>
      <c r="JE24" s="223" t="e">
        <f t="shared" si="142"/>
        <v>#N/A</v>
      </c>
      <c r="JF24" s="577" t="e">
        <f>IF(IB24&gt;100,"",IF(IB24&gt;=DQ$1,"sangat baik dalam "&amp;JE24,IF(IB24&gt;=DQ$2,"baik dalam "&amp;JE24,IF(IB24&gt;=DQ$3,"cukup dalam "&amp;JE24,IF(IB24&lt;DQ$3,"dengan bimbingan dapat meningkatkan dalam "&amp;JE24,IF(IB24&lt;1," ",””))))))</f>
        <v>#N/A</v>
      </c>
      <c r="JG24" s="223" t="e">
        <f t="shared" si="143"/>
        <v>#N/A</v>
      </c>
    </row>
    <row r="25" spans="1:267" ht="30" customHeight="1">
      <c r="A25" s="39">
        <v>18</v>
      </c>
      <c r="B25" s="223">
        <f>SISWA!B23</f>
        <v>0</v>
      </c>
      <c r="C25" s="123"/>
      <c r="D25" s="123"/>
      <c r="E25" s="123"/>
      <c r="F25" s="123"/>
      <c r="G25" s="123"/>
      <c r="H25" s="123"/>
      <c r="I25" s="123"/>
      <c r="J25" s="255"/>
      <c r="K25" s="255"/>
      <c r="L25" s="255"/>
      <c r="M25" s="255"/>
      <c r="N25" s="255"/>
      <c r="O25" s="255"/>
      <c r="P25" s="255"/>
      <c r="Q25" s="256"/>
      <c r="R25" s="256"/>
      <c r="S25" s="256"/>
      <c r="T25" s="256"/>
      <c r="U25" s="256"/>
      <c r="V25" s="256"/>
      <c r="W25" s="256"/>
      <c r="X25" s="123"/>
      <c r="Y25" s="123"/>
      <c r="Z25" s="123"/>
      <c r="AA25" s="123"/>
      <c r="AB25" s="123"/>
      <c r="AC25" s="123"/>
      <c r="AD25" s="123"/>
      <c r="AE25" s="255"/>
      <c r="AF25" s="255"/>
      <c r="AG25" s="255"/>
      <c r="AH25" s="255"/>
      <c r="AI25" s="255"/>
      <c r="AJ25" s="255"/>
      <c r="AK25" s="255"/>
      <c r="AL25" s="256"/>
      <c r="AM25" s="256"/>
      <c r="AN25" s="256"/>
      <c r="AO25" s="256"/>
      <c r="AP25" s="256"/>
      <c r="AQ25" s="256"/>
      <c r="AR25" s="256"/>
      <c r="AS25" s="123"/>
      <c r="AT25" s="123"/>
      <c r="AU25" s="123"/>
      <c r="AV25" s="123"/>
      <c r="AW25" s="123"/>
      <c r="AX25" s="123"/>
      <c r="AY25" s="123"/>
      <c r="AZ25" s="255"/>
      <c r="BA25" s="255"/>
      <c r="BB25" s="255"/>
      <c r="BC25" s="255"/>
      <c r="BD25" s="255"/>
      <c r="BE25" s="255"/>
      <c r="BF25" s="255"/>
      <c r="BG25" s="256"/>
      <c r="BH25" s="256"/>
      <c r="BI25" s="256"/>
      <c r="BJ25" s="256"/>
      <c r="BK25" s="256"/>
      <c r="BL25" s="256"/>
      <c r="BM25" s="256"/>
      <c r="BN25" s="123"/>
      <c r="BO25" s="123"/>
      <c r="BP25" s="123"/>
      <c r="BQ25" s="123"/>
      <c r="BR25" s="123"/>
      <c r="BS25" s="123"/>
      <c r="BT25" s="123"/>
      <c r="BU25" s="255"/>
      <c r="BV25" s="255"/>
      <c r="BW25" s="255"/>
      <c r="BX25" s="255"/>
      <c r="BY25" s="255"/>
      <c r="BZ25" s="255"/>
      <c r="CA25" s="255"/>
      <c r="CB25" s="256"/>
      <c r="CC25" s="256"/>
      <c r="CD25" s="256"/>
      <c r="CE25" s="256"/>
      <c r="CF25" s="256"/>
      <c r="CG25" s="256"/>
      <c r="CH25" s="256"/>
      <c r="CI25" s="458"/>
      <c r="CJ25" s="458"/>
      <c r="CK25" s="458"/>
      <c r="CL25" s="458"/>
      <c r="CM25" s="458"/>
      <c r="CN25" s="458"/>
      <c r="CO25" s="458"/>
      <c r="CP25" s="459"/>
      <c r="CQ25" s="459"/>
      <c r="CR25" s="459"/>
      <c r="CS25" s="459"/>
      <c r="CT25" s="459"/>
      <c r="CU25" s="459"/>
      <c r="CV25" s="459"/>
      <c r="CW25" s="256"/>
      <c r="CX25" s="256"/>
      <c r="CY25" s="256"/>
      <c r="CZ25" s="256"/>
      <c r="DA25" s="256"/>
      <c r="DB25" s="256"/>
      <c r="DC25" s="256"/>
      <c r="DD25" s="257" t="str">
        <f t="shared" si="15"/>
        <v/>
      </c>
      <c r="DE25" s="257" t="str">
        <f t="shared" si="16"/>
        <v/>
      </c>
      <c r="DF25" s="257" t="str">
        <f t="shared" si="17"/>
        <v/>
      </c>
      <c r="DG25" s="257" t="str">
        <f t="shared" si="18"/>
        <v/>
      </c>
      <c r="DH25" s="257" t="str">
        <f t="shared" si="19"/>
        <v/>
      </c>
      <c r="DI25" s="257" t="str">
        <f t="shared" si="20"/>
        <v/>
      </c>
      <c r="DJ25" s="257" t="str">
        <f t="shared" si="21"/>
        <v/>
      </c>
      <c r="DK25" s="756" t="str">
        <f t="shared" si="22"/>
        <v/>
      </c>
      <c r="DL25" s="291" t="str">
        <f t="shared" si="23"/>
        <v xml:space="preserve">  </v>
      </c>
      <c r="DM25" s="243" t="str">
        <f t="shared" si="24"/>
        <v xml:space="preserve"> </v>
      </c>
      <c r="DN25" s="39"/>
      <c r="DO25" s="39"/>
      <c r="DP25" s="257">
        <f t="shared" si="25"/>
        <v>0</v>
      </c>
      <c r="DQ25" s="257">
        <f t="shared" si="26"/>
        <v>0</v>
      </c>
      <c r="DR25" s="257">
        <f t="shared" si="27"/>
        <v>0</v>
      </c>
      <c r="DS25" s="257">
        <f t="shared" si="28"/>
        <v>0</v>
      </c>
      <c r="DT25" s="257">
        <f t="shared" si="29"/>
        <v>0</v>
      </c>
      <c r="DU25" s="257">
        <f t="shared" si="30"/>
        <v>0</v>
      </c>
      <c r="DV25" s="257">
        <f t="shared" si="31"/>
        <v>0</v>
      </c>
      <c r="DW25" s="257"/>
      <c r="DX25" s="257"/>
      <c r="DY25" s="257"/>
      <c r="DZ25" s="257"/>
      <c r="EA25" s="232">
        <f t="shared" si="32"/>
        <v>0</v>
      </c>
      <c r="EB25" s="257">
        <f t="shared" si="33"/>
        <v>0</v>
      </c>
      <c r="EC25" s="257">
        <f t="shared" si="34"/>
        <v>0</v>
      </c>
      <c r="ED25" s="257">
        <f t="shared" si="35"/>
        <v>0</v>
      </c>
      <c r="EE25" s="257">
        <f t="shared" si="36"/>
        <v>0</v>
      </c>
      <c r="EF25" s="257">
        <f t="shared" si="37"/>
        <v>0</v>
      </c>
      <c r="EG25" s="257">
        <f t="shared" si="38"/>
        <v>0</v>
      </c>
      <c r="EH25" s="257">
        <f t="shared" si="39"/>
        <v>0</v>
      </c>
      <c r="EI25" s="257"/>
      <c r="EJ25" s="257"/>
      <c r="EK25" s="257"/>
      <c r="EL25" s="257"/>
      <c r="EM25" s="232">
        <f t="shared" si="40"/>
        <v>0</v>
      </c>
      <c r="EN25" s="257">
        <f t="shared" si="41"/>
        <v>0</v>
      </c>
      <c r="EO25" s="257">
        <f t="shared" si="42"/>
        <v>0</v>
      </c>
      <c r="EP25" s="257">
        <f t="shared" si="43"/>
        <v>0</v>
      </c>
      <c r="EQ25" s="257">
        <f t="shared" si="44"/>
        <v>0</v>
      </c>
      <c r="ER25" s="257">
        <f t="shared" si="45"/>
        <v>0</v>
      </c>
      <c r="ES25" s="257">
        <f t="shared" si="46"/>
        <v>0</v>
      </c>
      <c r="ET25" s="257">
        <f t="shared" si="47"/>
        <v>0</v>
      </c>
      <c r="EU25" s="257"/>
      <c r="EV25" s="257"/>
      <c r="EW25" s="257"/>
      <c r="EX25" s="257"/>
      <c r="EY25" s="232">
        <f t="shared" si="48"/>
        <v>0</v>
      </c>
      <c r="EZ25" s="257">
        <f t="shared" si="49"/>
        <v>0</v>
      </c>
      <c r="FA25" s="257">
        <f t="shared" si="50"/>
        <v>0</v>
      </c>
      <c r="FB25" s="257">
        <f t="shared" si="51"/>
        <v>0</v>
      </c>
      <c r="FC25" s="575">
        <f t="shared" si="52"/>
        <v>3</v>
      </c>
      <c r="FD25" s="506">
        <f t="shared" si="53"/>
        <v>0</v>
      </c>
      <c r="FE25" s="39" t="str">
        <f t="shared" si="54"/>
        <v/>
      </c>
      <c r="FF25" s="257">
        <f t="shared" si="55"/>
        <v>0</v>
      </c>
      <c r="FG25" s="257">
        <f t="shared" si="56"/>
        <v>0</v>
      </c>
      <c r="FH25" s="257">
        <f t="shared" si="57"/>
        <v>0</v>
      </c>
      <c r="FI25" s="575">
        <f t="shared" si="58"/>
        <v>3</v>
      </c>
      <c r="FJ25" s="506">
        <f t="shared" si="59"/>
        <v>0</v>
      </c>
      <c r="FK25" s="39" t="str">
        <f t="shared" si="60"/>
        <v/>
      </c>
      <c r="FL25" s="257">
        <f t="shared" si="61"/>
        <v>0</v>
      </c>
      <c r="FM25" s="257">
        <f t="shared" si="62"/>
        <v>0</v>
      </c>
      <c r="FN25" s="257">
        <f t="shared" si="63"/>
        <v>0</v>
      </c>
      <c r="FO25" s="575">
        <f t="shared" si="64"/>
        <v>3</v>
      </c>
      <c r="FP25" s="506">
        <f t="shared" si="65"/>
        <v>0</v>
      </c>
      <c r="FQ25" s="39" t="str">
        <f t="shared" si="66"/>
        <v/>
      </c>
      <c r="FR25" s="257">
        <f t="shared" si="67"/>
        <v>0</v>
      </c>
      <c r="FS25" s="257">
        <f t="shared" si="68"/>
        <v>0</v>
      </c>
      <c r="FT25" s="257">
        <f t="shared" si="69"/>
        <v>0</v>
      </c>
      <c r="FU25" s="575">
        <f t="shared" si="70"/>
        <v>3</v>
      </c>
      <c r="FV25" s="506">
        <f t="shared" si="71"/>
        <v>0</v>
      </c>
      <c r="FW25" s="39" t="str">
        <f t="shared" si="72"/>
        <v/>
      </c>
      <c r="FX25" s="257">
        <f t="shared" si="73"/>
        <v>0</v>
      </c>
      <c r="FY25" s="257">
        <f t="shared" si="74"/>
        <v>0</v>
      </c>
      <c r="FZ25" s="257">
        <f t="shared" si="75"/>
        <v>0</v>
      </c>
      <c r="GA25" s="575">
        <f t="shared" si="76"/>
        <v>3</v>
      </c>
      <c r="GB25" s="506">
        <f t="shared" si="77"/>
        <v>0</v>
      </c>
      <c r="GC25" s="39" t="str">
        <f t="shared" si="78"/>
        <v/>
      </c>
      <c r="GD25" s="257">
        <f t="shared" si="79"/>
        <v>0</v>
      </c>
      <c r="GE25" s="257">
        <f t="shared" si="80"/>
        <v>0</v>
      </c>
      <c r="GF25" s="257">
        <f t="shared" si="81"/>
        <v>0</v>
      </c>
      <c r="GG25" s="575">
        <f t="shared" si="82"/>
        <v>3</v>
      </c>
      <c r="GH25" s="506">
        <f t="shared" si="83"/>
        <v>0</v>
      </c>
      <c r="GI25" s="39" t="str">
        <f t="shared" si="84"/>
        <v/>
      </c>
      <c r="GJ25" s="257">
        <f t="shared" si="85"/>
        <v>0</v>
      </c>
      <c r="GK25" s="257">
        <f t="shared" si="86"/>
        <v>0</v>
      </c>
      <c r="GL25" s="257">
        <f t="shared" si="87"/>
        <v>0</v>
      </c>
      <c r="GM25" s="575">
        <f t="shared" si="88"/>
        <v>3</v>
      </c>
      <c r="GN25" s="506">
        <f t="shared" si="89"/>
        <v>0</v>
      </c>
      <c r="GO25" s="39" t="str">
        <f t="shared" si="90"/>
        <v/>
      </c>
      <c r="GP25" s="257">
        <f t="shared" si="91"/>
        <v>0</v>
      </c>
      <c r="GQ25" s="257">
        <f t="shared" si="92"/>
        <v>0</v>
      </c>
      <c r="GR25" s="257">
        <f t="shared" si="93"/>
        <v>0</v>
      </c>
      <c r="GS25" s="575">
        <f t="shared" si="94"/>
        <v>3</v>
      </c>
      <c r="GT25" s="506">
        <f t="shared" si="95"/>
        <v>0</v>
      </c>
      <c r="GU25" s="39" t="str">
        <f t="shared" si="96"/>
        <v/>
      </c>
      <c r="GV25" s="257">
        <f t="shared" si="97"/>
        <v>0</v>
      </c>
      <c r="GW25" s="257">
        <f t="shared" si="98"/>
        <v>0</v>
      </c>
      <c r="GX25" s="257">
        <f t="shared" si="99"/>
        <v>0</v>
      </c>
      <c r="GY25" s="575">
        <f t="shared" si="100"/>
        <v>3</v>
      </c>
      <c r="GZ25" s="506">
        <f t="shared" si="101"/>
        <v>0</v>
      </c>
      <c r="HA25" s="39" t="str">
        <f t="shared" si="102"/>
        <v/>
      </c>
      <c r="HB25" s="257">
        <f t="shared" si="103"/>
        <v>0</v>
      </c>
      <c r="HC25" s="257">
        <f t="shared" si="104"/>
        <v>0</v>
      </c>
      <c r="HD25" s="257">
        <f t="shared" si="105"/>
        <v>0</v>
      </c>
      <c r="HE25" s="575">
        <f t="shared" si="106"/>
        <v>3</v>
      </c>
      <c r="HF25" s="506">
        <f t="shared" si="107"/>
        <v>0</v>
      </c>
      <c r="HG25" s="39" t="str">
        <f t="shared" si="108"/>
        <v/>
      </c>
      <c r="HH25" s="257">
        <f t="shared" si="109"/>
        <v>0</v>
      </c>
      <c r="HI25" s="257">
        <f t="shared" si="110"/>
        <v>0</v>
      </c>
      <c r="HJ25" s="257">
        <f t="shared" si="111"/>
        <v>0</v>
      </c>
      <c r="HK25" s="575">
        <f t="shared" si="112"/>
        <v>3</v>
      </c>
      <c r="HL25" s="506">
        <f t="shared" si="113"/>
        <v>0</v>
      </c>
      <c r="HM25" s="39" t="str">
        <f t="shared" si="114"/>
        <v/>
      </c>
      <c r="HN25" s="39"/>
      <c r="HO25" s="39" t="str">
        <f t="shared" si="115"/>
        <v/>
      </c>
      <c r="HP25" s="39" t="str">
        <f t="shared" si="116"/>
        <v/>
      </c>
      <c r="HQ25" s="39" t="str">
        <f t="shared" si="117"/>
        <v/>
      </c>
      <c r="HR25" s="39" t="str">
        <f t="shared" si="118"/>
        <v/>
      </c>
      <c r="HS25" s="39" t="str">
        <f t="shared" si="119"/>
        <v/>
      </c>
      <c r="HT25" s="39" t="str">
        <f t="shared" si="120"/>
        <v/>
      </c>
      <c r="HU25" s="39" t="str">
        <f t="shared" si="121"/>
        <v/>
      </c>
      <c r="HV25" s="39"/>
      <c r="HW25" s="39"/>
      <c r="HX25" s="39"/>
      <c r="HY25" s="39"/>
      <c r="HZ25" s="39" t="str">
        <f t="shared" si="122"/>
        <v/>
      </c>
      <c r="IA25" s="68">
        <f t="shared" si="123"/>
        <v>0</v>
      </c>
      <c r="IB25" s="68">
        <f t="shared" si="124"/>
        <v>0</v>
      </c>
      <c r="IC25" s="39">
        <f>SISWA!E23</f>
        <v>0</v>
      </c>
      <c r="ID25" s="39" t="str">
        <f t="shared" si="125"/>
        <v/>
      </c>
      <c r="IE25" s="207" t="str">
        <f t="shared" si="126"/>
        <v/>
      </c>
      <c r="IF25" s="207" t="str">
        <f t="shared" si="127"/>
        <v/>
      </c>
      <c r="IG25" s="207" t="str">
        <f t="shared" si="128"/>
        <v/>
      </c>
      <c r="IH25" s="207" t="str">
        <f t="shared" si="129"/>
        <v/>
      </c>
      <c r="II25" s="207" t="str">
        <f t="shared" si="130"/>
        <v/>
      </c>
      <c r="IJ25" s="207" t="str">
        <f t="shared" si="131"/>
        <v/>
      </c>
      <c r="IK25" s="207" t="str">
        <f t="shared" si="132"/>
        <v/>
      </c>
      <c r="IL25" s="207"/>
      <c r="IM25" s="207"/>
      <c r="IN25" s="207"/>
      <c r="IO25" s="207"/>
      <c r="IP25" s="39">
        <f t="shared" si="133"/>
        <v>0</v>
      </c>
      <c r="IQ25" s="68" t="e">
        <f t="shared" si="134"/>
        <v>#N/A</v>
      </c>
      <c r="IR25" s="576" t="e">
        <f>IF(IA25&gt;100,"",IF(IA25&gt;DQ$1,"sangat baik dalam "&amp;IQ25,IF(IA25&gt;=DQ$2,"baik dalam "&amp;IQ25,IF(IA25&gt;=DQ$3,"cukup dalam "&amp;IQ25,IF(IA25&lt;DQ$3,"dengan bimbingan dapat meningkatkan dalam "&amp;IQ25,IF(IA25&lt;1," ",””))))))</f>
        <v>#N/A</v>
      </c>
      <c r="IS25" s="223"/>
      <c r="IT25" s="223" t="str">
        <f t="shared" si="135"/>
        <v/>
      </c>
      <c r="IU25" s="223" t="str">
        <f t="shared" si="136"/>
        <v/>
      </c>
      <c r="IV25" s="223" t="str">
        <f t="shared" si="137"/>
        <v/>
      </c>
      <c r="IW25" s="223" t="str">
        <f t="shared" si="138"/>
        <v/>
      </c>
      <c r="IX25" s="223" t="str">
        <f t="shared" si="139"/>
        <v/>
      </c>
      <c r="IY25" s="223" t="str">
        <f t="shared" si="140"/>
        <v/>
      </c>
      <c r="IZ25" s="223" t="str">
        <f t="shared" si="141"/>
        <v/>
      </c>
      <c r="JA25" s="223"/>
      <c r="JB25" s="223"/>
      <c r="JC25" s="223"/>
      <c r="JD25" s="223"/>
      <c r="JE25" s="223" t="e">
        <f t="shared" si="142"/>
        <v>#N/A</v>
      </c>
      <c r="JF25" s="577" t="e">
        <f>IF(IB25&gt;100,"",IF(IB25&gt;=DQ$1,"sangat baik dalam "&amp;JE25,IF(IB25&gt;=DQ$2,"baik dalam "&amp;JE25,IF(IB25&gt;=DQ$3,"cukup dalam "&amp;JE25,IF(IB25&lt;DQ$3,"dengan bimbingan dapat meningkatkan dalam "&amp;JE25,IF(IB25&lt;1," ",””))))))</f>
        <v>#N/A</v>
      </c>
      <c r="JG25" s="223" t="e">
        <f t="shared" si="143"/>
        <v>#N/A</v>
      </c>
    </row>
    <row r="26" spans="1:267" ht="30" customHeight="1">
      <c r="A26" s="39">
        <v>19</v>
      </c>
      <c r="B26" s="223">
        <f>SISWA!B24</f>
        <v>0</v>
      </c>
      <c r="C26" s="123"/>
      <c r="D26" s="123"/>
      <c r="E26" s="123"/>
      <c r="F26" s="123"/>
      <c r="G26" s="123"/>
      <c r="H26" s="123"/>
      <c r="I26" s="123"/>
      <c r="J26" s="255"/>
      <c r="K26" s="255"/>
      <c r="L26" s="255"/>
      <c r="M26" s="255"/>
      <c r="N26" s="255"/>
      <c r="O26" s="255"/>
      <c r="P26" s="255"/>
      <c r="Q26" s="256"/>
      <c r="R26" s="256"/>
      <c r="S26" s="256"/>
      <c r="T26" s="256"/>
      <c r="U26" s="256"/>
      <c r="V26" s="256"/>
      <c r="W26" s="256"/>
      <c r="X26" s="123"/>
      <c r="Y26" s="123"/>
      <c r="Z26" s="123"/>
      <c r="AA26" s="123"/>
      <c r="AB26" s="123"/>
      <c r="AC26" s="123"/>
      <c r="AD26" s="123"/>
      <c r="AE26" s="255"/>
      <c r="AF26" s="255"/>
      <c r="AG26" s="255"/>
      <c r="AH26" s="255"/>
      <c r="AI26" s="255"/>
      <c r="AJ26" s="255"/>
      <c r="AK26" s="255"/>
      <c r="AL26" s="256"/>
      <c r="AM26" s="256"/>
      <c r="AN26" s="256"/>
      <c r="AO26" s="256"/>
      <c r="AP26" s="256"/>
      <c r="AQ26" s="256"/>
      <c r="AR26" s="256"/>
      <c r="AS26" s="123"/>
      <c r="AT26" s="123"/>
      <c r="AU26" s="123"/>
      <c r="AV26" s="123"/>
      <c r="AW26" s="123"/>
      <c r="AX26" s="123"/>
      <c r="AY26" s="123"/>
      <c r="AZ26" s="255"/>
      <c r="BA26" s="255"/>
      <c r="BB26" s="255"/>
      <c r="BC26" s="255"/>
      <c r="BD26" s="255"/>
      <c r="BE26" s="255"/>
      <c r="BF26" s="255"/>
      <c r="BG26" s="256"/>
      <c r="BH26" s="256"/>
      <c r="BI26" s="256"/>
      <c r="BJ26" s="256"/>
      <c r="BK26" s="256"/>
      <c r="BL26" s="256"/>
      <c r="BM26" s="256"/>
      <c r="BN26" s="123"/>
      <c r="BO26" s="123"/>
      <c r="BP26" s="123"/>
      <c r="BQ26" s="123"/>
      <c r="BR26" s="123"/>
      <c r="BS26" s="123"/>
      <c r="BT26" s="123"/>
      <c r="BU26" s="255"/>
      <c r="BV26" s="255"/>
      <c r="BW26" s="255"/>
      <c r="BX26" s="255"/>
      <c r="BY26" s="255"/>
      <c r="BZ26" s="255"/>
      <c r="CA26" s="255"/>
      <c r="CB26" s="256"/>
      <c r="CC26" s="256"/>
      <c r="CD26" s="256"/>
      <c r="CE26" s="256"/>
      <c r="CF26" s="256"/>
      <c r="CG26" s="256"/>
      <c r="CH26" s="256"/>
      <c r="CI26" s="458"/>
      <c r="CJ26" s="458"/>
      <c r="CK26" s="458"/>
      <c r="CL26" s="458"/>
      <c r="CM26" s="458"/>
      <c r="CN26" s="458"/>
      <c r="CO26" s="458"/>
      <c r="CP26" s="459"/>
      <c r="CQ26" s="459"/>
      <c r="CR26" s="459"/>
      <c r="CS26" s="459"/>
      <c r="CT26" s="459"/>
      <c r="CU26" s="459"/>
      <c r="CV26" s="459"/>
      <c r="CW26" s="256"/>
      <c r="CX26" s="256"/>
      <c r="CY26" s="256"/>
      <c r="CZ26" s="256"/>
      <c r="DA26" s="256"/>
      <c r="DB26" s="256"/>
      <c r="DC26" s="256"/>
      <c r="DD26" s="257" t="str">
        <f t="shared" si="15"/>
        <v/>
      </c>
      <c r="DE26" s="257" t="str">
        <f t="shared" si="16"/>
        <v/>
      </c>
      <c r="DF26" s="257" t="str">
        <f t="shared" si="17"/>
        <v/>
      </c>
      <c r="DG26" s="257" t="str">
        <f t="shared" si="18"/>
        <v/>
      </c>
      <c r="DH26" s="257" t="str">
        <f t="shared" si="19"/>
        <v/>
      </c>
      <c r="DI26" s="257" t="str">
        <f t="shared" si="20"/>
        <v/>
      </c>
      <c r="DJ26" s="257" t="str">
        <f t="shared" si="21"/>
        <v/>
      </c>
      <c r="DK26" s="756" t="str">
        <f t="shared" si="22"/>
        <v/>
      </c>
      <c r="DL26" s="291" t="str">
        <f t="shared" si="23"/>
        <v xml:space="preserve">  </v>
      </c>
      <c r="DM26" s="243" t="str">
        <f t="shared" si="24"/>
        <v xml:space="preserve"> </v>
      </c>
      <c r="DN26" s="39"/>
      <c r="DO26" s="39"/>
      <c r="DP26" s="257">
        <f t="shared" si="25"/>
        <v>0</v>
      </c>
      <c r="DQ26" s="257">
        <f t="shared" si="26"/>
        <v>0</v>
      </c>
      <c r="DR26" s="257">
        <f t="shared" si="27"/>
        <v>0</v>
      </c>
      <c r="DS26" s="257">
        <f t="shared" si="28"/>
        <v>0</v>
      </c>
      <c r="DT26" s="257">
        <f t="shared" si="29"/>
        <v>0</v>
      </c>
      <c r="DU26" s="257">
        <f t="shared" si="30"/>
        <v>0</v>
      </c>
      <c r="DV26" s="257">
        <f t="shared" si="31"/>
        <v>0</v>
      </c>
      <c r="DW26" s="257"/>
      <c r="DX26" s="257"/>
      <c r="DY26" s="257"/>
      <c r="DZ26" s="257"/>
      <c r="EA26" s="232">
        <f t="shared" si="32"/>
        <v>0</v>
      </c>
      <c r="EB26" s="257">
        <f t="shared" si="33"/>
        <v>0</v>
      </c>
      <c r="EC26" s="257">
        <f t="shared" si="34"/>
        <v>0</v>
      </c>
      <c r="ED26" s="257">
        <f t="shared" si="35"/>
        <v>0</v>
      </c>
      <c r="EE26" s="257">
        <f t="shared" si="36"/>
        <v>0</v>
      </c>
      <c r="EF26" s="257">
        <f t="shared" si="37"/>
        <v>0</v>
      </c>
      <c r="EG26" s="257">
        <f t="shared" si="38"/>
        <v>0</v>
      </c>
      <c r="EH26" s="257">
        <f t="shared" si="39"/>
        <v>0</v>
      </c>
      <c r="EI26" s="257"/>
      <c r="EJ26" s="257"/>
      <c r="EK26" s="257"/>
      <c r="EL26" s="257"/>
      <c r="EM26" s="232">
        <f t="shared" si="40"/>
        <v>0</v>
      </c>
      <c r="EN26" s="257">
        <f t="shared" si="41"/>
        <v>0</v>
      </c>
      <c r="EO26" s="257">
        <f t="shared" si="42"/>
        <v>0</v>
      </c>
      <c r="EP26" s="257">
        <f t="shared" si="43"/>
        <v>0</v>
      </c>
      <c r="EQ26" s="257">
        <f t="shared" si="44"/>
        <v>0</v>
      </c>
      <c r="ER26" s="257">
        <f t="shared" si="45"/>
        <v>0</v>
      </c>
      <c r="ES26" s="257">
        <f t="shared" si="46"/>
        <v>0</v>
      </c>
      <c r="ET26" s="257">
        <f t="shared" si="47"/>
        <v>0</v>
      </c>
      <c r="EU26" s="257"/>
      <c r="EV26" s="257"/>
      <c r="EW26" s="257"/>
      <c r="EX26" s="257"/>
      <c r="EY26" s="232">
        <f t="shared" si="48"/>
        <v>0</v>
      </c>
      <c r="EZ26" s="257">
        <f t="shared" si="49"/>
        <v>0</v>
      </c>
      <c r="FA26" s="257">
        <f t="shared" si="50"/>
        <v>0</v>
      </c>
      <c r="FB26" s="257">
        <f t="shared" si="51"/>
        <v>0</v>
      </c>
      <c r="FC26" s="575">
        <f t="shared" si="52"/>
        <v>3</v>
      </c>
      <c r="FD26" s="506">
        <f t="shared" si="53"/>
        <v>0</v>
      </c>
      <c r="FE26" s="39" t="str">
        <f t="shared" si="54"/>
        <v/>
      </c>
      <c r="FF26" s="257">
        <f t="shared" si="55"/>
        <v>0</v>
      </c>
      <c r="FG26" s="257">
        <f t="shared" si="56"/>
        <v>0</v>
      </c>
      <c r="FH26" s="257">
        <f t="shared" si="57"/>
        <v>0</v>
      </c>
      <c r="FI26" s="575">
        <f t="shared" si="58"/>
        <v>3</v>
      </c>
      <c r="FJ26" s="506">
        <f t="shared" si="59"/>
        <v>0</v>
      </c>
      <c r="FK26" s="39" t="str">
        <f t="shared" si="60"/>
        <v/>
      </c>
      <c r="FL26" s="257">
        <f t="shared" si="61"/>
        <v>0</v>
      </c>
      <c r="FM26" s="257">
        <f t="shared" si="62"/>
        <v>0</v>
      </c>
      <c r="FN26" s="257">
        <f t="shared" si="63"/>
        <v>0</v>
      </c>
      <c r="FO26" s="575">
        <f t="shared" si="64"/>
        <v>3</v>
      </c>
      <c r="FP26" s="506">
        <f t="shared" si="65"/>
        <v>0</v>
      </c>
      <c r="FQ26" s="39" t="str">
        <f t="shared" si="66"/>
        <v/>
      </c>
      <c r="FR26" s="257">
        <f t="shared" si="67"/>
        <v>0</v>
      </c>
      <c r="FS26" s="257">
        <f t="shared" si="68"/>
        <v>0</v>
      </c>
      <c r="FT26" s="257">
        <f t="shared" si="69"/>
        <v>0</v>
      </c>
      <c r="FU26" s="575">
        <f t="shared" si="70"/>
        <v>3</v>
      </c>
      <c r="FV26" s="506">
        <f t="shared" si="71"/>
        <v>0</v>
      </c>
      <c r="FW26" s="39" t="str">
        <f t="shared" si="72"/>
        <v/>
      </c>
      <c r="FX26" s="257">
        <f t="shared" si="73"/>
        <v>0</v>
      </c>
      <c r="FY26" s="257">
        <f t="shared" si="74"/>
        <v>0</v>
      </c>
      <c r="FZ26" s="257">
        <f t="shared" si="75"/>
        <v>0</v>
      </c>
      <c r="GA26" s="575">
        <f t="shared" si="76"/>
        <v>3</v>
      </c>
      <c r="GB26" s="506">
        <f t="shared" si="77"/>
        <v>0</v>
      </c>
      <c r="GC26" s="39" t="str">
        <f t="shared" si="78"/>
        <v/>
      </c>
      <c r="GD26" s="257">
        <f t="shared" si="79"/>
        <v>0</v>
      </c>
      <c r="GE26" s="257">
        <f t="shared" si="80"/>
        <v>0</v>
      </c>
      <c r="GF26" s="257">
        <f t="shared" si="81"/>
        <v>0</v>
      </c>
      <c r="GG26" s="575">
        <f t="shared" si="82"/>
        <v>3</v>
      </c>
      <c r="GH26" s="506">
        <f t="shared" si="83"/>
        <v>0</v>
      </c>
      <c r="GI26" s="39" t="str">
        <f t="shared" si="84"/>
        <v/>
      </c>
      <c r="GJ26" s="257">
        <f t="shared" si="85"/>
        <v>0</v>
      </c>
      <c r="GK26" s="257">
        <f t="shared" si="86"/>
        <v>0</v>
      </c>
      <c r="GL26" s="257">
        <f t="shared" si="87"/>
        <v>0</v>
      </c>
      <c r="GM26" s="575">
        <f t="shared" si="88"/>
        <v>3</v>
      </c>
      <c r="GN26" s="506">
        <f t="shared" si="89"/>
        <v>0</v>
      </c>
      <c r="GO26" s="39" t="str">
        <f t="shared" si="90"/>
        <v/>
      </c>
      <c r="GP26" s="257">
        <f t="shared" si="91"/>
        <v>0</v>
      </c>
      <c r="GQ26" s="257">
        <f t="shared" si="92"/>
        <v>0</v>
      </c>
      <c r="GR26" s="257">
        <f t="shared" si="93"/>
        <v>0</v>
      </c>
      <c r="GS26" s="575">
        <f t="shared" si="94"/>
        <v>3</v>
      </c>
      <c r="GT26" s="506">
        <f t="shared" si="95"/>
        <v>0</v>
      </c>
      <c r="GU26" s="39" t="str">
        <f t="shared" si="96"/>
        <v/>
      </c>
      <c r="GV26" s="257">
        <f t="shared" si="97"/>
        <v>0</v>
      </c>
      <c r="GW26" s="257">
        <f t="shared" si="98"/>
        <v>0</v>
      </c>
      <c r="GX26" s="257">
        <f t="shared" si="99"/>
        <v>0</v>
      </c>
      <c r="GY26" s="575">
        <f t="shared" si="100"/>
        <v>3</v>
      </c>
      <c r="GZ26" s="506">
        <f t="shared" si="101"/>
        <v>0</v>
      </c>
      <c r="HA26" s="39" t="str">
        <f t="shared" si="102"/>
        <v/>
      </c>
      <c r="HB26" s="257">
        <f t="shared" si="103"/>
        <v>0</v>
      </c>
      <c r="HC26" s="257">
        <f t="shared" si="104"/>
        <v>0</v>
      </c>
      <c r="HD26" s="257">
        <f t="shared" si="105"/>
        <v>0</v>
      </c>
      <c r="HE26" s="575">
        <f t="shared" si="106"/>
        <v>3</v>
      </c>
      <c r="HF26" s="506">
        <f t="shared" si="107"/>
        <v>0</v>
      </c>
      <c r="HG26" s="39" t="str">
        <f t="shared" si="108"/>
        <v/>
      </c>
      <c r="HH26" s="257">
        <f t="shared" si="109"/>
        <v>0</v>
      </c>
      <c r="HI26" s="257">
        <f t="shared" si="110"/>
        <v>0</v>
      </c>
      <c r="HJ26" s="257">
        <f t="shared" si="111"/>
        <v>0</v>
      </c>
      <c r="HK26" s="575">
        <f t="shared" si="112"/>
        <v>3</v>
      </c>
      <c r="HL26" s="506">
        <f t="shared" si="113"/>
        <v>0</v>
      </c>
      <c r="HM26" s="39" t="str">
        <f t="shared" si="114"/>
        <v/>
      </c>
      <c r="HN26" s="39"/>
      <c r="HO26" s="39" t="str">
        <f t="shared" si="115"/>
        <v/>
      </c>
      <c r="HP26" s="39" t="str">
        <f t="shared" si="116"/>
        <v/>
      </c>
      <c r="HQ26" s="39" t="str">
        <f t="shared" si="117"/>
        <v/>
      </c>
      <c r="HR26" s="39" t="str">
        <f t="shared" si="118"/>
        <v/>
      </c>
      <c r="HS26" s="39" t="str">
        <f t="shared" si="119"/>
        <v/>
      </c>
      <c r="HT26" s="39" t="str">
        <f t="shared" si="120"/>
        <v/>
      </c>
      <c r="HU26" s="39" t="str">
        <f t="shared" si="121"/>
        <v/>
      </c>
      <c r="HV26" s="39"/>
      <c r="HW26" s="39"/>
      <c r="HX26" s="39"/>
      <c r="HY26" s="39"/>
      <c r="HZ26" s="39" t="str">
        <f t="shared" si="122"/>
        <v/>
      </c>
      <c r="IA26" s="68">
        <f t="shared" si="123"/>
        <v>0</v>
      </c>
      <c r="IB26" s="68">
        <f t="shared" si="124"/>
        <v>0</v>
      </c>
      <c r="IC26" s="39">
        <f>SISWA!E24</f>
        <v>0</v>
      </c>
      <c r="ID26" s="39" t="str">
        <f t="shared" si="125"/>
        <v/>
      </c>
      <c r="IE26" s="207" t="str">
        <f t="shared" si="126"/>
        <v/>
      </c>
      <c r="IF26" s="207" t="str">
        <f t="shared" si="127"/>
        <v/>
      </c>
      <c r="IG26" s="207" t="str">
        <f t="shared" si="128"/>
        <v/>
      </c>
      <c r="IH26" s="207" t="str">
        <f t="shared" si="129"/>
        <v/>
      </c>
      <c r="II26" s="207" t="str">
        <f t="shared" si="130"/>
        <v/>
      </c>
      <c r="IJ26" s="207" t="str">
        <f t="shared" si="131"/>
        <v/>
      </c>
      <c r="IK26" s="207" t="str">
        <f t="shared" si="132"/>
        <v/>
      </c>
      <c r="IL26" s="207"/>
      <c r="IM26" s="207"/>
      <c r="IN26" s="207"/>
      <c r="IO26" s="207"/>
      <c r="IP26" s="39">
        <f t="shared" si="133"/>
        <v>0</v>
      </c>
      <c r="IQ26" s="68" t="e">
        <f t="shared" si="134"/>
        <v>#N/A</v>
      </c>
      <c r="IR26" s="576" t="e">
        <f>IF(IA26&gt;100,"",IF(IA26&gt;DQ$1,"sangat baik dalam "&amp;IQ26,IF(IA26&gt;=DQ$2,"baik dalam "&amp;IQ26,IF(IA26&gt;=DQ$3,"cukup dalam "&amp;IQ26,IF(IA26&lt;DQ$3,"dengan bimbingan dapat meningkatkan dalam "&amp;IQ26,IF(IA26&lt;1," ",””))))))</f>
        <v>#N/A</v>
      </c>
      <c r="IS26" s="223"/>
      <c r="IT26" s="223" t="str">
        <f t="shared" si="135"/>
        <v/>
      </c>
      <c r="IU26" s="223" t="str">
        <f t="shared" si="136"/>
        <v/>
      </c>
      <c r="IV26" s="223" t="str">
        <f t="shared" si="137"/>
        <v/>
      </c>
      <c r="IW26" s="223" t="str">
        <f t="shared" si="138"/>
        <v/>
      </c>
      <c r="IX26" s="223" t="str">
        <f t="shared" si="139"/>
        <v/>
      </c>
      <c r="IY26" s="223" t="str">
        <f t="shared" si="140"/>
        <v/>
      </c>
      <c r="IZ26" s="223" t="str">
        <f t="shared" si="141"/>
        <v/>
      </c>
      <c r="JA26" s="223"/>
      <c r="JB26" s="223"/>
      <c r="JC26" s="223"/>
      <c r="JD26" s="223"/>
      <c r="JE26" s="223" t="e">
        <f t="shared" si="142"/>
        <v>#N/A</v>
      </c>
      <c r="JF26" s="577" t="e">
        <f>IF(IB26&gt;100,"",IF(IB26&gt;=DQ$1,"sangat baik dalam "&amp;JE26,IF(IB26&gt;=DQ$2,"baik dalam "&amp;JE26,IF(IB26&gt;=DQ$3,"cukup dalam "&amp;JE26,IF(IB26&lt;DQ$3,"dengan bimbingan dapat meningkatkan dalam "&amp;JE26,IF(IB26&lt;1," ",””))))))</f>
        <v>#N/A</v>
      </c>
      <c r="JG26" s="223" t="e">
        <f t="shared" si="143"/>
        <v>#N/A</v>
      </c>
    </row>
    <row r="27" spans="1:267" ht="30" customHeight="1">
      <c r="A27" s="39">
        <v>20</v>
      </c>
      <c r="B27" s="223">
        <f>SISWA!B25</f>
        <v>0</v>
      </c>
      <c r="C27" s="123"/>
      <c r="D27" s="123"/>
      <c r="E27" s="123"/>
      <c r="F27" s="123"/>
      <c r="G27" s="123"/>
      <c r="H27" s="123"/>
      <c r="I27" s="123"/>
      <c r="J27" s="255"/>
      <c r="K27" s="255"/>
      <c r="L27" s="255"/>
      <c r="M27" s="255"/>
      <c r="N27" s="255"/>
      <c r="O27" s="255"/>
      <c r="P27" s="255"/>
      <c r="Q27" s="256"/>
      <c r="R27" s="256"/>
      <c r="S27" s="256"/>
      <c r="T27" s="256"/>
      <c r="U27" s="256"/>
      <c r="V27" s="256"/>
      <c r="W27" s="256"/>
      <c r="X27" s="123"/>
      <c r="Y27" s="123"/>
      <c r="Z27" s="123"/>
      <c r="AA27" s="123"/>
      <c r="AB27" s="123"/>
      <c r="AC27" s="123"/>
      <c r="AD27" s="123"/>
      <c r="AE27" s="255"/>
      <c r="AF27" s="255"/>
      <c r="AG27" s="255"/>
      <c r="AH27" s="255"/>
      <c r="AI27" s="255"/>
      <c r="AJ27" s="255"/>
      <c r="AK27" s="255"/>
      <c r="AL27" s="256"/>
      <c r="AM27" s="256"/>
      <c r="AN27" s="256"/>
      <c r="AO27" s="256"/>
      <c r="AP27" s="256"/>
      <c r="AQ27" s="256"/>
      <c r="AR27" s="256"/>
      <c r="AS27" s="123"/>
      <c r="AT27" s="123"/>
      <c r="AU27" s="123"/>
      <c r="AV27" s="123"/>
      <c r="AW27" s="123"/>
      <c r="AX27" s="123"/>
      <c r="AY27" s="123"/>
      <c r="AZ27" s="255"/>
      <c r="BA27" s="255"/>
      <c r="BB27" s="255"/>
      <c r="BC27" s="255"/>
      <c r="BD27" s="255"/>
      <c r="BE27" s="255"/>
      <c r="BF27" s="255"/>
      <c r="BG27" s="256"/>
      <c r="BH27" s="256"/>
      <c r="BI27" s="256"/>
      <c r="BJ27" s="256"/>
      <c r="BK27" s="256"/>
      <c r="BL27" s="256"/>
      <c r="BM27" s="256"/>
      <c r="BN27" s="123"/>
      <c r="BO27" s="123"/>
      <c r="BP27" s="123"/>
      <c r="BQ27" s="123"/>
      <c r="BR27" s="123"/>
      <c r="BS27" s="123"/>
      <c r="BT27" s="123"/>
      <c r="BU27" s="255"/>
      <c r="BV27" s="255"/>
      <c r="BW27" s="255"/>
      <c r="BX27" s="255"/>
      <c r="BY27" s="255"/>
      <c r="BZ27" s="255"/>
      <c r="CA27" s="255"/>
      <c r="CB27" s="256"/>
      <c r="CC27" s="256"/>
      <c r="CD27" s="256"/>
      <c r="CE27" s="256"/>
      <c r="CF27" s="256"/>
      <c r="CG27" s="256"/>
      <c r="CH27" s="256"/>
      <c r="CI27" s="458"/>
      <c r="CJ27" s="458"/>
      <c r="CK27" s="458"/>
      <c r="CL27" s="458"/>
      <c r="CM27" s="458"/>
      <c r="CN27" s="458"/>
      <c r="CO27" s="458"/>
      <c r="CP27" s="459"/>
      <c r="CQ27" s="459"/>
      <c r="CR27" s="459"/>
      <c r="CS27" s="459"/>
      <c r="CT27" s="459"/>
      <c r="CU27" s="459"/>
      <c r="CV27" s="459"/>
      <c r="CW27" s="256"/>
      <c r="CX27" s="256"/>
      <c r="CY27" s="256"/>
      <c r="CZ27" s="256"/>
      <c r="DA27" s="256"/>
      <c r="DB27" s="256"/>
      <c r="DC27" s="256"/>
      <c r="DD27" s="257" t="str">
        <f t="shared" si="15"/>
        <v/>
      </c>
      <c r="DE27" s="257" t="str">
        <f t="shared" si="16"/>
        <v/>
      </c>
      <c r="DF27" s="257" t="str">
        <f t="shared" si="17"/>
        <v/>
      </c>
      <c r="DG27" s="257" t="str">
        <f t="shared" si="18"/>
        <v/>
      </c>
      <c r="DH27" s="257" t="str">
        <f t="shared" si="19"/>
        <v/>
      </c>
      <c r="DI27" s="257" t="str">
        <f t="shared" si="20"/>
        <v/>
      </c>
      <c r="DJ27" s="257" t="str">
        <f t="shared" si="21"/>
        <v/>
      </c>
      <c r="DK27" s="756" t="str">
        <f t="shared" si="22"/>
        <v/>
      </c>
      <c r="DL27" s="291" t="str">
        <f t="shared" si="23"/>
        <v xml:space="preserve">  </v>
      </c>
      <c r="DM27" s="243" t="str">
        <f t="shared" si="24"/>
        <v xml:space="preserve"> </v>
      </c>
      <c r="DN27" s="39"/>
      <c r="DO27" s="39"/>
      <c r="DP27" s="257">
        <f t="shared" si="25"/>
        <v>0</v>
      </c>
      <c r="DQ27" s="257">
        <f t="shared" si="26"/>
        <v>0</v>
      </c>
      <c r="DR27" s="257">
        <f t="shared" si="27"/>
        <v>0</v>
      </c>
      <c r="DS27" s="257">
        <f t="shared" si="28"/>
        <v>0</v>
      </c>
      <c r="DT27" s="257">
        <f t="shared" si="29"/>
        <v>0</v>
      </c>
      <c r="DU27" s="257">
        <f t="shared" si="30"/>
        <v>0</v>
      </c>
      <c r="DV27" s="257">
        <f t="shared" si="31"/>
        <v>0</v>
      </c>
      <c r="DW27" s="257"/>
      <c r="DX27" s="257"/>
      <c r="DY27" s="257"/>
      <c r="DZ27" s="257"/>
      <c r="EA27" s="232">
        <f t="shared" si="32"/>
        <v>0</v>
      </c>
      <c r="EB27" s="257">
        <f t="shared" si="33"/>
        <v>0</v>
      </c>
      <c r="EC27" s="257">
        <f t="shared" si="34"/>
        <v>0</v>
      </c>
      <c r="ED27" s="257">
        <f t="shared" si="35"/>
        <v>0</v>
      </c>
      <c r="EE27" s="257">
        <f t="shared" si="36"/>
        <v>0</v>
      </c>
      <c r="EF27" s="257">
        <f t="shared" si="37"/>
        <v>0</v>
      </c>
      <c r="EG27" s="257">
        <f t="shared" si="38"/>
        <v>0</v>
      </c>
      <c r="EH27" s="257">
        <f t="shared" si="39"/>
        <v>0</v>
      </c>
      <c r="EI27" s="257"/>
      <c r="EJ27" s="257"/>
      <c r="EK27" s="257"/>
      <c r="EL27" s="257"/>
      <c r="EM27" s="232">
        <f t="shared" si="40"/>
        <v>0</v>
      </c>
      <c r="EN27" s="257">
        <f t="shared" si="41"/>
        <v>0</v>
      </c>
      <c r="EO27" s="257">
        <f t="shared" si="42"/>
        <v>0</v>
      </c>
      <c r="EP27" s="257">
        <f t="shared" si="43"/>
        <v>0</v>
      </c>
      <c r="EQ27" s="257">
        <f t="shared" si="44"/>
        <v>0</v>
      </c>
      <c r="ER27" s="257">
        <f t="shared" si="45"/>
        <v>0</v>
      </c>
      <c r="ES27" s="257">
        <f t="shared" si="46"/>
        <v>0</v>
      </c>
      <c r="ET27" s="257">
        <f t="shared" si="47"/>
        <v>0</v>
      </c>
      <c r="EU27" s="257"/>
      <c r="EV27" s="257"/>
      <c r="EW27" s="257"/>
      <c r="EX27" s="257"/>
      <c r="EY27" s="232">
        <f t="shared" si="48"/>
        <v>0</v>
      </c>
      <c r="EZ27" s="257">
        <f t="shared" si="49"/>
        <v>0</v>
      </c>
      <c r="FA27" s="257">
        <f t="shared" si="50"/>
        <v>0</v>
      </c>
      <c r="FB27" s="257">
        <f t="shared" si="51"/>
        <v>0</v>
      </c>
      <c r="FC27" s="575">
        <f t="shared" si="52"/>
        <v>3</v>
      </c>
      <c r="FD27" s="506">
        <f t="shared" si="53"/>
        <v>0</v>
      </c>
      <c r="FE27" s="39" t="str">
        <f t="shared" si="54"/>
        <v/>
      </c>
      <c r="FF27" s="257">
        <f t="shared" si="55"/>
        <v>0</v>
      </c>
      <c r="FG27" s="257">
        <f t="shared" si="56"/>
        <v>0</v>
      </c>
      <c r="FH27" s="257">
        <f t="shared" si="57"/>
        <v>0</v>
      </c>
      <c r="FI27" s="575">
        <f t="shared" si="58"/>
        <v>3</v>
      </c>
      <c r="FJ27" s="506">
        <f t="shared" si="59"/>
        <v>0</v>
      </c>
      <c r="FK27" s="39" t="str">
        <f t="shared" si="60"/>
        <v/>
      </c>
      <c r="FL27" s="257">
        <f t="shared" si="61"/>
        <v>0</v>
      </c>
      <c r="FM27" s="257">
        <f t="shared" si="62"/>
        <v>0</v>
      </c>
      <c r="FN27" s="257">
        <f t="shared" si="63"/>
        <v>0</v>
      </c>
      <c r="FO27" s="575">
        <f t="shared" si="64"/>
        <v>3</v>
      </c>
      <c r="FP27" s="506">
        <f t="shared" si="65"/>
        <v>0</v>
      </c>
      <c r="FQ27" s="39" t="str">
        <f t="shared" si="66"/>
        <v/>
      </c>
      <c r="FR27" s="257">
        <f t="shared" si="67"/>
        <v>0</v>
      </c>
      <c r="FS27" s="257">
        <f t="shared" si="68"/>
        <v>0</v>
      </c>
      <c r="FT27" s="257">
        <f t="shared" si="69"/>
        <v>0</v>
      </c>
      <c r="FU27" s="575">
        <f t="shared" si="70"/>
        <v>3</v>
      </c>
      <c r="FV27" s="506">
        <f t="shared" si="71"/>
        <v>0</v>
      </c>
      <c r="FW27" s="39" t="str">
        <f t="shared" si="72"/>
        <v/>
      </c>
      <c r="FX27" s="257">
        <f t="shared" si="73"/>
        <v>0</v>
      </c>
      <c r="FY27" s="257">
        <f t="shared" si="74"/>
        <v>0</v>
      </c>
      <c r="FZ27" s="257">
        <f t="shared" si="75"/>
        <v>0</v>
      </c>
      <c r="GA27" s="575">
        <f t="shared" si="76"/>
        <v>3</v>
      </c>
      <c r="GB27" s="506">
        <f t="shared" si="77"/>
        <v>0</v>
      </c>
      <c r="GC27" s="39" t="str">
        <f t="shared" si="78"/>
        <v/>
      </c>
      <c r="GD27" s="257">
        <f t="shared" si="79"/>
        <v>0</v>
      </c>
      <c r="GE27" s="257">
        <f t="shared" si="80"/>
        <v>0</v>
      </c>
      <c r="GF27" s="257">
        <f t="shared" si="81"/>
        <v>0</v>
      </c>
      <c r="GG27" s="575">
        <f t="shared" si="82"/>
        <v>3</v>
      </c>
      <c r="GH27" s="506">
        <f t="shared" si="83"/>
        <v>0</v>
      </c>
      <c r="GI27" s="39" t="str">
        <f t="shared" si="84"/>
        <v/>
      </c>
      <c r="GJ27" s="257">
        <f t="shared" si="85"/>
        <v>0</v>
      </c>
      <c r="GK27" s="257">
        <f t="shared" si="86"/>
        <v>0</v>
      </c>
      <c r="GL27" s="257">
        <f t="shared" si="87"/>
        <v>0</v>
      </c>
      <c r="GM27" s="575">
        <f t="shared" si="88"/>
        <v>3</v>
      </c>
      <c r="GN27" s="506">
        <f t="shared" si="89"/>
        <v>0</v>
      </c>
      <c r="GO27" s="39" t="str">
        <f t="shared" si="90"/>
        <v/>
      </c>
      <c r="GP27" s="257">
        <f t="shared" si="91"/>
        <v>0</v>
      </c>
      <c r="GQ27" s="257">
        <f t="shared" si="92"/>
        <v>0</v>
      </c>
      <c r="GR27" s="257">
        <f t="shared" si="93"/>
        <v>0</v>
      </c>
      <c r="GS27" s="575">
        <f t="shared" si="94"/>
        <v>3</v>
      </c>
      <c r="GT27" s="506">
        <f t="shared" si="95"/>
        <v>0</v>
      </c>
      <c r="GU27" s="39" t="str">
        <f t="shared" si="96"/>
        <v/>
      </c>
      <c r="GV27" s="257">
        <f t="shared" si="97"/>
        <v>0</v>
      </c>
      <c r="GW27" s="257">
        <f t="shared" si="98"/>
        <v>0</v>
      </c>
      <c r="GX27" s="257">
        <f t="shared" si="99"/>
        <v>0</v>
      </c>
      <c r="GY27" s="575">
        <f t="shared" si="100"/>
        <v>3</v>
      </c>
      <c r="GZ27" s="506">
        <f t="shared" si="101"/>
        <v>0</v>
      </c>
      <c r="HA27" s="39" t="str">
        <f t="shared" si="102"/>
        <v/>
      </c>
      <c r="HB27" s="257">
        <f t="shared" si="103"/>
        <v>0</v>
      </c>
      <c r="HC27" s="257">
        <f t="shared" si="104"/>
        <v>0</v>
      </c>
      <c r="HD27" s="257">
        <f t="shared" si="105"/>
        <v>0</v>
      </c>
      <c r="HE27" s="575">
        <f t="shared" si="106"/>
        <v>3</v>
      </c>
      <c r="HF27" s="506">
        <f t="shared" si="107"/>
        <v>0</v>
      </c>
      <c r="HG27" s="39" t="str">
        <f t="shared" si="108"/>
        <v/>
      </c>
      <c r="HH27" s="257">
        <f t="shared" si="109"/>
        <v>0</v>
      </c>
      <c r="HI27" s="257">
        <f t="shared" si="110"/>
        <v>0</v>
      </c>
      <c r="HJ27" s="257">
        <f t="shared" si="111"/>
        <v>0</v>
      </c>
      <c r="HK27" s="575">
        <f t="shared" si="112"/>
        <v>3</v>
      </c>
      <c r="HL27" s="506">
        <f t="shared" si="113"/>
        <v>0</v>
      </c>
      <c r="HM27" s="39" t="str">
        <f t="shared" si="114"/>
        <v/>
      </c>
      <c r="HN27" s="39"/>
      <c r="HO27" s="39" t="str">
        <f t="shared" si="115"/>
        <v/>
      </c>
      <c r="HP27" s="39" t="str">
        <f t="shared" si="116"/>
        <v/>
      </c>
      <c r="HQ27" s="39" t="str">
        <f t="shared" si="117"/>
        <v/>
      </c>
      <c r="HR27" s="39" t="str">
        <f t="shared" si="118"/>
        <v/>
      </c>
      <c r="HS27" s="39" t="str">
        <f t="shared" si="119"/>
        <v/>
      </c>
      <c r="HT27" s="39" t="str">
        <f t="shared" si="120"/>
        <v/>
      </c>
      <c r="HU27" s="39" t="str">
        <f t="shared" si="121"/>
        <v/>
      </c>
      <c r="HV27" s="39"/>
      <c r="HW27" s="39"/>
      <c r="HX27" s="39"/>
      <c r="HY27" s="39"/>
      <c r="HZ27" s="39" t="str">
        <f t="shared" si="122"/>
        <v/>
      </c>
      <c r="IA27" s="68">
        <f t="shared" si="123"/>
        <v>0</v>
      </c>
      <c r="IB27" s="68">
        <f t="shared" si="124"/>
        <v>0</v>
      </c>
      <c r="IC27" s="39">
        <f>SISWA!E25</f>
        <v>0</v>
      </c>
      <c r="ID27" s="39" t="str">
        <f t="shared" si="125"/>
        <v/>
      </c>
      <c r="IE27" s="207" t="str">
        <f t="shared" si="126"/>
        <v/>
      </c>
      <c r="IF27" s="207" t="str">
        <f t="shared" si="127"/>
        <v/>
      </c>
      <c r="IG27" s="207" t="str">
        <f t="shared" si="128"/>
        <v/>
      </c>
      <c r="IH27" s="207" t="str">
        <f t="shared" si="129"/>
        <v/>
      </c>
      <c r="II27" s="207" t="str">
        <f t="shared" si="130"/>
        <v/>
      </c>
      <c r="IJ27" s="207" t="str">
        <f t="shared" si="131"/>
        <v/>
      </c>
      <c r="IK27" s="207" t="str">
        <f t="shared" si="132"/>
        <v/>
      </c>
      <c r="IL27" s="207"/>
      <c r="IM27" s="207"/>
      <c r="IN27" s="207"/>
      <c r="IO27" s="207"/>
      <c r="IP27" s="39">
        <f t="shared" si="133"/>
        <v>0</v>
      </c>
      <c r="IQ27" s="68" t="e">
        <f t="shared" si="134"/>
        <v>#N/A</v>
      </c>
      <c r="IR27" s="576" t="e">
        <f>IF(IA27&gt;100,"",IF(IA27&gt;DQ$1,"sangat baik dalam "&amp;IQ27,IF(IA27&gt;=DQ$2,"baik dalam "&amp;IQ27,IF(IA27&gt;=DQ$3,"cukup dalam "&amp;IQ27,IF(IA27&lt;DQ$3,"dengan bimbingan dapat meningkatkan dalam "&amp;IQ27,IF(IA27&lt;1," ",””))))))</f>
        <v>#N/A</v>
      </c>
      <c r="IS27" s="223"/>
      <c r="IT27" s="223" t="str">
        <f t="shared" si="135"/>
        <v/>
      </c>
      <c r="IU27" s="223" t="str">
        <f t="shared" si="136"/>
        <v/>
      </c>
      <c r="IV27" s="223" t="str">
        <f t="shared" si="137"/>
        <v/>
      </c>
      <c r="IW27" s="223" t="str">
        <f t="shared" si="138"/>
        <v/>
      </c>
      <c r="IX27" s="223" t="str">
        <f t="shared" si="139"/>
        <v/>
      </c>
      <c r="IY27" s="223" t="str">
        <f t="shared" si="140"/>
        <v/>
      </c>
      <c r="IZ27" s="223" t="str">
        <f t="shared" si="141"/>
        <v/>
      </c>
      <c r="JA27" s="223"/>
      <c r="JB27" s="223"/>
      <c r="JC27" s="223"/>
      <c r="JD27" s="223"/>
      <c r="JE27" s="223" t="e">
        <f t="shared" si="142"/>
        <v>#N/A</v>
      </c>
      <c r="JF27" s="577" t="e">
        <f>IF(IB27&gt;100,"",IF(IB27&gt;=DQ$1,"sangat baik dalam "&amp;JE27,IF(IB27&gt;=DQ$2,"baik dalam "&amp;JE27,IF(IB27&gt;=DQ$3,"cukup dalam "&amp;JE27,IF(IB27&lt;DQ$3,"dengan bimbingan dapat meningkatkan dalam "&amp;JE27,IF(IB27&lt;1," ",””))))))</f>
        <v>#N/A</v>
      </c>
      <c r="JG27" s="223" t="e">
        <f t="shared" si="143"/>
        <v>#N/A</v>
      </c>
    </row>
    <row r="28" spans="1:267" ht="30" customHeight="1">
      <c r="A28" s="39">
        <v>21</v>
      </c>
      <c r="B28" s="223">
        <f>SISWA!B26</f>
        <v>0</v>
      </c>
      <c r="C28" s="123"/>
      <c r="D28" s="123"/>
      <c r="E28" s="123"/>
      <c r="F28" s="123"/>
      <c r="G28" s="123"/>
      <c r="H28" s="123"/>
      <c r="I28" s="123"/>
      <c r="J28" s="255"/>
      <c r="K28" s="255"/>
      <c r="L28" s="255"/>
      <c r="M28" s="255"/>
      <c r="N28" s="255"/>
      <c r="O28" s="255"/>
      <c r="P28" s="255"/>
      <c r="Q28" s="256"/>
      <c r="R28" s="256"/>
      <c r="S28" s="256"/>
      <c r="T28" s="256"/>
      <c r="U28" s="256"/>
      <c r="V28" s="256"/>
      <c r="W28" s="256"/>
      <c r="X28" s="123"/>
      <c r="Y28" s="123"/>
      <c r="Z28" s="123"/>
      <c r="AA28" s="123"/>
      <c r="AB28" s="123"/>
      <c r="AC28" s="123"/>
      <c r="AD28" s="123"/>
      <c r="AE28" s="255"/>
      <c r="AF28" s="255"/>
      <c r="AG28" s="255"/>
      <c r="AH28" s="255"/>
      <c r="AI28" s="255"/>
      <c r="AJ28" s="255"/>
      <c r="AK28" s="255"/>
      <c r="AL28" s="256"/>
      <c r="AM28" s="256"/>
      <c r="AN28" s="256"/>
      <c r="AO28" s="256"/>
      <c r="AP28" s="256"/>
      <c r="AQ28" s="256"/>
      <c r="AR28" s="256"/>
      <c r="AS28" s="123"/>
      <c r="AT28" s="123"/>
      <c r="AU28" s="123"/>
      <c r="AV28" s="123"/>
      <c r="AW28" s="123"/>
      <c r="AX28" s="123"/>
      <c r="AY28" s="123"/>
      <c r="AZ28" s="255"/>
      <c r="BA28" s="255"/>
      <c r="BB28" s="255"/>
      <c r="BC28" s="255"/>
      <c r="BD28" s="255"/>
      <c r="BE28" s="255"/>
      <c r="BF28" s="255"/>
      <c r="BG28" s="256"/>
      <c r="BH28" s="256"/>
      <c r="BI28" s="256"/>
      <c r="BJ28" s="256"/>
      <c r="BK28" s="256"/>
      <c r="BL28" s="256"/>
      <c r="BM28" s="256"/>
      <c r="BN28" s="123"/>
      <c r="BO28" s="123"/>
      <c r="BP28" s="123"/>
      <c r="BQ28" s="123"/>
      <c r="BR28" s="123"/>
      <c r="BS28" s="123"/>
      <c r="BT28" s="123"/>
      <c r="BU28" s="255"/>
      <c r="BV28" s="255"/>
      <c r="BW28" s="255"/>
      <c r="BX28" s="255"/>
      <c r="BY28" s="255"/>
      <c r="BZ28" s="255"/>
      <c r="CA28" s="255"/>
      <c r="CB28" s="256"/>
      <c r="CC28" s="256"/>
      <c r="CD28" s="256"/>
      <c r="CE28" s="256"/>
      <c r="CF28" s="256"/>
      <c r="CG28" s="256"/>
      <c r="CH28" s="256"/>
      <c r="CI28" s="458"/>
      <c r="CJ28" s="458"/>
      <c r="CK28" s="458"/>
      <c r="CL28" s="458"/>
      <c r="CM28" s="458"/>
      <c r="CN28" s="458"/>
      <c r="CO28" s="458"/>
      <c r="CP28" s="459"/>
      <c r="CQ28" s="459"/>
      <c r="CR28" s="459"/>
      <c r="CS28" s="459"/>
      <c r="CT28" s="459"/>
      <c r="CU28" s="459"/>
      <c r="CV28" s="459"/>
      <c r="CW28" s="256"/>
      <c r="CX28" s="256"/>
      <c r="CY28" s="256"/>
      <c r="CZ28" s="256"/>
      <c r="DA28" s="256"/>
      <c r="DB28" s="256"/>
      <c r="DC28" s="256"/>
      <c r="DD28" s="257" t="str">
        <f t="shared" si="15"/>
        <v/>
      </c>
      <c r="DE28" s="257" t="str">
        <f t="shared" si="16"/>
        <v/>
      </c>
      <c r="DF28" s="257" t="str">
        <f t="shared" si="17"/>
        <v/>
      </c>
      <c r="DG28" s="257" t="str">
        <f t="shared" si="18"/>
        <v/>
      </c>
      <c r="DH28" s="257" t="str">
        <f t="shared" si="19"/>
        <v/>
      </c>
      <c r="DI28" s="257" t="str">
        <f t="shared" si="20"/>
        <v/>
      </c>
      <c r="DJ28" s="257" t="str">
        <f t="shared" si="21"/>
        <v/>
      </c>
      <c r="DK28" s="756" t="str">
        <f t="shared" si="22"/>
        <v/>
      </c>
      <c r="DL28" s="291" t="str">
        <f t="shared" si="23"/>
        <v xml:space="preserve">  </v>
      </c>
      <c r="DM28" s="243" t="str">
        <f t="shared" si="24"/>
        <v xml:space="preserve"> </v>
      </c>
      <c r="DN28" s="39"/>
      <c r="DO28" s="39"/>
      <c r="DP28" s="257">
        <f t="shared" si="25"/>
        <v>0</v>
      </c>
      <c r="DQ28" s="257">
        <f t="shared" si="26"/>
        <v>0</v>
      </c>
      <c r="DR28" s="257">
        <f t="shared" si="27"/>
        <v>0</v>
      </c>
      <c r="DS28" s="257">
        <f t="shared" si="28"/>
        <v>0</v>
      </c>
      <c r="DT28" s="257">
        <f t="shared" si="29"/>
        <v>0</v>
      </c>
      <c r="DU28" s="257">
        <f t="shared" si="30"/>
        <v>0</v>
      </c>
      <c r="DV28" s="257">
        <f t="shared" si="31"/>
        <v>0</v>
      </c>
      <c r="DW28" s="257"/>
      <c r="DX28" s="257"/>
      <c r="DY28" s="257"/>
      <c r="DZ28" s="257"/>
      <c r="EA28" s="232">
        <f t="shared" si="32"/>
        <v>0</v>
      </c>
      <c r="EB28" s="257">
        <f t="shared" si="33"/>
        <v>0</v>
      </c>
      <c r="EC28" s="257">
        <f t="shared" si="34"/>
        <v>0</v>
      </c>
      <c r="ED28" s="257">
        <f t="shared" si="35"/>
        <v>0</v>
      </c>
      <c r="EE28" s="257">
        <f t="shared" si="36"/>
        <v>0</v>
      </c>
      <c r="EF28" s="257">
        <f t="shared" si="37"/>
        <v>0</v>
      </c>
      <c r="EG28" s="257">
        <f t="shared" si="38"/>
        <v>0</v>
      </c>
      <c r="EH28" s="257">
        <f t="shared" si="39"/>
        <v>0</v>
      </c>
      <c r="EI28" s="257"/>
      <c r="EJ28" s="257"/>
      <c r="EK28" s="257"/>
      <c r="EL28" s="257"/>
      <c r="EM28" s="232">
        <f t="shared" si="40"/>
        <v>0</v>
      </c>
      <c r="EN28" s="257">
        <f t="shared" si="41"/>
        <v>0</v>
      </c>
      <c r="EO28" s="257">
        <f t="shared" si="42"/>
        <v>0</v>
      </c>
      <c r="EP28" s="257">
        <f t="shared" si="43"/>
        <v>0</v>
      </c>
      <c r="EQ28" s="257">
        <f t="shared" si="44"/>
        <v>0</v>
      </c>
      <c r="ER28" s="257">
        <f t="shared" si="45"/>
        <v>0</v>
      </c>
      <c r="ES28" s="257">
        <f t="shared" si="46"/>
        <v>0</v>
      </c>
      <c r="ET28" s="257">
        <f t="shared" si="47"/>
        <v>0</v>
      </c>
      <c r="EU28" s="257"/>
      <c r="EV28" s="257"/>
      <c r="EW28" s="257"/>
      <c r="EX28" s="257"/>
      <c r="EY28" s="232">
        <f t="shared" si="48"/>
        <v>0</v>
      </c>
      <c r="EZ28" s="257">
        <f t="shared" si="49"/>
        <v>0</v>
      </c>
      <c r="FA28" s="257">
        <f t="shared" si="50"/>
        <v>0</v>
      </c>
      <c r="FB28" s="257">
        <f t="shared" si="51"/>
        <v>0</v>
      </c>
      <c r="FC28" s="575">
        <f t="shared" si="52"/>
        <v>3</v>
      </c>
      <c r="FD28" s="506">
        <f t="shared" si="53"/>
        <v>0</v>
      </c>
      <c r="FE28" s="39" t="str">
        <f t="shared" si="54"/>
        <v/>
      </c>
      <c r="FF28" s="257">
        <f t="shared" si="55"/>
        <v>0</v>
      </c>
      <c r="FG28" s="257">
        <f t="shared" si="56"/>
        <v>0</v>
      </c>
      <c r="FH28" s="257">
        <f t="shared" si="57"/>
        <v>0</v>
      </c>
      <c r="FI28" s="575">
        <f t="shared" si="58"/>
        <v>3</v>
      </c>
      <c r="FJ28" s="506">
        <f t="shared" si="59"/>
        <v>0</v>
      </c>
      <c r="FK28" s="39" t="str">
        <f t="shared" si="60"/>
        <v/>
      </c>
      <c r="FL28" s="257">
        <f t="shared" si="61"/>
        <v>0</v>
      </c>
      <c r="FM28" s="257">
        <f t="shared" si="62"/>
        <v>0</v>
      </c>
      <c r="FN28" s="257">
        <f t="shared" si="63"/>
        <v>0</v>
      </c>
      <c r="FO28" s="575">
        <f t="shared" si="64"/>
        <v>3</v>
      </c>
      <c r="FP28" s="506">
        <f t="shared" si="65"/>
        <v>0</v>
      </c>
      <c r="FQ28" s="39" t="str">
        <f t="shared" si="66"/>
        <v/>
      </c>
      <c r="FR28" s="257">
        <f t="shared" si="67"/>
        <v>0</v>
      </c>
      <c r="FS28" s="257">
        <f t="shared" si="68"/>
        <v>0</v>
      </c>
      <c r="FT28" s="257">
        <f t="shared" si="69"/>
        <v>0</v>
      </c>
      <c r="FU28" s="575">
        <f t="shared" si="70"/>
        <v>3</v>
      </c>
      <c r="FV28" s="506">
        <f t="shared" si="71"/>
        <v>0</v>
      </c>
      <c r="FW28" s="39" t="str">
        <f t="shared" si="72"/>
        <v/>
      </c>
      <c r="FX28" s="257">
        <f t="shared" si="73"/>
        <v>0</v>
      </c>
      <c r="FY28" s="257">
        <f t="shared" si="74"/>
        <v>0</v>
      </c>
      <c r="FZ28" s="257">
        <f t="shared" si="75"/>
        <v>0</v>
      </c>
      <c r="GA28" s="575">
        <f t="shared" si="76"/>
        <v>3</v>
      </c>
      <c r="GB28" s="506">
        <f t="shared" si="77"/>
        <v>0</v>
      </c>
      <c r="GC28" s="39" t="str">
        <f t="shared" si="78"/>
        <v/>
      </c>
      <c r="GD28" s="257">
        <f t="shared" si="79"/>
        <v>0</v>
      </c>
      <c r="GE28" s="257">
        <f t="shared" si="80"/>
        <v>0</v>
      </c>
      <c r="GF28" s="257">
        <f t="shared" si="81"/>
        <v>0</v>
      </c>
      <c r="GG28" s="575">
        <f t="shared" si="82"/>
        <v>3</v>
      </c>
      <c r="GH28" s="506">
        <f t="shared" si="83"/>
        <v>0</v>
      </c>
      <c r="GI28" s="39" t="str">
        <f t="shared" si="84"/>
        <v/>
      </c>
      <c r="GJ28" s="257">
        <f t="shared" si="85"/>
        <v>0</v>
      </c>
      <c r="GK28" s="257">
        <f t="shared" si="86"/>
        <v>0</v>
      </c>
      <c r="GL28" s="257">
        <f t="shared" si="87"/>
        <v>0</v>
      </c>
      <c r="GM28" s="575">
        <f t="shared" si="88"/>
        <v>3</v>
      </c>
      <c r="GN28" s="506">
        <f t="shared" si="89"/>
        <v>0</v>
      </c>
      <c r="GO28" s="39" t="str">
        <f t="shared" si="90"/>
        <v/>
      </c>
      <c r="GP28" s="257">
        <f t="shared" si="91"/>
        <v>0</v>
      </c>
      <c r="GQ28" s="257">
        <f t="shared" si="92"/>
        <v>0</v>
      </c>
      <c r="GR28" s="257">
        <f t="shared" si="93"/>
        <v>0</v>
      </c>
      <c r="GS28" s="575">
        <f t="shared" si="94"/>
        <v>3</v>
      </c>
      <c r="GT28" s="506">
        <f t="shared" si="95"/>
        <v>0</v>
      </c>
      <c r="GU28" s="39" t="str">
        <f t="shared" si="96"/>
        <v/>
      </c>
      <c r="GV28" s="257">
        <f t="shared" si="97"/>
        <v>0</v>
      </c>
      <c r="GW28" s="257">
        <f t="shared" si="98"/>
        <v>0</v>
      </c>
      <c r="GX28" s="257">
        <f t="shared" si="99"/>
        <v>0</v>
      </c>
      <c r="GY28" s="575">
        <f t="shared" si="100"/>
        <v>3</v>
      </c>
      <c r="GZ28" s="506">
        <f t="shared" si="101"/>
        <v>0</v>
      </c>
      <c r="HA28" s="39" t="str">
        <f t="shared" si="102"/>
        <v/>
      </c>
      <c r="HB28" s="257">
        <f t="shared" si="103"/>
        <v>0</v>
      </c>
      <c r="HC28" s="257">
        <f t="shared" si="104"/>
        <v>0</v>
      </c>
      <c r="HD28" s="257">
        <f t="shared" si="105"/>
        <v>0</v>
      </c>
      <c r="HE28" s="575">
        <f t="shared" si="106"/>
        <v>3</v>
      </c>
      <c r="HF28" s="506">
        <f t="shared" si="107"/>
        <v>0</v>
      </c>
      <c r="HG28" s="39" t="str">
        <f t="shared" si="108"/>
        <v/>
      </c>
      <c r="HH28" s="257">
        <f t="shared" si="109"/>
        <v>0</v>
      </c>
      <c r="HI28" s="257">
        <f t="shared" si="110"/>
        <v>0</v>
      </c>
      <c r="HJ28" s="257">
        <f t="shared" si="111"/>
        <v>0</v>
      </c>
      <c r="HK28" s="575">
        <f t="shared" si="112"/>
        <v>3</v>
      </c>
      <c r="HL28" s="506">
        <f t="shared" si="113"/>
        <v>0</v>
      </c>
      <c r="HM28" s="39" t="str">
        <f t="shared" si="114"/>
        <v/>
      </c>
      <c r="HN28" s="39"/>
      <c r="HO28" s="39" t="str">
        <f t="shared" si="115"/>
        <v/>
      </c>
      <c r="HP28" s="39" t="str">
        <f t="shared" si="116"/>
        <v/>
      </c>
      <c r="HQ28" s="39" t="str">
        <f t="shared" si="117"/>
        <v/>
      </c>
      <c r="HR28" s="39" t="str">
        <f t="shared" si="118"/>
        <v/>
      </c>
      <c r="HS28" s="39" t="str">
        <f t="shared" si="119"/>
        <v/>
      </c>
      <c r="HT28" s="39" t="str">
        <f t="shared" si="120"/>
        <v/>
      </c>
      <c r="HU28" s="39" t="str">
        <f t="shared" si="121"/>
        <v/>
      </c>
      <c r="HV28" s="39"/>
      <c r="HW28" s="39"/>
      <c r="HX28" s="39"/>
      <c r="HY28" s="39"/>
      <c r="HZ28" s="39" t="str">
        <f t="shared" si="122"/>
        <v/>
      </c>
      <c r="IA28" s="68">
        <f t="shared" si="123"/>
        <v>0</v>
      </c>
      <c r="IB28" s="68">
        <f t="shared" si="124"/>
        <v>0</v>
      </c>
      <c r="IC28" s="39">
        <f>SISWA!E26</f>
        <v>0</v>
      </c>
      <c r="ID28" s="39" t="str">
        <f t="shared" si="125"/>
        <v/>
      </c>
      <c r="IE28" s="207" t="str">
        <f t="shared" si="126"/>
        <v/>
      </c>
      <c r="IF28" s="207" t="str">
        <f t="shared" si="127"/>
        <v/>
      </c>
      <c r="IG28" s="207" t="str">
        <f t="shared" si="128"/>
        <v/>
      </c>
      <c r="IH28" s="207" t="str">
        <f t="shared" si="129"/>
        <v/>
      </c>
      <c r="II28" s="207" t="str">
        <f t="shared" si="130"/>
        <v/>
      </c>
      <c r="IJ28" s="207" t="str">
        <f t="shared" si="131"/>
        <v/>
      </c>
      <c r="IK28" s="207" t="str">
        <f t="shared" si="132"/>
        <v/>
      </c>
      <c r="IL28" s="207"/>
      <c r="IM28" s="207"/>
      <c r="IN28" s="207"/>
      <c r="IO28" s="207"/>
      <c r="IP28" s="39">
        <f t="shared" si="133"/>
        <v>0</v>
      </c>
      <c r="IQ28" s="68" t="e">
        <f t="shared" si="134"/>
        <v>#N/A</v>
      </c>
      <c r="IR28" s="576" t="e">
        <f>IF(IA28&gt;100,"",IF(IA28&gt;DQ$1,"sangat baik dalam "&amp;IQ28,IF(IA28&gt;=DQ$2,"baik dalam "&amp;IQ28,IF(IA28&gt;=DQ$3,"cukup dalam "&amp;IQ28,IF(IA28&lt;DQ$3,"dengan bimbingan dapat meningkatkan dalam "&amp;IQ28,IF(IA28&lt;1," ",””))))))</f>
        <v>#N/A</v>
      </c>
      <c r="IS28" s="223"/>
      <c r="IT28" s="223" t="str">
        <f t="shared" si="135"/>
        <v/>
      </c>
      <c r="IU28" s="223" t="str">
        <f t="shared" si="136"/>
        <v/>
      </c>
      <c r="IV28" s="223" t="str">
        <f t="shared" si="137"/>
        <v/>
      </c>
      <c r="IW28" s="223" t="str">
        <f t="shared" si="138"/>
        <v/>
      </c>
      <c r="IX28" s="223" t="str">
        <f t="shared" si="139"/>
        <v/>
      </c>
      <c r="IY28" s="223" t="str">
        <f t="shared" si="140"/>
        <v/>
      </c>
      <c r="IZ28" s="223" t="str">
        <f t="shared" si="141"/>
        <v/>
      </c>
      <c r="JA28" s="223"/>
      <c r="JB28" s="223"/>
      <c r="JC28" s="223"/>
      <c r="JD28" s="223"/>
      <c r="JE28" s="223" t="e">
        <f t="shared" si="142"/>
        <v>#N/A</v>
      </c>
      <c r="JF28" s="577" t="e">
        <f>IF(IB28&gt;100,"",IF(IB28&gt;=DQ$1,"sangat baik dalam "&amp;JE28,IF(IB28&gt;=DQ$2,"baik dalam "&amp;JE28,IF(IB28&gt;=DQ$3,"cukup dalam "&amp;JE28,IF(IB28&lt;DQ$3,"dengan bimbingan dapat meningkatkan dalam "&amp;JE28,IF(IB28&lt;1," ",””))))))</f>
        <v>#N/A</v>
      </c>
      <c r="JG28" s="223" t="e">
        <f t="shared" si="143"/>
        <v>#N/A</v>
      </c>
    </row>
    <row r="29" spans="1:267" ht="30" customHeight="1">
      <c r="A29" s="39">
        <v>22</v>
      </c>
      <c r="B29" s="223">
        <f>SISWA!B27</f>
        <v>0</v>
      </c>
      <c r="C29" s="123"/>
      <c r="D29" s="123"/>
      <c r="E29" s="123"/>
      <c r="F29" s="123"/>
      <c r="G29" s="123"/>
      <c r="H29" s="123"/>
      <c r="I29" s="123"/>
      <c r="J29" s="255"/>
      <c r="K29" s="255"/>
      <c r="L29" s="255"/>
      <c r="M29" s="255"/>
      <c r="N29" s="255"/>
      <c r="O29" s="255"/>
      <c r="P29" s="255"/>
      <c r="Q29" s="256"/>
      <c r="R29" s="256"/>
      <c r="S29" s="256"/>
      <c r="T29" s="256"/>
      <c r="U29" s="256"/>
      <c r="V29" s="256"/>
      <c r="W29" s="256"/>
      <c r="X29" s="123"/>
      <c r="Y29" s="123"/>
      <c r="Z29" s="123"/>
      <c r="AA29" s="123"/>
      <c r="AB29" s="123"/>
      <c r="AC29" s="123"/>
      <c r="AD29" s="123"/>
      <c r="AE29" s="255"/>
      <c r="AF29" s="255"/>
      <c r="AG29" s="255"/>
      <c r="AH29" s="255"/>
      <c r="AI29" s="255"/>
      <c r="AJ29" s="255"/>
      <c r="AK29" s="255"/>
      <c r="AL29" s="256"/>
      <c r="AM29" s="256"/>
      <c r="AN29" s="256"/>
      <c r="AO29" s="256"/>
      <c r="AP29" s="256"/>
      <c r="AQ29" s="256"/>
      <c r="AR29" s="256"/>
      <c r="AS29" s="123"/>
      <c r="AT29" s="123"/>
      <c r="AU29" s="123"/>
      <c r="AV29" s="123"/>
      <c r="AW29" s="123"/>
      <c r="AX29" s="123"/>
      <c r="AY29" s="123"/>
      <c r="AZ29" s="255"/>
      <c r="BA29" s="255"/>
      <c r="BB29" s="255"/>
      <c r="BC29" s="255"/>
      <c r="BD29" s="255"/>
      <c r="BE29" s="255"/>
      <c r="BF29" s="255"/>
      <c r="BG29" s="256"/>
      <c r="BH29" s="256"/>
      <c r="BI29" s="256"/>
      <c r="BJ29" s="256"/>
      <c r="BK29" s="256"/>
      <c r="BL29" s="256"/>
      <c r="BM29" s="256"/>
      <c r="BN29" s="123"/>
      <c r="BO29" s="123"/>
      <c r="BP29" s="123"/>
      <c r="BQ29" s="123"/>
      <c r="BR29" s="123"/>
      <c r="BS29" s="123"/>
      <c r="BT29" s="123"/>
      <c r="BU29" s="255"/>
      <c r="BV29" s="255"/>
      <c r="BW29" s="255"/>
      <c r="BX29" s="255"/>
      <c r="BY29" s="255"/>
      <c r="BZ29" s="255"/>
      <c r="CA29" s="255"/>
      <c r="CB29" s="256"/>
      <c r="CC29" s="256"/>
      <c r="CD29" s="256"/>
      <c r="CE29" s="256"/>
      <c r="CF29" s="256"/>
      <c r="CG29" s="256"/>
      <c r="CH29" s="256"/>
      <c r="CI29" s="458"/>
      <c r="CJ29" s="458"/>
      <c r="CK29" s="458"/>
      <c r="CL29" s="458"/>
      <c r="CM29" s="458"/>
      <c r="CN29" s="458"/>
      <c r="CO29" s="458"/>
      <c r="CP29" s="459"/>
      <c r="CQ29" s="459"/>
      <c r="CR29" s="459"/>
      <c r="CS29" s="459"/>
      <c r="CT29" s="459"/>
      <c r="CU29" s="459"/>
      <c r="CV29" s="459"/>
      <c r="CW29" s="256"/>
      <c r="CX29" s="256"/>
      <c r="CY29" s="256"/>
      <c r="CZ29" s="256"/>
      <c r="DA29" s="256"/>
      <c r="DB29" s="256"/>
      <c r="DC29" s="256"/>
      <c r="DD29" s="257" t="str">
        <f t="shared" si="15"/>
        <v/>
      </c>
      <c r="DE29" s="257" t="str">
        <f t="shared" si="16"/>
        <v/>
      </c>
      <c r="DF29" s="257" t="str">
        <f t="shared" si="17"/>
        <v/>
      </c>
      <c r="DG29" s="257" t="str">
        <f t="shared" si="18"/>
        <v/>
      </c>
      <c r="DH29" s="257" t="str">
        <f t="shared" si="19"/>
        <v/>
      </c>
      <c r="DI29" s="257" t="str">
        <f t="shared" si="20"/>
        <v/>
      </c>
      <c r="DJ29" s="257" t="str">
        <f t="shared" si="21"/>
        <v/>
      </c>
      <c r="DK29" s="756" t="str">
        <f t="shared" si="22"/>
        <v/>
      </c>
      <c r="DL29" s="291" t="str">
        <f t="shared" si="23"/>
        <v xml:space="preserve">  </v>
      </c>
      <c r="DM29" s="243" t="str">
        <f t="shared" si="24"/>
        <v xml:space="preserve"> </v>
      </c>
      <c r="DN29" s="39"/>
      <c r="DO29" s="39"/>
      <c r="DP29" s="257">
        <f t="shared" si="25"/>
        <v>0</v>
      </c>
      <c r="DQ29" s="257">
        <f t="shared" si="26"/>
        <v>0</v>
      </c>
      <c r="DR29" s="257">
        <f t="shared" si="27"/>
        <v>0</v>
      </c>
      <c r="DS29" s="257">
        <f t="shared" si="28"/>
        <v>0</v>
      </c>
      <c r="DT29" s="257">
        <f t="shared" si="29"/>
        <v>0</v>
      </c>
      <c r="DU29" s="257">
        <f t="shared" si="30"/>
        <v>0</v>
      </c>
      <c r="DV29" s="257">
        <f t="shared" si="31"/>
        <v>0</v>
      </c>
      <c r="DW29" s="257"/>
      <c r="DX29" s="257"/>
      <c r="DY29" s="257"/>
      <c r="DZ29" s="257"/>
      <c r="EA29" s="232">
        <f t="shared" si="32"/>
        <v>0</v>
      </c>
      <c r="EB29" s="257">
        <f t="shared" si="33"/>
        <v>0</v>
      </c>
      <c r="EC29" s="257">
        <f t="shared" si="34"/>
        <v>0</v>
      </c>
      <c r="ED29" s="257">
        <f t="shared" si="35"/>
        <v>0</v>
      </c>
      <c r="EE29" s="257">
        <f t="shared" si="36"/>
        <v>0</v>
      </c>
      <c r="EF29" s="257">
        <f t="shared" si="37"/>
        <v>0</v>
      </c>
      <c r="EG29" s="257">
        <f t="shared" si="38"/>
        <v>0</v>
      </c>
      <c r="EH29" s="257">
        <f t="shared" si="39"/>
        <v>0</v>
      </c>
      <c r="EI29" s="257"/>
      <c r="EJ29" s="257"/>
      <c r="EK29" s="257"/>
      <c r="EL29" s="257"/>
      <c r="EM29" s="232">
        <f t="shared" si="40"/>
        <v>0</v>
      </c>
      <c r="EN29" s="257">
        <f t="shared" si="41"/>
        <v>0</v>
      </c>
      <c r="EO29" s="257">
        <f t="shared" si="42"/>
        <v>0</v>
      </c>
      <c r="EP29" s="257">
        <f t="shared" si="43"/>
        <v>0</v>
      </c>
      <c r="EQ29" s="257">
        <f t="shared" si="44"/>
        <v>0</v>
      </c>
      <c r="ER29" s="257">
        <f t="shared" si="45"/>
        <v>0</v>
      </c>
      <c r="ES29" s="257">
        <f t="shared" si="46"/>
        <v>0</v>
      </c>
      <c r="ET29" s="257">
        <f t="shared" si="47"/>
        <v>0</v>
      </c>
      <c r="EU29" s="257"/>
      <c r="EV29" s="257"/>
      <c r="EW29" s="257"/>
      <c r="EX29" s="257"/>
      <c r="EY29" s="232">
        <f t="shared" si="48"/>
        <v>0</v>
      </c>
      <c r="EZ29" s="257">
        <f t="shared" si="49"/>
        <v>0</v>
      </c>
      <c r="FA29" s="257">
        <f t="shared" si="50"/>
        <v>0</v>
      </c>
      <c r="FB29" s="257">
        <f t="shared" si="51"/>
        <v>0</v>
      </c>
      <c r="FC29" s="575">
        <f t="shared" si="52"/>
        <v>3</v>
      </c>
      <c r="FD29" s="506">
        <f t="shared" si="53"/>
        <v>0</v>
      </c>
      <c r="FE29" s="39" t="str">
        <f t="shared" si="54"/>
        <v/>
      </c>
      <c r="FF29" s="257">
        <f t="shared" si="55"/>
        <v>0</v>
      </c>
      <c r="FG29" s="257">
        <f t="shared" si="56"/>
        <v>0</v>
      </c>
      <c r="FH29" s="257">
        <f t="shared" si="57"/>
        <v>0</v>
      </c>
      <c r="FI29" s="575">
        <f t="shared" si="58"/>
        <v>3</v>
      </c>
      <c r="FJ29" s="506">
        <f t="shared" si="59"/>
        <v>0</v>
      </c>
      <c r="FK29" s="39" t="str">
        <f t="shared" si="60"/>
        <v/>
      </c>
      <c r="FL29" s="257">
        <f t="shared" si="61"/>
        <v>0</v>
      </c>
      <c r="FM29" s="257">
        <f t="shared" si="62"/>
        <v>0</v>
      </c>
      <c r="FN29" s="257">
        <f t="shared" si="63"/>
        <v>0</v>
      </c>
      <c r="FO29" s="575">
        <f t="shared" si="64"/>
        <v>3</v>
      </c>
      <c r="FP29" s="506">
        <f t="shared" si="65"/>
        <v>0</v>
      </c>
      <c r="FQ29" s="39" t="str">
        <f t="shared" si="66"/>
        <v/>
      </c>
      <c r="FR29" s="257">
        <f t="shared" si="67"/>
        <v>0</v>
      </c>
      <c r="FS29" s="257">
        <f t="shared" si="68"/>
        <v>0</v>
      </c>
      <c r="FT29" s="257">
        <f t="shared" si="69"/>
        <v>0</v>
      </c>
      <c r="FU29" s="575">
        <f t="shared" si="70"/>
        <v>3</v>
      </c>
      <c r="FV29" s="506">
        <f t="shared" si="71"/>
        <v>0</v>
      </c>
      <c r="FW29" s="39" t="str">
        <f t="shared" si="72"/>
        <v/>
      </c>
      <c r="FX29" s="257">
        <f t="shared" si="73"/>
        <v>0</v>
      </c>
      <c r="FY29" s="257">
        <f t="shared" si="74"/>
        <v>0</v>
      </c>
      <c r="FZ29" s="257">
        <f t="shared" si="75"/>
        <v>0</v>
      </c>
      <c r="GA29" s="575">
        <f t="shared" si="76"/>
        <v>3</v>
      </c>
      <c r="GB29" s="506">
        <f t="shared" si="77"/>
        <v>0</v>
      </c>
      <c r="GC29" s="39" t="str">
        <f t="shared" si="78"/>
        <v/>
      </c>
      <c r="GD29" s="257">
        <f t="shared" si="79"/>
        <v>0</v>
      </c>
      <c r="GE29" s="257">
        <f t="shared" si="80"/>
        <v>0</v>
      </c>
      <c r="GF29" s="257">
        <f t="shared" si="81"/>
        <v>0</v>
      </c>
      <c r="GG29" s="575">
        <f t="shared" si="82"/>
        <v>3</v>
      </c>
      <c r="GH29" s="506">
        <f t="shared" si="83"/>
        <v>0</v>
      </c>
      <c r="GI29" s="39" t="str">
        <f t="shared" si="84"/>
        <v/>
      </c>
      <c r="GJ29" s="257">
        <f t="shared" si="85"/>
        <v>0</v>
      </c>
      <c r="GK29" s="257">
        <f t="shared" si="86"/>
        <v>0</v>
      </c>
      <c r="GL29" s="257">
        <f t="shared" si="87"/>
        <v>0</v>
      </c>
      <c r="GM29" s="575">
        <f t="shared" si="88"/>
        <v>3</v>
      </c>
      <c r="GN29" s="506">
        <f t="shared" si="89"/>
        <v>0</v>
      </c>
      <c r="GO29" s="39" t="str">
        <f t="shared" si="90"/>
        <v/>
      </c>
      <c r="GP29" s="257">
        <f t="shared" si="91"/>
        <v>0</v>
      </c>
      <c r="GQ29" s="257">
        <f t="shared" si="92"/>
        <v>0</v>
      </c>
      <c r="GR29" s="257">
        <f t="shared" si="93"/>
        <v>0</v>
      </c>
      <c r="GS29" s="575">
        <f t="shared" si="94"/>
        <v>3</v>
      </c>
      <c r="GT29" s="506">
        <f t="shared" si="95"/>
        <v>0</v>
      </c>
      <c r="GU29" s="39" t="str">
        <f t="shared" si="96"/>
        <v/>
      </c>
      <c r="GV29" s="257">
        <f t="shared" si="97"/>
        <v>0</v>
      </c>
      <c r="GW29" s="257">
        <f t="shared" si="98"/>
        <v>0</v>
      </c>
      <c r="GX29" s="257">
        <f t="shared" si="99"/>
        <v>0</v>
      </c>
      <c r="GY29" s="575">
        <f t="shared" si="100"/>
        <v>3</v>
      </c>
      <c r="GZ29" s="506">
        <f t="shared" si="101"/>
        <v>0</v>
      </c>
      <c r="HA29" s="39" t="str">
        <f t="shared" si="102"/>
        <v/>
      </c>
      <c r="HB29" s="257">
        <f t="shared" si="103"/>
        <v>0</v>
      </c>
      <c r="HC29" s="257">
        <f t="shared" si="104"/>
        <v>0</v>
      </c>
      <c r="HD29" s="257">
        <f t="shared" si="105"/>
        <v>0</v>
      </c>
      <c r="HE29" s="575">
        <f t="shared" si="106"/>
        <v>3</v>
      </c>
      <c r="HF29" s="506">
        <f t="shared" si="107"/>
        <v>0</v>
      </c>
      <c r="HG29" s="39" t="str">
        <f t="shared" si="108"/>
        <v/>
      </c>
      <c r="HH29" s="257">
        <f t="shared" si="109"/>
        <v>0</v>
      </c>
      <c r="HI29" s="257">
        <f t="shared" si="110"/>
        <v>0</v>
      </c>
      <c r="HJ29" s="257">
        <f t="shared" si="111"/>
        <v>0</v>
      </c>
      <c r="HK29" s="575">
        <f t="shared" si="112"/>
        <v>3</v>
      </c>
      <c r="HL29" s="506">
        <f t="shared" si="113"/>
        <v>0</v>
      </c>
      <c r="HM29" s="39" t="str">
        <f t="shared" si="114"/>
        <v/>
      </c>
      <c r="HN29" s="39"/>
      <c r="HO29" s="39" t="str">
        <f t="shared" si="115"/>
        <v/>
      </c>
      <c r="HP29" s="39" t="str">
        <f t="shared" si="116"/>
        <v/>
      </c>
      <c r="HQ29" s="39" t="str">
        <f t="shared" si="117"/>
        <v/>
      </c>
      <c r="HR29" s="39" t="str">
        <f t="shared" si="118"/>
        <v/>
      </c>
      <c r="HS29" s="39" t="str">
        <f t="shared" si="119"/>
        <v/>
      </c>
      <c r="HT29" s="39" t="str">
        <f t="shared" si="120"/>
        <v/>
      </c>
      <c r="HU29" s="39" t="str">
        <f t="shared" si="121"/>
        <v/>
      </c>
      <c r="HV29" s="39"/>
      <c r="HW29" s="39"/>
      <c r="HX29" s="39"/>
      <c r="HY29" s="39"/>
      <c r="HZ29" s="39" t="str">
        <f t="shared" si="122"/>
        <v/>
      </c>
      <c r="IA29" s="68">
        <f t="shared" si="123"/>
        <v>0</v>
      </c>
      <c r="IB29" s="68">
        <f t="shared" si="124"/>
        <v>0</v>
      </c>
      <c r="IC29" s="39">
        <f>SISWA!E27</f>
        <v>0</v>
      </c>
      <c r="ID29" s="39" t="str">
        <f t="shared" si="125"/>
        <v/>
      </c>
      <c r="IE29" s="207" t="str">
        <f t="shared" si="126"/>
        <v/>
      </c>
      <c r="IF29" s="207" t="str">
        <f t="shared" si="127"/>
        <v/>
      </c>
      <c r="IG29" s="207" t="str">
        <f t="shared" si="128"/>
        <v/>
      </c>
      <c r="IH29" s="207" t="str">
        <f t="shared" si="129"/>
        <v/>
      </c>
      <c r="II29" s="207" t="str">
        <f t="shared" si="130"/>
        <v/>
      </c>
      <c r="IJ29" s="207" t="str">
        <f t="shared" si="131"/>
        <v/>
      </c>
      <c r="IK29" s="207" t="str">
        <f t="shared" si="132"/>
        <v/>
      </c>
      <c r="IL29" s="207"/>
      <c r="IM29" s="207"/>
      <c r="IN29" s="207"/>
      <c r="IO29" s="207"/>
      <c r="IP29" s="39">
        <f t="shared" si="133"/>
        <v>0</v>
      </c>
      <c r="IQ29" s="68" t="e">
        <f t="shared" si="134"/>
        <v>#N/A</v>
      </c>
      <c r="IR29" s="576" t="e">
        <f>IF(IA29&gt;100,"",IF(IA29&gt;DQ$1,"sangat baik dalam "&amp;IQ29,IF(IA29&gt;=DQ$2,"baik dalam "&amp;IQ29,IF(IA29&gt;=DQ$3,"cukup dalam "&amp;IQ29,IF(IA29&lt;DQ$3,"dengan bimbingan dapat meningkatkan dalam "&amp;IQ29,IF(IA29&lt;1," ",””))))))</f>
        <v>#N/A</v>
      </c>
      <c r="IS29" s="223"/>
      <c r="IT29" s="223" t="str">
        <f t="shared" si="135"/>
        <v/>
      </c>
      <c r="IU29" s="223" t="str">
        <f t="shared" si="136"/>
        <v/>
      </c>
      <c r="IV29" s="223" t="str">
        <f t="shared" si="137"/>
        <v/>
      </c>
      <c r="IW29" s="223" t="str">
        <f t="shared" si="138"/>
        <v/>
      </c>
      <c r="IX29" s="223" t="str">
        <f t="shared" si="139"/>
        <v/>
      </c>
      <c r="IY29" s="223" t="str">
        <f t="shared" si="140"/>
        <v/>
      </c>
      <c r="IZ29" s="223" t="str">
        <f t="shared" si="141"/>
        <v/>
      </c>
      <c r="JA29" s="223"/>
      <c r="JB29" s="223"/>
      <c r="JC29" s="223"/>
      <c r="JD29" s="223"/>
      <c r="JE29" s="223" t="e">
        <f t="shared" si="142"/>
        <v>#N/A</v>
      </c>
      <c r="JF29" s="577" t="e">
        <f>IF(IB29&gt;100,"",IF(IB29&gt;=DQ$1,"sangat baik dalam "&amp;JE29,IF(IB29&gt;=DQ$2,"baik dalam "&amp;JE29,IF(IB29&gt;=DQ$3,"cukup dalam "&amp;JE29,IF(IB29&lt;DQ$3,"dengan bimbingan dapat meningkatkan dalam "&amp;JE29,IF(IB29&lt;1," ",””))))))</f>
        <v>#N/A</v>
      </c>
      <c r="JG29" s="223" t="e">
        <f t="shared" si="143"/>
        <v>#N/A</v>
      </c>
    </row>
    <row r="30" spans="1:267" ht="30" customHeight="1">
      <c r="A30" s="39">
        <v>23</v>
      </c>
      <c r="B30" s="223">
        <f>SISWA!B28</f>
        <v>0</v>
      </c>
      <c r="C30" s="123"/>
      <c r="D30" s="123"/>
      <c r="E30" s="123"/>
      <c r="F30" s="123"/>
      <c r="G30" s="123"/>
      <c r="H30" s="123"/>
      <c r="I30" s="123"/>
      <c r="J30" s="255"/>
      <c r="K30" s="255"/>
      <c r="L30" s="255"/>
      <c r="M30" s="255"/>
      <c r="N30" s="255"/>
      <c r="O30" s="255"/>
      <c r="P30" s="255"/>
      <c r="Q30" s="256"/>
      <c r="R30" s="256"/>
      <c r="S30" s="256"/>
      <c r="T30" s="256"/>
      <c r="U30" s="256"/>
      <c r="V30" s="256"/>
      <c r="W30" s="256"/>
      <c r="X30" s="123"/>
      <c r="Y30" s="123"/>
      <c r="Z30" s="123"/>
      <c r="AA30" s="123"/>
      <c r="AB30" s="123"/>
      <c r="AC30" s="123"/>
      <c r="AD30" s="123"/>
      <c r="AE30" s="255"/>
      <c r="AF30" s="255"/>
      <c r="AG30" s="255"/>
      <c r="AH30" s="255"/>
      <c r="AI30" s="255"/>
      <c r="AJ30" s="255"/>
      <c r="AK30" s="255"/>
      <c r="AL30" s="256"/>
      <c r="AM30" s="256"/>
      <c r="AN30" s="256"/>
      <c r="AO30" s="256"/>
      <c r="AP30" s="256"/>
      <c r="AQ30" s="256"/>
      <c r="AR30" s="256"/>
      <c r="AS30" s="123"/>
      <c r="AT30" s="123"/>
      <c r="AU30" s="123"/>
      <c r="AV30" s="123"/>
      <c r="AW30" s="123"/>
      <c r="AX30" s="123"/>
      <c r="AY30" s="123"/>
      <c r="AZ30" s="255"/>
      <c r="BA30" s="255"/>
      <c r="BB30" s="255"/>
      <c r="BC30" s="255"/>
      <c r="BD30" s="255"/>
      <c r="BE30" s="255"/>
      <c r="BF30" s="255"/>
      <c r="BG30" s="256"/>
      <c r="BH30" s="256"/>
      <c r="BI30" s="256"/>
      <c r="BJ30" s="256"/>
      <c r="BK30" s="256"/>
      <c r="BL30" s="256"/>
      <c r="BM30" s="256"/>
      <c r="BN30" s="123"/>
      <c r="BO30" s="123"/>
      <c r="BP30" s="123"/>
      <c r="BQ30" s="123"/>
      <c r="BR30" s="123"/>
      <c r="BS30" s="123"/>
      <c r="BT30" s="123"/>
      <c r="BU30" s="255"/>
      <c r="BV30" s="255"/>
      <c r="BW30" s="255"/>
      <c r="BX30" s="255"/>
      <c r="BY30" s="255"/>
      <c r="BZ30" s="255"/>
      <c r="CA30" s="255"/>
      <c r="CB30" s="256"/>
      <c r="CC30" s="256"/>
      <c r="CD30" s="256"/>
      <c r="CE30" s="256"/>
      <c r="CF30" s="256"/>
      <c r="CG30" s="256"/>
      <c r="CH30" s="256"/>
      <c r="CI30" s="458"/>
      <c r="CJ30" s="458"/>
      <c r="CK30" s="458"/>
      <c r="CL30" s="458"/>
      <c r="CM30" s="458"/>
      <c r="CN30" s="458"/>
      <c r="CO30" s="458"/>
      <c r="CP30" s="459"/>
      <c r="CQ30" s="459"/>
      <c r="CR30" s="459"/>
      <c r="CS30" s="459"/>
      <c r="CT30" s="459"/>
      <c r="CU30" s="459"/>
      <c r="CV30" s="459"/>
      <c r="CW30" s="256"/>
      <c r="CX30" s="256"/>
      <c r="CY30" s="256"/>
      <c r="CZ30" s="256"/>
      <c r="DA30" s="256"/>
      <c r="DB30" s="256"/>
      <c r="DC30" s="256"/>
      <c r="DD30" s="257" t="str">
        <f t="shared" si="15"/>
        <v/>
      </c>
      <c r="DE30" s="257" t="str">
        <f t="shared" si="16"/>
        <v/>
      </c>
      <c r="DF30" s="257" t="str">
        <f t="shared" si="17"/>
        <v/>
      </c>
      <c r="DG30" s="257" t="str">
        <f t="shared" si="18"/>
        <v/>
      </c>
      <c r="DH30" s="257" t="str">
        <f t="shared" si="19"/>
        <v/>
      </c>
      <c r="DI30" s="257" t="str">
        <f t="shared" si="20"/>
        <v/>
      </c>
      <c r="DJ30" s="257" t="str">
        <f t="shared" si="21"/>
        <v/>
      </c>
      <c r="DK30" s="756" t="str">
        <f t="shared" si="22"/>
        <v/>
      </c>
      <c r="DL30" s="291" t="str">
        <f t="shared" si="23"/>
        <v xml:space="preserve">  </v>
      </c>
      <c r="DM30" s="243" t="str">
        <f t="shared" si="24"/>
        <v xml:space="preserve"> </v>
      </c>
      <c r="DN30" s="39"/>
      <c r="DO30" s="39"/>
      <c r="DP30" s="257">
        <f t="shared" si="25"/>
        <v>0</v>
      </c>
      <c r="DQ30" s="257">
        <f t="shared" si="26"/>
        <v>0</v>
      </c>
      <c r="DR30" s="257">
        <f t="shared" si="27"/>
        <v>0</v>
      </c>
      <c r="DS30" s="257">
        <f t="shared" si="28"/>
        <v>0</v>
      </c>
      <c r="DT30" s="257">
        <f t="shared" si="29"/>
        <v>0</v>
      </c>
      <c r="DU30" s="257">
        <f t="shared" si="30"/>
        <v>0</v>
      </c>
      <c r="DV30" s="257">
        <f t="shared" si="31"/>
        <v>0</v>
      </c>
      <c r="DW30" s="257"/>
      <c r="DX30" s="257"/>
      <c r="DY30" s="257"/>
      <c r="DZ30" s="257"/>
      <c r="EA30" s="232">
        <f t="shared" si="32"/>
        <v>0</v>
      </c>
      <c r="EB30" s="257">
        <f t="shared" si="33"/>
        <v>0</v>
      </c>
      <c r="EC30" s="257">
        <f t="shared" si="34"/>
        <v>0</v>
      </c>
      <c r="ED30" s="257">
        <f t="shared" si="35"/>
        <v>0</v>
      </c>
      <c r="EE30" s="257">
        <f t="shared" si="36"/>
        <v>0</v>
      </c>
      <c r="EF30" s="257">
        <f t="shared" si="37"/>
        <v>0</v>
      </c>
      <c r="EG30" s="257">
        <f t="shared" si="38"/>
        <v>0</v>
      </c>
      <c r="EH30" s="257">
        <f t="shared" si="39"/>
        <v>0</v>
      </c>
      <c r="EI30" s="257"/>
      <c r="EJ30" s="257"/>
      <c r="EK30" s="257"/>
      <c r="EL30" s="257"/>
      <c r="EM30" s="232">
        <f t="shared" si="40"/>
        <v>0</v>
      </c>
      <c r="EN30" s="257">
        <f t="shared" si="41"/>
        <v>0</v>
      </c>
      <c r="EO30" s="257">
        <f t="shared" si="42"/>
        <v>0</v>
      </c>
      <c r="EP30" s="257">
        <f t="shared" si="43"/>
        <v>0</v>
      </c>
      <c r="EQ30" s="257">
        <f t="shared" si="44"/>
        <v>0</v>
      </c>
      <c r="ER30" s="257">
        <f t="shared" si="45"/>
        <v>0</v>
      </c>
      <c r="ES30" s="257">
        <f t="shared" si="46"/>
        <v>0</v>
      </c>
      <c r="ET30" s="257">
        <f t="shared" si="47"/>
        <v>0</v>
      </c>
      <c r="EU30" s="257"/>
      <c r="EV30" s="257"/>
      <c r="EW30" s="257"/>
      <c r="EX30" s="257"/>
      <c r="EY30" s="232">
        <f t="shared" si="48"/>
        <v>0</v>
      </c>
      <c r="EZ30" s="257">
        <f t="shared" si="49"/>
        <v>0</v>
      </c>
      <c r="FA30" s="257">
        <f t="shared" si="50"/>
        <v>0</v>
      </c>
      <c r="FB30" s="257">
        <f t="shared" si="51"/>
        <v>0</v>
      </c>
      <c r="FC30" s="575">
        <f t="shared" si="52"/>
        <v>3</v>
      </c>
      <c r="FD30" s="506">
        <f t="shared" si="53"/>
        <v>0</v>
      </c>
      <c r="FE30" s="39" t="str">
        <f t="shared" si="54"/>
        <v/>
      </c>
      <c r="FF30" s="257">
        <f t="shared" si="55"/>
        <v>0</v>
      </c>
      <c r="FG30" s="257">
        <f t="shared" si="56"/>
        <v>0</v>
      </c>
      <c r="FH30" s="257">
        <f t="shared" si="57"/>
        <v>0</v>
      </c>
      <c r="FI30" s="575">
        <f t="shared" si="58"/>
        <v>3</v>
      </c>
      <c r="FJ30" s="506">
        <f t="shared" si="59"/>
        <v>0</v>
      </c>
      <c r="FK30" s="39" t="str">
        <f t="shared" si="60"/>
        <v/>
      </c>
      <c r="FL30" s="257">
        <f t="shared" si="61"/>
        <v>0</v>
      </c>
      <c r="FM30" s="257">
        <f t="shared" si="62"/>
        <v>0</v>
      </c>
      <c r="FN30" s="257">
        <f t="shared" si="63"/>
        <v>0</v>
      </c>
      <c r="FO30" s="575">
        <f t="shared" si="64"/>
        <v>3</v>
      </c>
      <c r="FP30" s="506">
        <f t="shared" si="65"/>
        <v>0</v>
      </c>
      <c r="FQ30" s="39" t="str">
        <f t="shared" si="66"/>
        <v/>
      </c>
      <c r="FR30" s="257">
        <f t="shared" si="67"/>
        <v>0</v>
      </c>
      <c r="FS30" s="257">
        <f t="shared" si="68"/>
        <v>0</v>
      </c>
      <c r="FT30" s="257">
        <f t="shared" si="69"/>
        <v>0</v>
      </c>
      <c r="FU30" s="575">
        <f t="shared" si="70"/>
        <v>3</v>
      </c>
      <c r="FV30" s="506">
        <f t="shared" si="71"/>
        <v>0</v>
      </c>
      <c r="FW30" s="39" t="str">
        <f t="shared" si="72"/>
        <v/>
      </c>
      <c r="FX30" s="257">
        <f t="shared" si="73"/>
        <v>0</v>
      </c>
      <c r="FY30" s="257">
        <f t="shared" si="74"/>
        <v>0</v>
      </c>
      <c r="FZ30" s="257">
        <f t="shared" si="75"/>
        <v>0</v>
      </c>
      <c r="GA30" s="575">
        <f t="shared" si="76"/>
        <v>3</v>
      </c>
      <c r="GB30" s="506">
        <f t="shared" si="77"/>
        <v>0</v>
      </c>
      <c r="GC30" s="39" t="str">
        <f t="shared" si="78"/>
        <v/>
      </c>
      <c r="GD30" s="257">
        <f t="shared" si="79"/>
        <v>0</v>
      </c>
      <c r="GE30" s="257">
        <f t="shared" si="80"/>
        <v>0</v>
      </c>
      <c r="GF30" s="257">
        <f t="shared" si="81"/>
        <v>0</v>
      </c>
      <c r="GG30" s="575">
        <f t="shared" si="82"/>
        <v>3</v>
      </c>
      <c r="GH30" s="506">
        <f t="shared" si="83"/>
        <v>0</v>
      </c>
      <c r="GI30" s="39" t="str">
        <f t="shared" si="84"/>
        <v/>
      </c>
      <c r="GJ30" s="257">
        <f t="shared" si="85"/>
        <v>0</v>
      </c>
      <c r="GK30" s="257">
        <f t="shared" si="86"/>
        <v>0</v>
      </c>
      <c r="GL30" s="257">
        <f t="shared" si="87"/>
        <v>0</v>
      </c>
      <c r="GM30" s="575">
        <f t="shared" si="88"/>
        <v>3</v>
      </c>
      <c r="GN30" s="506">
        <f t="shared" si="89"/>
        <v>0</v>
      </c>
      <c r="GO30" s="39" t="str">
        <f t="shared" si="90"/>
        <v/>
      </c>
      <c r="GP30" s="257">
        <f t="shared" si="91"/>
        <v>0</v>
      </c>
      <c r="GQ30" s="257">
        <f t="shared" si="92"/>
        <v>0</v>
      </c>
      <c r="GR30" s="257">
        <f t="shared" si="93"/>
        <v>0</v>
      </c>
      <c r="GS30" s="575">
        <f t="shared" si="94"/>
        <v>3</v>
      </c>
      <c r="GT30" s="506">
        <f t="shared" si="95"/>
        <v>0</v>
      </c>
      <c r="GU30" s="39" t="str">
        <f t="shared" si="96"/>
        <v/>
      </c>
      <c r="GV30" s="257">
        <f t="shared" si="97"/>
        <v>0</v>
      </c>
      <c r="GW30" s="257">
        <f t="shared" si="98"/>
        <v>0</v>
      </c>
      <c r="GX30" s="257">
        <f t="shared" si="99"/>
        <v>0</v>
      </c>
      <c r="GY30" s="575">
        <f t="shared" si="100"/>
        <v>3</v>
      </c>
      <c r="GZ30" s="506">
        <f t="shared" si="101"/>
        <v>0</v>
      </c>
      <c r="HA30" s="39" t="str">
        <f t="shared" si="102"/>
        <v/>
      </c>
      <c r="HB30" s="257">
        <f t="shared" si="103"/>
        <v>0</v>
      </c>
      <c r="HC30" s="257">
        <f t="shared" si="104"/>
        <v>0</v>
      </c>
      <c r="HD30" s="257">
        <f t="shared" si="105"/>
        <v>0</v>
      </c>
      <c r="HE30" s="575">
        <f t="shared" si="106"/>
        <v>3</v>
      </c>
      <c r="HF30" s="506">
        <f t="shared" si="107"/>
        <v>0</v>
      </c>
      <c r="HG30" s="39" t="str">
        <f t="shared" si="108"/>
        <v/>
      </c>
      <c r="HH30" s="257">
        <f t="shared" si="109"/>
        <v>0</v>
      </c>
      <c r="HI30" s="257">
        <f t="shared" si="110"/>
        <v>0</v>
      </c>
      <c r="HJ30" s="257">
        <f t="shared" si="111"/>
        <v>0</v>
      </c>
      <c r="HK30" s="575">
        <f t="shared" si="112"/>
        <v>3</v>
      </c>
      <c r="HL30" s="506">
        <f t="shared" si="113"/>
        <v>0</v>
      </c>
      <c r="HM30" s="39" t="str">
        <f t="shared" si="114"/>
        <v/>
      </c>
      <c r="HN30" s="39"/>
      <c r="HO30" s="39" t="str">
        <f t="shared" si="115"/>
        <v/>
      </c>
      <c r="HP30" s="39" t="str">
        <f t="shared" si="116"/>
        <v/>
      </c>
      <c r="HQ30" s="39" t="str">
        <f t="shared" si="117"/>
        <v/>
      </c>
      <c r="HR30" s="39" t="str">
        <f t="shared" si="118"/>
        <v/>
      </c>
      <c r="HS30" s="39" t="str">
        <f t="shared" si="119"/>
        <v/>
      </c>
      <c r="HT30" s="39" t="str">
        <f t="shared" si="120"/>
        <v/>
      </c>
      <c r="HU30" s="39" t="str">
        <f t="shared" si="121"/>
        <v/>
      </c>
      <c r="HV30" s="39"/>
      <c r="HW30" s="39"/>
      <c r="HX30" s="39"/>
      <c r="HY30" s="39"/>
      <c r="HZ30" s="39" t="str">
        <f t="shared" si="122"/>
        <v/>
      </c>
      <c r="IA30" s="68">
        <f t="shared" si="123"/>
        <v>0</v>
      </c>
      <c r="IB30" s="68">
        <f t="shared" si="124"/>
        <v>0</v>
      </c>
      <c r="IC30" s="39">
        <f>SISWA!E28</f>
        <v>0</v>
      </c>
      <c r="ID30" s="39" t="str">
        <f t="shared" si="125"/>
        <v/>
      </c>
      <c r="IE30" s="207" t="str">
        <f t="shared" si="126"/>
        <v/>
      </c>
      <c r="IF30" s="207" t="str">
        <f t="shared" si="127"/>
        <v/>
      </c>
      <c r="IG30" s="207" t="str">
        <f t="shared" si="128"/>
        <v/>
      </c>
      <c r="IH30" s="207" t="str">
        <f t="shared" si="129"/>
        <v/>
      </c>
      <c r="II30" s="207" t="str">
        <f t="shared" si="130"/>
        <v/>
      </c>
      <c r="IJ30" s="207" t="str">
        <f t="shared" si="131"/>
        <v/>
      </c>
      <c r="IK30" s="207" t="str">
        <f t="shared" si="132"/>
        <v/>
      </c>
      <c r="IL30" s="207"/>
      <c r="IM30" s="207"/>
      <c r="IN30" s="207"/>
      <c r="IO30" s="207"/>
      <c r="IP30" s="39">
        <f t="shared" si="133"/>
        <v>0</v>
      </c>
      <c r="IQ30" s="68" t="e">
        <f t="shared" si="134"/>
        <v>#N/A</v>
      </c>
      <c r="IR30" s="576" t="e">
        <f>IF(IA30&gt;100,"",IF(IA30&gt;DQ$1,"sangat baik dalam "&amp;IQ30,IF(IA30&gt;=DQ$2,"baik dalam "&amp;IQ30,IF(IA30&gt;=DQ$3,"cukup dalam "&amp;IQ30,IF(IA30&lt;DQ$3,"dengan bimbingan dapat meningkatkan dalam "&amp;IQ30,IF(IA30&lt;1," ",””))))))</f>
        <v>#N/A</v>
      </c>
      <c r="IS30" s="223"/>
      <c r="IT30" s="223" t="str">
        <f t="shared" si="135"/>
        <v/>
      </c>
      <c r="IU30" s="223" t="str">
        <f t="shared" si="136"/>
        <v/>
      </c>
      <c r="IV30" s="223" t="str">
        <f t="shared" si="137"/>
        <v/>
      </c>
      <c r="IW30" s="223" t="str">
        <f t="shared" si="138"/>
        <v/>
      </c>
      <c r="IX30" s="223" t="str">
        <f t="shared" si="139"/>
        <v/>
      </c>
      <c r="IY30" s="223" t="str">
        <f t="shared" si="140"/>
        <v/>
      </c>
      <c r="IZ30" s="223" t="str">
        <f t="shared" si="141"/>
        <v/>
      </c>
      <c r="JA30" s="223"/>
      <c r="JB30" s="223"/>
      <c r="JC30" s="223"/>
      <c r="JD30" s="223"/>
      <c r="JE30" s="223" t="e">
        <f t="shared" si="142"/>
        <v>#N/A</v>
      </c>
      <c r="JF30" s="577" t="e">
        <f>IF(IB30&gt;100,"",IF(IB30&gt;=DQ$1,"sangat baik dalam "&amp;JE30,IF(IB30&gt;=DQ$2,"baik dalam "&amp;JE30,IF(IB30&gt;=DQ$3,"cukup dalam "&amp;JE30,IF(IB30&lt;DQ$3,"dengan bimbingan dapat meningkatkan dalam "&amp;JE30,IF(IB30&lt;1," ",””))))))</f>
        <v>#N/A</v>
      </c>
      <c r="JG30" s="223" t="e">
        <f t="shared" si="143"/>
        <v>#N/A</v>
      </c>
    </row>
    <row r="31" spans="1:267" ht="30" customHeight="1">
      <c r="A31" s="39">
        <v>24</v>
      </c>
      <c r="B31" s="223">
        <f>SISWA!B29</f>
        <v>0</v>
      </c>
      <c r="C31" s="123"/>
      <c r="D31" s="123"/>
      <c r="E31" s="123"/>
      <c r="F31" s="123"/>
      <c r="G31" s="123"/>
      <c r="H31" s="123"/>
      <c r="I31" s="123"/>
      <c r="J31" s="255"/>
      <c r="K31" s="255"/>
      <c r="L31" s="255"/>
      <c r="M31" s="255"/>
      <c r="N31" s="255"/>
      <c r="O31" s="255"/>
      <c r="P31" s="255"/>
      <c r="Q31" s="256"/>
      <c r="R31" s="256"/>
      <c r="S31" s="256"/>
      <c r="T31" s="256"/>
      <c r="U31" s="256"/>
      <c r="V31" s="256"/>
      <c r="W31" s="256"/>
      <c r="X31" s="123"/>
      <c r="Y31" s="123"/>
      <c r="Z31" s="123"/>
      <c r="AA31" s="123"/>
      <c r="AB31" s="123"/>
      <c r="AC31" s="123"/>
      <c r="AD31" s="123"/>
      <c r="AE31" s="255"/>
      <c r="AF31" s="255"/>
      <c r="AG31" s="255"/>
      <c r="AH31" s="255"/>
      <c r="AI31" s="255"/>
      <c r="AJ31" s="255"/>
      <c r="AK31" s="255"/>
      <c r="AL31" s="256"/>
      <c r="AM31" s="256"/>
      <c r="AN31" s="256"/>
      <c r="AO31" s="256"/>
      <c r="AP31" s="256"/>
      <c r="AQ31" s="256"/>
      <c r="AR31" s="256"/>
      <c r="AS31" s="123"/>
      <c r="AT31" s="123"/>
      <c r="AU31" s="123"/>
      <c r="AV31" s="123"/>
      <c r="AW31" s="123"/>
      <c r="AX31" s="123"/>
      <c r="AY31" s="123"/>
      <c r="AZ31" s="255"/>
      <c r="BA31" s="255"/>
      <c r="BB31" s="255"/>
      <c r="BC31" s="255"/>
      <c r="BD31" s="255"/>
      <c r="BE31" s="255"/>
      <c r="BF31" s="255"/>
      <c r="BG31" s="256"/>
      <c r="BH31" s="256"/>
      <c r="BI31" s="256"/>
      <c r="BJ31" s="256"/>
      <c r="BK31" s="256"/>
      <c r="BL31" s="256"/>
      <c r="BM31" s="256"/>
      <c r="BN31" s="123"/>
      <c r="BO31" s="123"/>
      <c r="BP31" s="123"/>
      <c r="BQ31" s="123"/>
      <c r="BR31" s="123"/>
      <c r="BS31" s="123"/>
      <c r="BT31" s="123"/>
      <c r="BU31" s="255"/>
      <c r="BV31" s="255"/>
      <c r="BW31" s="255"/>
      <c r="BX31" s="255"/>
      <c r="BY31" s="255"/>
      <c r="BZ31" s="255"/>
      <c r="CA31" s="255"/>
      <c r="CB31" s="256"/>
      <c r="CC31" s="256"/>
      <c r="CD31" s="256"/>
      <c r="CE31" s="256"/>
      <c r="CF31" s="256"/>
      <c r="CG31" s="256"/>
      <c r="CH31" s="256"/>
      <c r="CI31" s="458"/>
      <c r="CJ31" s="458"/>
      <c r="CK31" s="458"/>
      <c r="CL31" s="458"/>
      <c r="CM31" s="458"/>
      <c r="CN31" s="458"/>
      <c r="CO31" s="458"/>
      <c r="CP31" s="459"/>
      <c r="CQ31" s="459"/>
      <c r="CR31" s="459"/>
      <c r="CS31" s="459"/>
      <c r="CT31" s="459"/>
      <c r="CU31" s="459"/>
      <c r="CV31" s="459"/>
      <c r="CW31" s="256"/>
      <c r="CX31" s="256"/>
      <c r="CY31" s="256"/>
      <c r="CZ31" s="256"/>
      <c r="DA31" s="256"/>
      <c r="DB31" s="256"/>
      <c r="DC31" s="256"/>
      <c r="DD31" s="257" t="str">
        <f t="shared" si="15"/>
        <v/>
      </c>
      <c r="DE31" s="257" t="str">
        <f t="shared" si="16"/>
        <v/>
      </c>
      <c r="DF31" s="257" t="str">
        <f t="shared" si="17"/>
        <v/>
      </c>
      <c r="DG31" s="257" t="str">
        <f t="shared" si="18"/>
        <v/>
      </c>
      <c r="DH31" s="257" t="str">
        <f t="shared" si="19"/>
        <v/>
      </c>
      <c r="DI31" s="257" t="str">
        <f t="shared" si="20"/>
        <v/>
      </c>
      <c r="DJ31" s="257" t="str">
        <f t="shared" si="21"/>
        <v/>
      </c>
      <c r="DK31" s="756" t="str">
        <f t="shared" si="22"/>
        <v/>
      </c>
      <c r="DL31" s="291" t="str">
        <f t="shared" si="23"/>
        <v xml:space="preserve">  </v>
      </c>
      <c r="DM31" s="243" t="str">
        <f t="shared" si="24"/>
        <v xml:space="preserve"> </v>
      </c>
      <c r="DN31" s="39"/>
      <c r="DO31" s="39"/>
      <c r="DP31" s="257">
        <f t="shared" si="25"/>
        <v>0</v>
      </c>
      <c r="DQ31" s="257">
        <f t="shared" si="26"/>
        <v>0</v>
      </c>
      <c r="DR31" s="257">
        <f t="shared" si="27"/>
        <v>0</v>
      </c>
      <c r="DS31" s="257">
        <f t="shared" si="28"/>
        <v>0</v>
      </c>
      <c r="DT31" s="257">
        <f t="shared" si="29"/>
        <v>0</v>
      </c>
      <c r="DU31" s="257">
        <f t="shared" si="30"/>
        <v>0</v>
      </c>
      <c r="DV31" s="257">
        <f t="shared" si="31"/>
        <v>0</v>
      </c>
      <c r="DW31" s="257"/>
      <c r="DX31" s="257"/>
      <c r="DY31" s="257"/>
      <c r="DZ31" s="257"/>
      <c r="EA31" s="232">
        <f t="shared" si="32"/>
        <v>0</v>
      </c>
      <c r="EB31" s="257">
        <f t="shared" si="33"/>
        <v>0</v>
      </c>
      <c r="EC31" s="257">
        <f t="shared" si="34"/>
        <v>0</v>
      </c>
      <c r="ED31" s="257">
        <f t="shared" si="35"/>
        <v>0</v>
      </c>
      <c r="EE31" s="257">
        <f t="shared" si="36"/>
        <v>0</v>
      </c>
      <c r="EF31" s="257">
        <f t="shared" si="37"/>
        <v>0</v>
      </c>
      <c r="EG31" s="257">
        <f t="shared" si="38"/>
        <v>0</v>
      </c>
      <c r="EH31" s="257">
        <f t="shared" si="39"/>
        <v>0</v>
      </c>
      <c r="EI31" s="257"/>
      <c r="EJ31" s="257"/>
      <c r="EK31" s="257"/>
      <c r="EL31" s="257"/>
      <c r="EM31" s="232">
        <f t="shared" si="40"/>
        <v>0</v>
      </c>
      <c r="EN31" s="257">
        <f t="shared" si="41"/>
        <v>0</v>
      </c>
      <c r="EO31" s="257">
        <f t="shared" si="42"/>
        <v>0</v>
      </c>
      <c r="EP31" s="257">
        <f t="shared" si="43"/>
        <v>0</v>
      </c>
      <c r="EQ31" s="257">
        <f t="shared" si="44"/>
        <v>0</v>
      </c>
      <c r="ER31" s="257">
        <f t="shared" si="45"/>
        <v>0</v>
      </c>
      <c r="ES31" s="257">
        <f t="shared" si="46"/>
        <v>0</v>
      </c>
      <c r="ET31" s="257">
        <f t="shared" si="47"/>
        <v>0</v>
      </c>
      <c r="EU31" s="257"/>
      <c r="EV31" s="257"/>
      <c r="EW31" s="257"/>
      <c r="EX31" s="257"/>
      <c r="EY31" s="232">
        <f t="shared" si="48"/>
        <v>0</v>
      </c>
      <c r="EZ31" s="257">
        <f t="shared" si="49"/>
        <v>0</v>
      </c>
      <c r="FA31" s="257">
        <f t="shared" si="50"/>
        <v>0</v>
      </c>
      <c r="FB31" s="257">
        <f t="shared" si="51"/>
        <v>0</v>
      </c>
      <c r="FC31" s="575">
        <f t="shared" si="52"/>
        <v>3</v>
      </c>
      <c r="FD31" s="506">
        <f t="shared" si="53"/>
        <v>0</v>
      </c>
      <c r="FE31" s="39" t="str">
        <f t="shared" si="54"/>
        <v/>
      </c>
      <c r="FF31" s="257">
        <f t="shared" si="55"/>
        <v>0</v>
      </c>
      <c r="FG31" s="257">
        <f t="shared" si="56"/>
        <v>0</v>
      </c>
      <c r="FH31" s="257">
        <f t="shared" si="57"/>
        <v>0</v>
      </c>
      <c r="FI31" s="575">
        <f t="shared" si="58"/>
        <v>3</v>
      </c>
      <c r="FJ31" s="506">
        <f t="shared" si="59"/>
        <v>0</v>
      </c>
      <c r="FK31" s="39" t="str">
        <f t="shared" si="60"/>
        <v/>
      </c>
      <c r="FL31" s="257">
        <f t="shared" si="61"/>
        <v>0</v>
      </c>
      <c r="FM31" s="257">
        <f t="shared" si="62"/>
        <v>0</v>
      </c>
      <c r="FN31" s="257">
        <f t="shared" si="63"/>
        <v>0</v>
      </c>
      <c r="FO31" s="575">
        <f t="shared" si="64"/>
        <v>3</v>
      </c>
      <c r="FP31" s="506">
        <f t="shared" si="65"/>
        <v>0</v>
      </c>
      <c r="FQ31" s="39" t="str">
        <f t="shared" si="66"/>
        <v/>
      </c>
      <c r="FR31" s="257">
        <f t="shared" si="67"/>
        <v>0</v>
      </c>
      <c r="FS31" s="257">
        <f t="shared" si="68"/>
        <v>0</v>
      </c>
      <c r="FT31" s="257">
        <f t="shared" si="69"/>
        <v>0</v>
      </c>
      <c r="FU31" s="575">
        <f t="shared" si="70"/>
        <v>3</v>
      </c>
      <c r="FV31" s="506">
        <f t="shared" si="71"/>
        <v>0</v>
      </c>
      <c r="FW31" s="39" t="str">
        <f t="shared" si="72"/>
        <v/>
      </c>
      <c r="FX31" s="257">
        <f t="shared" si="73"/>
        <v>0</v>
      </c>
      <c r="FY31" s="257">
        <f t="shared" si="74"/>
        <v>0</v>
      </c>
      <c r="FZ31" s="257">
        <f t="shared" si="75"/>
        <v>0</v>
      </c>
      <c r="GA31" s="575">
        <f t="shared" si="76"/>
        <v>3</v>
      </c>
      <c r="GB31" s="506">
        <f t="shared" si="77"/>
        <v>0</v>
      </c>
      <c r="GC31" s="39" t="str">
        <f t="shared" si="78"/>
        <v/>
      </c>
      <c r="GD31" s="257">
        <f t="shared" si="79"/>
        <v>0</v>
      </c>
      <c r="GE31" s="257">
        <f t="shared" si="80"/>
        <v>0</v>
      </c>
      <c r="GF31" s="257">
        <f t="shared" si="81"/>
        <v>0</v>
      </c>
      <c r="GG31" s="575">
        <f t="shared" si="82"/>
        <v>3</v>
      </c>
      <c r="GH31" s="506">
        <f t="shared" si="83"/>
        <v>0</v>
      </c>
      <c r="GI31" s="39" t="str">
        <f t="shared" si="84"/>
        <v/>
      </c>
      <c r="GJ31" s="257">
        <f t="shared" si="85"/>
        <v>0</v>
      </c>
      <c r="GK31" s="257">
        <f t="shared" si="86"/>
        <v>0</v>
      </c>
      <c r="GL31" s="257">
        <f t="shared" si="87"/>
        <v>0</v>
      </c>
      <c r="GM31" s="575">
        <f t="shared" si="88"/>
        <v>3</v>
      </c>
      <c r="GN31" s="506">
        <f t="shared" si="89"/>
        <v>0</v>
      </c>
      <c r="GO31" s="39" t="str">
        <f t="shared" si="90"/>
        <v/>
      </c>
      <c r="GP31" s="257">
        <f t="shared" si="91"/>
        <v>0</v>
      </c>
      <c r="GQ31" s="257">
        <f t="shared" si="92"/>
        <v>0</v>
      </c>
      <c r="GR31" s="257">
        <f t="shared" si="93"/>
        <v>0</v>
      </c>
      <c r="GS31" s="575">
        <f t="shared" si="94"/>
        <v>3</v>
      </c>
      <c r="GT31" s="506">
        <f t="shared" si="95"/>
        <v>0</v>
      </c>
      <c r="GU31" s="39" t="str">
        <f t="shared" si="96"/>
        <v/>
      </c>
      <c r="GV31" s="257">
        <f t="shared" si="97"/>
        <v>0</v>
      </c>
      <c r="GW31" s="257">
        <f t="shared" si="98"/>
        <v>0</v>
      </c>
      <c r="GX31" s="257">
        <f t="shared" si="99"/>
        <v>0</v>
      </c>
      <c r="GY31" s="575">
        <f t="shared" si="100"/>
        <v>3</v>
      </c>
      <c r="GZ31" s="506">
        <f t="shared" si="101"/>
        <v>0</v>
      </c>
      <c r="HA31" s="39" t="str">
        <f t="shared" si="102"/>
        <v/>
      </c>
      <c r="HB31" s="257">
        <f t="shared" si="103"/>
        <v>0</v>
      </c>
      <c r="HC31" s="257">
        <f t="shared" si="104"/>
        <v>0</v>
      </c>
      <c r="HD31" s="257">
        <f t="shared" si="105"/>
        <v>0</v>
      </c>
      <c r="HE31" s="575">
        <f t="shared" si="106"/>
        <v>3</v>
      </c>
      <c r="HF31" s="506">
        <f t="shared" si="107"/>
        <v>0</v>
      </c>
      <c r="HG31" s="39" t="str">
        <f t="shared" si="108"/>
        <v/>
      </c>
      <c r="HH31" s="257">
        <f t="shared" si="109"/>
        <v>0</v>
      </c>
      <c r="HI31" s="257">
        <f t="shared" si="110"/>
        <v>0</v>
      </c>
      <c r="HJ31" s="257">
        <f t="shared" si="111"/>
        <v>0</v>
      </c>
      <c r="HK31" s="575">
        <f t="shared" si="112"/>
        <v>3</v>
      </c>
      <c r="HL31" s="506">
        <f t="shared" si="113"/>
        <v>0</v>
      </c>
      <c r="HM31" s="39" t="str">
        <f t="shared" si="114"/>
        <v/>
      </c>
      <c r="HN31" s="39"/>
      <c r="HO31" s="39" t="str">
        <f t="shared" si="115"/>
        <v/>
      </c>
      <c r="HP31" s="39" t="str">
        <f t="shared" si="116"/>
        <v/>
      </c>
      <c r="HQ31" s="39" t="str">
        <f t="shared" si="117"/>
        <v/>
      </c>
      <c r="HR31" s="39" t="str">
        <f t="shared" si="118"/>
        <v/>
      </c>
      <c r="HS31" s="39" t="str">
        <f t="shared" si="119"/>
        <v/>
      </c>
      <c r="HT31" s="39" t="str">
        <f t="shared" si="120"/>
        <v/>
      </c>
      <c r="HU31" s="39" t="str">
        <f t="shared" si="121"/>
        <v/>
      </c>
      <c r="HV31" s="39"/>
      <c r="HW31" s="39"/>
      <c r="HX31" s="39"/>
      <c r="HY31" s="39"/>
      <c r="HZ31" s="39" t="str">
        <f t="shared" si="122"/>
        <v/>
      </c>
      <c r="IA31" s="68">
        <f t="shared" si="123"/>
        <v>0</v>
      </c>
      <c r="IB31" s="68">
        <f t="shared" si="124"/>
        <v>0</v>
      </c>
      <c r="IC31" s="39">
        <f>SISWA!E29</f>
        <v>0</v>
      </c>
      <c r="ID31" s="39" t="str">
        <f t="shared" si="125"/>
        <v/>
      </c>
      <c r="IE31" s="207" t="str">
        <f t="shared" si="126"/>
        <v/>
      </c>
      <c r="IF31" s="207" t="str">
        <f t="shared" si="127"/>
        <v/>
      </c>
      <c r="IG31" s="207" t="str">
        <f t="shared" si="128"/>
        <v/>
      </c>
      <c r="IH31" s="207" t="str">
        <f t="shared" si="129"/>
        <v/>
      </c>
      <c r="II31" s="207" t="str">
        <f t="shared" si="130"/>
        <v/>
      </c>
      <c r="IJ31" s="207" t="str">
        <f t="shared" si="131"/>
        <v/>
      </c>
      <c r="IK31" s="207" t="str">
        <f t="shared" si="132"/>
        <v/>
      </c>
      <c r="IL31" s="207"/>
      <c r="IM31" s="207"/>
      <c r="IN31" s="207"/>
      <c r="IO31" s="207"/>
      <c r="IP31" s="39">
        <f t="shared" si="133"/>
        <v>0</v>
      </c>
      <c r="IQ31" s="68" t="e">
        <f t="shared" si="134"/>
        <v>#N/A</v>
      </c>
      <c r="IR31" s="576" t="e">
        <f>IF(IA31&gt;100,"",IF(IA31&gt;DQ$1,"sangat baik dalam "&amp;IQ31,IF(IA31&gt;=DQ$2,"baik dalam "&amp;IQ31,IF(IA31&gt;=DQ$3,"cukup dalam "&amp;IQ31,IF(IA31&lt;DQ$3,"dengan bimbingan dapat meningkatkan dalam "&amp;IQ31,IF(IA31&lt;1," ",””))))))</f>
        <v>#N/A</v>
      </c>
      <c r="IS31" s="223"/>
      <c r="IT31" s="223" t="str">
        <f t="shared" si="135"/>
        <v/>
      </c>
      <c r="IU31" s="223" t="str">
        <f t="shared" si="136"/>
        <v/>
      </c>
      <c r="IV31" s="223" t="str">
        <f t="shared" si="137"/>
        <v/>
      </c>
      <c r="IW31" s="223" t="str">
        <f t="shared" si="138"/>
        <v/>
      </c>
      <c r="IX31" s="223" t="str">
        <f t="shared" si="139"/>
        <v/>
      </c>
      <c r="IY31" s="223" t="str">
        <f t="shared" si="140"/>
        <v/>
      </c>
      <c r="IZ31" s="223" t="str">
        <f t="shared" si="141"/>
        <v/>
      </c>
      <c r="JA31" s="223"/>
      <c r="JB31" s="223"/>
      <c r="JC31" s="223"/>
      <c r="JD31" s="223"/>
      <c r="JE31" s="223" t="e">
        <f t="shared" si="142"/>
        <v>#N/A</v>
      </c>
      <c r="JF31" s="577" t="e">
        <f>IF(IB31&gt;100,"",IF(IB31&gt;=DQ$1,"sangat baik dalam "&amp;JE31,IF(IB31&gt;=DQ$2,"baik dalam "&amp;JE31,IF(IB31&gt;=DQ$3,"cukup dalam "&amp;JE31,IF(IB31&lt;DQ$3,"dengan bimbingan dapat meningkatkan dalam "&amp;JE31,IF(IB31&lt;1," ",””))))))</f>
        <v>#N/A</v>
      </c>
      <c r="JG31" s="223" t="e">
        <f t="shared" si="143"/>
        <v>#N/A</v>
      </c>
    </row>
    <row r="32" spans="1:267" ht="30" customHeight="1">
      <c r="A32" s="39">
        <v>25</v>
      </c>
      <c r="B32" s="223">
        <f>SISWA!B30</f>
        <v>0</v>
      </c>
      <c r="C32" s="123"/>
      <c r="D32" s="123"/>
      <c r="E32" s="123"/>
      <c r="F32" s="123"/>
      <c r="G32" s="123"/>
      <c r="H32" s="123"/>
      <c r="I32" s="123"/>
      <c r="J32" s="255"/>
      <c r="K32" s="255"/>
      <c r="L32" s="255"/>
      <c r="M32" s="255"/>
      <c r="N32" s="255"/>
      <c r="O32" s="255"/>
      <c r="P32" s="255"/>
      <c r="Q32" s="256"/>
      <c r="R32" s="256"/>
      <c r="S32" s="256"/>
      <c r="T32" s="256"/>
      <c r="U32" s="256"/>
      <c r="V32" s="256"/>
      <c r="W32" s="256"/>
      <c r="X32" s="123"/>
      <c r="Y32" s="123"/>
      <c r="Z32" s="123"/>
      <c r="AA32" s="123"/>
      <c r="AB32" s="123"/>
      <c r="AC32" s="123"/>
      <c r="AD32" s="123"/>
      <c r="AE32" s="255"/>
      <c r="AF32" s="255"/>
      <c r="AG32" s="255"/>
      <c r="AH32" s="255"/>
      <c r="AI32" s="255"/>
      <c r="AJ32" s="255"/>
      <c r="AK32" s="255"/>
      <c r="AL32" s="256"/>
      <c r="AM32" s="256"/>
      <c r="AN32" s="256"/>
      <c r="AO32" s="256"/>
      <c r="AP32" s="256"/>
      <c r="AQ32" s="256"/>
      <c r="AR32" s="256"/>
      <c r="AS32" s="123"/>
      <c r="AT32" s="123"/>
      <c r="AU32" s="123"/>
      <c r="AV32" s="123"/>
      <c r="AW32" s="123"/>
      <c r="AX32" s="123"/>
      <c r="AY32" s="123"/>
      <c r="AZ32" s="255"/>
      <c r="BA32" s="255"/>
      <c r="BB32" s="255"/>
      <c r="BC32" s="255"/>
      <c r="BD32" s="255"/>
      <c r="BE32" s="255"/>
      <c r="BF32" s="255"/>
      <c r="BG32" s="256"/>
      <c r="BH32" s="256"/>
      <c r="BI32" s="256"/>
      <c r="BJ32" s="256"/>
      <c r="BK32" s="256"/>
      <c r="BL32" s="256"/>
      <c r="BM32" s="256"/>
      <c r="BN32" s="123"/>
      <c r="BO32" s="123"/>
      <c r="BP32" s="123"/>
      <c r="BQ32" s="123"/>
      <c r="BR32" s="123"/>
      <c r="BS32" s="123"/>
      <c r="BT32" s="123"/>
      <c r="BU32" s="255"/>
      <c r="BV32" s="255"/>
      <c r="BW32" s="255"/>
      <c r="BX32" s="255"/>
      <c r="BY32" s="255"/>
      <c r="BZ32" s="255"/>
      <c r="CA32" s="255"/>
      <c r="CB32" s="256"/>
      <c r="CC32" s="256"/>
      <c r="CD32" s="256"/>
      <c r="CE32" s="256"/>
      <c r="CF32" s="256"/>
      <c r="CG32" s="256"/>
      <c r="CH32" s="256"/>
      <c r="CI32" s="458"/>
      <c r="CJ32" s="458"/>
      <c r="CK32" s="458"/>
      <c r="CL32" s="458"/>
      <c r="CM32" s="458"/>
      <c r="CN32" s="458"/>
      <c r="CO32" s="458"/>
      <c r="CP32" s="459"/>
      <c r="CQ32" s="459"/>
      <c r="CR32" s="459"/>
      <c r="CS32" s="459"/>
      <c r="CT32" s="459"/>
      <c r="CU32" s="459"/>
      <c r="CV32" s="459"/>
      <c r="CW32" s="256"/>
      <c r="CX32" s="256"/>
      <c r="CY32" s="256"/>
      <c r="CZ32" s="256"/>
      <c r="DA32" s="256"/>
      <c r="DB32" s="256"/>
      <c r="DC32" s="256"/>
      <c r="DD32" s="257" t="str">
        <f t="shared" si="15"/>
        <v/>
      </c>
      <c r="DE32" s="257" t="str">
        <f t="shared" si="16"/>
        <v/>
      </c>
      <c r="DF32" s="257" t="str">
        <f t="shared" si="17"/>
        <v/>
      </c>
      <c r="DG32" s="257" t="str">
        <f t="shared" si="18"/>
        <v/>
      </c>
      <c r="DH32" s="257" t="str">
        <f t="shared" si="19"/>
        <v/>
      </c>
      <c r="DI32" s="257" t="str">
        <f t="shared" si="20"/>
        <v/>
      </c>
      <c r="DJ32" s="257" t="str">
        <f t="shared" si="21"/>
        <v/>
      </c>
      <c r="DK32" s="756" t="str">
        <f t="shared" si="22"/>
        <v/>
      </c>
      <c r="DL32" s="291" t="str">
        <f t="shared" si="23"/>
        <v xml:space="preserve">  </v>
      </c>
      <c r="DM32" s="243" t="str">
        <f t="shared" si="24"/>
        <v xml:space="preserve"> </v>
      </c>
      <c r="DN32" s="39"/>
      <c r="DO32" s="39"/>
      <c r="DP32" s="257">
        <f t="shared" si="25"/>
        <v>0</v>
      </c>
      <c r="DQ32" s="257">
        <f t="shared" si="26"/>
        <v>0</v>
      </c>
      <c r="DR32" s="257">
        <f t="shared" si="27"/>
        <v>0</v>
      </c>
      <c r="DS32" s="257">
        <f t="shared" si="28"/>
        <v>0</v>
      </c>
      <c r="DT32" s="257">
        <f t="shared" si="29"/>
        <v>0</v>
      </c>
      <c r="DU32" s="257">
        <f t="shared" si="30"/>
        <v>0</v>
      </c>
      <c r="DV32" s="257">
        <f t="shared" si="31"/>
        <v>0</v>
      </c>
      <c r="DW32" s="257"/>
      <c r="DX32" s="257"/>
      <c r="DY32" s="257"/>
      <c r="DZ32" s="257"/>
      <c r="EA32" s="232">
        <f t="shared" si="32"/>
        <v>0</v>
      </c>
      <c r="EB32" s="257">
        <f t="shared" si="33"/>
        <v>0</v>
      </c>
      <c r="EC32" s="257">
        <f t="shared" si="34"/>
        <v>0</v>
      </c>
      <c r="ED32" s="257">
        <f t="shared" si="35"/>
        <v>0</v>
      </c>
      <c r="EE32" s="257">
        <f t="shared" si="36"/>
        <v>0</v>
      </c>
      <c r="EF32" s="257">
        <f t="shared" si="37"/>
        <v>0</v>
      </c>
      <c r="EG32" s="257">
        <f t="shared" si="38"/>
        <v>0</v>
      </c>
      <c r="EH32" s="257">
        <f t="shared" si="39"/>
        <v>0</v>
      </c>
      <c r="EI32" s="257"/>
      <c r="EJ32" s="257"/>
      <c r="EK32" s="257"/>
      <c r="EL32" s="257"/>
      <c r="EM32" s="232">
        <f t="shared" si="40"/>
        <v>0</v>
      </c>
      <c r="EN32" s="257">
        <f t="shared" si="41"/>
        <v>0</v>
      </c>
      <c r="EO32" s="257">
        <f t="shared" si="42"/>
        <v>0</v>
      </c>
      <c r="EP32" s="257">
        <f t="shared" si="43"/>
        <v>0</v>
      </c>
      <c r="EQ32" s="257">
        <f t="shared" si="44"/>
        <v>0</v>
      </c>
      <c r="ER32" s="257">
        <f t="shared" si="45"/>
        <v>0</v>
      </c>
      <c r="ES32" s="257">
        <f t="shared" si="46"/>
        <v>0</v>
      </c>
      <c r="ET32" s="257">
        <f t="shared" si="47"/>
        <v>0</v>
      </c>
      <c r="EU32" s="257"/>
      <c r="EV32" s="257"/>
      <c r="EW32" s="257"/>
      <c r="EX32" s="257"/>
      <c r="EY32" s="232">
        <f t="shared" si="48"/>
        <v>0</v>
      </c>
      <c r="EZ32" s="257">
        <f t="shared" si="49"/>
        <v>0</v>
      </c>
      <c r="FA32" s="257">
        <f t="shared" si="50"/>
        <v>0</v>
      </c>
      <c r="FB32" s="257">
        <f t="shared" si="51"/>
        <v>0</v>
      </c>
      <c r="FC32" s="575">
        <f t="shared" si="52"/>
        <v>3</v>
      </c>
      <c r="FD32" s="506">
        <f t="shared" si="53"/>
        <v>0</v>
      </c>
      <c r="FE32" s="39" t="str">
        <f t="shared" si="54"/>
        <v/>
      </c>
      <c r="FF32" s="257">
        <f t="shared" si="55"/>
        <v>0</v>
      </c>
      <c r="FG32" s="257">
        <f t="shared" si="56"/>
        <v>0</v>
      </c>
      <c r="FH32" s="257">
        <f t="shared" si="57"/>
        <v>0</v>
      </c>
      <c r="FI32" s="575">
        <f t="shared" si="58"/>
        <v>3</v>
      </c>
      <c r="FJ32" s="506">
        <f t="shared" si="59"/>
        <v>0</v>
      </c>
      <c r="FK32" s="39" t="str">
        <f t="shared" si="60"/>
        <v/>
      </c>
      <c r="FL32" s="257">
        <f t="shared" si="61"/>
        <v>0</v>
      </c>
      <c r="FM32" s="257">
        <f t="shared" si="62"/>
        <v>0</v>
      </c>
      <c r="FN32" s="257">
        <f t="shared" si="63"/>
        <v>0</v>
      </c>
      <c r="FO32" s="575">
        <f t="shared" si="64"/>
        <v>3</v>
      </c>
      <c r="FP32" s="506">
        <f t="shared" si="65"/>
        <v>0</v>
      </c>
      <c r="FQ32" s="39" t="str">
        <f t="shared" si="66"/>
        <v/>
      </c>
      <c r="FR32" s="257">
        <f t="shared" si="67"/>
        <v>0</v>
      </c>
      <c r="FS32" s="257">
        <f t="shared" si="68"/>
        <v>0</v>
      </c>
      <c r="FT32" s="257">
        <f t="shared" si="69"/>
        <v>0</v>
      </c>
      <c r="FU32" s="575">
        <f t="shared" si="70"/>
        <v>3</v>
      </c>
      <c r="FV32" s="506">
        <f t="shared" si="71"/>
        <v>0</v>
      </c>
      <c r="FW32" s="39" t="str">
        <f t="shared" si="72"/>
        <v/>
      </c>
      <c r="FX32" s="257">
        <f t="shared" si="73"/>
        <v>0</v>
      </c>
      <c r="FY32" s="257">
        <f t="shared" si="74"/>
        <v>0</v>
      </c>
      <c r="FZ32" s="257">
        <f t="shared" si="75"/>
        <v>0</v>
      </c>
      <c r="GA32" s="575">
        <f t="shared" si="76"/>
        <v>3</v>
      </c>
      <c r="GB32" s="506">
        <f t="shared" si="77"/>
        <v>0</v>
      </c>
      <c r="GC32" s="39" t="str">
        <f t="shared" si="78"/>
        <v/>
      </c>
      <c r="GD32" s="257">
        <f t="shared" si="79"/>
        <v>0</v>
      </c>
      <c r="GE32" s="257">
        <f t="shared" si="80"/>
        <v>0</v>
      </c>
      <c r="GF32" s="257">
        <f t="shared" si="81"/>
        <v>0</v>
      </c>
      <c r="GG32" s="575">
        <f t="shared" si="82"/>
        <v>3</v>
      </c>
      <c r="GH32" s="506">
        <f t="shared" si="83"/>
        <v>0</v>
      </c>
      <c r="GI32" s="39" t="str">
        <f t="shared" si="84"/>
        <v/>
      </c>
      <c r="GJ32" s="257">
        <f t="shared" si="85"/>
        <v>0</v>
      </c>
      <c r="GK32" s="257">
        <f t="shared" si="86"/>
        <v>0</v>
      </c>
      <c r="GL32" s="257">
        <f t="shared" si="87"/>
        <v>0</v>
      </c>
      <c r="GM32" s="575">
        <f t="shared" si="88"/>
        <v>3</v>
      </c>
      <c r="GN32" s="506">
        <f t="shared" si="89"/>
        <v>0</v>
      </c>
      <c r="GO32" s="39" t="str">
        <f t="shared" si="90"/>
        <v/>
      </c>
      <c r="GP32" s="257">
        <f t="shared" si="91"/>
        <v>0</v>
      </c>
      <c r="GQ32" s="257">
        <f t="shared" si="92"/>
        <v>0</v>
      </c>
      <c r="GR32" s="257">
        <f t="shared" si="93"/>
        <v>0</v>
      </c>
      <c r="GS32" s="575">
        <f t="shared" si="94"/>
        <v>3</v>
      </c>
      <c r="GT32" s="506">
        <f t="shared" si="95"/>
        <v>0</v>
      </c>
      <c r="GU32" s="39" t="str">
        <f t="shared" si="96"/>
        <v/>
      </c>
      <c r="GV32" s="257">
        <f t="shared" si="97"/>
        <v>0</v>
      </c>
      <c r="GW32" s="257">
        <f t="shared" si="98"/>
        <v>0</v>
      </c>
      <c r="GX32" s="257">
        <f t="shared" si="99"/>
        <v>0</v>
      </c>
      <c r="GY32" s="575">
        <f t="shared" si="100"/>
        <v>3</v>
      </c>
      <c r="GZ32" s="506">
        <f t="shared" si="101"/>
        <v>0</v>
      </c>
      <c r="HA32" s="39" t="str">
        <f t="shared" si="102"/>
        <v/>
      </c>
      <c r="HB32" s="257">
        <f t="shared" si="103"/>
        <v>0</v>
      </c>
      <c r="HC32" s="257">
        <f t="shared" si="104"/>
        <v>0</v>
      </c>
      <c r="HD32" s="257">
        <f t="shared" si="105"/>
        <v>0</v>
      </c>
      <c r="HE32" s="575">
        <f t="shared" si="106"/>
        <v>3</v>
      </c>
      <c r="HF32" s="506">
        <f t="shared" si="107"/>
        <v>0</v>
      </c>
      <c r="HG32" s="39" t="str">
        <f t="shared" si="108"/>
        <v/>
      </c>
      <c r="HH32" s="257">
        <f t="shared" si="109"/>
        <v>0</v>
      </c>
      <c r="HI32" s="257">
        <f t="shared" si="110"/>
        <v>0</v>
      </c>
      <c r="HJ32" s="257">
        <f t="shared" si="111"/>
        <v>0</v>
      </c>
      <c r="HK32" s="575">
        <f t="shared" si="112"/>
        <v>3</v>
      </c>
      <c r="HL32" s="506">
        <f t="shared" si="113"/>
        <v>0</v>
      </c>
      <c r="HM32" s="39" t="str">
        <f t="shared" si="114"/>
        <v/>
      </c>
      <c r="HN32" s="39"/>
      <c r="HO32" s="39" t="str">
        <f t="shared" si="115"/>
        <v/>
      </c>
      <c r="HP32" s="39" t="str">
        <f t="shared" si="116"/>
        <v/>
      </c>
      <c r="HQ32" s="39" t="str">
        <f t="shared" si="117"/>
        <v/>
      </c>
      <c r="HR32" s="39" t="str">
        <f t="shared" si="118"/>
        <v/>
      </c>
      <c r="HS32" s="39" t="str">
        <f t="shared" si="119"/>
        <v/>
      </c>
      <c r="HT32" s="39" t="str">
        <f t="shared" si="120"/>
        <v/>
      </c>
      <c r="HU32" s="39" t="str">
        <f t="shared" si="121"/>
        <v/>
      </c>
      <c r="HV32" s="39"/>
      <c r="HW32" s="39"/>
      <c r="HX32" s="39"/>
      <c r="HY32" s="39"/>
      <c r="HZ32" s="39" t="str">
        <f t="shared" si="122"/>
        <v/>
      </c>
      <c r="IA32" s="68">
        <f t="shared" si="123"/>
        <v>0</v>
      </c>
      <c r="IB32" s="68">
        <f t="shared" si="124"/>
        <v>0</v>
      </c>
      <c r="IC32" s="39">
        <f>SISWA!E30</f>
        <v>0</v>
      </c>
      <c r="ID32" s="39" t="str">
        <f t="shared" si="125"/>
        <v/>
      </c>
      <c r="IE32" s="207" t="str">
        <f t="shared" si="126"/>
        <v/>
      </c>
      <c r="IF32" s="207" t="str">
        <f t="shared" si="127"/>
        <v/>
      </c>
      <c r="IG32" s="207" t="str">
        <f t="shared" si="128"/>
        <v/>
      </c>
      <c r="IH32" s="207" t="str">
        <f t="shared" si="129"/>
        <v/>
      </c>
      <c r="II32" s="207" t="str">
        <f t="shared" si="130"/>
        <v/>
      </c>
      <c r="IJ32" s="207" t="str">
        <f t="shared" si="131"/>
        <v/>
      </c>
      <c r="IK32" s="207" t="str">
        <f t="shared" si="132"/>
        <v/>
      </c>
      <c r="IL32" s="207"/>
      <c r="IM32" s="207"/>
      <c r="IN32" s="207"/>
      <c r="IO32" s="207"/>
      <c r="IP32" s="39">
        <f t="shared" si="133"/>
        <v>0</v>
      </c>
      <c r="IQ32" s="68" t="e">
        <f t="shared" si="134"/>
        <v>#N/A</v>
      </c>
      <c r="IR32" s="576" t="e">
        <f>IF(IA32&gt;100,"",IF(IA32&gt;DQ$1,"sangat baik dalam "&amp;IQ32,IF(IA32&gt;=DQ$2,"baik dalam "&amp;IQ32,IF(IA32&gt;=DQ$3,"cukup dalam "&amp;IQ32,IF(IA32&lt;DQ$3,"dengan bimbingan dapat meningkatkan dalam "&amp;IQ32,IF(IA32&lt;1," ",””))))))</f>
        <v>#N/A</v>
      </c>
      <c r="IS32" s="223"/>
      <c r="IT32" s="223" t="str">
        <f t="shared" si="135"/>
        <v/>
      </c>
      <c r="IU32" s="223" t="str">
        <f t="shared" si="136"/>
        <v/>
      </c>
      <c r="IV32" s="223" t="str">
        <f t="shared" si="137"/>
        <v/>
      </c>
      <c r="IW32" s="223" t="str">
        <f t="shared" si="138"/>
        <v/>
      </c>
      <c r="IX32" s="223" t="str">
        <f t="shared" si="139"/>
        <v/>
      </c>
      <c r="IY32" s="223" t="str">
        <f t="shared" si="140"/>
        <v/>
      </c>
      <c r="IZ32" s="223" t="str">
        <f t="shared" si="141"/>
        <v/>
      </c>
      <c r="JA32" s="223"/>
      <c r="JB32" s="223"/>
      <c r="JC32" s="223"/>
      <c r="JD32" s="223"/>
      <c r="JE32" s="223" t="e">
        <f t="shared" si="142"/>
        <v>#N/A</v>
      </c>
      <c r="JF32" s="577" t="e">
        <f>IF(IB32&gt;100,"",IF(IB32&gt;=DQ$1,"sangat baik dalam "&amp;JE32,IF(IB32&gt;=DQ$2,"baik dalam "&amp;JE32,IF(IB32&gt;=DQ$3,"cukup dalam "&amp;JE32,IF(IB32&lt;DQ$3,"dengan bimbingan dapat meningkatkan dalam "&amp;JE32,IF(IB32&lt;1," ",””))))))</f>
        <v>#N/A</v>
      </c>
      <c r="JG32" s="223" t="e">
        <f t="shared" si="143"/>
        <v>#N/A</v>
      </c>
    </row>
    <row r="33" spans="1:267" ht="30" customHeight="1">
      <c r="A33" s="39">
        <v>26</v>
      </c>
      <c r="B33" s="223">
        <f>SISWA!B31</f>
        <v>0</v>
      </c>
      <c r="C33" s="123"/>
      <c r="D33" s="123"/>
      <c r="E33" s="123"/>
      <c r="F33" s="123"/>
      <c r="G33" s="123"/>
      <c r="H33" s="123"/>
      <c r="I33" s="123"/>
      <c r="J33" s="255"/>
      <c r="K33" s="255"/>
      <c r="L33" s="255"/>
      <c r="M33" s="255"/>
      <c r="N33" s="255"/>
      <c r="O33" s="255"/>
      <c r="P33" s="255"/>
      <c r="Q33" s="256"/>
      <c r="R33" s="256"/>
      <c r="S33" s="256"/>
      <c r="T33" s="256"/>
      <c r="U33" s="256"/>
      <c r="V33" s="256"/>
      <c r="W33" s="256"/>
      <c r="X33" s="123"/>
      <c r="Y33" s="123"/>
      <c r="Z33" s="123"/>
      <c r="AA33" s="123"/>
      <c r="AB33" s="123"/>
      <c r="AC33" s="123"/>
      <c r="AD33" s="123"/>
      <c r="AE33" s="255"/>
      <c r="AF33" s="255"/>
      <c r="AG33" s="255"/>
      <c r="AH33" s="255"/>
      <c r="AI33" s="255"/>
      <c r="AJ33" s="255"/>
      <c r="AK33" s="255"/>
      <c r="AL33" s="256"/>
      <c r="AM33" s="256"/>
      <c r="AN33" s="256"/>
      <c r="AO33" s="256"/>
      <c r="AP33" s="256"/>
      <c r="AQ33" s="256"/>
      <c r="AR33" s="256"/>
      <c r="AS33" s="123"/>
      <c r="AT33" s="123"/>
      <c r="AU33" s="123"/>
      <c r="AV33" s="123"/>
      <c r="AW33" s="123"/>
      <c r="AX33" s="123"/>
      <c r="AY33" s="123"/>
      <c r="AZ33" s="255"/>
      <c r="BA33" s="255"/>
      <c r="BB33" s="255"/>
      <c r="BC33" s="255"/>
      <c r="BD33" s="255"/>
      <c r="BE33" s="255"/>
      <c r="BF33" s="255"/>
      <c r="BG33" s="256"/>
      <c r="BH33" s="256"/>
      <c r="BI33" s="256"/>
      <c r="BJ33" s="256"/>
      <c r="BK33" s="256"/>
      <c r="BL33" s="256"/>
      <c r="BM33" s="256"/>
      <c r="BN33" s="123"/>
      <c r="BO33" s="123"/>
      <c r="BP33" s="123"/>
      <c r="BQ33" s="123"/>
      <c r="BR33" s="123"/>
      <c r="BS33" s="123"/>
      <c r="BT33" s="123"/>
      <c r="BU33" s="255"/>
      <c r="BV33" s="255"/>
      <c r="BW33" s="255"/>
      <c r="BX33" s="255"/>
      <c r="BY33" s="255"/>
      <c r="BZ33" s="255"/>
      <c r="CA33" s="255"/>
      <c r="CB33" s="256"/>
      <c r="CC33" s="256"/>
      <c r="CD33" s="256"/>
      <c r="CE33" s="256"/>
      <c r="CF33" s="256"/>
      <c r="CG33" s="256"/>
      <c r="CH33" s="256"/>
      <c r="CI33" s="458"/>
      <c r="CJ33" s="458"/>
      <c r="CK33" s="458"/>
      <c r="CL33" s="458"/>
      <c r="CM33" s="458"/>
      <c r="CN33" s="458"/>
      <c r="CO33" s="458"/>
      <c r="CP33" s="459"/>
      <c r="CQ33" s="459"/>
      <c r="CR33" s="459"/>
      <c r="CS33" s="459"/>
      <c r="CT33" s="459"/>
      <c r="CU33" s="459"/>
      <c r="CV33" s="459"/>
      <c r="CW33" s="256"/>
      <c r="CX33" s="256"/>
      <c r="CY33" s="256"/>
      <c r="CZ33" s="256"/>
      <c r="DA33" s="256"/>
      <c r="DB33" s="256"/>
      <c r="DC33" s="256"/>
      <c r="DD33" s="257" t="str">
        <f t="shared" si="15"/>
        <v/>
      </c>
      <c r="DE33" s="257" t="str">
        <f t="shared" si="16"/>
        <v/>
      </c>
      <c r="DF33" s="257" t="str">
        <f t="shared" si="17"/>
        <v/>
      </c>
      <c r="DG33" s="257" t="str">
        <f t="shared" si="18"/>
        <v/>
      </c>
      <c r="DH33" s="257" t="str">
        <f t="shared" si="19"/>
        <v/>
      </c>
      <c r="DI33" s="257" t="str">
        <f t="shared" si="20"/>
        <v/>
      </c>
      <c r="DJ33" s="257" t="str">
        <f t="shared" si="21"/>
        <v/>
      </c>
      <c r="DK33" s="756" t="str">
        <f t="shared" si="22"/>
        <v/>
      </c>
      <c r="DL33" s="291" t="str">
        <f t="shared" si="23"/>
        <v xml:space="preserve">  </v>
      </c>
      <c r="DM33" s="243" t="str">
        <f t="shared" si="24"/>
        <v xml:space="preserve"> </v>
      </c>
      <c r="DN33" s="39"/>
      <c r="DO33" s="39"/>
      <c r="DP33" s="257">
        <f t="shared" si="25"/>
        <v>0</v>
      </c>
      <c r="DQ33" s="257">
        <f t="shared" si="26"/>
        <v>0</v>
      </c>
      <c r="DR33" s="257">
        <f t="shared" si="27"/>
        <v>0</v>
      </c>
      <c r="DS33" s="257">
        <f t="shared" si="28"/>
        <v>0</v>
      </c>
      <c r="DT33" s="257">
        <f t="shared" si="29"/>
        <v>0</v>
      </c>
      <c r="DU33" s="257">
        <f t="shared" si="30"/>
        <v>0</v>
      </c>
      <c r="DV33" s="257">
        <f t="shared" si="31"/>
        <v>0</v>
      </c>
      <c r="DW33" s="257"/>
      <c r="DX33" s="257"/>
      <c r="DY33" s="257"/>
      <c r="DZ33" s="257"/>
      <c r="EA33" s="232">
        <f t="shared" si="32"/>
        <v>0</v>
      </c>
      <c r="EB33" s="257">
        <f t="shared" si="33"/>
        <v>0</v>
      </c>
      <c r="EC33" s="257">
        <f t="shared" si="34"/>
        <v>0</v>
      </c>
      <c r="ED33" s="257">
        <f t="shared" si="35"/>
        <v>0</v>
      </c>
      <c r="EE33" s="257">
        <f t="shared" si="36"/>
        <v>0</v>
      </c>
      <c r="EF33" s="257">
        <f t="shared" si="37"/>
        <v>0</v>
      </c>
      <c r="EG33" s="257">
        <f t="shared" si="38"/>
        <v>0</v>
      </c>
      <c r="EH33" s="257">
        <f t="shared" si="39"/>
        <v>0</v>
      </c>
      <c r="EI33" s="257"/>
      <c r="EJ33" s="257"/>
      <c r="EK33" s="257"/>
      <c r="EL33" s="257"/>
      <c r="EM33" s="232">
        <f t="shared" si="40"/>
        <v>0</v>
      </c>
      <c r="EN33" s="257">
        <f t="shared" si="41"/>
        <v>0</v>
      </c>
      <c r="EO33" s="257">
        <f t="shared" si="42"/>
        <v>0</v>
      </c>
      <c r="EP33" s="257">
        <f t="shared" si="43"/>
        <v>0</v>
      </c>
      <c r="EQ33" s="257">
        <f t="shared" si="44"/>
        <v>0</v>
      </c>
      <c r="ER33" s="257">
        <f t="shared" si="45"/>
        <v>0</v>
      </c>
      <c r="ES33" s="257">
        <f t="shared" si="46"/>
        <v>0</v>
      </c>
      <c r="ET33" s="257">
        <f t="shared" si="47"/>
        <v>0</v>
      </c>
      <c r="EU33" s="257"/>
      <c r="EV33" s="257"/>
      <c r="EW33" s="257"/>
      <c r="EX33" s="257"/>
      <c r="EY33" s="232">
        <f t="shared" si="48"/>
        <v>0</v>
      </c>
      <c r="EZ33" s="257">
        <f t="shared" si="49"/>
        <v>0</v>
      </c>
      <c r="FA33" s="257">
        <f t="shared" si="50"/>
        <v>0</v>
      </c>
      <c r="FB33" s="257">
        <f t="shared" si="51"/>
        <v>0</v>
      </c>
      <c r="FC33" s="575">
        <f t="shared" si="52"/>
        <v>3</v>
      </c>
      <c r="FD33" s="506">
        <f t="shared" si="53"/>
        <v>0</v>
      </c>
      <c r="FE33" s="39" t="str">
        <f t="shared" si="54"/>
        <v/>
      </c>
      <c r="FF33" s="257">
        <f t="shared" si="55"/>
        <v>0</v>
      </c>
      <c r="FG33" s="257">
        <f t="shared" si="56"/>
        <v>0</v>
      </c>
      <c r="FH33" s="257">
        <f t="shared" si="57"/>
        <v>0</v>
      </c>
      <c r="FI33" s="575">
        <f t="shared" si="58"/>
        <v>3</v>
      </c>
      <c r="FJ33" s="506">
        <f t="shared" si="59"/>
        <v>0</v>
      </c>
      <c r="FK33" s="39" t="str">
        <f t="shared" si="60"/>
        <v/>
      </c>
      <c r="FL33" s="257">
        <f t="shared" si="61"/>
        <v>0</v>
      </c>
      <c r="FM33" s="257">
        <f t="shared" si="62"/>
        <v>0</v>
      </c>
      <c r="FN33" s="257">
        <f t="shared" si="63"/>
        <v>0</v>
      </c>
      <c r="FO33" s="575">
        <f t="shared" si="64"/>
        <v>3</v>
      </c>
      <c r="FP33" s="506">
        <f t="shared" si="65"/>
        <v>0</v>
      </c>
      <c r="FQ33" s="39" t="str">
        <f t="shared" si="66"/>
        <v/>
      </c>
      <c r="FR33" s="257">
        <f t="shared" si="67"/>
        <v>0</v>
      </c>
      <c r="FS33" s="257">
        <f t="shared" si="68"/>
        <v>0</v>
      </c>
      <c r="FT33" s="257">
        <f t="shared" si="69"/>
        <v>0</v>
      </c>
      <c r="FU33" s="575">
        <f t="shared" si="70"/>
        <v>3</v>
      </c>
      <c r="FV33" s="506">
        <f t="shared" si="71"/>
        <v>0</v>
      </c>
      <c r="FW33" s="39" t="str">
        <f t="shared" si="72"/>
        <v/>
      </c>
      <c r="FX33" s="257">
        <f t="shared" si="73"/>
        <v>0</v>
      </c>
      <c r="FY33" s="257">
        <f t="shared" si="74"/>
        <v>0</v>
      </c>
      <c r="FZ33" s="257">
        <f t="shared" si="75"/>
        <v>0</v>
      </c>
      <c r="GA33" s="575">
        <f t="shared" si="76"/>
        <v>3</v>
      </c>
      <c r="GB33" s="506">
        <f t="shared" si="77"/>
        <v>0</v>
      </c>
      <c r="GC33" s="39" t="str">
        <f t="shared" si="78"/>
        <v/>
      </c>
      <c r="GD33" s="257">
        <f t="shared" si="79"/>
        <v>0</v>
      </c>
      <c r="GE33" s="257">
        <f t="shared" si="80"/>
        <v>0</v>
      </c>
      <c r="GF33" s="257">
        <f t="shared" si="81"/>
        <v>0</v>
      </c>
      <c r="GG33" s="575">
        <f t="shared" si="82"/>
        <v>3</v>
      </c>
      <c r="GH33" s="506">
        <f t="shared" si="83"/>
        <v>0</v>
      </c>
      <c r="GI33" s="39" t="str">
        <f t="shared" si="84"/>
        <v/>
      </c>
      <c r="GJ33" s="257">
        <f t="shared" si="85"/>
        <v>0</v>
      </c>
      <c r="GK33" s="257">
        <f t="shared" si="86"/>
        <v>0</v>
      </c>
      <c r="GL33" s="257">
        <f t="shared" si="87"/>
        <v>0</v>
      </c>
      <c r="GM33" s="575">
        <f t="shared" si="88"/>
        <v>3</v>
      </c>
      <c r="GN33" s="506">
        <f t="shared" si="89"/>
        <v>0</v>
      </c>
      <c r="GO33" s="39" t="str">
        <f t="shared" si="90"/>
        <v/>
      </c>
      <c r="GP33" s="257">
        <f t="shared" si="91"/>
        <v>0</v>
      </c>
      <c r="GQ33" s="257">
        <f t="shared" si="92"/>
        <v>0</v>
      </c>
      <c r="GR33" s="257">
        <f t="shared" si="93"/>
        <v>0</v>
      </c>
      <c r="GS33" s="575">
        <f t="shared" si="94"/>
        <v>3</v>
      </c>
      <c r="GT33" s="506">
        <f t="shared" si="95"/>
        <v>0</v>
      </c>
      <c r="GU33" s="39" t="str">
        <f t="shared" si="96"/>
        <v/>
      </c>
      <c r="GV33" s="257">
        <f t="shared" si="97"/>
        <v>0</v>
      </c>
      <c r="GW33" s="257">
        <f t="shared" si="98"/>
        <v>0</v>
      </c>
      <c r="GX33" s="257">
        <f t="shared" si="99"/>
        <v>0</v>
      </c>
      <c r="GY33" s="575">
        <f t="shared" si="100"/>
        <v>3</v>
      </c>
      <c r="GZ33" s="506">
        <f t="shared" si="101"/>
        <v>0</v>
      </c>
      <c r="HA33" s="39" t="str">
        <f t="shared" si="102"/>
        <v/>
      </c>
      <c r="HB33" s="257">
        <f t="shared" si="103"/>
        <v>0</v>
      </c>
      <c r="HC33" s="257">
        <f t="shared" si="104"/>
        <v>0</v>
      </c>
      <c r="HD33" s="257">
        <f t="shared" si="105"/>
        <v>0</v>
      </c>
      <c r="HE33" s="575">
        <f t="shared" si="106"/>
        <v>3</v>
      </c>
      <c r="HF33" s="506">
        <f t="shared" si="107"/>
        <v>0</v>
      </c>
      <c r="HG33" s="39" t="str">
        <f t="shared" si="108"/>
        <v/>
      </c>
      <c r="HH33" s="257">
        <f t="shared" si="109"/>
        <v>0</v>
      </c>
      <c r="HI33" s="257">
        <f t="shared" si="110"/>
        <v>0</v>
      </c>
      <c r="HJ33" s="257">
        <f t="shared" si="111"/>
        <v>0</v>
      </c>
      <c r="HK33" s="575">
        <f t="shared" si="112"/>
        <v>3</v>
      </c>
      <c r="HL33" s="506">
        <f t="shared" si="113"/>
        <v>0</v>
      </c>
      <c r="HM33" s="39" t="str">
        <f t="shared" si="114"/>
        <v/>
      </c>
      <c r="HN33" s="39"/>
      <c r="HO33" s="39" t="str">
        <f t="shared" si="115"/>
        <v/>
      </c>
      <c r="HP33" s="39" t="str">
        <f t="shared" si="116"/>
        <v/>
      </c>
      <c r="HQ33" s="39" t="str">
        <f t="shared" si="117"/>
        <v/>
      </c>
      <c r="HR33" s="39" t="str">
        <f t="shared" si="118"/>
        <v/>
      </c>
      <c r="HS33" s="39" t="str">
        <f t="shared" si="119"/>
        <v/>
      </c>
      <c r="HT33" s="39" t="str">
        <f t="shared" si="120"/>
        <v/>
      </c>
      <c r="HU33" s="39" t="str">
        <f t="shared" si="121"/>
        <v/>
      </c>
      <c r="HV33" s="39"/>
      <c r="HW33" s="39"/>
      <c r="HX33" s="39"/>
      <c r="HY33" s="39"/>
      <c r="HZ33" s="39" t="str">
        <f t="shared" si="122"/>
        <v/>
      </c>
      <c r="IA33" s="68">
        <f t="shared" si="123"/>
        <v>0</v>
      </c>
      <c r="IB33" s="68">
        <f t="shared" si="124"/>
        <v>0</v>
      </c>
      <c r="IC33" s="39">
        <f>SISWA!E31</f>
        <v>0</v>
      </c>
      <c r="ID33" s="39" t="str">
        <f t="shared" si="125"/>
        <v/>
      </c>
      <c r="IE33" s="207" t="str">
        <f t="shared" si="126"/>
        <v/>
      </c>
      <c r="IF33" s="207" t="str">
        <f t="shared" si="127"/>
        <v/>
      </c>
      <c r="IG33" s="207" t="str">
        <f t="shared" si="128"/>
        <v/>
      </c>
      <c r="IH33" s="207" t="str">
        <f t="shared" si="129"/>
        <v/>
      </c>
      <c r="II33" s="207" t="str">
        <f t="shared" si="130"/>
        <v/>
      </c>
      <c r="IJ33" s="207" t="str">
        <f t="shared" si="131"/>
        <v/>
      </c>
      <c r="IK33" s="207" t="str">
        <f t="shared" si="132"/>
        <v/>
      </c>
      <c r="IL33" s="207"/>
      <c r="IM33" s="207"/>
      <c r="IN33" s="207"/>
      <c r="IO33" s="207"/>
      <c r="IP33" s="39">
        <f t="shared" si="133"/>
        <v>0</v>
      </c>
      <c r="IQ33" s="68" t="e">
        <f t="shared" si="134"/>
        <v>#N/A</v>
      </c>
      <c r="IR33" s="576" t="e">
        <f>IF(IA33&gt;100,"",IF(IA33&gt;DQ$1,"sangat baik dalam "&amp;IQ33,IF(IA33&gt;=DQ$2,"baik dalam "&amp;IQ33,IF(IA33&gt;=DQ$3,"cukup dalam "&amp;IQ33,IF(IA33&lt;DQ$3,"dengan bimbingan dapat meningkatkan dalam "&amp;IQ33,IF(IA33&lt;1," ",””))))))</f>
        <v>#N/A</v>
      </c>
      <c r="IS33" s="223"/>
      <c r="IT33" s="223" t="str">
        <f t="shared" si="135"/>
        <v/>
      </c>
      <c r="IU33" s="223" t="str">
        <f t="shared" si="136"/>
        <v/>
      </c>
      <c r="IV33" s="223" t="str">
        <f t="shared" si="137"/>
        <v/>
      </c>
      <c r="IW33" s="223" t="str">
        <f t="shared" si="138"/>
        <v/>
      </c>
      <c r="IX33" s="223" t="str">
        <f t="shared" si="139"/>
        <v/>
      </c>
      <c r="IY33" s="223" t="str">
        <f t="shared" si="140"/>
        <v/>
      </c>
      <c r="IZ33" s="223" t="str">
        <f t="shared" si="141"/>
        <v/>
      </c>
      <c r="JA33" s="223"/>
      <c r="JB33" s="223"/>
      <c r="JC33" s="223"/>
      <c r="JD33" s="223"/>
      <c r="JE33" s="223" t="e">
        <f t="shared" si="142"/>
        <v>#N/A</v>
      </c>
      <c r="JF33" s="577" t="e">
        <f>IF(IB33&gt;100,"",IF(IB33&gt;=DQ$1,"sangat baik dalam "&amp;JE33,IF(IB33&gt;=DQ$2,"baik dalam "&amp;JE33,IF(IB33&gt;=DQ$3,"cukup dalam "&amp;JE33,IF(IB33&lt;DQ$3,"dengan bimbingan dapat meningkatkan dalam "&amp;JE33,IF(IB33&lt;1," ",””))))))</f>
        <v>#N/A</v>
      </c>
      <c r="JG33" s="223" t="e">
        <f t="shared" si="143"/>
        <v>#N/A</v>
      </c>
    </row>
    <row r="34" spans="1:267" ht="30" customHeight="1">
      <c r="A34" s="39">
        <v>27</v>
      </c>
      <c r="B34" s="223">
        <f>SISWA!B32</f>
        <v>0</v>
      </c>
      <c r="C34" s="123"/>
      <c r="D34" s="123"/>
      <c r="E34" s="123"/>
      <c r="F34" s="123"/>
      <c r="G34" s="123"/>
      <c r="H34" s="123"/>
      <c r="I34" s="123"/>
      <c r="J34" s="255"/>
      <c r="K34" s="255"/>
      <c r="L34" s="255"/>
      <c r="M34" s="255"/>
      <c r="N34" s="255"/>
      <c r="O34" s="255"/>
      <c r="P34" s="255"/>
      <c r="Q34" s="256"/>
      <c r="R34" s="256"/>
      <c r="S34" s="256"/>
      <c r="T34" s="256"/>
      <c r="U34" s="256"/>
      <c r="V34" s="256"/>
      <c r="W34" s="256"/>
      <c r="X34" s="123"/>
      <c r="Y34" s="123"/>
      <c r="Z34" s="123"/>
      <c r="AA34" s="123"/>
      <c r="AB34" s="123"/>
      <c r="AC34" s="123"/>
      <c r="AD34" s="123"/>
      <c r="AE34" s="255"/>
      <c r="AF34" s="255"/>
      <c r="AG34" s="255"/>
      <c r="AH34" s="255"/>
      <c r="AI34" s="255"/>
      <c r="AJ34" s="255"/>
      <c r="AK34" s="255"/>
      <c r="AL34" s="256"/>
      <c r="AM34" s="256"/>
      <c r="AN34" s="256"/>
      <c r="AO34" s="256"/>
      <c r="AP34" s="256"/>
      <c r="AQ34" s="256"/>
      <c r="AR34" s="256"/>
      <c r="AS34" s="123"/>
      <c r="AT34" s="123"/>
      <c r="AU34" s="123"/>
      <c r="AV34" s="123"/>
      <c r="AW34" s="123"/>
      <c r="AX34" s="123"/>
      <c r="AY34" s="123"/>
      <c r="AZ34" s="255"/>
      <c r="BA34" s="255"/>
      <c r="BB34" s="255"/>
      <c r="BC34" s="255"/>
      <c r="BD34" s="255"/>
      <c r="BE34" s="255"/>
      <c r="BF34" s="255"/>
      <c r="BG34" s="256"/>
      <c r="BH34" s="256"/>
      <c r="BI34" s="256"/>
      <c r="BJ34" s="256"/>
      <c r="BK34" s="256"/>
      <c r="BL34" s="256"/>
      <c r="BM34" s="256"/>
      <c r="BN34" s="123"/>
      <c r="BO34" s="123"/>
      <c r="BP34" s="123"/>
      <c r="BQ34" s="123"/>
      <c r="BR34" s="123"/>
      <c r="BS34" s="123"/>
      <c r="BT34" s="123"/>
      <c r="BU34" s="255"/>
      <c r="BV34" s="255"/>
      <c r="BW34" s="255"/>
      <c r="BX34" s="255"/>
      <c r="BY34" s="255"/>
      <c r="BZ34" s="255"/>
      <c r="CA34" s="255"/>
      <c r="CB34" s="256"/>
      <c r="CC34" s="256"/>
      <c r="CD34" s="256"/>
      <c r="CE34" s="256"/>
      <c r="CF34" s="256"/>
      <c r="CG34" s="256"/>
      <c r="CH34" s="256"/>
      <c r="CI34" s="458"/>
      <c r="CJ34" s="458"/>
      <c r="CK34" s="458"/>
      <c r="CL34" s="458"/>
      <c r="CM34" s="458"/>
      <c r="CN34" s="458"/>
      <c r="CO34" s="458"/>
      <c r="CP34" s="459"/>
      <c r="CQ34" s="459"/>
      <c r="CR34" s="459"/>
      <c r="CS34" s="459"/>
      <c r="CT34" s="459"/>
      <c r="CU34" s="459"/>
      <c r="CV34" s="459"/>
      <c r="CW34" s="256"/>
      <c r="CX34" s="256"/>
      <c r="CY34" s="256"/>
      <c r="CZ34" s="256"/>
      <c r="DA34" s="256"/>
      <c r="DB34" s="256"/>
      <c r="DC34" s="256"/>
      <c r="DD34" s="257" t="str">
        <f t="shared" si="15"/>
        <v/>
      </c>
      <c r="DE34" s="257" t="str">
        <f t="shared" si="16"/>
        <v/>
      </c>
      <c r="DF34" s="257" t="str">
        <f t="shared" si="17"/>
        <v/>
      </c>
      <c r="DG34" s="257" t="str">
        <f t="shared" si="18"/>
        <v/>
      </c>
      <c r="DH34" s="257" t="str">
        <f t="shared" si="19"/>
        <v/>
      </c>
      <c r="DI34" s="257" t="str">
        <f t="shared" si="20"/>
        <v/>
      </c>
      <c r="DJ34" s="257" t="str">
        <f t="shared" si="21"/>
        <v/>
      </c>
      <c r="DK34" s="756" t="str">
        <f t="shared" si="22"/>
        <v/>
      </c>
      <c r="DL34" s="291" t="str">
        <f t="shared" si="23"/>
        <v xml:space="preserve">  </v>
      </c>
      <c r="DM34" s="243" t="str">
        <f t="shared" si="24"/>
        <v xml:space="preserve"> </v>
      </c>
      <c r="DN34" s="39"/>
      <c r="DO34" s="39"/>
      <c r="DP34" s="257">
        <f t="shared" si="25"/>
        <v>0</v>
      </c>
      <c r="DQ34" s="257">
        <f t="shared" si="26"/>
        <v>0</v>
      </c>
      <c r="DR34" s="257">
        <f t="shared" si="27"/>
        <v>0</v>
      </c>
      <c r="DS34" s="257">
        <f t="shared" si="28"/>
        <v>0</v>
      </c>
      <c r="DT34" s="257">
        <f t="shared" si="29"/>
        <v>0</v>
      </c>
      <c r="DU34" s="257">
        <f t="shared" si="30"/>
        <v>0</v>
      </c>
      <c r="DV34" s="257">
        <f t="shared" si="31"/>
        <v>0</v>
      </c>
      <c r="DW34" s="257"/>
      <c r="DX34" s="257"/>
      <c r="DY34" s="257"/>
      <c r="DZ34" s="257"/>
      <c r="EA34" s="232">
        <f t="shared" si="32"/>
        <v>0</v>
      </c>
      <c r="EB34" s="257">
        <f t="shared" si="33"/>
        <v>0</v>
      </c>
      <c r="EC34" s="257">
        <f t="shared" si="34"/>
        <v>0</v>
      </c>
      <c r="ED34" s="257">
        <f t="shared" si="35"/>
        <v>0</v>
      </c>
      <c r="EE34" s="257">
        <f t="shared" si="36"/>
        <v>0</v>
      </c>
      <c r="EF34" s="257">
        <f t="shared" si="37"/>
        <v>0</v>
      </c>
      <c r="EG34" s="257">
        <f t="shared" si="38"/>
        <v>0</v>
      </c>
      <c r="EH34" s="257">
        <f t="shared" si="39"/>
        <v>0</v>
      </c>
      <c r="EI34" s="257"/>
      <c r="EJ34" s="257"/>
      <c r="EK34" s="257"/>
      <c r="EL34" s="257"/>
      <c r="EM34" s="232">
        <f t="shared" si="40"/>
        <v>0</v>
      </c>
      <c r="EN34" s="257">
        <f t="shared" si="41"/>
        <v>0</v>
      </c>
      <c r="EO34" s="257">
        <f t="shared" si="42"/>
        <v>0</v>
      </c>
      <c r="EP34" s="257">
        <f t="shared" si="43"/>
        <v>0</v>
      </c>
      <c r="EQ34" s="257">
        <f t="shared" si="44"/>
        <v>0</v>
      </c>
      <c r="ER34" s="257">
        <f t="shared" si="45"/>
        <v>0</v>
      </c>
      <c r="ES34" s="257">
        <f t="shared" si="46"/>
        <v>0</v>
      </c>
      <c r="ET34" s="257">
        <f t="shared" si="47"/>
        <v>0</v>
      </c>
      <c r="EU34" s="257"/>
      <c r="EV34" s="257"/>
      <c r="EW34" s="257"/>
      <c r="EX34" s="257"/>
      <c r="EY34" s="232">
        <f t="shared" si="48"/>
        <v>0</v>
      </c>
      <c r="EZ34" s="257">
        <f t="shared" si="49"/>
        <v>0</v>
      </c>
      <c r="FA34" s="257">
        <f t="shared" si="50"/>
        <v>0</v>
      </c>
      <c r="FB34" s="257">
        <f t="shared" si="51"/>
        <v>0</v>
      </c>
      <c r="FC34" s="575">
        <f t="shared" si="52"/>
        <v>3</v>
      </c>
      <c r="FD34" s="506">
        <f t="shared" si="53"/>
        <v>0</v>
      </c>
      <c r="FE34" s="39" t="str">
        <f t="shared" si="54"/>
        <v/>
      </c>
      <c r="FF34" s="257">
        <f t="shared" si="55"/>
        <v>0</v>
      </c>
      <c r="FG34" s="257">
        <f t="shared" si="56"/>
        <v>0</v>
      </c>
      <c r="FH34" s="257">
        <f t="shared" si="57"/>
        <v>0</v>
      </c>
      <c r="FI34" s="575">
        <f t="shared" si="58"/>
        <v>3</v>
      </c>
      <c r="FJ34" s="506">
        <f t="shared" si="59"/>
        <v>0</v>
      </c>
      <c r="FK34" s="39" t="str">
        <f t="shared" si="60"/>
        <v/>
      </c>
      <c r="FL34" s="257">
        <f t="shared" si="61"/>
        <v>0</v>
      </c>
      <c r="FM34" s="257">
        <f t="shared" si="62"/>
        <v>0</v>
      </c>
      <c r="FN34" s="257">
        <f t="shared" si="63"/>
        <v>0</v>
      </c>
      <c r="FO34" s="575">
        <f t="shared" si="64"/>
        <v>3</v>
      </c>
      <c r="FP34" s="506">
        <f t="shared" si="65"/>
        <v>0</v>
      </c>
      <c r="FQ34" s="39" t="str">
        <f t="shared" si="66"/>
        <v/>
      </c>
      <c r="FR34" s="257">
        <f t="shared" si="67"/>
        <v>0</v>
      </c>
      <c r="FS34" s="257">
        <f t="shared" si="68"/>
        <v>0</v>
      </c>
      <c r="FT34" s="257">
        <f t="shared" si="69"/>
        <v>0</v>
      </c>
      <c r="FU34" s="575">
        <f t="shared" si="70"/>
        <v>3</v>
      </c>
      <c r="FV34" s="506">
        <f t="shared" si="71"/>
        <v>0</v>
      </c>
      <c r="FW34" s="39" t="str">
        <f t="shared" si="72"/>
        <v/>
      </c>
      <c r="FX34" s="257">
        <f t="shared" si="73"/>
        <v>0</v>
      </c>
      <c r="FY34" s="257">
        <f t="shared" si="74"/>
        <v>0</v>
      </c>
      <c r="FZ34" s="257">
        <f t="shared" si="75"/>
        <v>0</v>
      </c>
      <c r="GA34" s="575">
        <f t="shared" si="76"/>
        <v>3</v>
      </c>
      <c r="GB34" s="506">
        <f t="shared" si="77"/>
        <v>0</v>
      </c>
      <c r="GC34" s="39" t="str">
        <f t="shared" si="78"/>
        <v/>
      </c>
      <c r="GD34" s="257">
        <f t="shared" si="79"/>
        <v>0</v>
      </c>
      <c r="GE34" s="257">
        <f t="shared" si="80"/>
        <v>0</v>
      </c>
      <c r="GF34" s="257">
        <f t="shared" si="81"/>
        <v>0</v>
      </c>
      <c r="GG34" s="575">
        <f t="shared" si="82"/>
        <v>3</v>
      </c>
      <c r="GH34" s="506">
        <f t="shared" si="83"/>
        <v>0</v>
      </c>
      <c r="GI34" s="39" t="str">
        <f t="shared" si="84"/>
        <v/>
      </c>
      <c r="GJ34" s="257">
        <f t="shared" si="85"/>
        <v>0</v>
      </c>
      <c r="GK34" s="257">
        <f t="shared" si="86"/>
        <v>0</v>
      </c>
      <c r="GL34" s="257">
        <f t="shared" si="87"/>
        <v>0</v>
      </c>
      <c r="GM34" s="575">
        <f t="shared" si="88"/>
        <v>3</v>
      </c>
      <c r="GN34" s="506">
        <f t="shared" si="89"/>
        <v>0</v>
      </c>
      <c r="GO34" s="39" t="str">
        <f t="shared" si="90"/>
        <v/>
      </c>
      <c r="GP34" s="257">
        <f t="shared" si="91"/>
        <v>0</v>
      </c>
      <c r="GQ34" s="257">
        <f t="shared" si="92"/>
        <v>0</v>
      </c>
      <c r="GR34" s="257">
        <f t="shared" si="93"/>
        <v>0</v>
      </c>
      <c r="GS34" s="575">
        <f t="shared" si="94"/>
        <v>3</v>
      </c>
      <c r="GT34" s="506">
        <f t="shared" si="95"/>
        <v>0</v>
      </c>
      <c r="GU34" s="39" t="str">
        <f t="shared" si="96"/>
        <v/>
      </c>
      <c r="GV34" s="257">
        <f t="shared" si="97"/>
        <v>0</v>
      </c>
      <c r="GW34" s="257">
        <f t="shared" si="98"/>
        <v>0</v>
      </c>
      <c r="GX34" s="257">
        <f t="shared" si="99"/>
        <v>0</v>
      </c>
      <c r="GY34" s="575">
        <f t="shared" si="100"/>
        <v>3</v>
      </c>
      <c r="GZ34" s="506">
        <f t="shared" si="101"/>
        <v>0</v>
      </c>
      <c r="HA34" s="39" t="str">
        <f t="shared" si="102"/>
        <v/>
      </c>
      <c r="HB34" s="257">
        <f t="shared" si="103"/>
        <v>0</v>
      </c>
      <c r="HC34" s="257">
        <f t="shared" si="104"/>
        <v>0</v>
      </c>
      <c r="HD34" s="257">
        <f t="shared" si="105"/>
        <v>0</v>
      </c>
      <c r="HE34" s="575">
        <f t="shared" si="106"/>
        <v>3</v>
      </c>
      <c r="HF34" s="506">
        <f t="shared" si="107"/>
        <v>0</v>
      </c>
      <c r="HG34" s="39" t="str">
        <f t="shared" si="108"/>
        <v/>
      </c>
      <c r="HH34" s="257">
        <f t="shared" si="109"/>
        <v>0</v>
      </c>
      <c r="HI34" s="257">
        <f t="shared" si="110"/>
        <v>0</v>
      </c>
      <c r="HJ34" s="257">
        <f t="shared" si="111"/>
        <v>0</v>
      </c>
      <c r="HK34" s="575">
        <f t="shared" si="112"/>
        <v>3</v>
      </c>
      <c r="HL34" s="506">
        <f t="shared" si="113"/>
        <v>0</v>
      </c>
      <c r="HM34" s="39" t="str">
        <f t="shared" si="114"/>
        <v/>
      </c>
      <c r="HN34" s="39"/>
      <c r="HO34" s="39" t="str">
        <f t="shared" si="115"/>
        <v/>
      </c>
      <c r="HP34" s="39" t="str">
        <f t="shared" si="116"/>
        <v/>
      </c>
      <c r="HQ34" s="39" t="str">
        <f t="shared" si="117"/>
        <v/>
      </c>
      <c r="HR34" s="39" t="str">
        <f t="shared" si="118"/>
        <v/>
      </c>
      <c r="HS34" s="39" t="str">
        <f t="shared" si="119"/>
        <v/>
      </c>
      <c r="HT34" s="39" t="str">
        <f t="shared" si="120"/>
        <v/>
      </c>
      <c r="HU34" s="39" t="str">
        <f t="shared" si="121"/>
        <v/>
      </c>
      <c r="HV34" s="39"/>
      <c r="HW34" s="39"/>
      <c r="HX34" s="39"/>
      <c r="HY34" s="39"/>
      <c r="HZ34" s="39" t="str">
        <f t="shared" si="122"/>
        <v/>
      </c>
      <c r="IA34" s="68">
        <f t="shared" si="123"/>
        <v>0</v>
      </c>
      <c r="IB34" s="68">
        <f t="shared" si="124"/>
        <v>0</v>
      </c>
      <c r="IC34" s="39">
        <f>SISWA!E32</f>
        <v>0</v>
      </c>
      <c r="ID34" s="39" t="str">
        <f t="shared" si="125"/>
        <v/>
      </c>
      <c r="IE34" s="207" t="str">
        <f t="shared" si="126"/>
        <v/>
      </c>
      <c r="IF34" s="207" t="str">
        <f t="shared" si="127"/>
        <v/>
      </c>
      <c r="IG34" s="207" t="str">
        <f t="shared" si="128"/>
        <v/>
      </c>
      <c r="IH34" s="207" t="str">
        <f t="shared" si="129"/>
        <v/>
      </c>
      <c r="II34" s="207" t="str">
        <f t="shared" si="130"/>
        <v/>
      </c>
      <c r="IJ34" s="207" t="str">
        <f t="shared" si="131"/>
        <v/>
      </c>
      <c r="IK34" s="207" t="str">
        <f t="shared" si="132"/>
        <v/>
      </c>
      <c r="IL34" s="207"/>
      <c r="IM34" s="207"/>
      <c r="IN34" s="207"/>
      <c r="IO34" s="207"/>
      <c r="IP34" s="39">
        <f t="shared" si="133"/>
        <v>0</v>
      </c>
      <c r="IQ34" s="68" t="e">
        <f t="shared" si="134"/>
        <v>#N/A</v>
      </c>
      <c r="IR34" s="576" t="e">
        <f>IF(IA34&gt;100,"",IF(IA34&gt;DQ$1,"sangat baik dalam "&amp;IQ34,IF(IA34&gt;=DQ$2,"baik dalam "&amp;IQ34,IF(IA34&gt;=DQ$3,"cukup dalam "&amp;IQ34,IF(IA34&lt;DQ$3,"dengan bimbingan dapat meningkatkan dalam "&amp;IQ34,IF(IA34&lt;1," ",””))))))</f>
        <v>#N/A</v>
      </c>
      <c r="IS34" s="223"/>
      <c r="IT34" s="223" t="str">
        <f t="shared" si="135"/>
        <v/>
      </c>
      <c r="IU34" s="223" t="str">
        <f t="shared" si="136"/>
        <v/>
      </c>
      <c r="IV34" s="223" t="str">
        <f t="shared" si="137"/>
        <v/>
      </c>
      <c r="IW34" s="223" t="str">
        <f t="shared" si="138"/>
        <v/>
      </c>
      <c r="IX34" s="223" t="str">
        <f t="shared" si="139"/>
        <v/>
      </c>
      <c r="IY34" s="223" t="str">
        <f t="shared" si="140"/>
        <v/>
      </c>
      <c r="IZ34" s="223" t="str">
        <f t="shared" si="141"/>
        <v/>
      </c>
      <c r="JA34" s="223"/>
      <c r="JB34" s="223"/>
      <c r="JC34" s="223"/>
      <c r="JD34" s="223"/>
      <c r="JE34" s="223" t="e">
        <f t="shared" si="142"/>
        <v>#N/A</v>
      </c>
      <c r="JF34" s="577" t="e">
        <f>IF(IB34&gt;100,"",IF(IB34&gt;=DQ$1,"sangat baik dalam "&amp;JE34,IF(IB34&gt;=DQ$2,"baik dalam "&amp;JE34,IF(IB34&gt;=DQ$3,"cukup dalam "&amp;JE34,IF(IB34&lt;DQ$3,"dengan bimbingan dapat meningkatkan dalam "&amp;JE34,IF(IB34&lt;1," ",””))))))</f>
        <v>#N/A</v>
      </c>
      <c r="JG34" s="223" t="e">
        <f t="shared" si="143"/>
        <v>#N/A</v>
      </c>
    </row>
    <row r="35" spans="1:267" ht="30" customHeight="1">
      <c r="A35" s="39">
        <v>28</v>
      </c>
      <c r="B35" s="223">
        <f>SISWA!B33</f>
        <v>0</v>
      </c>
      <c r="C35" s="123"/>
      <c r="D35" s="123"/>
      <c r="E35" s="123"/>
      <c r="F35" s="123"/>
      <c r="G35" s="123"/>
      <c r="H35" s="123"/>
      <c r="I35" s="123"/>
      <c r="J35" s="255"/>
      <c r="K35" s="255"/>
      <c r="L35" s="255"/>
      <c r="M35" s="255"/>
      <c r="N35" s="255"/>
      <c r="O35" s="255"/>
      <c r="P35" s="255"/>
      <c r="Q35" s="256"/>
      <c r="R35" s="256"/>
      <c r="S35" s="256"/>
      <c r="T35" s="256"/>
      <c r="U35" s="256"/>
      <c r="V35" s="256"/>
      <c r="W35" s="256"/>
      <c r="X35" s="123"/>
      <c r="Y35" s="123"/>
      <c r="Z35" s="123"/>
      <c r="AA35" s="123"/>
      <c r="AB35" s="123"/>
      <c r="AC35" s="123"/>
      <c r="AD35" s="123"/>
      <c r="AE35" s="255"/>
      <c r="AF35" s="255"/>
      <c r="AG35" s="255"/>
      <c r="AH35" s="255"/>
      <c r="AI35" s="255"/>
      <c r="AJ35" s="255"/>
      <c r="AK35" s="255"/>
      <c r="AL35" s="256"/>
      <c r="AM35" s="256"/>
      <c r="AN35" s="256"/>
      <c r="AO35" s="256"/>
      <c r="AP35" s="256"/>
      <c r="AQ35" s="256"/>
      <c r="AR35" s="256"/>
      <c r="AS35" s="123"/>
      <c r="AT35" s="123"/>
      <c r="AU35" s="123"/>
      <c r="AV35" s="123"/>
      <c r="AW35" s="123"/>
      <c r="AX35" s="123"/>
      <c r="AY35" s="123"/>
      <c r="AZ35" s="255"/>
      <c r="BA35" s="255"/>
      <c r="BB35" s="255"/>
      <c r="BC35" s="255"/>
      <c r="BD35" s="255"/>
      <c r="BE35" s="255"/>
      <c r="BF35" s="255"/>
      <c r="BG35" s="256"/>
      <c r="BH35" s="256"/>
      <c r="BI35" s="256"/>
      <c r="BJ35" s="256"/>
      <c r="BK35" s="256"/>
      <c r="BL35" s="256"/>
      <c r="BM35" s="256"/>
      <c r="BN35" s="123"/>
      <c r="BO35" s="123"/>
      <c r="BP35" s="123"/>
      <c r="BQ35" s="123"/>
      <c r="BR35" s="123"/>
      <c r="BS35" s="123"/>
      <c r="BT35" s="123"/>
      <c r="BU35" s="255"/>
      <c r="BV35" s="255"/>
      <c r="BW35" s="255"/>
      <c r="BX35" s="255"/>
      <c r="BY35" s="255"/>
      <c r="BZ35" s="255"/>
      <c r="CA35" s="255"/>
      <c r="CB35" s="256"/>
      <c r="CC35" s="256"/>
      <c r="CD35" s="256"/>
      <c r="CE35" s="256"/>
      <c r="CF35" s="256"/>
      <c r="CG35" s="256"/>
      <c r="CH35" s="256"/>
      <c r="CI35" s="458"/>
      <c r="CJ35" s="458"/>
      <c r="CK35" s="458"/>
      <c r="CL35" s="458"/>
      <c r="CM35" s="458"/>
      <c r="CN35" s="458"/>
      <c r="CO35" s="458"/>
      <c r="CP35" s="459"/>
      <c r="CQ35" s="459"/>
      <c r="CR35" s="459"/>
      <c r="CS35" s="459"/>
      <c r="CT35" s="459"/>
      <c r="CU35" s="459"/>
      <c r="CV35" s="459"/>
      <c r="CW35" s="256"/>
      <c r="CX35" s="256"/>
      <c r="CY35" s="256"/>
      <c r="CZ35" s="256"/>
      <c r="DA35" s="256"/>
      <c r="DB35" s="256"/>
      <c r="DC35" s="256"/>
      <c r="DD35" s="257" t="str">
        <f t="shared" si="15"/>
        <v/>
      </c>
      <c r="DE35" s="257" t="str">
        <f t="shared" si="16"/>
        <v/>
      </c>
      <c r="DF35" s="257" t="str">
        <f t="shared" si="17"/>
        <v/>
      </c>
      <c r="DG35" s="257" t="str">
        <f t="shared" si="18"/>
        <v/>
      </c>
      <c r="DH35" s="257" t="str">
        <f t="shared" si="19"/>
        <v/>
      </c>
      <c r="DI35" s="257" t="str">
        <f t="shared" si="20"/>
        <v/>
      </c>
      <c r="DJ35" s="257" t="str">
        <f t="shared" si="21"/>
        <v/>
      </c>
      <c r="DK35" s="756" t="str">
        <f t="shared" si="22"/>
        <v/>
      </c>
      <c r="DL35" s="291" t="str">
        <f t="shared" si="23"/>
        <v xml:space="preserve">  </v>
      </c>
      <c r="DM35" s="243" t="str">
        <f t="shared" si="24"/>
        <v xml:space="preserve"> </v>
      </c>
      <c r="DN35" s="39"/>
      <c r="DO35" s="39"/>
      <c r="DP35" s="257">
        <f t="shared" si="25"/>
        <v>0</v>
      </c>
      <c r="DQ35" s="257">
        <f t="shared" si="26"/>
        <v>0</v>
      </c>
      <c r="DR35" s="257">
        <f t="shared" si="27"/>
        <v>0</v>
      </c>
      <c r="DS35" s="257">
        <f t="shared" si="28"/>
        <v>0</v>
      </c>
      <c r="DT35" s="257">
        <f t="shared" si="29"/>
        <v>0</v>
      </c>
      <c r="DU35" s="257">
        <f t="shared" si="30"/>
        <v>0</v>
      </c>
      <c r="DV35" s="257">
        <f t="shared" si="31"/>
        <v>0</v>
      </c>
      <c r="DW35" s="257"/>
      <c r="DX35" s="257"/>
      <c r="DY35" s="257"/>
      <c r="DZ35" s="257"/>
      <c r="EA35" s="232">
        <f t="shared" si="32"/>
        <v>0</v>
      </c>
      <c r="EB35" s="257">
        <f t="shared" si="33"/>
        <v>0</v>
      </c>
      <c r="EC35" s="257">
        <f t="shared" si="34"/>
        <v>0</v>
      </c>
      <c r="ED35" s="257">
        <f t="shared" si="35"/>
        <v>0</v>
      </c>
      <c r="EE35" s="257">
        <f t="shared" si="36"/>
        <v>0</v>
      </c>
      <c r="EF35" s="257">
        <f t="shared" si="37"/>
        <v>0</v>
      </c>
      <c r="EG35" s="257">
        <f t="shared" si="38"/>
        <v>0</v>
      </c>
      <c r="EH35" s="257">
        <f t="shared" si="39"/>
        <v>0</v>
      </c>
      <c r="EI35" s="257"/>
      <c r="EJ35" s="257"/>
      <c r="EK35" s="257"/>
      <c r="EL35" s="257"/>
      <c r="EM35" s="232">
        <f t="shared" si="40"/>
        <v>0</v>
      </c>
      <c r="EN35" s="257">
        <f t="shared" si="41"/>
        <v>0</v>
      </c>
      <c r="EO35" s="257">
        <f t="shared" si="42"/>
        <v>0</v>
      </c>
      <c r="EP35" s="257">
        <f t="shared" si="43"/>
        <v>0</v>
      </c>
      <c r="EQ35" s="257">
        <f t="shared" si="44"/>
        <v>0</v>
      </c>
      <c r="ER35" s="257">
        <f t="shared" si="45"/>
        <v>0</v>
      </c>
      <c r="ES35" s="257">
        <f t="shared" si="46"/>
        <v>0</v>
      </c>
      <c r="ET35" s="257">
        <f t="shared" si="47"/>
        <v>0</v>
      </c>
      <c r="EU35" s="257"/>
      <c r="EV35" s="257"/>
      <c r="EW35" s="257"/>
      <c r="EX35" s="257"/>
      <c r="EY35" s="232">
        <f t="shared" si="48"/>
        <v>0</v>
      </c>
      <c r="EZ35" s="257">
        <f t="shared" si="49"/>
        <v>0</v>
      </c>
      <c r="FA35" s="257">
        <f t="shared" si="50"/>
        <v>0</v>
      </c>
      <c r="FB35" s="257">
        <f t="shared" si="51"/>
        <v>0</v>
      </c>
      <c r="FC35" s="575">
        <f t="shared" si="52"/>
        <v>3</v>
      </c>
      <c r="FD35" s="506">
        <f t="shared" si="53"/>
        <v>0</v>
      </c>
      <c r="FE35" s="39" t="str">
        <f t="shared" si="54"/>
        <v/>
      </c>
      <c r="FF35" s="257">
        <f t="shared" si="55"/>
        <v>0</v>
      </c>
      <c r="FG35" s="257">
        <f t="shared" si="56"/>
        <v>0</v>
      </c>
      <c r="FH35" s="257">
        <f t="shared" si="57"/>
        <v>0</v>
      </c>
      <c r="FI35" s="575">
        <f t="shared" si="58"/>
        <v>3</v>
      </c>
      <c r="FJ35" s="506">
        <f t="shared" si="59"/>
        <v>0</v>
      </c>
      <c r="FK35" s="39" t="str">
        <f t="shared" si="60"/>
        <v/>
      </c>
      <c r="FL35" s="257">
        <f t="shared" si="61"/>
        <v>0</v>
      </c>
      <c r="FM35" s="257">
        <f t="shared" si="62"/>
        <v>0</v>
      </c>
      <c r="FN35" s="257">
        <f t="shared" si="63"/>
        <v>0</v>
      </c>
      <c r="FO35" s="575">
        <f t="shared" si="64"/>
        <v>3</v>
      </c>
      <c r="FP35" s="506">
        <f t="shared" si="65"/>
        <v>0</v>
      </c>
      <c r="FQ35" s="39" t="str">
        <f t="shared" si="66"/>
        <v/>
      </c>
      <c r="FR35" s="257">
        <f t="shared" si="67"/>
        <v>0</v>
      </c>
      <c r="FS35" s="257">
        <f t="shared" si="68"/>
        <v>0</v>
      </c>
      <c r="FT35" s="257">
        <f t="shared" si="69"/>
        <v>0</v>
      </c>
      <c r="FU35" s="575">
        <f t="shared" si="70"/>
        <v>3</v>
      </c>
      <c r="FV35" s="506">
        <f t="shared" si="71"/>
        <v>0</v>
      </c>
      <c r="FW35" s="39" t="str">
        <f t="shared" si="72"/>
        <v/>
      </c>
      <c r="FX35" s="257">
        <f t="shared" si="73"/>
        <v>0</v>
      </c>
      <c r="FY35" s="257">
        <f t="shared" si="74"/>
        <v>0</v>
      </c>
      <c r="FZ35" s="257">
        <f t="shared" si="75"/>
        <v>0</v>
      </c>
      <c r="GA35" s="575">
        <f t="shared" si="76"/>
        <v>3</v>
      </c>
      <c r="GB35" s="506">
        <f t="shared" si="77"/>
        <v>0</v>
      </c>
      <c r="GC35" s="39" t="str">
        <f t="shared" si="78"/>
        <v/>
      </c>
      <c r="GD35" s="257">
        <f t="shared" si="79"/>
        <v>0</v>
      </c>
      <c r="GE35" s="257">
        <f t="shared" si="80"/>
        <v>0</v>
      </c>
      <c r="GF35" s="257">
        <f t="shared" si="81"/>
        <v>0</v>
      </c>
      <c r="GG35" s="575">
        <f t="shared" si="82"/>
        <v>3</v>
      </c>
      <c r="GH35" s="506">
        <f t="shared" si="83"/>
        <v>0</v>
      </c>
      <c r="GI35" s="39" t="str">
        <f t="shared" si="84"/>
        <v/>
      </c>
      <c r="GJ35" s="257">
        <f t="shared" si="85"/>
        <v>0</v>
      </c>
      <c r="GK35" s="257">
        <f t="shared" si="86"/>
        <v>0</v>
      </c>
      <c r="GL35" s="257">
        <f t="shared" si="87"/>
        <v>0</v>
      </c>
      <c r="GM35" s="575">
        <f t="shared" si="88"/>
        <v>3</v>
      </c>
      <c r="GN35" s="506">
        <f t="shared" si="89"/>
        <v>0</v>
      </c>
      <c r="GO35" s="39" t="str">
        <f t="shared" si="90"/>
        <v/>
      </c>
      <c r="GP35" s="257">
        <f t="shared" si="91"/>
        <v>0</v>
      </c>
      <c r="GQ35" s="257">
        <f t="shared" si="92"/>
        <v>0</v>
      </c>
      <c r="GR35" s="257">
        <f t="shared" si="93"/>
        <v>0</v>
      </c>
      <c r="GS35" s="575">
        <f t="shared" si="94"/>
        <v>3</v>
      </c>
      <c r="GT35" s="506">
        <f t="shared" si="95"/>
        <v>0</v>
      </c>
      <c r="GU35" s="39" t="str">
        <f t="shared" si="96"/>
        <v/>
      </c>
      <c r="GV35" s="257">
        <f t="shared" si="97"/>
        <v>0</v>
      </c>
      <c r="GW35" s="257">
        <f t="shared" si="98"/>
        <v>0</v>
      </c>
      <c r="GX35" s="257">
        <f t="shared" si="99"/>
        <v>0</v>
      </c>
      <c r="GY35" s="575">
        <f t="shared" si="100"/>
        <v>3</v>
      </c>
      <c r="GZ35" s="506">
        <f t="shared" si="101"/>
        <v>0</v>
      </c>
      <c r="HA35" s="39" t="str">
        <f t="shared" si="102"/>
        <v/>
      </c>
      <c r="HB35" s="257">
        <f t="shared" si="103"/>
        <v>0</v>
      </c>
      <c r="HC35" s="257">
        <f t="shared" si="104"/>
        <v>0</v>
      </c>
      <c r="HD35" s="257">
        <f t="shared" si="105"/>
        <v>0</v>
      </c>
      <c r="HE35" s="575">
        <f t="shared" si="106"/>
        <v>3</v>
      </c>
      <c r="HF35" s="506">
        <f t="shared" si="107"/>
        <v>0</v>
      </c>
      <c r="HG35" s="39" t="str">
        <f t="shared" si="108"/>
        <v/>
      </c>
      <c r="HH35" s="257">
        <f t="shared" si="109"/>
        <v>0</v>
      </c>
      <c r="HI35" s="257">
        <f t="shared" si="110"/>
        <v>0</v>
      </c>
      <c r="HJ35" s="257">
        <f t="shared" si="111"/>
        <v>0</v>
      </c>
      <c r="HK35" s="575">
        <f t="shared" si="112"/>
        <v>3</v>
      </c>
      <c r="HL35" s="506">
        <f t="shared" si="113"/>
        <v>0</v>
      </c>
      <c r="HM35" s="39" t="str">
        <f t="shared" si="114"/>
        <v/>
      </c>
      <c r="HN35" s="39"/>
      <c r="HO35" s="39" t="str">
        <f t="shared" si="115"/>
        <v/>
      </c>
      <c r="HP35" s="39" t="str">
        <f t="shared" si="116"/>
        <v/>
      </c>
      <c r="HQ35" s="39" t="str">
        <f t="shared" si="117"/>
        <v/>
      </c>
      <c r="HR35" s="39" t="str">
        <f t="shared" si="118"/>
        <v/>
      </c>
      <c r="HS35" s="39" t="str">
        <f t="shared" si="119"/>
        <v/>
      </c>
      <c r="HT35" s="39" t="str">
        <f t="shared" si="120"/>
        <v/>
      </c>
      <c r="HU35" s="39" t="str">
        <f t="shared" si="121"/>
        <v/>
      </c>
      <c r="HV35" s="39"/>
      <c r="HW35" s="39"/>
      <c r="HX35" s="39"/>
      <c r="HY35" s="39"/>
      <c r="HZ35" s="39" t="str">
        <f t="shared" si="122"/>
        <v/>
      </c>
      <c r="IA35" s="68">
        <f t="shared" si="123"/>
        <v>0</v>
      </c>
      <c r="IB35" s="68">
        <f t="shared" si="124"/>
        <v>0</v>
      </c>
      <c r="IC35" s="39">
        <f>SISWA!E33</f>
        <v>0</v>
      </c>
      <c r="ID35" s="39" t="str">
        <f t="shared" si="125"/>
        <v/>
      </c>
      <c r="IE35" s="207" t="str">
        <f t="shared" si="126"/>
        <v/>
      </c>
      <c r="IF35" s="207" t="str">
        <f t="shared" si="127"/>
        <v/>
      </c>
      <c r="IG35" s="207" t="str">
        <f t="shared" si="128"/>
        <v/>
      </c>
      <c r="IH35" s="207" t="str">
        <f t="shared" si="129"/>
        <v/>
      </c>
      <c r="II35" s="207" t="str">
        <f t="shared" si="130"/>
        <v/>
      </c>
      <c r="IJ35" s="207" t="str">
        <f t="shared" si="131"/>
        <v/>
      </c>
      <c r="IK35" s="207" t="str">
        <f t="shared" si="132"/>
        <v/>
      </c>
      <c r="IL35" s="207"/>
      <c r="IM35" s="207"/>
      <c r="IN35" s="207"/>
      <c r="IO35" s="207"/>
      <c r="IP35" s="39">
        <f t="shared" si="133"/>
        <v>0</v>
      </c>
      <c r="IQ35" s="68" t="e">
        <f t="shared" si="134"/>
        <v>#N/A</v>
      </c>
      <c r="IR35" s="576" t="e">
        <f>IF(IA35&gt;100,"",IF(IA35&gt;DQ$1,"sangat baik dalam "&amp;IQ35,IF(IA35&gt;=DQ$2,"baik dalam "&amp;IQ35,IF(IA35&gt;=DQ$3,"cukup dalam "&amp;IQ35,IF(IA35&lt;DQ$3,"dengan bimbingan dapat meningkatkan dalam "&amp;IQ35,IF(IA35&lt;1," ",””))))))</f>
        <v>#N/A</v>
      </c>
      <c r="IS35" s="223"/>
      <c r="IT35" s="223" t="str">
        <f t="shared" si="135"/>
        <v/>
      </c>
      <c r="IU35" s="223" t="str">
        <f t="shared" si="136"/>
        <v/>
      </c>
      <c r="IV35" s="223" t="str">
        <f t="shared" si="137"/>
        <v/>
      </c>
      <c r="IW35" s="223" t="str">
        <f t="shared" si="138"/>
        <v/>
      </c>
      <c r="IX35" s="223" t="str">
        <f t="shared" si="139"/>
        <v/>
      </c>
      <c r="IY35" s="223" t="str">
        <f t="shared" si="140"/>
        <v/>
      </c>
      <c r="IZ35" s="223" t="str">
        <f t="shared" si="141"/>
        <v/>
      </c>
      <c r="JA35" s="223"/>
      <c r="JB35" s="223"/>
      <c r="JC35" s="223"/>
      <c r="JD35" s="223"/>
      <c r="JE35" s="223" t="e">
        <f t="shared" si="142"/>
        <v>#N/A</v>
      </c>
      <c r="JF35" s="577" t="e">
        <f>IF(IB35&gt;100,"",IF(IB35&gt;=DQ$1,"sangat baik dalam "&amp;JE35,IF(IB35&gt;=DQ$2,"baik dalam "&amp;JE35,IF(IB35&gt;=DQ$3,"cukup dalam "&amp;JE35,IF(IB35&lt;DQ$3,"dengan bimbingan dapat meningkatkan dalam "&amp;JE35,IF(IB35&lt;1," ",””))))))</f>
        <v>#N/A</v>
      </c>
      <c r="JG35" s="223" t="e">
        <f t="shared" si="143"/>
        <v>#N/A</v>
      </c>
    </row>
    <row r="36" spans="1:267" ht="30" customHeight="1">
      <c r="A36" s="39">
        <v>29</v>
      </c>
      <c r="B36" s="223">
        <f>SISWA!B34</f>
        <v>0</v>
      </c>
      <c r="C36" s="123"/>
      <c r="D36" s="123"/>
      <c r="E36" s="123"/>
      <c r="F36" s="123"/>
      <c r="G36" s="123"/>
      <c r="H36" s="123"/>
      <c r="I36" s="123"/>
      <c r="J36" s="255"/>
      <c r="K36" s="255"/>
      <c r="L36" s="255"/>
      <c r="M36" s="255"/>
      <c r="N36" s="255"/>
      <c r="O36" s="255"/>
      <c r="P36" s="255"/>
      <c r="Q36" s="256"/>
      <c r="R36" s="256"/>
      <c r="S36" s="256"/>
      <c r="T36" s="256"/>
      <c r="U36" s="256"/>
      <c r="V36" s="256"/>
      <c r="W36" s="256"/>
      <c r="X36" s="123"/>
      <c r="Y36" s="123"/>
      <c r="Z36" s="123"/>
      <c r="AA36" s="123"/>
      <c r="AB36" s="123"/>
      <c r="AC36" s="123"/>
      <c r="AD36" s="123"/>
      <c r="AE36" s="255"/>
      <c r="AF36" s="255"/>
      <c r="AG36" s="255"/>
      <c r="AH36" s="255"/>
      <c r="AI36" s="255"/>
      <c r="AJ36" s="255"/>
      <c r="AK36" s="255"/>
      <c r="AL36" s="256"/>
      <c r="AM36" s="256"/>
      <c r="AN36" s="256"/>
      <c r="AO36" s="256"/>
      <c r="AP36" s="256"/>
      <c r="AQ36" s="256"/>
      <c r="AR36" s="256"/>
      <c r="AS36" s="123"/>
      <c r="AT36" s="123"/>
      <c r="AU36" s="123"/>
      <c r="AV36" s="123"/>
      <c r="AW36" s="123"/>
      <c r="AX36" s="123"/>
      <c r="AY36" s="123"/>
      <c r="AZ36" s="255"/>
      <c r="BA36" s="255"/>
      <c r="BB36" s="255"/>
      <c r="BC36" s="255"/>
      <c r="BD36" s="255"/>
      <c r="BE36" s="255"/>
      <c r="BF36" s="255"/>
      <c r="BG36" s="256"/>
      <c r="BH36" s="256"/>
      <c r="BI36" s="256"/>
      <c r="BJ36" s="256"/>
      <c r="BK36" s="256"/>
      <c r="BL36" s="256"/>
      <c r="BM36" s="256"/>
      <c r="BN36" s="123"/>
      <c r="BO36" s="123"/>
      <c r="BP36" s="123"/>
      <c r="BQ36" s="123"/>
      <c r="BR36" s="123"/>
      <c r="BS36" s="123"/>
      <c r="BT36" s="123"/>
      <c r="BU36" s="255"/>
      <c r="BV36" s="255"/>
      <c r="BW36" s="255"/>
      <c r="BX36" s="255"/>
      <c r="BY36" s="255"/>
      <c r="BZ36" s="255"/>
      <c r="CA36" s="255"/>
      <c r="CB36" s="256"/>
      <c r="CC36" s="256"/>
      <c r="CD36" s="256"/>
      <c r="CE36" s="256"/>
      <c r="CF36" s="256"/>
      <c r="CG36" s="256"/>
      <c r="CH36" s="256"/>
      <c r="CI36" s="458"/>
      <c r="CJ36" s="458"/>
      <c r="CK36" s="458"/>
      <c r="CL36" s="458"/>
      <c r="CM36" s="458"/>
      <c r="CN36" s="458"/>
      <c r="CO36" s="458"/>
      <c r="CP36" s="459"/>
      <c r="CQ36" s="459"/>
      <c r="CR36" s="459"/>
      <c r="CS36" s="459"/>
      <c r="CT36" s="459"/>
      <c r="CU36" s="459"/>
      <c r="CV36" s="459"/>
      <c r="CW36" s="256"/>
      <c r="CX36" s="256"/>
      <c r="CY36" s="256"/>
      <c r="CZ36" s="256"/>
      <c r="DA36" s="256"/>
      <c r="DB36" s="256"/>
      <c r="DC36" s="256"/>
      <c r="DD36" s="257" t="str">
        <f t="shared" si="15"/>
        <v/>
      </c>
      <c r="DE36" s="257" t="str">
        <f t="shared" si="16"/>
        <v/>
      </c>
      <c r="DF36" s="257" t="str">
        <f t="shared" si="17"/>
        <v/>
      </c>
      <c r="DG36" s="257" t="str">
        <f t="shared" si="18"/>
        <v/>
      </c>
      <c r="DH36" s="257" t="str">
        <f t="shared" si="19"/>
        <v/>
      </c>
      <c r="DI36" s="257" t="str">
        <f t="shared" si="20"/>
        <v/>
      </c>
      <c r="DJ36" s="257" t="str">
        <f t="shared" si="21"/>
        <v/>
      </c>
      <c r="DK36" s="756" t="str">
        <f t="shared" si="22"/>
        <v/>
      </c>
      <c r="DL36" s="291" t="str">
        <f t="shared" si="23"/>
        <v xml:space="preserve">  </v>
      </c>
      <c r="DM36" s="243" t="str">
        <f t="shared" si="24"/>
        <v xml:space="preserve"> </v>
      </c>
      <c r="DN36" s="39"/>
      <c r="DO36" s="39"/>
      <c r="DP36" s="257">
        <f t="shared" si="25"/>
        <v>0</v>
      </c>
      <c r="DQ36" s="257">
        <f t="shared" si="26"/>
        <v>0</v>
      </c>
      <c r="DR36" s="257">
        <f t="shared" si="27"/>
        <v>0</v>
      </c>
      <c r="DS36" s="257">
        <f t="shared" si="28"/>
        <v>0</v>
      </c>
      <c r="DT36" s="257">
        <f t="shared" si="29"/>
        <v>0</v>
      </c>
      <c r="DU36" s="257">
        <f t="shared" si="30"/>
        <v>0</v>
      </c>
      <c r="DV36" s="257">
        <f t="shared" si="31"/>
        <v>0</v>
      </c>
      <c r="DW36" s="257"/>
      <c r="DX36" s="257"/>
      <c r="DY36" s="257"/>
      <c r="DZ36" s="257"/>
      <c r="EA36" s="232">
        <f t="shared" si="32"/>
        <v>0</v>
      </c>
      <c r="EB36" s="257">
        <f t="shared" si="33"/>
        <v>0</v>
      </c>
      <c r="EC36" s="257">
        <f t="shared" si="34"/>
        <v>0</v>
      </c>
      <c r="ED36" s="257">
        <f t="shared" si="35"/>
        <v>0</v>
      </c>
      <c r="EE36" s="257">
        <f t="shared" si="36"/>
        <v>0</v>
      </c>
      <c r="EF36" s="257">
        <f t="shared" si="37"/>
        <v>0</v>
      </c>
      <c r="EG36" s="257">
        <f t="shared" si="38"/>
        <v>0</v>
      </c>
      <c r="EH36" s="257">
        <f t="shared" si="39"/>
        <v>0</v>
      </c>
      <c r="EI36" s="257"/>
      <c r="EJ36" s="257"/>
      <c r="EK36" s="257"/>
      <c r="EL36" s="257"/>
      <c r="EM36" s="232">
        <f t="shared" si="40"/>
        <v>0</v>
      </c>
      <c r="EN36" s="257">
        <f t="shared" si="41"/>
        <v>0</v>
      </c>
      <c r="EO36" s="257">
        <f t="shared" si="42"/>
        <v>0</v>
      </c>
      <c r="EP36" s="257">
        <f t="shared" si="43"/>
        <v>0</v>
      </c>
      <c r="EQ36" s="257">
        <f t="shared" si="44"/>
        <v>0</v>
      </c>
      <c r="ER36" s="257">
        <f t="shared" si="45"/>
        <v>0</v>
      </c>
      <c r="ES36" s="257">
        <f t="shared" si="46"/>
        <v>0</v>
      </c>
      <c r="ET36" s="257">
        <f t="shared" si="47"/>
        <v>0</v>
      </c>
      <c r="EU36" s="257"/>
      <c r="EV36" s="257"/>
      <c r="EW36" s="257"/>
      <c r="EX36" s="257"/>
      <c r="EY36" s="232">
        <f t="shared" si="48"/>
        <v>0</v>
      </c>
      <c r="EZ36" s="257">
        <f t="shared" si="49"/>
        <v>0</v>
      </c>
      <c r="FA36" s="257">
        <f t="shared" si="50"/>
        <v>0</v>
      </c>
      <c r="FB36" s="257">
        <f t="shared" si="51"/>
        <v>0</v>
      </c>
      <c r="FC36" s="575">
        <f t="shared" si="52"/>
        <v>3</v>
      </c>
      <c r="FD36" s="506">
        <f t="shared" si="53"/>
        <v>0</v>
      </c>
      <c r="FE36" s="39" t="str">
        <f t="shared" si="54"/>
        <v/>
      </c>
      <c r="FF36" s="257">
        <f t="shared" si="55"/>
        <v>0</v>
      </c>
      <c r="FG36" s="257">
        <f t="shared" si="56"/>
        <v>0</v>
      </c>
      <c r="FH36" s="257">
        <f t="shared" si="57"/>
        <v>0</v>
      </c>
      <c r="FI36" s="575">
        <f t="shared" si="58"/>
        <v>3</v>
      </c>
      <c r="FJ36" s="506">
        <f t="shared" si="59"/>
        <v>0</v>
      </c>
      <c r="FK36" s="39" t="str">
        <f t="shared" si="60"/>
        <v/>
      </c>
      <c r="FL36" s="257">
        <f t="shared" si="61"/>
        <v>0</v>
      </c>
      <c r="FM36" s="257">
        <f t="shared" si="62"/>
        <v>0</v>
      </c>
      <c r="FN36" s="257">
        <f t="shared" si="63"/>
        <v>0</v>
      </c>
      <c r="FO36" s="575">
        <f t="shared" si="64"/>
        <v>3</v>
      </c>
      <c r="FP36" s="506">
        <f t="shared" si="65"/>
        <v>0</v>
      </c>
      <c r="FQ36" s="39" t="str">
        <f t="shared" si="66"/>
        <v/>
      </c>
      <c r="FR36" s="257">
        <f t="shared" si="67"/>
        <v>0</v>
      </c>
      <c r="FS36" s="257">
        <f t="shared" si="68"/>
        <v>0</v>
      </c>
      <c r="FT36" s="257">
        <f t="shared" si="69"/>
        <v>0</v>
      </c>
      <c r="FU36" s="575">
        <f t="shared" si="70"/>
        <v>3</v>
      </c>
      <c r="FV36" s="506">
        <f t="shared" si="71"/>
        <v>0</v>
      </c>
      <c r="FW36" s="39" t="str">
        <f t="shared" si="72"/>
        <v/>
      </c>
      <c r="FX36" s="257">
        <f t="shared" si="73"/>
        <v>0</v>
      </c>
      <c r="FY36" s="257">
        <f t="shared" si="74"/>
        <v>0</v>
      </c>
      <c r="FZ36" s="257">
        <f t="shared" si="75"/>
        <v>0</v>
      </c>
      <c r="GA36" s="575">
        <f t="shared" si="76"/>
        <v>3</v>
      </c>
      <c r="GB36" s="506">
        <f t="shared" si="77"/>
        <v>0</v>
      </c>
      <c r="GC36" s="39" t="str">
        <f t="shared" si="78"/>
        <v/>
      </c>
      <c r="GD36" s="257">
        <f t="shared" si="79"/>
        <v>0</v>
      </c>
      <c r="GE36" s="257">
        <f t="shared" si="80"/>
        <v>0</v>
      </c>
      <c r="GF36" s="257">
        <f t="shared" si="81"/>
        <v>0</v>
      </c>
      <c r="GG36" s="575">
        <f t="shared" si="82"/>
        <v>3</v>
      </c>
      <c r="GH36" s="506">
        <f t="shared" si="83"/>
        <v>0</v>
      </c>
      <c r="GI36" s="39" t="str">
        <f t="shared" si="84"/>
        <v/>
      </c>
      <c r="GJ36" s="257">
        <f t="shared" si="85"/>
        <v>0</v>
      </c>
      <c r="GK36" s="257">
        <f t="shared" si="86"/>
        <v>0</v>
      </c>
      <c r="GL36" s="257">
        <f t="shared" si="87"/>
        <v>0</v>
      </c>
      <c r="GM36" s="575">
        <f t="shared" si="88"/>
        <v>3</v>
      </c>
      <c r="GN36" s="506">
        <f t="shared" si="89"/>
        <v>0</v>
      </c>
      <c r="GO36" s="39" t="str">
        <f t="shared" si="90"/>
        <v/>
      </c>
      <c r="GP36" s="257">
        <f t="shared" si="91"/>
        <v>0</v>
      </c>
      <c r="GQ36" s="257">
        <f t="shared" si="92"/>
        <v>0</v>
      </c>
      <c r="GR36" s="257">
        <f t="shared" si="93"/>
        <v>0</v>
      </c>
      <c r="GS36" s="575">
        <f t="shared" si="94"/>
        <v>3</v>
      </c>
      <c r="GT36" s="506">
        <f t="shared" si="95"/>
        <v>0</v>
      </c>
      <c r="GU36" s="39" t="str">
        <f t="shared" si="96"/>
        <v/>
      </c>
      <c r="GV36" s="257">
        <f t="shared" si="97"/>
        <v>0</v>
      </c>
      <c r="GW36" s="257">
        <f t="shared" si="98"/>
        <v>0</v>
      </c>
      <c r="GX36" s="257">
        <f t="shared" si="99"/>
        <v>0</v>
      </c>
      <c r="GY36" s="575">
        <f t="shared" si="100"/>
        <v>3</v>
      </c>
      <c r="GZ36" s="506">
        <f t="shared" si="101"/>
        <v>0</v>
      </c>
      <c r="HA36" s="39" t="str">
        <f t="shared" si="102"/>
        <v/>
      </c>
      <c r="HB36" s="257">
        <f t="shared" si="103"/>
        <v>0</v>
      </c>
      <c r="HC36" s="257">
        <f t="shared" si="104"/>
        <v>0</v>
      </c>
      <c r="HD36" s="257">
        <f t="shared" si="105"/>
        <v>0</v>
      </c>
      <c r="HE36" s="575">
        <f t="shared" si="106"/>
        <v>3</v>
      </c>
      <c r="HF36" s="506">
        <f t="shared" si="107"/>
        <v>0</v>
      </c>
      <c r="HG36" s="39" t="str">
        <f t="shared" si="108"/>
        <v/>
      </c>
      <c r="HH36" s="257">
        <f t="shared" si="109"/>
        <v>0</v>
      </c>
      <c r="HI36" s="257">
        <f t="shared" si="110"/>
        <v>0</v>
      </c>
      <c r="HJ36" s="257">
        <f t="shared" si="111"/>
        <v>0</v>
      </c>
      <c r="HK36" s="575">
        <f t="shared" si="112"/>
        <v>3</v>
      </c>
      <c r="HL36" s="506">
        <f t="shared" si="113"/>
        <v>0</v>
      </c>
      <c r="HM36" s="39" t="str">
        <f t="shared" si="114"/>
        <v/>
      </c>
      <c r="HN36" s="39"/>
      <c r="HO36" s="39" t="str">
        <f t="shared" si="115"/>
        <v/>
      </c>
      <c r="HP36" s="39" t="str">
        <f t="shared" si="116"/>
        <v/>
      </c>
      <c r="HQ36" s="39" t="str">
        <f t="shared" si="117"/>
        <v/>
      </c>
      <c r="HR36" s="39" t="str">
        <f t="shared" si="118"/>
        <v/>
      </c>
      <c r="HS36" s="39" t="str">
        <f t="shared" si="119"/>
        <v/>
      </c>
      <c r="HT36" s="39" t="str">
        <f t="shared" si="120"/>
        <v/>
      </c>
      <c r="HU36" s="39" t="str">
        <f t="shared" si="121"/>
        <v/>
      </c>
      <c r="HV36" s="39"/>
      <c r="HW36" s="39"/>
      <c r="HX36" s="39"/>
      <c r="HY36" s="39"/>
      <c r="HZ36" s="39" t="str">
        <f t="shared" si="122"/>
        <v/>
      </c>
      <c r="IA36" s="68">
        <f t="shared" si="123"/>
        <v>0</v>
      </c>
      <c r="IB36" s="68">
        <f t="shared" si="124"/>
        <v>0</v>
      </c>
      <c r="IC36" s="39">
        <f>SISWA!E34</f>
        <v>0</v>
      </c>
      <c r="ID36" s="39" t="str">
        <f t="shared" si="125"/>
        <v/>
      </c>
      <c r="IE36" s="207" t="str">
        <f t="shared" si="126"/>
        <v/>
      </c>
      <c r="IF36" s="207" t="str">
        <f t="shared" si="127"/>
        <v/>
      </c>
      <c r="IG36" s="207" t="str">
        <f t="shared" si="128"/>
        <v/>
      </c>
      <c r="IH36" s="207" t="str">
        <f t="shared" si="129"/>
        <v/>
      </c>
      <c r="II36" s="207" t="str">
        <f t="shared" si="130"/>
        <v/>
      </c>
      <c r="IJ36" s="207" t="str">
        <f t="shared" si="131"/>
        <v/>
      </c>
      <c r="IK36" s="207" t="str">
        <f t="shared" si="132"/>
        <v/>
      </c>
      <c r="IL36" s="207"/>
      <c r="IM36" s="207"/>
      <c r="IN36" s="207"/>
      <c r="IO36" s="207"/>
      <c r="IP36" s="39">
        <f t="shared" si="133"/>
        <v>0</v>
      </c>
      <c r="IQ36" s="68" t="e">
        <f t="shared" si="134"/>
        <v>#N/A</v>
      </c>
      <c r="IR36" s="576" t="e">
        <f>IF(IA36&gt;100,"",IF(IA36&gt;DQ$1,"sangat baik dalam "&amp;IQ36,IF(IA36&gt;=DQ$2,"baik dalam "&amp;IQ36,IF(IA36&gt;=DQ$3,"cukup dalam "&amp;IQ36,IF(IA36&lt;DQ$3,"dengan bimbingan dapat meningkatkan dalam "&amp;IQ36,IF(IA36&lt;1," ",””))))))</f>
        <v>#N/A</v>
      </c>
      <c r="IS36" s="223"/>
      <c r="IT36" s="223" t="str">
        <f t="shared" si="135"/>
        <v/>
      </c>
      <c r="IU36" s="223" t="str">
        <f t="shared" si="136"/>
        <v/>
      </c>
      <c r="IV36" s="223" t="str">
        <f t="shared" si="137"/>
        <v/>
      </c>
      <c r="IW36" s="223" t="str">
        <f t="shared" si="138"/>
        <v/>
      </c>
      <c r="IX36" s="223" t="str">
        <f t="shared" si="139"/>
        <v/>
      </c>
      <c r="IY36" s="223" t="str">
        <f t="shared" si="140"/>
        <v/>
      </c>
      <c r="IZ36" s="223" t="str">
        <f t="shared" si="141"/>
        <v/>
      </c>
      <c r="JA36" s="223"/>
      <c r="JB36" s="223"/>
      <c r="JC36" s="223"/>
      <c r="JD36" s="223"/>
      <c r="JE36" s="223" t="e">
        <f t="shared" si="142"/>
        <v>#N/A</v>
      </c>
      <c r="JF36" s="577" t="e">
        <f>IF(IB36&gt;100,"",IF(IB36&gt;=DQ$1,"sangat baik dalam "&amp;JE36,IF(IB36&gt;=DQ$2,"baik dalam "&amp;JE36,IF(IB36&gt;=DQ$3,"cukup dalam "&amp;JE36,IF(IB36&lt;DQ$3,"dengan bimbingan dapat meningkatkan dalam "&amp;JE36,IF(IB36&lt;1," ",””))))))</f>
        <v>#N/A</v>
      </c>
      <c r="JG36" s="223" t="e">
        <f t="shared" si="143"/>
        <v>#N/A</v>
      </c>
    </row>
    <row r="37" spans="1:267" ht="30" customHeight="1">
      <c r="A37" s="39">
        <v>30</v>
      </c>
      <c r="B37" s="223">
        <f>SISWA!B35</f>
        <v>0</v>
      </c>
      <c r="C37" s="123"/>
      <c r="D37" s="123"/>
      <c r="E37" s="123"/>
      <c r="F37" s="123"/>
      <c r="G37" s="123"/>
      <c r="H37" s="123"/>
      <c r="I37" s="123"/>
      <c r="J37" s="255"/>
      <c r="K37" s="255"/>
      <c r="L37" s="255"/>
      <c r="M37" s="255"/>
      <c r="N37" s="255"/>
      <c r="O37" s="255"/>
      <c r="P37" s="255"/>
      <c r="Q37" s="256"/>
      <c r="R37" s="256"/>
      <c r="S37" s="256"/>
      <c r="T37" s="256"/>
      <c r="U37" s="256"/>
      <c r="V37" s="256"/>
      <c r="W37" s="256"/>
      <c r="X37" s="123"/>
      <c r="Y37" s="123"/>
      <c r="Z37" s="123"/>
      <c r="AA37" s="123"/>
      <c r="AB37" s="123"/>
      <c r="AC37" s="123"/>
      <c r="AD37" s="123"/>
      <c r="AE37" s="255"/>
      <c r="AF37" s="255"/>
      <c r="AG37" s="255"/>
      <c r="AH37" s="255"/>
      <c r="AI37" s="255"/>
      <c r="AJ37" s="255"/>
      <c r="AK37" s="255"/>
      <c r="AL37" s="256"/>
      <c r="AM37" s="256"/>
      <c r="AN37" s="256"/>
      <c r="AO37" s="256"/>
      <c r="AP37" s="256"/>
      <c r="AQ37" s="256"/>
      <c r="AR37" s="256"/>
      <c r="AS37" s="123"/>
      <c r="AT37" s="123"/>
      <c r="AU37" s="123"/>
      <c r="AV37" s="123"/>
      <c r="AW37" s="123"/>
      <c r="AX37" s="123"/>
      <c r="AY37" s="123"/>
      <c r="AZ37" s="255"/>
      <c r="BA37" s="255"/>
      <c r="BB37" s="255"/>
      <c r="BC37" s="255"/>
      <c r="BD37" s="255"/>
      <c r="BE37" s="255"/>
      <c r="BF37" s="255"/>
      <c r="BG37" s="256"/>
      <c r="BH37" s="256"/>
      <c r="BI37" s="256"/>
      <c r="BJ37" s="256"/>
      <c r="BK37" s="256"/>
      <c r="BL37" s="256"/>
      <c r="BM37" s="256"/>
      <c r="BN37" s="123"/>
      <c r="BO37" s="123"/>
      <c r="BP37" s="123"/>
      <c r="BQ37" s="123"/>
      <c r="BR37" s="123"/>
      <c r="BS37" s="123"/>
      <c r="BT37" s="123"/>
      <c r="BU37" s="255"/>
      <c r="BV37" s="255"/>
      <c r="BW37" s="255"/>
      <c r="BX37" s="255"/>
      <c r="BY37" s="255"/>
      <c r="BZ37" s="255"/>
      <c r="CA37" s="255"/>
      <c r="CB37" s="256"/>
      <c r="CC37" s="256"/>
      <c r="CD37" s="256"/>
      <c r="CE37" s="256"/>
      <c r="CF37" s="256"/>
      <c r="CG37" s="256"/>
      <c r="CH37" s="256"/>
      <c r="CI37" s="458"/>
      <c r="CJ37" s="458"/>
      <c r="CK37" s="458"/>
      <c r="CL37" s="458"/>
      <c r="CM37" s="458"/>
      <c r="CN37" s="458"/>
      <c r="CO37" s="458"/>
      <c r="CP37" s="459"/>
      <c r="CQ37" s="459"/>
      <c r="CR37" s="459"/>
      <c r="CS37" s="459"/>
      <c r="CT37" s="459"/>
      <c r="CU37" s="459"/>
      <c r="CV37" s="459"/>
      <c r="CW37" s="256"/>
      <c r="CX37" s="256"/>
      <c r="CY37" s="256"/>
      <c r="CZ37" s="256"/>
      <c r="DA37" s="256"/>
      <c r="DB37" s="256"/>
      <c r="DC37" s="256"/>
      <c r="DD37" s="257" t="str">
        <f t="shared" si="15"/>
        <v/>
      </c>
      <c r="DE37" s="257" t="str">
        <f t="shared" si="16"/>
        <v/>
      </c>
      <c r="DF37" s="257" t="str">
        <f t="shared" si="17"/>
        <v/>
      </c>
      <c r="DG37" s="257" t="str">
        <f t="shared" si="18"/>
        <v/>
      </c>
      <c r="DH37" s="257" t="str">
        <f t="shared" si="19"/>
        <v/>
      </c>
      <c r="DI37" s="257" t="str">
        <f t="shared" si="20"/>
        <v/>
      </c>
      <c r="DJ37" s="257" t="str">
        <f t="shared" si="21"/>
        <v/>
      </c>
      <c r="DK37" s="756" t="str">
        <f t="shared" si="22"/>
        <v/>
      </c>
      <c r="DL37" s="291" t="str">
        <f t="shared" si="23"/>
        <v xml:space="preserve">  </v>
      </c>
      <c r="DM37" s="243" t="str">
        <f t="shared" si="24"/>
        <v xml:space="preserve"> </v>
      </c>
      <c r="DN37" s="39"/>
      <c r="DO37" s="39"/>
      <c r="DP37" s="257">
        <f t="shared" si="25"/>
        <v>0</v>
      </c>
      <c r="DQ37" s="257">
        <f t="shared" si="26"/>
        <v>0</v>
      </c>
      <c r="DR37" s="257">
        <f t="shared" si="27"/>
        <v>0</v>
      </c>
      <c r="DS37" s="257">
        <f t="shared" si="28"/>
        <v>0</v>
      </c>
      <c r="DT37" s="257">
        <f t="shared" si="29"/>
        <v>0</v>
      </c>
      <c r="DU37" s="257">
        <f t="shared" si="30"/>
        <v>0</v>
      </c>
      <c r="DV37" s="257">
        <f t="shared" si="31"/>
        <v>0</v>
      </c>
      <c r="DW37" s="257"/>
      <c r="DX37" s="257"/>
      <c r="DY37" s="257"/>
      <c r="DZ37" s="257"/>
      <c r="EA37" s="232">
        <f t="shared" si="32"/>
        <v>0</v>
      </c>
      <c r="EB37" s="257">
        <f t="shared" si="33"/>
        <v>0</v>
      </c>
      <c r="EC37" s="257">
        <f t="shared" si="34"/>
        <v>0</v>
      </c>
      <c r="ED37" s="257">
        <f t="shared" si="35"/>
        <v>0</v>
      </c>
      <c r="EE37" s="257">
        <f t="shared" si="36"/>
        <v>0</v>
      </c>
      <c r="EF37" s="257">
        <f t="shared" si="37"/>
        <v>0</v>
      </c>
      <c r="EG37" s="257">
        <f t="shared" si="38"/>
        <v>0</v>
      </c>
      <c r="EH37" s="257">
        <f t="shared" si="39"/>
        <v>0</v>
      </c>
      <c r="EI37" s="257"/>
      <c r="EJ37" s="257"/>
      <c r="EK37" s="257"/>
      <c r="EL37" s="257"/>
      <c r="EM37" s="232">
        <f t="shared" si="40"/>
        <v>0</v>
      </c>
      <c r="EN37" s="257">
        <f t="shared" si="41"/>
        <v>0</v>
      </c>
      <c r="EO37" s="257">
        <f t="shared" si="42"/>
        <v>0</v>
      </c>
      <c r="EP37" s="257">
        <f t="shared" si="43"/>
        <v>0</v>
      </c>
      <c r="EQ37" s="257">
        <f t="shared" si="44"/>
        <v>0</v>
      </c>
      <c r="ER37" s="257">
        <f t="shared" si="45"/>
        <v>0</v>
      </c>
      <c r="ES37" s="257">
        <f t="shared" si="46"/>
        <v>0</v>
      </c>
      <c r="ET37" s="257">
        <f t="shared" si="47"/>
        <v>0</v>
      </c>
      <c r="EU37" s="257"/>
      <c r="EV37" s="257"/>
      <c r="EW37" s="257"/>
      <c r="EX37" s="257"/>
      <c r="EY37" s="232">
        <f t="shared" si="48"/>
        <v>0</v>
      </c>
      <c r="EZ37" s="257">
        <f t="shared" si="49"/>
        <v>0</v>
      </c>
      <c r="FA37" s="257">
        <f t="shared" si="50"/>
        <v>0</v>
      </c>
      <c r="FB37" s="257">
        <f t="shared" si="51"/>
        <v>0</v>
      </c>
      <c r="FC37" s="575">
        <f t="shared" si="52"/>
        <v>3</v>
      </c>
      <c r="FD37" s="506">
        <f t="shared" si="53"/>
        <v>0</v>
      </c>
      <c r="FE37" s="39" t="str">
        <f t="shared" si="54"/>
        <v/>
      </c>
      <c r="FF37" s="257">
        <f t="shared" si="55"/>
        <v>0</v>
      </c>
      <c r="FG37" s="257">
        <f t="shared" si="56"/>
        <v>0</v>
      </c>
      <c r="FH37" s="257">
        <f t="shared" si="57"/>
        <v>0</v>
      </c>
      <c r="FI37" s="575">
        <f t="shared" si="58"/>
        <v>3</v>
      </c>
      <c r="FJ37" s="506">
        <f t="shared" si="59"/>
        <v>0</v>
      </c>
      <c r="FK37" s="39" t="str">
        <f t="shared" si="60"/>
        <v/>
      </c>
      <c r="FL37" s="257">
        <f t="shared" si="61"/>
        <v>0</v>
      </c>
      <c r="FM37" s="257">
        <f t="shared" si="62"/>
        <v>0</v>
      </c>
      <c r="FN37" s="257">
        <f t="shared" si="63"/>
        <v>0</v>
      </c>
      <c r="FO37" s="575">
        <f t="shared" si="64"/>
        <v>3</v>
      </c>
      <c r="FP37" s="506">
        <f t="shared" si="65"/>
        <v>0</v>
      </c>
      <c r="FQ37" s="39" t="str">
        <f t="shared" si="66"/>
        <v/>
      </c>
      <c r="FR37" s="257">
        <f t="shared" si="67"/>
        <v>0</v>
      </c>
      <c r="FS37" s="257">
        <f t="shared" si="68"/>
        <v>0</v>
      </c>
      <c r="FT37" s="257">
        <f t="shared" si="69"/>
        <v>0</v>
      </c>
      <c r="FU37" s="575">
        <f t="shared" si="70"/>
        <v>3</v>
      </c>
      <c r="FV37" s="506">
        <f t="shared" si="71"/>
        <v>0</v>
      </c>
      <c r="FW37" s="39" t="str">
        <f t="shared" si="72"/>
        <v/>
      </c>
      <c r="FX37" s="257">
        <f t="shared" si="73"/>
        <v>0</v>
      </c>
      <c r="FY37" s="257">
        <f t="shared" si="74"/>
        <v>0</v>
      </c>
      <c r="FZ37" s="257">
        <f t="shared" si="75"/>
        <v>0</v>
      </c>
      <c r="GA37" s="575">
        <f t="shared" si="76"/>
        <v>3</v>
      </c>
      <c r="GB37" s="506">
        <f t="shared" si="77"/>
        <v>0</v>
      </c>
      <c r="GC37" s="39" t="str">
        <f t="shared" si="78"/>
        <v/>
      </c>
      <c r="GD37" s="257">
        <f t="shared" si="79"/>
        <v>0</v>
      </c>
      <c r="GE37" s="257">
        <f t="shared" si="80"/>
        <v>0</v>
      </c>
      <c r="GF37" s="257">
        <f t="shared" si="81"/>
        <v>0</v>
      </c>
      <c r="GG37" s="575">
        <f t="shared" si="82"/>
        <v>3</v>
      </c>
      <c r="GH37" s="506">
        <f t="shared" si="83"/>
        <v>0</v>
      </c>
      <c r="GI37" s="39" t="str">
        <f t="shared" si="84"/>
        <v/>
      </c>
      <c r="GJ37" s="257">
        <f t="shared" si="85"/>
        <v>0</v>
      </c>
      <c r="GK37" s="257">
        <f t="shared" si="86"/>
        <v>0</v>
      </c>
      <c r="GL37" s="257">
        <f t="shared" si="87"/>
        <v>0</v>
      </c>
      <c r="GM37" s="575">
        <f t="shared" si="88"/>
        <v>3</v>
      </c>
      <c r="GN37" s="506">
        <f t="shared" si="89"/>
        <v>0</v>
      </c>
      <c r="GO37" s="39" t="str">
        <f t="shared" si="90"/>
        <v/>
      </c>
      <c r="GP37" s="257">
        <f t="shared" si="91"/>
        <v>0</v>
      </c>
      <c r="GQ37" s="257">
        <f t="shared" si="92"/>
        <v>0</v>
      </c>
      <c r="GR37" s="257">
        <f t="shared" si="93"/>
        <v>0</v>
      </c>
      <c r="GS37" s="575">
        <f t="shared" si="94"/>
        <v>3</v>
      </c>
      <c r="GT37" s="506">
        <f t="shared" si="95"/>
        <v>0</v>
      </c>
      <c r="GU37" s="39" t="str">
        <f t="shared" si="96"/>
        <v/>
      </c>
      <c r="GV37" s="257">
        <f t="shared" si="97"/>
        <v>0</v>
      </c>
      <c r="GW37" s="257">
        <f t="shared" si="98"/>
        <v>0</v>
      </c>
      <c r="GX37" s="257">
        <f t="shared" si="99"/>
        <v>0</v>
      </c>
      <c r="GY37" s="575">
        <f t="shared" si="100"/>
        <v>3</v>
      </c>
      <c r="GZ37" s="506">
        <f t="shared" si="101"/>
        <v>0</v>
      </c>
      <c r="HA37" s="39" t="str">
        <f t="shared" si="102"/>
        <v/>
      </c>
      <c r="HB37" s="257">
        <f t="shared" si="103"/>
        <v>0</v>
      </c>
      <c r="HC37" s="257">
        <f t="shared" si="104"/>
        <v>0</v>
      </c>
      <c r="HD37" s="257">
        <f t="shared" si="105"/>
        <v>0</v>
      </c>
      <c r="HE37" s="575">
        <f t="shared" si="106"/>
        <v>3</v>
      </c>
      <c r="HF37" s="506">
        <f t="shared" si="107"/>
        <v>0</v>
      </c>
      <c r="HG37" s="39" t="str">
        <f t="shared" si="108"/>
        <v/>
      </c>
      <c r="HH37" s="257">
        <f t="shared" si="109"/>
        <v>0</v>
      </c>
      <c r="HI37" s="257">
        <f t="shared" si="110"/>
        <v>0</v>
      </c>
      <c r="HJ37" s="257">
        <f t="shared" si="111"/>
        <v>0</v>
      </c>
      <c r="HK37" s="575">
        <f t="shared" si="112"/>
        <v>3</v>
      </c>
      <c r="HL37" s="506">
        <f t="shared" si="113"/>
        <v>0</v>
      </c>
      <c r="HM37" s="39" t="str">
        <f t="shared" si="114"/>
        <v/>
      </c>
      <c r="HN37" s="39"/>
      <c r="HO37" s="39" t="str">
        <f t="shared" si="115"/>
        <v/>
      </c>
      <c r="HP37" s="39" t="str">
        <f t="shared" si="116"/>
        <v/>
      </c>
      <c r="HQ37" s="39" t="str">
        <f t="shared" si="117"/>
        <v/>
      </c>
      <c r="HR37" s="39" t="str">
        <f t="shared" si="118"/>
        <v/>
      </c>
      <c r="HS37" s="39" t="str">
        <f t="shared" si="119"/>
        <v/>
      </c>
      <c r="HT37" s="39" t="str">
        <f t="shared" si="120"/>
        <v/>
      </c>
      <c r="HU37" s="39" t="str">
        <f t="shared" si="121"/>
        <v/>
      </c>
      <c r="HV37" s="39"/>
      <c r="HW37" s="39"/>
      <c r="HX37" s="39"/>
      <c r="HY37" s="39"/>
      <c r="HZ37" s="39" t="str">
        <f t="shared" si="122"/>
        <v/>
      </c>
      <c r="IA37" s="68">
        <f t="shared" si="123"/>
        <v>0</v>
      </c>
      <c r="IB37" s="68">
        <f t="shared" si="124"/>
        <v>0</v>
      </c>
      <c r="IC37" s="39">
        <f>SISWA!E35</f>
        <v>0</v>
      </c>
      <c r="ID37" s="39" t="str">
        <f t="shared" si="125"/>
        <v/>
      </c>
      <c r="IE37" s="207" t="str">
        <f t="shared" si="126"/>
        <v/>
      </c>
      <c r="IF37" s="207" t="str">
        <f t="shared" si="127"/>
        <v/>
      </c>
      <c r="IG37" s="207" t="str">
        <f t="shared" si="128"/>
        <v/>
      </c>
      <c r="IH37" s="207" t="str">
        <f t="shared" si="129"/>
        <v/>
      </c>
      <c r="II37" s="207" t="str">
        <f t="shared" si="130"/>
        <v/>
      </c>
      <c r="IJ37" s="207" t="str">
        <f t="shared" si="131"/>
        <v/>
      </c>
      <c r="IK37" s="207" t="str">
        <f t="shared" si="132"/>
        <v/>
      </c>
      <c r="IL37" s="207"/>
      <c r="IM37" s="207"/>
      <c r="IN37" s="207"/>
      <c r="IO37" s="207"/>
      <c r="IP37" s="39">
        <f t="shared" si="133"/>
        <v>0</v>
      </c>
      <c r="IQ37" s="68" t="e">
        <f t="shared" si="134"/>
        <v>#N/A</v>
      </c>
      <c r="IR37" s="576" t="e">
        <f>IF(IA37&gt;100,"",IF(IA37&gt;DQ$1,"sangat baik dalam "&amp;IQ37,IF(IA37&gt;=DQ$2,"baik dalam "&amp;IQ37,IF(IA37&gt;=DQ$3,"cukup dalam "&amp;IQ37,IF(IA37&lt;DQ$3,"dengan bimbingan dapat meningkatkan dalam "&amp;IQ37,IF(IA37&lt;1," ",””))))))</f>
        <v>#N/A</v>
      </c>
      <c r="IS37" s="223"/>
      <c r="IT37" s="223" t="str">
        <f t="shared" si="135"/>
        <v/>
      </c>
      <c r="IU37" s="223" t="str">
        <f t="shared" si="136"/>
        <v/>
      </c>
      <c r="IV37" s="223" t="str">
        <f t="shared" si="137"/>
        <v/>
      </c>
      <c r="IW37" s="223" t="str">
        <f t="shared" si="138"/>
        <v/>
      </c>
      <c r="IX37" s="223" t="str">
        <f t="shared" si="139"/>
        <v/>
      </c>
      <c r="IY37" s="223" t="str">
        <f t="shared" si="140"/>
        <v/>
      </c>
      <c r="IZ37" s="223" t="str">
        <f t="shared" si="141"/>
        <v/>
      </c>
      <c r="JA37" s="223"/>
      <c r="JB37" s="223"/>
      <c r="JC37" s="223"/>
      <c r="JD37" s="223"/>
      <c r="JE37" s="223" t="e">
        <f t="shared" si="142"/>
        <v>#N/A</v>
      </c>
      <c r="JF37" s="577" t="e">
        <f>IF(IB37&gt;100,"",IF(IB37&gt;=DQ$1,"sangat baik dalam "&amp;JE37,IF(IB37&gt;=DQ$2,"baik dalam "&amp;JE37,IF(IB37&gt;=DQ$3,"cukup dalam "&amp;JE37,IF(IB37&lt;DQ$3,"dengan bimbingan dapat meningkatkan dalam "&amp;JE37,IF(IB37&lt;1," ",””))))))</f>
        <v>#N/A</v>
      </c>
      <c r="JG37" s="223" t="e">
        <f t="shared" si="143"/>
        <v>#N/A</v>
      </c>
    </row>
    <row r="38" spans="1:267" ht="30" customHeight="1">
      <c r="A38" s="39">
        <v>31</v>
      </c>
      <c r="B38" s="223">
        <f>SISWA!B36</f>
        <v>0</v>
      </c>
      <c r="C38" s="123"/>
      <c r="D38" s="123"/>
      <c r="E38" s="123"/>
      <c r="F38" s="123"/>
      <c r="G38" s="123"/>
      <c r="H38" s="123"/>
      <c r="I38" s="123"/>
      <c r="J38" s="255"/>
      <c r="K38" s="255"/>
      <c r="L38" s="255"/>
      <c r="M38" s="255"/>
      <c r="N38" s="255"/>
      <c r="O38" s="255"/>
      <c r="P38" s="255"/>
      <c r="Q38" s="256"/>
      <c r="R38" s="256"/>
      <c r="S38" s="256"/>
      <c r="T38" s="256"/>
      <c r="U38" s="256"/>
      <c r="V38" s="256"/>
      <c r="W38" s="256"/>
      <c r="X38" s="123"/>
      <c r="Y38" s="123"/>
      <c r="Z38" s="123"/>
      <c r="AA38" s="123"/>
      <c r="AB38" s="123"/>
      <c r="AC38" s="123"/>
      <c r="AD38" s="123"/>
      <c r="AE38" s="255"/>
      <c r="AF38" s="255"/>
      <c r="AG38" s="255"/>
      <c r="AH38" s="255"/>
      <c r="AI38" s="255"/>
      <c r="AJ38" s="255"/>
      <c r="AK38" s="255"/>
      <c r="AL38" s="256"/>
      <c r="AM38" s="256"/>
      <c r="AN38" s="256"/>
      <c r="AO38" s="256"/>
      <c r="AP38" s="256"/>
      <c r="AQ38" s="256"/>
      <c r="AR38" s="256"/>
      <c r="AS38" s="123"/>
      <c r="AT38" s="123"/>
      <c r="AU38" s="123"/>
      <c r="AV38" s="123"/>
      <c r="AW38" s="123"/>
      <c r="AX38" s="123"/>
      <c r="AY38" s="123"/>
      <c r="AZ38" s="255"/>
      <c r="BA38" s="255"/>
      <c r="BB38" s="255"/>
      <c r="BC38" s="255"/>
      <c r="BD38" s="255"/>
      <c r="BE38" s="255"/>
      <c r="BF38" s="255"/>
      <c r="BG38" s="256"/>
      <c r="BH38" s="256"/>
      <c r="BI38" s="256"/>
      <c r="BJ38" s="256"/>
      <c r="BK38" s="256"/>
      <c r="BL38" s="256"/>
      <c r="BM38" s="256"/>
      <c r="BN38" s="123"/>
      <c r="BO38" s="123"/>
      <c r="BP38" s="123"/>
      <c r="BQ38" s="123"/>
      <c r="BR38" s="123"/>
      <c r="BS38" s="123"/>
      <c r="BT38" s="123"/>
      <c r="BU38" s="255"/>
      <c r="BV38" s="255"/>
      <c r="BW38" s="255"/>
      <c r="BX38" s="255"/>
      <c r="BY38" s="255"/>
      <c r="BZ38" s="255"/>
      <c r="CA38" s="255"/>
      <c r="CB38" s="256"/>
      <c r="CC38" s="256"/>
      <c r="CD38" s="256"/>
      <c r="CE38" s="256"/>
      <c r="CF38" s="256"/>
      <c r="CG38" s="256"/>
      <c r="CH38" s="256"/>
      <c r="CI38" s="458"/>
      <c r="CJ38" s="458"/>
      <c r="CK38" s="458"/>
      <c r="CL38" s="458"/>
      <c r="CM38" s="458"/>
      <c r="CN38" s="458"/>
      <c r="CO38" s="458"/>
      <c r="CP38" s="459"/>
      <c r="CQ38" s="459"/>
      <c r="CR38" s="459"/>
      <c r="CS38" s="459"/>
      <c r="CT38" s="459"/>
      <c r="CU38" s="459"/>
      <c r="CV38" s="459"/>
      <c r="CW38" s="256"/>
      <c r="CX38" s="256"/>
      <c r="CY38" s="256"/>
      <c r="CZ38" s="256"/>
      <c r="DA38" s="256"/>
      <c r="DB38" s="256"/>
      <c r="DC38" s="256"/>
      <c r="DD38" s="257" t="str">
        <f t="shared" si="15"/>
        <v/>
      </c>
      <c r="DE38" s="257" t="str">
        <f t="shared" si="16"/>
        <v/>
      </c>
      <c r="DF38" s="257" t="str">
        <f t="shared" si="17"/>
        <v/>
      </c>
      <c r="DG38" s="257" t="str">
        <f t="shared" si="18"/>
        <v/>
      </c>
      <c r="DH38" s="257" t="str">
        <f t="shared" si="19"/>
        <v/>
      </c>
      <c r="DI38" s="257" t="str">
        <f t="shared" si="20"/>
        <v/>
      </c>
      <c r="DJ38" s="257" t="str">
        <f t="shared" si="21"/>
        <v/>
      </c>
      <c r="DK38" s="756" t="str">
        <f t="shared" si="22"/>
        <v/>
      </c>
      <c r="DL38" s="291" t="str">
        <f t="shared" si="23"/>
        <v xml:space="preserve">  </v>
      </c>
      <c r="DM38" s="243" t="str">
        <f t="shared" si="24"/>
        <v xml:space="preserve"> </v>
      </c>
      <c r="DN38" s="39"/>
      <c r="DO38" s="39"/>
      <c r="DP38" s="257">
        <f t="shared" si="25"/>
        <v>0</v>
      </c>
      <c r="DQ38" s="257">
        <f t="shared" si="26"/>
        <v>0</v>
      </c>
      <c r="DR38" s="257">
        <f t="shared" si="27"/>
        <v>0</v>
      </c>
      <c r="DS38" s="257">
        <f t="shared" si="28"/>
        <v>0</v>
      </c>
      <c r="DT38" s="257">
        <f t="shared" si="29"/>
        <v>0</v>
      </c>
      <c r="DU38" s="257">
        <f t="shared" si="30"/>
        <v>0</v>
      </c>
      <c r="DV38" s="257">
        <f t="shared" si="31"/>
        <v>0</v>
      </c>
      <c r="DW38" s="257"/>
      <c r="DX38" s="257"/>
      <c r="DY38" s="257"/>
      <c r="DZ38" s="257"/>
      <c r="EA38" s="232">
        <f t="shared" si="32"/>
        <v>0</v>
      </c>
      <c r="EB38" s="257">
        <f t="shared" si="33"/>
        <v>0</v>
      </c>
      <c r="EC38" s="257">
        <f t="shared" si="34"/>
        <v>0</v>
      </c>
      <c r="ED38" s="257">
        <f t="shared" si="35"/>
        <v>0</v>
      </c>
      <c r="EE38" s="257">
        <f t="shared" si="36"/>
        <v>0</v>
      </c>
      <c r="EF38" s="257">
        <f t="shared" si="37"/>
        <v>0</v>
      </c>
      <c r="EG38" s="257">
        <f t="shared" si="38"/>
        <v>0</v>
      </c>
      <c r="EH38" s="257">
        <f t="shared" si="39"/>
        <v>0</v>
      </c>
      <c r="EI38" s="257"/>
      <c r="EJ38" s="257"/>
      <c r="EK38" s="257"/>
      <c r="EL38" s="257"/>
      <c r="EM38" s="232">
        <f t="shared" si="40"/>
        <v>0</v>
      </c>
      <c r="EN38" s="257">
        <f t="shared" si="41"/>
        <v>0</v>
      </c>
      <c r="EO38" s="257">
        <f t="shared" si="42"/>
        <v>0</v>
      </c>
      <c r="EP38" s="257">
        <f t="shared" si="43"/>
        <v>0</v>
      </c>
      <c r="EQ38" s="257">
        <f t="shared" si="44"/>
        <v>0</v>
      </c>
      <c r="ER38" s="257">
        <f t="shared" si="45"/>
        <v>0</v>
      </c>
      <c r="ES38" s="257">
        <f t="shared" si="46"/>
        <v>0</v>
      </c>
      <c r="ET38" s="257">
        <f t="shared" si="47"/>
        <v>0</v>
      </c>
      <c r="EU38" s="257"/>
      <c r="EV38" s="257"/>
      <c r="EW38" s="257"/>
      <c r="EX38" s="257"/>
      <c r="EY38" s="232">
        <f t="shared" si="48"/>
        <v>0</v>
      </c>
      <c r="EZ38" s="257">
        <f t="shared" si="49"/>
        <v>0</v>
      </c>
      <c r="FA38" s="257">
        <f t="shared" si="50"/>
        <v>0</v>
      </c>
      <c r="FB38" s="257">
        <f t="shared" si="51"/>
        <v>0</v>
      </c>
      <c r="FC38" s="575">
        <f t="shared" si="52"/>
        <v>3</v>
      </c>
      <c r="FD38" s="506">
        <f t="shared" si="53"/>
        <v>0</v>
      </c>
      <c r="FE38" s="39" t="str">
        <f t="shared" si="54"/>
        <v/>
      </c>
      <c r="FF38" s="257">
        <f t="shared" si="55"/>
        <v>0</v>
      </c>
      <c r="FG38" s="257">
        <f t="shared" si="56"/>
        <v>0</v>
      </c>
      <c r="FH38" s="257">
        <f t="shared" si="57"/>
        <v>0</v>
      </c>
      <c r="FI38" s="575">
        <f t="shared" si="58"/>
        <v>3</v>
      </c>
      <c r="FJ38" s="506">
        <f t="shared" si="59"/>
        <v>0</v>
      </c>
      <c r="FK38" s="39" t="str">
        <f t="shared" si="60"/>
        <v/>
      </c>
      <c r="FL38" s="257">
        <f t="shared" si="61"/>
        <v>0</v>
      </c>
      <c r="FM38" s="257">
        <f t="shared" si="62"/>
        <v>0</v>
      </c>
      <c r="FN38" s="257">
        <f t="shared" si="63"/>
        <v>0</v>
      </c>
      <c r="FO38" s="575">
        <f t="shared" si="64"/>
        <v>3</v>
      </c>
      <c r="FP38" s="506">
        <f t="shared" si="65"/>
        <v>0</v>
      </c>
      <c r="FQ38" s="39" t="str">
        <f t="shared" si="66"/>
        <v/>
      </c>
      <c r="FR38" s="257">
        <f t="shared" si="67"/>
        <v>0</v>
      </c>
      <c r="FS38" s="257">
        <f t="shared" si="68"/>
        <v>0</v>
      </c>
      <c r="FT38" s="257">
        <f t="shared" si="69"/>
        <v>0</v>
      </c>
      <c r="FU38" s="575">
        <f t="shared" si="70"/>
        <v>3</v>
      </c>
      <c r="FV38" s="506">
        <f t="shared" si="71"/>
        <v>0</v>
      </c>
      <c r="FW38" s="39" t="str">
        <f t="shared" si="72"/>
        <v/>
      </c>
      <c r="FX38" s="257">
        <f t="shared" si="73"/>
        <v>0</v>
      </c>
      <c r="FY38" s="257">
        <f t="shared" si="74"/>
        <v>0</v>
      </c>
      <c r="FZ38" s="257">
        <f t="shared" si="75"/>
        <v>0</v>
      </c>
      <c r="GA38" s="575">
        <f t="shared" si="76"/>
        <v>3</v>
      </c>
      <c r="GB38" s="506">
        <f t="shared" si="77"/>
        <v>0</v>
      </c>
      <c r="GC38" s="39" t="str">
        <f t="shared" si="78"/>
        <v/>
      </c>
      <c r="GD38" s="257">
        <f t="shared" si="79"/>
        <v>0</v>
      </c>
      <c r="GE38" s="257">
        <f t="shared" si="80"/>
        <v>0</v>
      </c>
      <c r="GF38" s="257">
        <f t="shared" si="81"/>
        <v>0</v>
      </c>
      <c r="GG38" s="575">
        <f t="shared" si="82"/>
        <v>3</v>
      </c>
      <c r="GH38" s="506">
        <f t="shared" si="83"/>
        <v>0</v>
      </c>
      <c r="GI38" s="39" t="str">
        <f t="shared" si="84"/>
        <v/>
      </c>
      <c r="GJ38" s="257">
        <f t="shared" si="85"/>
        <v>0</v>
      </c>
      <c r="GK38" s="257">
        <f t="shared" si="86"/>
        <v>0</v>
      </c>
      <c r="GL38" s="257">
        <f t="shared" si="87"/>
        <v>0</v>
      </c>
      <c r="GM38" s="575">
        <f t="shared" si="88"/>
        <v>3</v>
      </c>
      <c r="GN38" s="506">
        <f t="shared" si="89"/>
        <v>0</v>
      </c>
      <c r="GO38" s="39" t="str">
        <f t="shared" si="90"/>
        <v/>
      </c>
      <c r="GP38" s="257">
        <f t="shared" si="91"/>
        <v>0</v>
      </c>
      <c r="GQ38" s="257">
        <f t="shared" si="92"/>
        <v>0</v>
      </c>
      <c r="GR38" s="257">
        <f t="shared" si="93"/>
        <v>0</v>
      </c>
      <c r="GS38" s="575">
        <f t="shared" si="94"/>
        <v>3</v>
      </c>
      <c r="GT38" s="506">
        <f t="shared" si="95"/>
        <v>0</v>
      </c>
      <c r="GU38" s="39" t="str">
        <f t="shared" si="96"/>
        <v/>
      </c>
      <c r="GV38" s="257">
        <f t="shared" si="97"/>
        <v>0</v>
      </c>
      <c r="GW38" s="257">
        <f t="shared" si="98"/>
        <v>0</v>
      </c>
      <c r="GX38" s="257">
        <f t="shared" si="99"/>
        <v>0</v>
      </c>
      <c r="GY38" s="575">
        <f t="shared" si="100"/>
        <v>3</v>
      </c>
      <c r="GZ38" s="506">
        <f t="shared" si="101"/>
        <v>0</v>
      </c>
      <c r="HA38" s="39" t="str">
        <f t="shared" si="102"/>
        <v/>
      </c>
      <c r="HB38" s="257">
        <f t="shared" si="103"/>
        <v>0</v>
      </c>
      <c r="HC38" s="257">
        <f t="shared" si="104"/>
        <v>0</v>
      </c>
      <c r="HD38" s="257">
        <f t="shared" si="105"/>
        <v>0</v>
      </c>
      <c r="HE38" s="575">
        <f t="shared" si="106"/>
        <v>3</v>
      </c>
      <c r="HF38" s="506">
        <f t="shared" si="107"/>
        <v>0</v>
      </c>
      <c r="HG38" s="39" t="str">
        <f t="shared" si="108"/>
        <v/>
      </c>
      <c r="HH38" s="257">
        <f t="shared" si="109"/>
        <v>0</v>
      </c>
      <c r="HI38" s="257">
        <f t="shared" si="110"/>
        <v>0</v>
      </c>
      <c r="HJ38" s="257">
        <f t="shared" si="111"/>
        <v>0</v>
      </c>
      <c r="HK38" s="575">
        <f t="shared" si="112"/>
        <v>3</v>
      </c>
      <c r="HL38" s="506">
        <f t="shared" si="113"/>
        <v>0</v>
      </c>
      <c r="HM38" s="39" t="str">
        <f t="shared" si="114"/>
        <v/>
      </c>
      <c r="HN38" s="39"/>
      <c r="HO38" s="39" t="str">
        <f t="shared" si="115"/>
        <v/>
      </c>
      <c r="HP38" s="39" t="str">
        <f t="shared" si="116"/>
        <v/>
      </c>
      <c r="HQ38" s="39" t="str">
        <f t="shared" si="117"/>
        <v/>
      </c>
      <c r="HR38" s="39" t="str">
        <f t="shared" si="118"/>
        <v/>
      </c>
      <c r="HS38" s="39" t="str">
        <f t="shared" si="119"/>
        <v/>
      </c>
      <c r="HT38" s="39" t="str">
        <f t="shared" si="120"/>
        <v/>
      </c>
      <c r="HU38" s="39" t="str">
        <f t="shared" si="121"/>
        <v/>
      </c>
      <c r="HV38" s="39"/>
      <c r="HW38" s="39"/>
      <c r="HX38" s="39"/>
      <c r="HY38" s="39"/>
      <c r="HZ38" s="39" t="str">
        <f t="shared" si="122"/>
        <v/>
      </c>
      <c r="IA38" s="68">
        <f t="shared" si="123"/>
        <v>0</v>
      </c>
      <c r="IB38" s="68">
        <f t="shared" si="124"/>
        <v>0</v>
      </c>
      <c r="IC38" s="39">
        <f>SISWA!E36</f>
        <v>0</v>
      </c>
      <c r="ID38" s="39" t="str">
        <f t="shared" si="125"/>
        <v/>
      </c>
      <c r="IE38" s="207" t="str">
        <f t="shared" si="126"/>
        <v/>
      </c>
      <c r="IF38" s="207" t="str">
        <f t="shared" si="127"/>
        <v/>
      </c>
      <c r="IG38" s="207" t="str">
        <f t="shared" si="128"/>
        <v/>
      </c>
      <c r="IH38" s="207" t="str">
        <f t="shared" si="129"/>
        <v/>
      </c>
      <c r="II38" s="207" t="str">
        <f t="shared" si="130"/>
        <v/>
      </c>
      <c r="IJ38" s="207" t="str">
        <f t="shared" si="131"/>
        <v/>
      </c>
      <c r="IK38" s="207" t="str">
        <f t="shared" si="132"/>
        <v/>
      </c>
      <c r="IL38" s="207"/>
      <c r="IM38" s="207"/>
      <c r="IN38" s="207"/>
      <c r="IO38" s="207"/>
      <c r="IP38" s="39">
        <f t="shared" si="133"/>
        <v>0</v>
      </c>
      <c r="IQ38" s="68" t="e">
        <f t="shared" si="134"/>
        <v>#N/A</v>
      </c>
      <c r="IR38" s="576" t="e">
        <f>IF(IA38&gt;100,"",IF(IA38&gt;DQ$1,"sangat baik dalam "&amp;IQ38,IF(IA38&gt;=DQ$2,"baik dalam "&amp;IQ38,IF(IA38&gt;=DQ$3,"cukup dalam "&amp;IQ38,IF(IA38&lt;DQ$3,"dengan bimbingan dapat meningkatkan dalam "&amp;IQ38,IF(IA38&lt;1," ",””))))))</f>
        <v>#N/A</v>
      </c>
      <c r="IS38" s="223"/>
      <c r="IT38" s="223" t="str">
        <f t="shared" si="135"/>
        <v/>
      </c>
      <c r="IU38" s="223" t="str">
        <f t="shared" si="136"/>
        <v/>
      </c>
      <c r="IV38" s="223" t="str">
        <f t="shared" si="137"/>
        <v/>
      </c>
      <c r="IW38" s="223" t="str">
        <f t="shared" si="138"/>
        <v/>
      </c>
      <c r="IX38" s="223" t="str">
        <f t="shared" si="139"/>
        <v/>
      </c>
      <c r="IY38" s="223" t="str">
        <f t="shared" si="140"/>
        <v/>
      </c>
      <c r="IZ38" s="223" t="str">
        <f t="shared" si="141"/>
        <v/>
      </c>
      <c r="JA38" s="223"/>
      <c r="JB38" s="223"/>
      <c r="JC38" s="223"/>
      <c r="JD38" s="223"/>
      <c r="JE38" s="223" t="e">
        <f t="shared" si="142"/>
        <v>#N/A</v>
      </c>
      <c r="JF38" s="577" t="e">
        <f>IF(IB38&gt;100,"",IF(IB38&gt;=DQ$1,"sangat baik dalam "&amp;JE38,IF(IB38&gt;=DQ$2,"baik dalam "&amp;JE38,IF(IB38&gt;=DQ$3,"cukup dalam "&amp;JE38,IF(IB38&lt;DQ$3,"dengan bimbingan dapat meningkatkan dalam "&amp;JE38,IF(IB38&lt;1," ",””))))))</f>
        <v>#N/A</v>
      </c>
      <c r="JG38" s="223" t="e">
        <f t="shared" si="143"/>
        <v>#N/A</v>
      </c>
    </row>
    <row r="39" spans="1:267" ht="30" customHeight="1">
      <c r="A39" s="39">
        <v>32</v>
      </c>
      <c r="B39" s="223">
        <f>SISWA!B37</f>
        <v>0</v>
      </c>
      <c r="C39" s="123"/>
      <c r="D39" s="123"/>
      <c r="E39" s="123"/>
      <c r="F39" s="123"/>
      <c r="G39" s="123"/>
      <c r="H39" s="123"/>
      <c r="I39" s="123"/>
      <c r="J39" s="255"/>
      <c r="K39" s="255"/>
      <c r="L39" s="255"/>
      <c r="M39" s="255"/>
      <c r="N39" s="255"/>
      <c r="O39" s="255"/>
      <c r="P39" s="255"/>
      <c r="Q39" s="256"/>
      <c r="R39" s="256"/>
      <c r="S39" s="256"/>
      <c r="T39" s="256"/>
      <c r="U39" s="256"/>
      <c r="V39" s="256"/>
      <c r="W39" s="256"/>
      <c r="X39" s="123"/>
      <c r="Y39" s="123"/>
      <c r="Z39" s="123"/>
      <c r="AA39" s="123"/>
      <c r="AB39" s="123"/>
      <c r="AC39" s="123"/>
      <c r="AD39" s="123"/>
      <c r="AE39" s="255"/>
      <c r="AF39" s="255"/>
      <c r="AG39" s="255"/>
      <c r="AH39" s="255"/>
      <c r="AI39" s="255"/>
      <c r="AJ39" s="255"/>
      <c r="AK39" s="255"/>
      <c r="AL39" s="256"/>
      <c r="AM39" s="256"/>
      <c r="AN39" s="256"/>
      <c r="AO39" s="256"/>
      <c r="AP39" s="256"/>
      <c r="AQ39" s="256"/>
      <c r="AR39" s="256"/>
      <c r="AS39" s="123"/>
      <c r="AT39" s="123"/>
      <c r="AU39" s="123"/>
      <c r="AV39" s="123"/>
      <c r="AW39" s="123"/>
      <c r="AX39" s="123"/>
      <c r="AY39" s="123"/>
      <c r="AZ39" s="255"/>
      <c r="BA39" s="255"/>
      <c r="BB39" s="255"/>
      <c r="BC39" s="255"/>
      <c r="BD39" s="255"/>
      <c r="BE39" s="255"/>
      <c r="BF39" s="255"/>
      <c r="BG39" s="256"/>
      <c r="BH39" s="256"/>
      <c r="BI39" s="256"/>
      <c r="BJ39" s="256"/>
      <c r="BK39" s="256"/>
      <c r="BL39" s="256"/>
      <c r="BM39" s="256"/>
      <c r="BN39" s="123"/>
      <c r="BO39" s="123"/>
      <c r="BP39" s="123"/>
      <c r="BQ39" s="123"/>
      <c r="BR39" s="123"/>
      <c r="BS39" s="123"/>
      <c r="BT39" s="123"/>
      <c r="BU39" s="255"/>
      <c r="BV39" s="255"/>
      <c r="BW39" s="255"/>
      <c r="BX39" s="255"/>
      <c r="BY39" s="255"/>
      <c r="BZ39" s="255"/>
      <c r="CA39" s="255"/>
      <c r="CB39" s="256"/>
      <c r="CC39" s="256"/>
      <c r="CD39" s="256"/>
      <c r="CE39" s="256"/>
      <c r="CF39" s="256"/>
      <c r="CG39" s="256"/>
      <c r="CH39" s="256"/>
      <c r="CI39" s="458"/>
      <c r="CJ39" s="458"/>
      <c r="CK39" s="458"/>
      <c r="CL39" s="458"/>
      <c r="CM39" s="458"/>
      <c r="CN39" s="458"/>
      <c r="CO39" s="458"/>
      <c r="CP39" s="459"/>
      <c r="CQ39" s="459"/>
      <c r="CR39" s="459"/>
      <c r="CS39" s="459"/>
      <c r="CT39" s="459"/>
      <c r="CU39" s="459"/>
      <c r="CV39" s="459"/>
      <c r="CW39" s="256"/>
      <c r="CX39" s="256"/>
      <c r="CY39" s="256"/>
      <c r="CZ39" s="256"/>
      <c r="DA39" s="256"/>
      <c r="DB39" s="256"/>
      <c r="DC39" s="256"/>
      <c r="DD39" s="257" t="str">
        <f t="shared" si="15"/>
        <v/>
      </c>
      <c r="DE39" s="257" t="str">
        <f t="shared" si="16"/>
        <v/>
      </c>
      <c r="DF39" s="257" t="str">
        <f t="shared" si="17"/>
        <v/>
      </c>
      <c r="DG39" s="257" t="str">
        <f t="shared" si="18"/>
        <v/>
      </c>
      <c r="DH39" s="257" t="str">
        <f t="shared" si="19"/>
        <v/>
      </c>
      <c r="DI39" s="257" t="str">
        <f t="shared" si="20"/>
        <v/>
      </c>
      <c r="DJ39" s="257" t="str">
        <f t="shared" si="21"/>
        <v/>
      </c>
      <c r="DK39" s="756" t="str">
        <f t="shared" si="22"/>
        <v/>
      </c>
      <c r="DL39" s="291" t="str">
        <f t="shared" si="23"/>
        <v xml:space="preserve">  </v>
      </c>
      <c r="DM39" s="243" t="str">
        <f t="shared" si="24"/>
        <v xml:space="preserve"> </v>
      </c>
      <c r="DN39" s="39"/>
      <c r="DO39" s="39"/>
      <c r="DP39" s="257">
        <f t="shared" si="25"/>
        <v>0</v>
      </c>
      <c r="DQ39" s="257">
        <f t="shared" si="26"/>
        <v>0</v>
      </c>
      <c r="DR39" s="257">
        <f t="shared" si="27"/>
        <v>0</v>
      </c>
      <c r="DS39" s="257">
        <f t="shared" si="28"/>
        <v>0</v>
      </c>
      <c r="DT39" s="257">
        <f t="shared" si="29"/>
        <v>0</v>
      </c>
      <c r="DU39" s="257">
        <f t="shared" si="30"/>
        <v>0</v>
      </c>
      <c r="DV39" s="257">
        <f t="shared" si="31"/>
        <v>0</v>
      </c>
      <c r="DW39" s="257"/>
      <c r="DX39" s="257"/>
      <c r="DY39" s="257"/>
      <c r="DZ39" s="257"/>
      <c r="EA39" s="232">
        <f t="shared" si="32"/>
        <v>0</v>
      </c>
      <c r="EB39" s="257">
        <f t="shared" si="33"/>
        <v>0</v>
      </c>
      <c r="EC39" s="257">
        <f t="shared" si="34"/>
        <v>0</v>
      </c>
      <c r="ED39" s="257">
        <f t="shared" si="35"/>
        <v>0</v>
      </c>
      <c r="EE39" s="257">
        <f t="shared" si="36"/>
        <v>0</v>
      </c>
      <c r="EF39" s="257">
        <f t="shared" si="37"/>
        <v>0</v>
      </c>
      <c r="EG39" s="257">
        <f t="shared" si="38"/>
        <v>0</v>
      </c>
      <c r="EH39" s="257">
        <f t="shared" si="39"/>
        <v>0</v>
      </c>
      <c r="EI39" s="257"/>
      <c r="EJ39" s="257"/>
      <c r="EK39" s="257"/>
      <c r="EL39" s="257"/>
      <c r="EM39" s="232">
        <f t="shared" si="40"/>
        <v>0</v>
      </c>
      <c r="EN39" s="257">
        <f t="shared" si="41"/>
        <v>0</v>
      </c>
      <c r="EO39" s="257">
        <f t="shared" si="42"/>
        <v>0</v>
      </c>
      <c r="EP39" s="257">
        <f t="shared" si="43"/>
        <v>0</v>
      </c>
      <c r="EQ39" s="257">
        <f t="shared" si="44"/>
        <v>0</v>
      </c>
      <c r="ER39" s="257">
        <f t="shared" si="45"/>
        <v>0</v>
      </c>
      <c r="ES39" s="257">
        <f t="shared" si="46"/>
        <v>0</v>
      </c>
      <c r="ET39" s="257">
        <f t="shared" si="47"/>
        <v>0</v>
      </c>
      <c r="EU39" s="257"/>
      <c r="EV39" s="257"/>
      <c r="EW39" s="257"/>
      <c r="EX39" s="257"/>
      <c r="EY39" s="232">
        <f t="shared" si="48"/>
        <v>0</v>
      </c>
      <c r="EZ39" s="257">
        <f t="shared" si="49"/>
        <v>0</v>
      </c>
      <c r="FA39" s="257">
        <f t="shared" si="50"/>
        <v>0</v>
      </c>
      <c r="FB39" s="257">
        <f t="shared" si="51"/>
        <v>0</v>
      </c>
      <c r="FC39" s="575">
        <f t="shared" si="52"/>
        <v>3</v>
      </c>
      <c r="FD39" s="506">
        <f t="shared" si="53"/>
        <v>0</v>
      </c>
      <c r="FE39" s="39" t="str">
        <f t="shared" si="54"/>
        <v/>
      </c>
      <c r="FF39" s="257">
        <f t="shared" si="55"/>
        <v>0</v>
      </c>
      <c r="FG39" s="257">
        <f t="shared" si="56"/>
        <v>0</v>
      </c>
      <c r="FH39" s="257">
        <f t="shared" si="57"/>
        <v>0</v>
      </c>
      <c r="FI39" s="575">
        <f t="shared" si="58"/>
        <v>3</v>
      </c>
      <c r="FJ39" s="506">
        <f t="shared" si="59"/>
        <v>0</v>
      </c>
      <c r="FK39" s="39" t="str">
        <f t="shared" si="60"/>
        <v/>
      </c>
      <c r="FL39" s="257">
        <f t="shared" si="61"/>
        <v>0</v>
      </c>
      <c r="FM39" s="257">
        <f t="shared" si="62"/>
        <v>0</v>
      </c>
      <c r="FN39" s="257">
        <f t="shared" si="63"/>
        <v>0</v>
      </c>
      <c r="FO39" s="575">
        <f t="shared" si="64"/>
        <v>3</v>
      </c>
      <c r="FP39" s="506">
        <f t="shared" si="65"/>
        <v>0</v>
      </c>
      <c r="FQ39" s="39" t="str">
        <f t="shared" si="66"/>
        <v/>
      </c>
      <c r="FR39" s="257">
        <f t="shared" si="67"/>
        <v>0</v>
      </c>
      <c r="FS39" s="257">
        <f t="shared" si="68"/>
        <v>0</v>
      </c>
      <c r="FT39" s="257">
        <f t="shared" si="69"/>
        <v>0</v>
      </c>
      <c r="FU39" s="575">
        <f t="shared" si="70"/>
        <v>3</v>
      </c>
      <c r="FV39" s="506">
        <f t="shared" si="71"/>
        <v>0</v>
      </c>
      <c r="FW39" s="39" t="str">
        <f t="shared" si="72"/>
        <v/>
      </c>
      <c r="FX39" s="257">
        <f t="shared" si="73"/>
        <v>0</v>
      </c>
      <c r="FY39" s="257">
        <f t="shared" si="74"/>
        <v>0</v>
      </c>
      <c r="FZ39" s="257">
        <f t="shared" si="75"/>
        <v>0</v>
      </c>
      <c r="GA39" s="575">
        <f t="shared" si="76"/>
        <v>3</v>
      </c>
      <c r="GB39" s="506">
        <f t="shared" si="77"/>
        <v>0</v>
      </c>
      <c r="GC39" s="39" t="str">
        <f t="shared" si="78"/>
        <v/>
      </c>
      <c r="GD39" s="257">
        <f t="shared" si="79"/>
        <v>0</v>
      </c>
      <c r="GE39" s="257">
        <f t="shared" si="80"/>
        <v>0</v>
      </c>
      <c r="GF39" s="257">
        <f t="shared" si="81"/>
        <v>0</v>
      </c>
      <c r="GG39" s="575">
        <f t="shared" si="82"/>
        <v>3</v>
      </c>
      <c r="GH39" s="506">
        <f t="shared" si="83"/>
        <v>0</v>
      </c>
      <c r="GI39" s="39" t="str">
        <f t="shared" si="84"/>
        <v/>
      </c>
      <c r="GJ39" s="257">
        <f t="shared" si="85"/>
        <v>0</v>
      </c>
      <c r="GK39" s="257">
        <f t="shared" si="86"/>
        <v>0</v>
      </c>
      <c r="GL39" s="257">
        <f t="shared" si="87"/>
        <v>0</v>
      </c>
      <c r="GM39" s="575">
        <f t="shared" si="88"/>
        <v>3</v>
      </c>
      <c r="GN39" s="506">
        <f t="shared" si="89"/>
        <v>0</v>
      </c>
      <c r="GO39" s="39" t="str">
        <f t="shared" si="90"/>
        <v/>
      </c>
      <c r="GP39" s="257">
        <f t="shared" si="91"/>
        <v>0</v>
      </c>
      <c r="GQ39" s="257">
        <f t="shared" si="92"/>
        <v>0</v>
      </c>
      <c r="GR39" s="257">
        <f t="shared" si="93"/>
        <v>0</v>
      </c>
      <c r="GS39" s="575">
        <f t="shared" si="94"/>
        <v>3</v>
      </c>
      <c r="GT39" s="506">
        <f t="shared" si="95"/>
        <v>0</v>
      </c>
      <c r="GU39" s="39" t="str">
        <f t="shared" si="96"/>
        <v/>
      </c>
      <c r="GV39" s="257">
        <f t="shared" si="97"/>
        <v>0</v>
      </c>
      <c r="GW39" s="257">
        <f t="shared" si="98"/>
        <v>0</v>
      </c>
      <c r="GX39" s="257">
        <f t="shared" si="99"/>
        <v>0</v>
      </c>
      <c r="GY39" s="575">
        <f t="shared" si="100"/>
        <v>3</v>
      </c>
      <c r="GZ39" s="506">
        <f t="shared" si="101"/>
        <v>0</v>
      </c>
      <c r="HA39" s="39" t="str">
        <f t="shared" si="102"/>
        <v/>
      </c>
      <c r="HB39" s="257">
        <f t="shared" si="103"/>
        <v>0</v>
      </c>
      <c r="HC39" s="257">
        <f t="shared" si="104"/>
        <v>0</v>
      </c>
      <c r="HD39" s="257">
        <f t="shared" si="105"/>
        <v>0</v>
      </c>
      <c r="HE39" s="575">
        <f t="shared" si="106"/>
        <v>3</v>
      </c>
      <c r="HF39" s="506">
        <f t="shared" si="107"/>
        <v>0</v>
      </c>
      <c r="HG39" s="39" t="str">
        <f t="shared" si="108"/>
        <v/>
      </c>
      <c r="HH39" s="257">
        <f t="shared" si="109"/>
        <v>0</v>
      </c>
      <c r="HI39" s="257">
        <f t="shared" si="110"/>
        <v>0</v>
      </c>
      <c r="HJ39" s="257">
        <f t="shared" si="111"/>
        <v>0</v>
      </c>
      <c r="HK39" s="575">
        <f t="shared" si="112"/>
        <v>3</v>
      </c>
      <c r="HL39" s="506">
        <f t="shared" si="113"/>
        <v>0</v>
      </c>
      <c r="HM39" s="39" t="str">
        <f t="shared" si="114"/>
        <v/>
      </c>
      <c r="HN39" s="39"/>
      <c r="HO39" s="39" t="str">
        <f t="shared" si="115"/>
        <v/>
      </c>
      <c r="HP39" s="39" t="str">
        <f t="shared" si="116"/>
        <v/>
      </c>
      <c r="HQ39" s="39" t="str">
        <f t="shared" si="117"/>
        <v/>
      </c>
      <c r="HR39" s="39" t="str">
        <f t="shared" si="118"/>
        <v/>
      </c>
      <c r="HS39" s="39" t="str">
        <f t="shared" si="119"/>
        <v/>
      </c>
      <c r="HT39" s="39" t="str">
        <f t="shared" si="120"/>
        <v/>
      </c>
      <c r="HU39" s="39" t="str">
        <f t="shared" si="121"/>
        <v/>
      </c>
      <c r="HV39" s="39"/>
      <c r="HW39" s="39"/>
      <c r="HX39" s="39"/>
      <c r="HY39" s="39"/>
      <c r="HZ39" s="39" t="str">
        <f t="shared" si="122"/>
        <v/>
      </c>
      <c r="IA39" s="68">
        <f t="shared" si="123"/>
        <v>0</v>
      </c>
      <c r="IB39" s="68">
        <f t="shared" si="124"/>
        <v>0</v>
      </c>
      <c r="IC39" s="39">
        <f>SISWA!E37</f>
        <v>0</v>
      </c>
      <c r="ID39" s="39" t="str">
        <f t="shared" si="125"/>
        <v/>
      </c>
      <c r="IE39" s="207" t="str">
        <f t="shared" si="126"/>
        <v/>
      </c>
      <c r="IF39" s="207" t="str">
        <f t="shared" si="127"/>
        <v/>
      </c>
      <c r="IG39" s="207" t="str">
        <f t="shared" si="128"/>
        <v/>
      </c>
      <c r="IH39" s="207" t="str">
        <f t="shared" si="129"/>
        <v/>
      </c>
      <c r="II39" s="207" t="str">
        <f t="shared" si="130"/>
        <v/>
      </c>
      <c r="IJ39" s="207" t="str">
        <f t="shared" si="131"/>
        <v/>
      </c>
      <c r="IK39" s="207" t="str">
        <f t="shared" si="132"/>
        <v/>
      </c>
      <c r="IL39" s="207"/>
      <c r="IM39" s="207"/>
      <c r="IN39" s="207"/>
      <c r="IO39" s="207"/>
      <c r="IP39" s="39">
        <f t="shared" si="133"/>
        <v>0</v>
      </c>
      <c r="IQ39" s="68" t="e">
        <f t="shared" si="134"/>
        <v>#N/A</v>
      </c>
      <c r="IR39" s="576" t="e">
        <f>IF(IA39&gt;100,"",IF(IA39&gt;DQ$1,"sangat baik dalam "&amp;IQ39,IF(IA39&gt;=DQ$2,"baik dalam "&amp;IQ39,IF(IA39&gt;=DQ$3,"cukup dalam "&amp;IQ39,IF(IA39&lt;DQ$3,"dengan bimbingan dapat meningkatkan dalam "&amp;IQ39,IF(IA39&lt;1," ",””))))))</f>
        <v>#N/A</v>
      </c>
      <c r="IS39" s="223"/>
      <c r="IT39" s="223" t="str">
        <f t="shared" si="135"/>
        <v/>
      </c>
      <c r="IU39" s="223" t="str">
        <f t="shared" si="136"/>
        <v/>
      </c>
      <c r="IV39" s="223" t="str">
        <f t="shared" si="137"/>
        <v/>
      </c>
      <c r="IW39" s="223" t="str">
        <f t="shared" si="138"/>
        <v/>
      </c>
      <c r="IX39" s="223" t="str">
        <f t="shared" si="139"/>
        <v/>
      </c>
      <c r="IY39" s="223" t="str">
        <f t="shared" si="140"/>
        <v/>
      </c>
      <c r="IZ39" s="223" t="str">
        <f t="shared" si="141"/>
        <v/>
      </c>
      <c r="JA39" s="223"/>
      <c r="JB39" s="223"/>
      <c r="JC39" s="223"/>
      <c r="JD39" s="223"/>
      <c r="JE39" s="223" t="e">
        <f t="shared" si="142"/>
        <v>#N/A</v>
      </c>
      <c r="JF39" s="577" t="e">
        <f>IF(IB39&gt;100,"",IF(IB39&gt;=DQ$1,"sangat baik dalam "&amp;JE39,IF(IB39&gt;=DQ$2,"baik dalam "&amp;JE39,IF(IB39&gt;=DQ$3,"cukup dalam "&amp;JE39,IF(IB39&lt;DQ$3,"dengan bimbingan dapat meningkatkan dalam "&amp;JE39,IF(IB39&lt;1," ",””))))))</f>
        <v>#N/A</v>
      </c>
      <c r="JG39" s="223" t="e">
        <f t="shared" si="143"/>
        <v>#N/A</v>
      </c>
    </row>
    <row r="40" spans="1:267" ht="30" customHeight="1">
      <c r="A40" s="39">
        <v>33</v>
      </c>
      <c r="B40" s="223">
        <f>SISWA!B38</f>
        <v>0</v>
      </c>
      <c r="C40" s="123"/>
      <c r="D40" s="123"/>
      <c r="E40" s="123"/>
      <c r="F40" s="123"/>
      <c r="G40" s="123"/>
      <c r="H40" s="123"/>
      <c r="I40" s="123"/>
      <c r="J40" s="255"/>
      <c r="K40" s="255"/>
      <c r="L40" s="255"/>
      <c r="M40" s="255"/>
      <c r="N40" s="255"/>
      <c r="O40" s="255"/>
      <c r="P40" s="255"/>
      <c r="Q40" s="256"/>
      <c r="R40" s="256"/>
      <c r="S40" s="256"/>
      <c r="T40" s="256"/>
      <c r="U40" s="256"/>
      <c r="V40" s="256"/>
      <c r="W40" s="256"/>
      <c r="X40" s="123"/>
      <c r="Y40" s="123"/>
      <c r="Z40" s="123"/>
      <c r="AA40" s="123"/>
      <c r="AB40" s="123"/>
      <c r="AC40" s="123"/>
      <c r="AD40" s="123"/>
      <c r="AE40" s="255"/>
      <c r="AF40" s="255"/>
      <c r="AG40" s="255"/>
      <c r="AH40" s="255"/>
      <c r="AI40" s="255"/>
      <c r="AJ40" s="255"/>
      <c r="AK40" s="255"/>
      <c r="AL40" s="256"/>
      <c r="AM40" s="256"/>
      <c r="AN40" s="256"/>
      <c r="AO40" s="256"/>
      <c r="AP40" s="256"/>
      <c r="AQ40" s="256"/>
      <c r="AR40" s="256"/>
      <c r="AS40" s="123"/>
      <c r="AT40" s="123"/>
      <c r="AU40" s="123"/>
      <c r="AV40" s="123"/>
      <c r="AW40" s="123"/>
      <c r="AX40" s="123"/>
      <c r="AY40" s="123"/>
      <c r="AZ40" s="255"/>
      <c r="BA40" s="255"/>
      <c r="BB40" s="255"/>
      <c r="BC40" s="255"/>
      <c r="BD40" s="255"/>
      <c r="BE40" s="255"/>
      <c r="BF40" s="255"/>
      <c r="BG40" s="256"/>
      <c r="BH40" s="256"/>
      <c r="BI40" s="256"/>
      <c r="BJ40" s="256"/>
      <c r="BK40" s="256"/>
      <c r="BL40" s="256"/>
      <c r="BM40" s="256"/>
      <c r="BN40" s="123"/>
      <c r="BO40" s="123"/>
      <c r="BP40" s="123"/>
      <c r="BQ40" s="123"/>
      <c r="BR40" s="123"/>
      <c r="BS40" s="123"/>
      <c r="BT40" s="123"/>
      <c r="BU40" s="255"/>
      <c r="BV40" s="255"/>
      <c r="BW40" s="255"/>
      <c r="BX40" s="255"/>
      <c r="BY40" s="255"/>
      <c r="BZ40" s="255"/>
      <c r="CA40" s="255"/>
      <c r="CB40" s="256"/>
      <c r="CC40" s="256"/>
      <c r="CD40" s="256"/>
      <c r="CE40" s="256"/>
      <c r="CF40" s="256"/>
      <c r="CG40" s="256"/>
      <c r="CH40" s="256"/>
      <c r="CI40" s="458"/>
      <c r="CJ40" s="458"/>
      <c r="CK40" s="458"/>
      <c r="CL40" s="458"/>
      <c r="CM40" s="458"/>
      <c r="CN40" s="458"/>
      <c r="CO40" s="458"/>
      <c r="CP40" s="459"/>
      <c r="CQ40" s="459"/>
      <c r="CR40" s="459"/>
      <c r="CS40" s="459"/>
      <c r="CT40" s="459"/>
      <c r="CU40" s="459"/>
      <c r="CV40" s="459"/>
      <c r="CW40" s="256"/>
      <c r="CX40" s="256"/>
      <c r="CY40" s="256"/>
      <c r="CZ40" s="256"/>
      <c r="DA40" s="256"/>
      <c r="DB40" s="256"/>
      <c r="DC40" s="256"/>
      <c r="DD40" s="257" t="str">
        <f t="shared" si="15"/>
        <v/>
      </c>
      <c r="DE40" s="257" t="str">
        <f t="shared" si="16"/>
        <v/>
      </c>
      <c r="DF40" s="257" t="str">
        <f t="shared" si="17"/>
        <v/>
      </c>
      <c r="DG40" s="257" t="str">
        <f t="shared" si="18"/>
        <v/>
      </c>
      <c r="DH40" s="257" t="str">
        <f t="shared" si="19"/>
        <v/>
      </c>
      <c r="DI40" s="257" t="str">
        <f t="shared" si="20"/>
        <v/>
      </c>
      <c r="DJ40" s="257" t="str">
        <f t="shared" si="21"/>
        <v/>
      </c>
      <c r="DK40" s="756" t="str">
        <f t="shared" si="22"/>
        <v/>
      </c>
      <c r="DL40" s="291" t="str">
        <f t="shared" si="23"/>
        <v xml:space="preserve">  </v>
      </c>
      <c r="DM40" s="243" t="str">
        <f t="shared" si="24"/>
        <v xml:space="preserve"> </v>
      </c>
      <c r="DN40" s="39"/>
      <c r="DO40" s="39"/>
      <c r="DP40" s="257">
        <f t="shared" si="25"/>
        <v>0</v>
      </c>
      <c r="DQ40" s="257">
        <f t="shared" si="26"/>
        <v>0</v>
      </c>
      <c r="DR40" s="257">
        <f t="shared" si="27"/>
        <v>0</v>
      </c>
      <c r="DS40" s="257">
        <f t="shared" si="28"/>
        <v>0</v>
      </c>
      <c r="DT40" s="257">
        <f t="shared" si="29"/>
        <v>0</v>
      </c>
      <c r="DU40" s="257">
        <f t="shared" si="30"/>
        <v>0</v>
      </c>
      <c r="DV40" s="257">
        <f t="shared" si="31"/>
        <v>0</v>
      </c>
      <c r="DW40" s="257"/>
      <c r="DX40" s="257"/>
      <c r="DY40" s="257"/>
      <c r="DZ40" s="257"/>
      <c r="EA40" s="232">
        <f t="shared" si="32"/>
        <v>0</v>
      </c>
      <c r="EB40" s="257">
        <f t="shared" si="33"/>
        <v>0</v>
      </c>
      <c r="EC40" s="257">
        <f t="shared" si="34"/>
        <v>0</v>
      </c>
      <c r="ED40" s="257">
        <f t="shared" si="35"/>
        <v>0</v>
      </c>
      <c r="EE40" s="257">
        <f t="shared" si="36"/>
        <v>0</v>
      </c>
      <c r="EF40" s="257">
        <f t="shared" si="37"/>
        <v>0</v>
      </c>
      <c r="EG40" s="257">
        <f t="shared" si="38"/>
        <v>0</v>
      </c>
      <c r="EH40" s="257">
        <f t="shared" si="39"/>
        <v>0</v>
      </c>
      <c r="EI40" s="257"/>
      <c r="EJ40" s="257"/>
      <c r="EK40" s="257"/>
      <c r="EL40" s="257"/>
      <c r="EM40" s="232">
        <f t="shared" si="40"/>
        <v>0</v>
      </c>
      <c r="EN40" s="257">
        <f t="shared" si="41"/>
        <v>0</v>
      </c>
      <c r="EO40" s="257">
        <f t="shared" si="42"/>
        <v>0</v>
      </c>
      <c r="EP40" s="257">
        <f t="shared" si="43"/>
        <v>0</v>
      </c>
      <c r="EQ40" s="257">
        <f t="shared" si="44"/>
        <v>0</v>
      </c>
      <c r="ER40" s="257">
        <f t="shared" si="45"/>
        <v>0</v>
      </c>
      <c r="ES40" s="257">
        <f t="shared" si="46"/>
        <v>0</v>
      </c>
      <c r="ET40" s="257">
        <f t="shared" si="47"/>
        <v>0</v>
      </c>
      <c r="EU40" s="257"/>
      <c r="EV40" s="257"/>
      <c r="EW40" s="257"/>
      <c r="EX40" s="257"/>
      <c r="EY40" s="232">
        <f t="shared" si="48"/>
        <v>0</v>
      </c>
      <c r="EZ40" s="257">
        <f t="shared" si="49"/>
        <v>0</v>
      </c>
      <c r="FA40" s="257">
        <f t="shared" si="50"/>
        <v>0</v>
      </c>
      <c r="FB40" s="257">
        <f t="shared" si="51"/>
        <v>0</v>
      </c>
      <c r="FC40" s="575">
        <f t="shared" si="52"/>
        <v>3</v>
      </c>
      <c r="FD40" s="506">
        <f t="shared" si="53"/>
        <v>0</v>
      </c>
      <c r="FE40" s="39" t="str">
        <f t="shared" si="54"/>
        <v/>
      </c>
      <c r="FF40" s="257">
        <f t="shared" si="55"/>
        <v>0</v>
      </c>
      <c r="FG40" s="257">
        <f t="shared" si="56"/>
        <v>0</v>
      </c>
      <c r="FH40" s="257">
        <f t="shared" si="57"/>
        <v>0</v>
      </c>
      <c r="FI40" s="575">
        <f t="shared" si="58"/>
        <v>3</v>
      </c>
      <c r="FJ40" s="506">
        <f t="shared" si="59"/>
        <v>0</v>
      </c>
      <c r="FK40" s="39" t="str">
        <f t="shared" si="60"/>
        <v/>
      </c>
      <c r="FL40" s="257">
        <f t="shared" si="61"/>
        <v>0</v>
      </c>
      <c r="FM40" s="257">
        <f t="shared" si="62"/>
        <v>0</v>
      </c>
      <c r="FN40" s="257">
        <f t="shared" si="63"/>
        <v>0</v>
      </c>
      <c r="FO40" s="575">
        <f t="shared" si="64"/>
        <v>3</v>
      </c>
      <c r="FP40" s="506">
        <f t="shared" si="65"/>
        <v>0</v>
      </c>
      <c r="FQ40" s="39" t="str">
        <f t="shared" si="66"/>
        <v/>
      </c>
      <c r="FR40" s="257">
        <f t="shared" si="67"/>
        <v>0</v>
      </c>
      <c r="FS40" s="257">
        <f t="shared" si="68"/>
        <v>0</v>
      </c>
      <c r="FT40" s="257">
        <f t="shared" si="69"/>
        <v>0</v>
      </c>
      <c r="FU40" s="575">
        <f t="shared" si="70"/>
        <v>3</v>
      </c>
      <c r="FV40" s="506">
        <f t="shared" si="71"/>
        <v>0</v>
      </c>
      <c r="FW40" s="39" t="str">
        <f t="shared" si="72"/>
        <v/>
      </c>
      <c r="FX40" s="257">
        <f t="shared" si="73"/>
        <v>0</v>
      </c>
      <c r="FY40" s="257">
        <f t="shared" si="74"/>
        <v>0</v>
      </c>
      <c r="FZ40" s="257">
        <f t="shared" si="75"/>
        <v>0</v>
      </c>
      <c r="GA40" s="575">
        <f t="shared" si="76"/>
        <v>3</v>
      </c>
      <c r="GB40" s="506">
        <f t="shared" si="77"/>
        <v>0</v>
      </c>
      <c r="GC40" s="39" t="str">
        <f t="shared" si="78"/>
        <v/>
      </c>
      <c r="GD40" s="257">
        <f t="shared" si="79"/>
        <v>0</v>
      </c>
      <c r="GE40" s="257">
        <f t="shared" si="80"/>
        <v>0</v>
      </c>
      <c r="GF40" s="257">
        <f t="shared" si="81"/>
        <v>0</v>
      </c>
      <c r="GG40" s="575">
        <f t="shared" si="82"/>
        <v>3</v>
      </c>
      <c r="GH40" s="506">
        <f t="shared" si="83"/>
        <v>0</v>
      </c>
      <c r="GI40" s="39" t="str">
        <f t="shared" si="84"/>
        <v/>
      </c>
      <c r="GJ40" s="257">
        <f t="shared" si="85"/>
        <v>0</v>
      </c>
      <c r="GK40" s="257">
        <f t="shared" si="86"/>
        <v>0</v>
      </c>
      <c r="GL40" s="257">
        <f t="shared" si="87"/>
        <v>0</v>
      </c>
      <c r="GM40" s="575">
        <f t="shared" si="88"/>
        <v>3</v>
      </c>
      <c r="GN40" s="506">
        <f t="shared" si="89"/>
        <v>0</v>
      </c>
      <c r="GO40" s="39" t="str">
        <f t="shared" si="90"/>
        <v/>
      </c>
      <c r="GP40" s="257">
        <f t="shared" si="91"/>
        <v>0</v>
      </c>
      <c r="GQ40" s="257">
        <f t="shared" si="92"/>
        <v>0</v>
      </c>
      <c r="GR40" s="257">
        <f t="shared" si="93"/>
        <v>0</v>
      </c>
      <c r="GS40" s="575">
        <f t="shared" si="94"/>
        <v>3</v>
      </c>
      <c r="GT40" s="506">
        <f t="shared" si="95"/>
        <v>0</v>
      </c>
      <c r="GU40" s="39" t="str">
        <f t="shared" si="96"/>
        <v/>
      </c>
      <c r="GV40" s="257">
        <f t="shared" si="97"/>
        <v>0</v>
      </c>
      <c r="GW40" s="257">
        <f t="shared" si="98"/>
        <v>0</v>
      </c>
      <c r="GX40" s="257">
        <f t="shared" si="99"/>
        <v>0</v>
      </c>
      <c r="GY40" s="575">
        <f t="shared" si="100"/>
        <v>3</v>
      </c>
      <c r="GZ40" s="506">
        <f t="shared" si="101"/>
        <v>0</v>
      </c>
      <c r="HA40" s="39" t="str">
        <f t="shared" si="102"/>
        <v/>
      </c>
      <c r="HB40" s="257">
        <f t="shared" si="103"/>
        <v>0</v>
      </c>
      <c r="HC40" s="257">
        <f t="shared" si="104"/>
        <v>0</v>
      </c>
      <c r="HD40" s="257">
        <f t="shared" si="105"/>
        <v>0</v>
      </c>
      <c r="HE40" s="575">
        <f t="shared" si="106"/>
        <v>3</v>
      </c>
      <c r="HF40" s="506">
        <f t="shared" si="107"/>
        <v>0</v>
      </c>
      <c r="HG40" s="39" t="str">
        <f t="shared" si="108"/>
        <v/>
      </c>
      <c r="HH40" s="257">
        <f t="shared" si="109"/>
        <v>0</v>
      </c>
      <c r="HI40" s="257">
        <f t="shared" si="110"/>
        <v>0</v>
      </c>
      <c r="HJ40" s="257">
        <f t="shared" si="111"/>
        <v>0</v>
      </c>
      <c r="HK40" s="575">
        <f t="shared" si="112"/>
        <v>3</v>
      </c>
      <c r="HL40" s="506">
        <f t="shared" si="113"/>
        <v>0</v>
      </c>
      <c r="HM40" s="39" t="str">
        <f t="shared" si="114"/>
        <v/>
      </c>
      <c r="HN40" s="39"/>
      <c r="HO40" s="39" t="str">
        <f t="shared" si="115"/>
        <v/>
      </c>
      <c r="HP40" s="39" t="str">
        <f t="shared" si="116"/>
        <v/>
      </c>
      <c r="HQ40" s="39" t="str">
        <f t="shared" si="117"/>
        <v/>
      </c>
      <c r="HR40" s="39" t="str">
        <f t="shared" si="118"/>
        <v/>
      </c>
      <c r="HS40" s="39" t="str">
        <f t="shared" si="119"/>
        <v/>
      </c>
      <c r="HT40" s="39" t="str">
        <f t="shared" si="120"/>
        <v/>
      </c>
      <c r="HU40" s="39" t="str">
        <f t="shared" si="121"/>
        <v/>
      </c>
      <c r="HV40" s="39"/>
      <c r="HW40" s="39"/>
      <c r="HX40" s="39"/>
      <c r="HY40" s="39"/>
      <c r="HZ40" s="39" t="str">
        <f t="shared" si="122"/>
        <v/>
      </c>
      <c r="IA40" s="68">
        <f t="shared" si="123"/>
        <v>0</v>
      </c>
      <c r="IB40" s="68">
        <f t="shared" si="124"/>
        <v>0</v>
      </c>
      <c r="IC40" s="39">
        <f>SISWA!E38</f>
        <v>0</v>
      </c>
      <c r="ID40" s="39" t="str">
        <f t="shared" si="125"/>
        <v/>
      </c>
      <c r="IE40" s="207" t="str">
        <f t="shared" si="126"/>
        <v/>
      </c>
      <c r="IF40" s="207" t="str">
        <f t="shared" si="127"/>
        <v/>
      </c>
      <c r="IG40" s="207" t="str">
        <f t="shared" si="128"/>
        <v/>
      </c>
      <c r="IH40" s="207" t="str">
        <f t="shared" si="129"/>
        <v/>
      </c>
      <c r="II40" s="207" t="str">
        <f t="shared" si="130"/>
        <v/>
      </c>
      <c r="IJ40" s="207" t="str">
        <f t="shared" si="131"/>
        <v/>
      </c>
      <c r="IK40" s="207" t="str">
        <f t="shared" si="132"/>
        <v/>
      </c>
      <c r="IL40" s="207"/>
      <c r="IM40" s="207"/>
      <c r="IN40" s="207"/>
      <c r="IO40" s="207"/>
      <c r="IP40" s="39">
        <f t="shared" si="133"/>
        <v>0</v>
      </c>
      <c r="IQ40" s="68" t="e">
        <f t="shared" si="134"/>
        <v>#N/A</v>
      </c>
      <c r="IR40" s="576" t="e">
        <f>IF(IA40&gt;100,"",IF(IA40&gt;DQ$1,"sangat baik dalam "&amp;IQ40,IF(IA40&gt;=DQ$2,"baik dalam "&amp;IQ40,IF(IA40&gt;=DQ$3,"cukup dalam "&amp;IQ40,IF(IA40&lt;DQ$3,"dengan bimbingan dapat meningkatkan dalam "&amp;IQ40,IF(IA40&lt;1," ",””))))))</f>
        <v>#N/A</v>
      </c>
      <c r="IS40" s="223"/>
      <c r="IT40" s="223" t="str">
        <f t="shared" si="135"/>
        <v/>
      </c>
      <c r="IU40" s="223" t="str">
        <f t="shared" si="136"/>
        <v/>
      </c>
      <c r="IV40" s="223" t="str">
        <f t="shared" si="137"/>
        <v/>
      </c>
      <c r="IW40" s="223" t="str">
        <f t="shared" si="138"/>
        <v/>
      </c>
      <c r="IX40" s="223" t="str">
        <f t="shared" si="139"/>
        <v/>
      </c>
      <c r="IY40" s="223" t="str">
        <f t="shared" si="140"/>
        <v/>
      </c>
      <c r="IZ40" s="223" t="str">
        <f t="shared" si="141"/>
        <v/>
      </c>
      <c r="JA40" s="223"/>
      <c r="JB40" s="223"/>
      <c r="JC40" s="223"/>
      <c r="JD40" s="223"/>
      <c r="JE40" s="223" t="e">
        <f t="shared" si="142"/>
        <v>#N/A</v>
      </c>
      <c r="JF40" s="577" t="e">
        <f>IF(IB40&gt;100,"",IF(IB40&gt;=DQ$1,"sangat baik dalam "&amp;JE40,IF(IB40&gt;=DQ$2,"baik dalam "&amp;JE40,IF(IB40&gt;=DQ$3,"cukup dalam "&amp;JE40,IF(IB40&lt;DQ$3,"dengan bimbingan dapat meningkatkan dalam "&amp;JE40,IF(IB40&lt;1," ",””))))))</f>
        <v>#N/A</v>
      </c>
      <c r="JG40" s="223" t="e">
        <f t="shared" si="143"/>
        <v>#N/A</v>
      </c>
    </row>
    <row r="41" spans="1:267" ht="30" customHeight="1">
      <c r="A41" s="39">
        <v>34</v>
      </c>
      <c r="B41" s="223">
        <f>SISWA!B39</f>
        <v>0</v>
      </c>
      <c r="C41" s="123"/>
      <c r="D41" s="123"/>
      <c r="E41" s="123"/>
      <c r="F41" s="123"/>
      <c r="G41" s="123"/>
      <c r="H41" s="123"/>
      <c r="I41" s="123"/>
      <c r="J41" s="255"/>
      <c r="K41" s="255"/>
      <c r="L41" s="255"/>
      <c r="M41" s="255"/>
      <c r="N41" s="255"/>
      <c r="O41" s="255"/>
      <c r="P41" s="255"/>
      <c r="Q41" s="256"/>
      <c r="R41" s="256"/>
      <c r="S41" s="256"/>
      <c r="T41" s="256"/>
      <c r="U41" s="256"/>
      <c r="V41" s="256"/>
      <c r="W41" s="256"/>
      <c r="X41" s="123"/>
      <c r="Y41" s="123"/>
      <c r="Z41" s="123"/>
      <c r="AA41" s="123"/>
      <c r="AB41" s="123"/>
      <c r="AC41" s="123"/>
      <c r="AD41" s="123"/>
      <c r="AE41" s="255"/>
      <c r="AF41" s="255"/>
      <c r="AG41" s="255"/>
      <c r="AH41" s="255"/>
      <c r="AI41" s="255"/>
      <c r="AJ41" s="255"/>
      <c r="AK41" s="255"/>
      <c r="AL41" s="256"/>
      <c r="AM41" s="256"/>
      <c r="AN41" s="256"/>
      <c r="AO41" s="256"/>
      <c r="AP41" s="256"/>
      <c r="AQ41" s="256"/>
      <c r="AR41" s="256"/>
      <c r="AS41" s="123"/>
      <c r="AT41" s="123"/>
      <c r="AU41" s="123"/>
      <c r="AV41" s="123"/>
      <c r="AW41" s="123"/>
      <c r="AX41" s="123"/>
      <c r="AY41" s="123"/>
      <c r="AZ41" s="255"/>
      <c r="BA41" s="255"/>
      <c r="BB41" s="255"/>
      <c r="BC41" s="255"/>
      <c r="BD41" s="255"/>
      <c r="BE41" s="255"/>
      <c r="BF41" s="255"/>
      <c r="BG41" s="256"/>
      <c r="BH41" s="256"/>
      <c r="BI41" s="256"/>
      <c r="BJ41" s="256"/>
      <c r="BK41" s="256"/>
      <c r="BL41" s="256"/>
      <c r="BM41" s="256"/>
      <c r="BN41" s="123"/>
      <c r="BO41" s="123"/>
      <c r="BP41" s="123"/>
      <c r="BQ41" s="123"/>
      <c r="BR41" s="123"/>
      <c r="BS41" s="123"/>
      <c r="BT41" s="123"/>
      <c r="BU41" s="255"/>
      <c r="BV41" s="255"/>
      <c r="BW41" s="255"/>
      <c r="BX41" s="255"/>
      <c r="BY41" s="255"/>
      <c r="BZ41" s="255"/>
      <c r="CA41" s="255"/>
      <c r="CB41" s="256"/>
      <c r="CC41" s="256"/>
      <c r="CD41" s="256"/>
      <c r="CE41" s="256"/>
      <c r="CF41" s="256"/>
      <c r="CG41" s="256"/>
      <c r="CH41" s="256"/>
      <c r="CI41" s="458"/>
      <c r="CJ41" s="458"/>
      <c r="CK41" s="458"/>
      <c r="CL41" s="458"/>
      <c r="CM41" s="458"/>
      <c r="CN41" s="458"/>
      <c r="CO41" s="458"/>
      <c r="CP41" s="459"/>
      <c r="CQ41" s="459"/>
      <c r="CR41" s="459"/>
      <c r="CS41" s="459"/>
      <c r="CT41" s="459"/>
      <c r="CU41" s="459"/>
      <c r="CV41" s="459"/>
      <c r="CW41" s="256"/>
      <c r="CX41" s="256"/>
      <c r="CY41" s="256"/>
      <c r="CZ41" s="256"/>
      <c r="DA41" s="256"/>
      <c r="DB41" s="256"/>
      <c r="DC41" s="256"/>
      <c r="DD41" s="257" t="str">
        <f t="shared" si="15"/>
        <v/>
      </c>
      <c r="DE41" s="257" t="str">
        <f t="shared" si="16"/>
        <v/>
      </c>
      <c r="DF41" s="257" t="str">
        <f t="shared" si="17"/>
        <v/>
      </c>
      <c r="DG41" s="257" t="str">
        <f t="shared" si="18"/>
        <v/>
      </c>
      <c r="DH41" s="257" t="str">
        <f t="shared" si="19"/>
        <v/>
      </c>
      <c r="DI41" s="257" t="str">
        <f t="shared" si="20"/>
        <v/>
      </c>
      <c r="DJ41" s="257" t="str">
        <f t="shared" si="21"/>
        <v/>
      </c>
      <c r="DK41" s="756" t="str">
        <f t="shared" si="22"/>
        <v/>
      </c>
      <c r="DL41" s="291" t="str">
        <f t="shared" si="23"/>
        <v xml:space="preserve">  </v>
      </c>
      <c r="DM41" s="243" t="str">
        <f t="shared" si="24"/>
        <v xml:space="preserve"> </v>
      </c>
      <c r="DN41" s="39"/>
      <c r="DO41" s="39"/>
      <c r="DP41" s="257">
        <f t="shared" si="25"/>
        <v>0</v>
      </c>
      <c r="DQ41" s="257">
        <f t="shared" si="26"/>
        <v>0</v>
      </c>
      <c r="DR41" s="257">
        <f t="shared" si="27"/>
        <v>0</v>
      </c>
      <c r="DS41" s="257">
        <f t="shared" si="28"/>
        <v>0</v>
      </c>
      <c r="DT41" s="257">
        <f t="shared" si="29"/>
        <v>0</v>
      </c>
      <c r="DU41" s="257">
        <f t="shared" si="30"/>
        <v>0</v>
      </c>
      <c r="DV41" s="257">
        <f t="shared" si="31"/>
        <v>0</v>
      </c>
      <c r="DW41" s="257"/>
      <c r="DX41" s="257"/>
      <c r="DY41" s="257"/>
      <c r="DZ41" s="257"/>
      <c r="EA41" s="232">
        <f t="shared" si="32"/>
        <v>0</v>
      </c>
      <c r="EB41" s="257">
        <f t="shared" si="33"/>
        <v>0</v>
      </c>
      <c r="EC41" s="257">
        <f t="shared" si="34"/>
        <v>0</v>
      </c>
      <c r="ED41" s="257">
        <f t="shared" si="35"/>
        <v>0</v>
      </c>
      <c r="EE41" s="257">
        <f t="shared" si="36"/>
        <v>0</v>
      </c>
      <c r="EF41" s="257">
        <f t="shared" si="37"/>
        <v>0</v>
      </c>
      <c r="EG41" s="257">
        <f t="shared" si="38"/>
        <v>0</v>
      </c>
      <c r="EH41" s="257">
        <f t="shared" si="39"/>
        <v>0</v>
      </c>
      <c r="EI41" s="257"/>
      <c r="EJ41" s="257"/>
      <c r="EK41" s="257"/>
      <c r="EL41" s="257"/>
      <c r="EM41" s="232">
        <f t="shared" si="40"/>
        <v>0</v>
      </c>
      <c r="EN41" s="257">
        <f t="shared" si="41"/>
        <v>0</v>
      </c>
      <c r="EO41" s="257">
        <f t="shared" si="42"/>
        <v>0</v>
      </c>
      <c r="EP41" s="257">
        <f t="shared" si="43"/>
        <v>0</v>
      </c>
      <c r="EQ41" s="257">
        <f t="shared" si="44"/>
        <v>0</v>
      </c>
      <c r="ER41" s="257">
        <f t="shared" si="45"/>
        <v>0</v>
      </c>
      <c r="ES41" s="257">
        <f t="shared" si="46"/>
        <v>0</v>
      </c>
      <c r="ET41" s="257">
        <f t="shared" si="47"/>
        <v>0</v>
      </c>
      <c r="EU41" s="257"/>
      <c r="EV41" s="257"/>
      <c r="EW41" s="257"/>
      <c r="EX41" s="257"/>
      <c r="EY41" s="232">
        <f t="shared" si="48"/>
        <v>0</v>
      </c>
      <c r="EZ41" s="257">
        <f t="shared" si="49"/>
        <v>0</v>
      </c>
      <c r="FA41" s="257">
        <f t="shared" si="50"/>
        <v>0</v>
      </c>
      <c r="FB41" s="257">
        <f t="shared" si="51"/>
        <v>0</v>
      </c>
      <c r="FC41" s="575">
        <f t="shared" si="52"/>
        <v>3</v>
      </c>
      <c r="FD41" s="506">
        <f t="shared" si="53"/>
        <v>0</v>
      </c>
      <c r="FE41" s="39" t="str">
        <f t="shared" si="54"/>
        <v/>
      </c>
      <c r="FF41" s="257">
        <f t="shared" si="55"/>
        <v>0</v>
      </c>
      <c r="FG41" s="257">
        <f t="shared" si="56"/>
        <v>0</v>
      </c>
      <c r="FH41" s="257">
        <f t="shared" si="57"/>
        <v>0</v>
      </c>
      <c r="FI41" s="575">
        <f t="shared" si="58"/>
        <v>3</v>
      </c>
      <c r="FJ41" s="506">
        <f t="shared" si="59"/>
        <v>0</v>
      </c>
      <c r="FK41" s="39" t="str">
        <f t="shared" si="60"/>
        <v/>
      </c>
      <c r="FL41" s="257">
        <f t="shared" si="61"/>
        <v>0</v>
      </c>
      <c r="FM41" s="257">
        <f t="shared" si="62"/>
        <v>0</v>
      </c>
      <c r="FN41" s="257">
        <f t="shared" si="63"/>
        <v>0</v>
      </c>
      <c r="FO41" s="575">
        <f t="shared" si="64"/>
        <v>3</v>
      </c>
      <c r="FP41" s="506">
        <f t="shared" si="65"/>
        <v>0</v>
      </c>
      <c r="FQ41" s="39" t="str">
        <f t="shared" si="66"/>
        <v/>
      </c>
      <c r="FR41" s="257">
        <f t="shared" si="67"/>
        <v>0</v>
      </c>
      <c r="FS41" s="257">
        <f t="shared" si="68"/>
        <v>0</v>
      </c>
      <c r="FT41" s="257">
        <f t="shared" si="69"/>
        <v>0</v>
      </c>
      <c r="FU41" s="575">
        <f t="shared" si="70"/>
        <v>3</v>
      </c>
      <c r="FV41" s="506">
        <f t="shared" si="71"/>
        <v>0</v>
      </c>
      <c r="FW41" s="39" t="str">
        <f t="shared" si="72"/>
        <v/>
      </c>
      <c r="FX41" s="257">
        <f t="shared" si="73"/>
        <v>0</v>
      </c>
      <c r="FY41" s="257">
        <f t="shared" si="74"/>
        <v>0</v>
      </c>
      <c r="FZ41" s="257">
        <f t="shared" si="75"/>
        <v>0</v>
      </c>
      <c r="GA41" s="575">
        <f t="shared" si="76"/>
        <v>3</v>
      </c>
      <c r="GB41" s="506">
        <f t="shared" si="77"/>
        <v>0</v>
      </c>
      <c r="GC41" s="39" t="str">
        <f t="shared" si="78"/>
        <v/>
      </c>
      <c r="GD41" s="257">
        <f t="shared" si="79"/>
        <v>0</v>
      </c>
      <c r="GE41" s="257">
        <f t="shared" si="80"/>
        <v>0</v>
      </c>
      <c r="GF41" s="257">
        <f t="shared" si="81"/>
        <v>0</v>
      </c>
      <c r="GG41" s="575">
        <f t="shared" si="82"/>
        <v>3</v>
      </c>
      <c r="GH41" s="506">
        <f t="shared" si="83"/>
        <v>0</v>
      </c>
      <c r="GI41" s="39" t="str">
        <f t="shared" si="84"/>
        <v/>
      </c>
      <c r="GJ41" s="257">
        <f t="shared" si="85"/>
        <v>0</v>
      </c>
      <c r="GK41" s="257">
        <f t="shared" si="86"/>
        <v>0</v>
      </c>
      <c r="GL41" s="257">
        <f t="shared" si="87"/>
        <v>0</v>
      </c>
      <c r="GM41" s="575">
        <f t="shared" si="88"/>
        <v>3</v>
      </c>
      <c r="GN41" s="506">
        <f t="shared" si="89"/>
        <v>0</v>
      </c>
      <c r="GO41" s="39" t="str">
        <f t="shared" si="90"/>
        <v/>
      </c>
      <c r="GP41" s="257">
        <f t="shared" si="91"/>
        <v>0</v>
      </c>
      <c r="GQ41" s="257">
        <f t="shared" si="92"/>
        <v>0</v>
      </c>
      <c r="GR41" s="257">
        <f t="shared" si="93"/>
        <v>0</v>
      </c>
      <c r="GS41" s="575">
        <f t="shared" si="94"/>
        <v>3</v>
      </c>
      <c r="GT41" s="506">
        <f t="shared" si="95"/>
        <v>0</v>
      </c>
      <c r="GU41" s="39" t="str">
        <f t="shared" si="96"/>
        <v/>
      </c>
      <c r="GV41" s="257">
        <f t="shared" si="97"/>
        <v>0</v>
      </c>
      <c r="GW41" s="257">
        <f t="shared" si="98"/>
        <v>0</v>
      </c>
      <c r="GX41" s="257">
        <f t="shared" si="99"/>
        <v>0</v>
      </c>
      <c r="GY41" s="575">
        <f t="shared" si="100"/>
        <v>3</v>
      </c>
      <c r="GZ41" s="506">
        <f t="shared" si="101"/>
        <v>0</v>
      </c>
      <c r="HA41" s="39" t="str">
        <f t="shared" si="102"/>
        <v/>
      </c>
      <c r="HB41" s="257">
        <f t="shared" si="103"/>
        <v>0</v>
      </c>
      <c r="HC41" s="257">
        <f t="shared" si="104"/>
        <v>0</v>
      </c>
      <c r="HD41" s="257">
        <f t="shared" si="105"/>
        <v>0</v>
      </c>
      <c r="HE41" s="575">
        <f t="shared" si="106"/>
        <v>3</v>
      </c>
      <c r="HF41" s="506">
        <f t="shared" si="107"/>
        <v>0</v>
      </c>
      <c r="HG41" s="39" t="str">
        <f t="shared" si="108"/>
        <v/>
      </c>
      <c r="HH41" s="257">
        <f t="shared" si="109"/>
        <v>0</v>
      </c>
      <c r="HI41" s="257">
        <f t="shared" si="110"/>
        <v>0</v>
      </c>
      <c r="HJ41" s="257">
        <f t="shared" si="111"/>
        <v>0</v>
      </c>
      <c r="HK41" s="575">
        <f t="shared" si="112"/>
        <v>3</v>
      </c>
      <c r="HL41" s="506">
        <f t="shared" si="113"/>
        <v>0</v>
      </c>
      <c r="HM41" s="39" t="str">
        <f t="shared" si="114"/>
        <v/>
      </c>
      <c r="HN41" s="39"/>
      <c r="HO41" s="39" t="str">
        <f t="shared" si="115"/>
        <v/>
      </c>
      <c r="HP41" s="39" t="str">
        <f t="shared" si="116"/>
        <v/>
      </c>
      <c r="HQ41" s="39" t="str">
        <f t="shared" si="117"/>
        <v/>
      </c>
      <c r="HR41" s="39" t="str">
        <f t="shared" si="118"/>
        <v/>
      </c>
      <c r="HS41" s="39" t="str">
        <f t="shared" si="119"/>
        <v/>
      </c>
      <c r="HT41" s="39" t="str">
        <f t="shared" si="120"/>
        <v/>
      </c>
      <c r="HU41" s="39" t="str">
        <f t="shared" si="121"/>
        <v/>
      </c>
      <c r="HV41" s="39"/>
      <c r="HW41" s="39"/>
      <c r="HX41" s="39"/>
      <c r="HY41" s="39"/>
      <c r="HZ41" s="39" t="str">
        <f t="shared" si="122"/>
        <v/>
      </c>
      <c r="IA41" s="68">
        <f t="shared" si="123"/>
        <v>0</v>
      </c>
      <c r="IB41" s="68">
        <f t="shared" si="124"/>
        <v>0</v>
      </c>
      <c r="IC41" s="39">
        <f>SISWA!E39</f>
        <v>0</v>
      </c>
      <c r="ID41" s="39" t="str">
        <f t="shared" si="125"/>
        <v/>
      </c>
      <c r="IE41" s="207" t="str">
        <f t="shared" si="126"/>
        <v/>
      </c>
      <c r="IF41" s="207" t="str">
        <f t="shared" si="127"/>
        <v/>
      </c>
      <c r="IG41" s="207" t="str">
        <f t="shared" si="128"/>
        <v/>
      </c>
      <c r="IH41" s="207" t="str">
        <f t="shared" si="129"/>
        <v/>
      </c>
      <c r="II41" s="207" t="str">
        <f t="shared" si="130"/>
        <v/>
      </c>
      <c r="IJ41" s="207" t="str">
        <f t="shared" si="131"/>
        <v/>
      </c>
      <c r="IK41" s="207" t="str">
        <f t="shared" si="132"/>
        <v/>
      </c>
      <c r="IL41" s="207"/>
      <c r="IM41" s="207"/>
      <c r="IN41" s="207"/>
      <c r="IO41" s="207"/>
      <c r="IP41" s="39">
        <f t="shared" si="133"/>
        <v>0</v>
      </c>
      <c r="IQ41" s="68" t="e">
        <f t="shared" si="134"/>
        <v>#N/A</v>
      </c>
      <c r="IR41" s="576" t="e">
        <f>IF(IA41&gt;100,"",IF(IA41&gt;DQ$1,"sangat baik dalam "&amp;IQ41,IF(IA41&gt;=DQ$2,"baik dalam "&amp;IQ41,IF(IA41&gt;=DQ$3,"cukup dalam "&amp;IQ41,IF(IA41&lt;DQ$3,"dengan bimbingan dapat meningkatkan dalam "&amp;IQ41,IF(IA41&lt;1," ",””))))))</f>
        <v>#N/A</v>
      </c>
      <c r="IS41" s="223"/>
      <c r="IT41" s="223" t="str">
        <f t="shared" si="135"/>
        <v/>
      </c>
      <c r="IU41" s="223" t="str">
        <f t="shared" si="136"/>
        <v/>
      </c>
      <c r="IV41" s="223" t="str">
        <f t="shared" si="137"/>
        <v/>
      </c>
      <c r="IW41" s="223" t="str">
        <f t="shared" si="138"/>
        <v/>
      </c>
      <c r="IX41" s="223" t="str">
        <f t="shared" si="139"/>
        <v/>
      </c>
      <c r="IY41" s="223" t="str">
        <f t="shared" si="140"/>
        <v/>
      </c>
      <c r="IZ41" s="223" t="str">
        <f t="shared" si="141"/>
        <v/>
      </c>
      <c r="JA41" s="223"/>
      <c r="JB41" s="223"/>
      <c r="JC41" s="223"/>
      <c r="JD41" s="223"/>
      <c r="JE41" s="223" t="e">
        <f t="shared" si="142"/>
        <v>#N/A</v>
      </c>
      <c r="JF41" s="577" t="e">
        <f>IF(IB41&gt;100,"",IF(IB41&gt;=DQ$1,"sangat baik dalam "&amp;JE41,IF(IB41&gt;=DQ$2,"baik dalam "&amp;JE41,IF(IB41&gt;=DQ$3,"cukup dalam "&amp;JE41,IF(IB41&lt;DQ$3,"dengan bimbingan dapat meningkatkan dalam "&amp;JE41,IF(IB41&lt;1," ",””))))))</f>
        <v>#N/A</v>
      </c>
      <c r="JG41" s="223" t="e">
        <f t="shared" si="143"/>
        <v>#N/A</v>
      </c>
    </row>
    <row r="42" spans="1:267" ht="30" customHeight="1">
      <c r="A42" s="39">
        <v>35</v>
      </c>
      <c r="B42" s="223">
        <f>SISWA!B40</f>
        <v>0</v>
      </c>
      <c r="C42" s="123"/>
      <c r="D42" s="123"/>
      <c r="E42" s="123"/>
      <c r="F42" s="123"/>
      <c r="G42" s="123"/>
      <c r="H42" s="123"/>
      <c r="I42" s="123"/>
      <c r="J42" s="255"/>
      <c r="K42" s="255"/>
      <c r="L42" s="255"/>
      <c r="M42" s="255"/>
      <c r="N42" s="255"/>
      <c r="O42" s="255"/>
      <c r="P42" s="255"/>
      <c r="Q42" s="256"/>
      <c r="R42" s="256"/>
      <c r="S42" s="256"/>
      <c r="T42" s="256"/>
      <c r="U42" s="256"/>
      <c r="V42" s="256"/>
      <c r="W42" s="256"/>
      <c r="X42" s="123"/>
      <c r="Y42" s="123"/>
      <c r="Z42" s="123"/>
      <c r="AA42" s="123"/>
      <c r="AB42" s="123"/>
      <c r="AC42" s="123"/>
      <c r="AD42" s="123"/>
      <c r="AE42" s="255"/>
      <c r="AF42" s="255"/>
      <c r="AG42" s="255"/>
      <c r="AH42" s="255"/>
      <c r="AI42" s="255"/>
      <c r="AJ42" s="255"/>
      <c r="AK42" s="255"/>
      <c r="AL42" s="256"/>
      <c r="AM42" s="256"/>
      <c r="AN42" s="256"/>
      <c r="AO42" s="256"/>
      <c r="AP42" s="256"/>
      <c r="AQ42" s="256"/>
      <c r="AR42" s="256"/>
      <c r="AS42" s="123"/>
      <c r="AT42" s="123"/>
      <c r="AU42" s="123"/>
      <c r="AV42" s="123"/>
      <c r="AW42" s="123"/>
      <c r="AX42" s="123"/>
      <c r="AY42" s="123"/>
      <c r="AZ42" s="255"/>
      <c r="BA42" s="255"/>
      <c r="BB42" s="255"/>
      <c r="BC42" s="255"/>
      <c r="BD42" s="255"/>
      <c r="BE42" s="255"/>
      <c r="BF42" s="255"/>
      <c r="BG42" s="256"/>
      <c r="BH42" s="256"/>
      <c r="BI42" s="256"/>
      <c r="BJ42" s="256"/>
      <c r="BK42" s="256"/>
      <c r="BL42" s="256"/>
      <c r="BM42" s="256"/>
      <c r="BN42" s="123"/>
      <c r="BO42" s="123"/>
      <c r="BP42" s="123"/>
      <c r="BQ42" s="123"/>
      <c r="BR42" s="123"/>
      <c r="BS42" s="123"/>
      <c r="BT42" s="123"/>
      <c r="BU42" s="255"/>
      <c r="BV42" s="255"/>
      <c r="BW42" s="255"/>
      <c r="BX42" s="255"/>
      <c r="BY42" s="255"/>
      <c r="BZ42" s="255"/>
      <c r="CA42" s="255"/>
      <c r="CB42" s="256"/>
      <c r="CC42" s="256"/>
      <c r="CD42" s="256"/>
      <c r="CE42" s="256"/>
      <c r="CF42" s="256"/>
      <c r="CG42" s="256"/>
      <c r="CH42" s="256"/>
      <c r="CI42" s="458"/>
      <c r="CJ42" s="458"/>
      <c r="CK42" s="458"/>
      <c r="CL42" s="458"/>
      <c r="CM42" s="458"/>
      <c r="CN42" s="458"/>
      <c r="CO42" s="458"/>
      <c r="CP42" s="459"/>
      <c r="CQ42" s="459"/>
      <c r="CR42" s="459"/>
      <c r="CS42" s="459"/>
      <c r="CT42" s="459"/>
      <c r="CU42" s="459"/>
      <c r="CV42" s="459"/>
      <c r="CW42" s="256"/>
      <c r="CX42" s="256"/>
      <c r="CY42" s="256"/>
      <c r="CZ42" s="256"/>
      <c r="DA42" s="256"/>
      <c r="DB42" s="256"/>
      <c r="DC42" s="256"/>
      <c r="DD42" s="257" t="str">
        <f t="shared" si="15"/>
        <v/>
      </c>
      <c r="DE42" s="257" t="str">
        <f t="shared" si="16"/>
        <v/>
      </c>
      <c r="DF42" s="257" t="str">
        <f t="shared" si="17"/>
        <v/>
      </c>
      <c r="DG42" s="257" t="str">
        <f t="shared" si="18"/>
        <v/>
      </c>
      <c r="DH42" s="257" t="str">
        <f t="shared" si="19"/>
        <v/>
      </c>
      <c r="DI42" s="257" t="str">
        <f t="shared" si="20"/>
        <v/>
      </c>
      <c r="DJ42" s="257" t="str">
        <f t="shared" si="21"/>
        <v/>
      </c>
      <c r="DK42" s="756" t="str">
        <f t="shared" si="22"/>
        <v/>
      </c>
      <c r="DL42" s="291" t="str">
        <f t="shared" si="23"/>
        <v xml:space="preserve">  </v>
      </c>
      <c r="DM42" s="243" t="str">
        <f t="shared" si="24"/>
        <v xml:space="preserve"> </v>
      </c>
      <c r="DN42" s="39"/>
      <c r="DO42" s="39"/>
      <c r="DP42" s="257">
        <f t="shared" si="25"/>
        <v>0</v>
      </c>
      <c r="DQ42" s="257">
        <f t="shared" si="26"/>
        <v>0</v>
      </c>
      <c r="DR42" s="257">
        <f t="shared" si="27"/>
        <v>0</v>
      </c>
      <c r="DS42" s="257">
        <f t="shared" si="28"/>
        <v>0</v>
      </c>
      <c r="DT42" s="257">
        <f t="shared" si="29"/>
        <v>0</v>
      </c>
      <c r="DU42" s="257">
        <f t="shared" si="30"/>
        <v>0</v>
      </c>
      <c r="DV42" s="257">
        <f t="shared" si="31"/>
        <v>0</v>
      </c>
      <c r="DW42" s="257"/>
      <c r="DX42" s="257"/>
      <c r="DY42" s="257"/>
      <c r="DZ42" s="257"/>
      <c r="EA42" s="232">
        <f t="shared" si="32"/>
        <v>0</v>
      </c>
      <c r="EB42" s="257">
        <f t="shared" si="33"/>
        <v>0</v>
      </c>
      <c r="EC42" s="257">
        <f t="shared" si="34"/>
        <v>0</v>
      </c>
      <c r="ED42" s="257">
        <f t="shared" si="35"/>
        <v>0</v>
      </c>
      <c r="EE42" s="257">
        <f t="shared" si="36"/>
        <v>0</v>
      </c>
      <c r="EF42" s="257">
        <f t="shared" si="37"/>
        <v>0</v>
      </c>
      <c r="EG42" s="257">
        <f t="shared" si="38"/>
        <v>0</v>
      </c>
      <c r="EH42" s="257">
        <f t="shared" si="39"/>
        <v>0</v>
      </c>
      <c r="EI42" s="257"/>
      <c r="EJ42" s="257"/>
      <c r="EK42" s="257"/>
      <c r="EL42" s="257"/>
      <c r="EM42" s="232">
        <f t="shared" si="40"/>
        <v>0</v>
      </c>
      <c r="EN42" s="257">
        <f t="shared" si="41"/>
        <v>0</v>
      </c>
      <c r="EO42" s="257">
        <f t="shared" si="42"/>
        <v>0</v>
      </c>
      <c r="EP42" s="257">
        <f t="shared" si="43"/>
        <v>0</v>
      </c>
      <c r="EQ42" s="257">
        <f t="shared" si="44"/>
        <v>0</v>
      </c>
      <c r="ER42" s="257">
        <f t="shared" si="45"/>
        <v>0</v>
      </c>
      <c r="ES42" s="257">
        <f t="shared" si="46"/>
        <v>0</v>
      </c>
      <c r="ET42" s="257">
        <f t="shared" si="47"/>
        <v>0</v>
      </c>
      <c r="EU42" s="257"/>
      <c r="EV42" s="257"/>
      <c r="EW42" s="257"/>
      <c r="EX42" s="257"/>
      <c r="EY42" s="232">
        <f t="shared" si="48"/>
        <v>0</v>
      </c>
      <c r="EZ42" s="257">
        <f t="shared" si="49"/>
        <v>0</v>
      </c>
      <c r="FA42" s="257">
        <f t="shared" si="50"/>
        <v>0</v>
      </c>
      <c r="FB42" s="257">
        <f t="shared" si="51"/>
        <v>0</v>
      </c>
      <c r="FC42" s="575">
        <f t="shared" si="52"/>
        <v>3</v>
      </c>
      <c r="FD42" s="506">
        <f t="shared" si="53"/>
        <v>0</v>
      </c>
      <c r="FE42" s="39" t="str">
        <f t="shared" si="54"/>
        <v/>
      </c>
      <c r="FF42" s="257">
        <f t="shared" si="55"/>
        <v>0</v>
      </c>
      <c r="FG42" s="257">
        <f t="shared" si="56"/>
        <v>0</v>
      </c>
      <c r="FH42" s="257">
        <f t="shared" si="57"/>
        <v>0</v>
      </c>
      <c r="FI42" s="575">
        <f t="shared" si="58"/>
        <v>3</v>
      </c>
      <c r="FJ42" s="506">
        <f t="shared" si="59"/>
        <v>0</v>
      </c>
      <c r="FK42" s="39" t="str">
        <f t="shared" si="60"/>
        <v/>
      </c>
      <c r="FL42" s="257">
        <f t="shared" si="61"/>
        <v>0</v>
      </c>
      <c r="FM42" s="257">
        <f t="shared" si="62"/>
        <v>0</v>
      </c>
      <c r="FN42" s="257">
        <f t="shared" si="63"/>
        <v>0</v>
      </c>
      <c r="FO42" s="575">
        <f t="shared" si="64"/>
        <v>3</v>
      </c>
      <c r="FP42" s="506">
        <f t="shared" si="65"/>
        <v>0</v>
      </c>
      <c r="FQ42" s="39" t="str">
        <f t="shared" si="66"/>
        <v/>
      </c>
      <c r="FR42" s="257">
        <f t="shared" si="67"/>
        <v>0</v>
      </c>
      <c r="FS42" s="257">
        <f t="shared" si="68"/>
        <v>0</v>
      </c>
      <c r="FT42" s="257">
        <f t="shared" si="69"/>
        <v>0</v>
      </c>
      <c r="FU42" s="575">
        <f t="shared" si="70"/>
        <v>3</v>
      </c>
      <c r="FV42" s="506">
        <f t="shared" si="71"/>
        <v>0</v>
      </c>
      <c r="FW42" s="39" t="str">
        <f t="shared" si="72"/>
        <v/>
      </c>
      <c r="FX42" s="257">
        <f t="shared" si="73"/>
        <v>0</v>
      </c>
      <c r="FY42" s="257">
        <f t="shared" si="74"/>
        <v>0</v>
      </c>
      <c r="FZ42" s="257">
        <f t="shared" si="75"/>
        <v>0</v>
      </c>
      <c r="GA42" s="575">
        <f t="shared" si="76"/>
        <v>3</v>
      </c>
      <c r="GB42" s="506">
        <f t="shared" si="77"/>
        <v>0</v>
      </c>
      <c r="GC42" s="39" t="str">
        <f t="shared" si="78"/>
        <v/>
      </c>
      <c r="GD42" s="257">
        <f t="shared" si="79"/>
        <v>0</v>
      </c>
      <c r="GE42" s="257">
        <f t="shared" si="80"/>
        <v>0</v>
      </c>
      <c r="GF42" s="257">
        <f t="shared" si="81"/>
        <v>0</v>
      </c>
      <c r="GG42" s="575">
        <f t="shared" si="82"/>
        <v>3</v>
      </c>
      <c r="GH42" s="506">
        <f t="shared" si="83"/>
        <v>0</v>
      </c>
      <c r="GI42" s="39" t="str">
        <f t="shared" si="84"/>
        <v/>
      </c>
      <c r="GJ42" s="257">
        <f t="shared" si="85"/>
        <v>0</v>
      </c>
      <c r="GK42" s="257">
        <f t="shared" si="86"/>
        <v>0</v>
      </c>
      <c r="GL42" s="257">
        <f t="shared" si="87"/>
        <v>0</v>
      </c>
      <c r="GM42" s="575">
        <f t="shared" si="88"/>
        <v>3</v>
      </c>
      <c r="GN42" s="506">
        <f t="shared" si="89"/>
        <v>0</v>
      </c>
      <c r="GO42" s="39" t="str">
        <f t="shared" si="90"/>
        <v/>
      </c>
      <c r="GP42" s="257">
        <f t="shared" si="91"/>
        <v>0</v>
      </c>
      <c r="GQ42" s="257">
        <f t="shared" si="92"/>
        <v>0</v>
      </c>
      <c r="GR42" s="257">
        <f t="shared" si="93"/>
        <v>0</v>
      </c>
      <c r="GS42" s="575">
        <f t="shared" si="94"/>
        <v>3</v>
      </c>
      <c r="GT42" s="506">
        <f t="shared" si="95"/>
        <v>0</v>
      </c>
      <c r="GU42" s="39" t="str">
        <f t="shared" si="96"/>
        <v/>
      </c>
      <c r="GV42" s="257">
        <f t="shared" si="97"/>
        <v>0</v>
      </c>
      <c r="GW42" s="257">
        <f t="shared" si="98"/>
        <v>0</v>
      </c>
      <c r="GX42" s="257">
        <f t="shared" si="99"/>
        <v>0</v>
      </c>
      <c r="GY42" s="575">
        <f t="shared" si="100"/>
        <v>3</v>
      </c>
      <c r="GZ42" s="506">
        <f t="shared" si="101"/>
        <v>0</v>
      </c>
      <c r="HA42" s="39" t="str">
        <f t="shared" si="102"/>
        <v/>
      </c>
      <c r="HB42" s="257">
        <f t="shared" si="103"/>
        <v>0</v>
      </c>
      <c r="HC42" s="257">
        <f t="shared" si="104"/>
        <v>0</v>
      </c>
      <c r="HD42" s="257">
        <f t="shared" si="105"/>
        <v>0</v>
      </c>
      <c r="HE42" s="575">
        <f t="shared" si="106"/>
        <v>3</v>
      </c>
      <c r="HF42" s="506">
        <f t="shared" si="107"/>
        <v>0</v>
      </c>
      <c r="HG42" s="39" t="str">
        <f t="shared" si="108"/>
        <v/>
      </c>
      <c r="HH42" s="257">
        <f t="shared" si="109"/>
        <v>0</v>
      </c>
      <c r="HI42" s="257">
        <f t="shared" si="110"/>
        <v>0</v>
      </c>
      <c r="HJ42" s="257">
        <f t="shared" si="111"/>
        <v>0</v>
      </c>
      <c r="HK42" s="575">
        <f t="shared" si="112"/>
        <v>3</v>
      </c>
      <c r="HL42" s="506">
        <f t="shared" si="113"/>
        <v>0</v>
      </c>
      <c r="HM42" s="39" t="str">
        <f t="shared" si="114"/>
        <v/>
      </c>
      <c r="HN42" s="39"/>
      <c r="HO42" s="39" t="str">
        <f t="shared" si="115"/>
        <v/>
      </c>
      <c r="HP42" s="39" t="str">
        <f t="shared" si="116"/>
        <v/>
      </c>
      <c r="HQ42" s="39" t="str">
        <f t="shared" si="117"/>
        <v/>
      </c>
      <c r="HR42" s="39" t="str">
        <f t="shared" si="118"/>
        <v/>
      </c>
      <c r="HS42" s="39" t="str">
        <f t="shared" si="119"/>
        <v/>
      </c>
      <c r="HT42" s="39" t="str">
        <f t="shared" si="120"/>
        <v/>
      </c>
      <c r="HU42" s="39" t="str">
        <f t="shared" si="121"/>
        <v/>
      </c>
      <c r="HV42" s="39"/>
      <c r="HW42" s="39"/>
      <c r="HX42" s="39"/>
      <c r="HY42" s="39"/>
      <c r="HZ42" s="39" t="str">
        <f t="shared" si="122"/>
        <v/>
      </c>
      <c r="IA42" s="68">
        <f t="shared" si="123"/>
        <v>0</v>
      </c>
      <c r="IB42" s="68">
        <f t="shared" si="124"/>
        <v>0</v>
      </c>
      <c r="IC42" s="39">
        <f>SISWA!E40</f>
        <v>0</v>
      </c>
      <c r="ID42" s="39" t="str">
        <f t="shared" si="125"/>
        <v/>
      </c>
      <c r="IE42" s="207" t="str">
        <f t="shared" si="126"/>
        <v/>
      </c>
      <c r="IF42" s="207" t="str">
        <f t="shared" si="127"/>
        <v/>
      </c>
      <c r="IG42" s="207" t="str">
        <f t="shared" si="128"/>
        <v/>
      </c>
      <c r="IH42" s="207" t="str">
        <f t="shared" si="129"/>
        <v/>
      </c>
      <c r="II42" s="207" t="str">
        <f t="shared" si="130"/>
        <v/>
      </c>
      <c r="IJ42" s="207" t="str">
        <f t="shared" si="131"/>
        <v/>
      </c>
      <c r="IK42" s="207" t="str">
        <f t="shared" si="132"/>
        <v/>
      </c>
      <c r="IL42" s="207"/>
      <c r="IM42" s="207"/>
      <c r="IN42" s="207"/>
      <c r="IO42" s="207"/>
      <c r="IP42" s="39">
        <f t="shared" si="133"/>
        <v>0</v>
      </c>
      <c r="IQ42" s="68" t="e">
        <f t="shared" si="134"/>
        <v>#N/A</v>
      </c>
      <c r="IR42" s="576" t="e">
        <f>IF(IA42&gt;100,"",IF(IA42&gt;DQ$1,"sangat baik dalam "&amp;IQ42,IF(IA42&gt;=DQ$2,"baik dalam "&amp;IQ42,IF(IA42&gt;=DQ$3,"cukup dalam "&amp;IQ42,IF(IA42&lt;DQ$3,"dengan bimbingan dapat meningkatkan dalam "&amp;IQ42,IF(IA42&lt;1," ",””))))))</f>
        <v>#N/A</v>
      </c>
      <c r="IS42" s="223"/>
      <c r="IT42" s="223" t="str">
        <f t="shared" si="135"/>
        <v/>
      </c>
      <c r="IU42" s="223" t="str">
        <f t="shared" si="136"/>
        <v/>
      </c>
      <c r="IV42" s="223" t="str">
        <f t="shared" si="137"/>
        <v/>
      </c>
      <c r="IW42" s="223" t="str">
        <f t="shared" si="138"/>
        <v/>
      </c>
      <c r="IX42" s="223" t="str">
        <f t="shared" si="139"/>
        <v/>
      </c>
      <c r="IY42" s="223" t="str">
        <f t="shared" si="140"/>
        <v/>
      </c>
      <c r="IZ42" s="223" t="str">
        <f t="shared" si="141"/>
        <v/>
      </c>
      <c r="JA42" s="223"/>
      <c r="JB42" s="223"/>
      <c r="JC42" s="223"/>
      <c r="JD42" s="223"/>
      <c r="JE42" s="223" t="e">
        <f t="shared" si="142"/>
        <v>#N/A</v>
      </c>
      <c r="JF42" s="577" t="e">
        <f>IF(IB42&gt;100,"",IF(IB42&gt;=DQ$1,"sangat baik dalam "&amp;JE42,IF(IB42&gt;=DQ$2,"baik dalam "&amp;JE42,IF(IB42&gt;=DQ$3,"cukup dalam "&amp;JE42,IF(IB42&lt;DQ$3,"dengan bimbingan dapat meningkatkan dalam "&amp;JE42,IF(IB42&lt;1," ",””))))))</f>
        <v>#N/A</v>
      </c>
      <c r="JG42" s="223" t="e">
        <f t="shared" si="143"/>
        <v>#N/A</v>
      </c>
    </row>
    <row r="43" spans="1:267"/>
    <row r="44" spans="1:267">
      <c r="B44" s="244" t="str">
        <f>"Kompetensi Dasar "&amp;C2&amp;" :"</f>
        <v>Kompetensi Dasar SBDP :</v>
      </c>
    </row>
    <row r="45" spans="1:267">
      <c r="A45" s="334" t="str">
        <f>'KDKI-4'!A55</f>
        <v>4.1</v>
      </c>
      <c r="B45" s="334" t="str">
        <f>'KDKI-4'!B55</f>
        <v>membuat gambar cerita</v>
      </c>
      <c r="C45" s="246"/>
      <c r="D45" s="246"/>
      <c r="E45" s="246"/>
      <c r="F45" s="246"/>
      <c r="G45" s="246"/>
      <c r="H45" s="246"/>
      <c r="I45" s="246"/>
      <c r="J45" s="246"/>
      <c r="K45" s="246"/>
      <c r="L45" s="246"/>
      <c r="M45" s="246"/>
      <c r="N45" s="246"/>
      <c r="O45" s="246"/>
      <c r="P45" s="246"/>
      <c r="Q45" s="246"/>
      <c r="R45" s="246"/>
      <c r="S45" s="246"/>
      <c r="T45" s="246"/>
      <c r="U45" s="246"/>
      <c r="V45" s="246"/>
      <c r="W45" s="246"/>
      <c r="X45" s="246"/>
      <c r="Y45" s="246"/>
      <c r="Z45" s="246"/>
      <c r="AA45" s="246"/>
      <c r="AB45" s="246"/>
      <c r="AC45" s="246"/>
      <c r="AD45" s="246"/>
      <c r="AE45" s="246"/>
      <c r="AF45" s="246"/>
      <c r="AG45" s="246"/>
      <c r="AH45" s="246"/>
      <c r="AI45" s="246"/>
      <c r="AJ45" s="246"/>
      <c r="AK45" s="247"/>
    </row>
    <row r="46" spans="1:267">
      <c r="A46" s="334" t="str">
        <f>'KDKI-4'!A56</f>
        <v>4.2</v>
      </c>
      <c r="B46" s="334" t="str">
        <f>'KDKI-4'!B56</f>
        <v>menyanyikan lagu-lagu dalam berbagai tangga nada dengan iringan musik</v>
      </c>
      <c r="C46" s="248"/>
      <c r="D46" s="248"/>
      <c r="E46" s="248"/>
      <c r="F46" s="248"/>
      <c r="G46" s="248"/>
      <c r="H46" s="248"/>
      <c r="I46" s="248"/>
      <c r="J46" s="248"/>
      <c r="K46" s="248"/>
      <c r="L46" s="248"/>
      <c r="M46" s="248"/>
      <c r="N46" s="248"/>
      <c r="O46" s="248"/>
      <c r="P46" s="248"/>
      <c r="Q46" s="248"/>
      <c r="R46" s="248"/>
      <c r="S46" s="248"/>
      <c r="T46" s="248"/>
      <c r="U46" s="248"/>
      <c r="V46" s="248"/>
      <c r="W46" s="248"/>
      <c r="X46" s="248"/>
      <c r="Y46" s="248"/>
      <c r="Z46" s="248"/>
      <c r="AA46" s="248"/>
      <c r="AB46" s="248"/>
      <c r="AC46" s="248"/>
      <c r="AD46" s="248"/>
      <c r="AE46" s="248"/>
      <c r="AF46" s="248"/>
      <c r="AG46" s="248"/>
      <c r="AH46" s="248"/>
      <c r="AI46" s="248"/>
      <c r="AJ46" s="248"/>
      <c r="AK46" s="249"/>
    </row>
    <row r="47" spans="1:267">
      <c r="A47" s="334" t="str">
        <f>'KDKI-4'!A57</f>
        <v>4.3</v>
      </c>
      <c r="B47" s="334" t="str">
        <f>'KDKI-4'!B57</f>
        <v>mempraktikkan pola lantai pada gerak tari kreasi dearah</v>
      </c>
      <c r="C47" s="250"/>
      <c r="D47" s="250"/>
      <c r="E47" s="250"/>
      <c r="F47" s="250"/>
      <c r="G47" s="250"/>
      <c r="H47" s="250"/>
      <c r="I47" s="250"/>
      <c r="J47" s="250"/>
      <c r="K47" s="250"/>
      <c r="L47" s="250"/>
      <c r="M47" s="250"/>
      <c r="N47" s="250"/>
      <c r="O47" s="250"/>
      <c r="P47" s="250"/>
      <c r="Q47" s="250"/>
      <c r="R47" s="250"/>
      <c r="S47" s="250"/>
      <c r="T47" s="250"/>
      <c r="U47" s="250"/>
      <c r="V47" s="250"/>
      <c r="W47" s="250"/>
      <c r="X47" s="250"/>
      <c r="Y47" s="250"/>
      <c r="Z47" s="250"/>
      <c r="AA47" s="250"/>
      <c r="AB47" s="250"/>
      <c r="AC47" s="250"/>
      <c r="AD47" s="250"/>
      <c r="AE47" s="250"/>
      <c r="AF47" s="250"/>
      <c r="AG47" s="250"/>
      <c r="AH47" s="250"/>
      <c r="AI47" s="250"/>
      <c r="AJ47" s="250"/>
      <c r="AK47" s="251"/>
    </row>
    <row r="48" spans="1:267">
      <c r="A48" s="334" t="str">
        <f>'KDKI-4'!A58</f>
        <v>4.4</v>
      </c>
      <c r="B48" s="334" t="str">
        <f>'KDKI-4'!B58</f>
        <v>membuat karya seni rupa daerah</v>
      </c>
      <c r="C48" s="248"/>
      <c r="D48" s="248"/>
      <c r="E48" s="248"/>
      <c r="F48" s="248"/>
      <c r="G48" s="248"/>
      <c r="H48" s="248"/>
      <c r="I48" s="248"/>
      <c r="J48" s="248"/>
      <c r="K48" s="248"/>
      <c r="L48" s="248"/>
      <c r="M48" s="248"/>
      <c r="N48" s="248"/>
      <c r="O48" s="248"/>
      <c r="P48" s="248"/>
      <c r="Q48" s="248"/>
      <c r="R48" s="248"/>
      <c r="S48" s="248"/>
      <c r="T48" s="248"/>
      <c r="U48" s="248"/>
      <c r="V48" s="248"/>
      <c r="W48" s="248"/>
      <c r="X48" s="248"/>
      <c r="Y48" s="248"/>
      <c r="Z48" s="248"/>
      <c r="AA48" s="248"/>
      <c r="AB48" s="248"/>
      <c r="AC48" s="248"/>
      <c r="AD48" s="248"/>
      <c r="AE48" s="248"/>
      <c r="AF48" s="248"/>
      <c r="AG48" s="248"/>
      <c r="AH48" s="248"/>
      <c r="AI48" s="248"/>
      <c r="AJ48" s="248"/>
      <c r="AK48" s="249"/>
    </row>
    <row r="49" spans="1:37">
      <c r="A49" s="334">
        <f>'KDKI-4'!A59</f>
        <v>0</v>
      </c>
      <c r="B49" s="334">
        <f>'KDKI-4'!B59</f>
        <v>0</v>
      </c>
      <c r="C49" s="250"/>
      <c r="D49" s="250"/>
      <c r="E49" s="250"/>
      <c r="F49" s="250"/>
      <c r="G49" s="250"/>
      <c r="H49" s="250"/>
      <c r="I49" s="250"/>
      <c r="J49" s="250"/>
      <c r="K49" s="250"/>
      <c r="L49" s="250"/>
      <c r="M49" s="250"/>
      <c r="N49" s="250"/>
      <c r="O49" s="250"/>
      <c r="P49" s="250"/>
      <c r="Q49" s="250"/>
      <c r="R49" s="250"/>
      <c r="S49" s="250"/>
      <c r="T49" s="250"/>
      <c r="U49" s="250"/>
      <c r="V49" s="250"/>
      <c r="W49" s="250"/>
      <c r="X49" s="250"/>
      <c r="Y49" s="250"/>
      <c r="Z49" s="250"/>
      <c r="AA49" s="250"/>
      <c r="AB49" s="250"/>
      <c r="AC49" s="250"/>
      <c r="AD49" s="250"/>
      <c r="AE49" s="250"/>
      <c r="AF49" s="250"/>
      <c r="AG49" s="250"/>
      <c r="AH49" s="250"/>
      <c r="AI49" s="250"/>
      <c r="AJ49" s="250"/>
      <c r="AK49" s="251"/>
    </row>
    <row r="50" spans="1:37">
      <c r="A50" s="334">
        <f>'KDKI-4'!A60</f>
        <v>0</v>
      </c>
      <c r="B50" s="334">
        <f>'KDKI-4'!B60</f>
        <v>0</v>
      </c>
      <c r="C50" s="248"/>
      <c r="D50" s="248"/>
      <c r="E50" s="248"/>
      <c r="F50" s="248"/>
      <c r="G50" s="248"/>
      <c r="H50" s="248"/>
      <c r="I50" s="248"/>
      <c r="J50" s="248"/>
      <c r="K50" s="248"/>
      <c r="L50" s="248"/>
      <c r="M50" s="248"/>
      <c r="N50" s="248"/>
      <c r="O50" s="248"/>
      <c r="P50" s="248"/>
      <c r="Q50" s="248"/>
      <c r="R50" s="248"/>
      <c r="S50" s="248"/>
      <c r="T50" s="248"/>
      <c r="U50" s="248"/>
      <c r="V50" s="248"/>
      <c r="W50" s="248"/>
      <c r="X50" s="248"/>
      <c r="Y50" s="248"/>
      <c r="Z50" s="248"/>
      <c r="AA50" s="248"/>
      <c r="AB50" s="248"/>
      <c r="AC50" s="248"/>
      <c r="AD50" s="248"/>
      <c r="AE50" s="248"/>
      <c r="AF50" s="248"/>
      <c r="AG50" s="248"/>
      <c r="AH50" s="248"/>
      <c r="AI50" s="248"/>
      <c r="AJ50" s="248"/>
      <c r="AK50" s="249"/>
    </row>
    <row r="51" spans="1:37">
      <c r="A51" s="334">
        <f>'KDKI-4'!A61</f>
        <v>0</v>
      </c>
      <c r="B51" s="334">
        <f>'KDKI-4'!B61</f>
        <v>0</v>
      </c>
      <c r="C51" s="250"/>
      <c r="D51" s="250"/>
      <c r="E51" s="250"/>
      <c r="F51" s="250"/>
      <c r="G51" s="250"/>
      <c r="H51" s="250"/>
      <c r="I51" s="250"/>
      <c r="J51" s="250"/>
      <c r="K51" s="250"/>
      <c r="L51" s="250"/>
      <c r="M51" s="250"/>
      <c r="N51" s="250"/>
      <c r="O51" s="250"/>
      <c r="P51" s="250"/>
      <c r="Q51" s="250"/>
      <c r="R51" s="250"/>
      <c r="S51" s="250"/>
      <c r="T51" s="250"/>
      <c r="U51" s="250"/>
      <c r="V51" s="250"/>
      <c r="W51" s="250"/>
      <c r="X51" s="250"/>
      <c r="Y51" s="250"/>
      <c r="Z51" s="250"/>
      <c r="AA51" s="250"/>
      <c r="AB51" s="250"/>
      <c r="AC51" s="250"/>
      <c r="AD51" s="250"/>
      <c r="AE51" s="250"/>
      <c r="AF51" s="250"/>
      <c r="AG51" s="250"/>
      <c r="AH51" s="250"/>
      <c r="AI51" s="250"/>
      <c r="AJ51" s="250"/>
      <c r="AK51" s="251"/>
    </row>
    <row r="52" spans="1:37">
      <c r="A52" s="334">
        <f>'KDKI-4'!A62</f>
        <v>0</v>
      </c>
      <c r="B52" s="334">
        <f>'KDKI-4'!B62</f>
        <v>0</v>
      </c>
      <c r="C52" s="248"/>
      <c r="D52" s="248"/>
      <c r="E52" s="248"/>
      <c r="F52" s="248"/>
      <c r="G52" s="248"/>
      <c r="H52" s="248"/>
      <c r="I52" s="248"/>
      <c r="J52" s="248"/>
      <c r="K52" s="248"/>
      <c r="L52" s="248"/>
      <c r="M52" s="248"/>
      <c r="N52" s="248"/>
      <c r="O52" s="248"/>
      <c r="P52" s="248"/>
      <c r="Q52" s="248"/>
      <c r="R52" s="248"/>
      <c r="S52" s="248"/>
      <c r="T52" s="248"/>
      <c r="U52" s="248"/>
      <c r="V52" s="248"/>
      <c r="W52" s="248"/>
      <c r="X52" s="248"/>
      <c r="Y52" s="248"/>
      <c r="Z52" s="248"/>
      <c r="AA52" s="248"/>
      <c r="AB52" s="248"/>
      <c r="AC52" s="248"/>
      <c r="AD52" s="248"/>
      <c r="AE52" s="248"/>
      <c r="AF52" s="248"/>
      <c r="AG52" s="248"/>
      <c r="AH52" s="248"/>
      <c r="AI52" s="248"/>
      <c r="AJ52" s="248"/>
      <c r="AK52" s="249"/>
    </row>
    <row r="53" spans="1:37">
      <c r="A53" s="334">
        <f>'KDKI-4'!A63</f>
        <v>0</v>
      </c>
      <c r="B53" s="334">
        <f>'KDKI-4'!B63</f>
        <v>0</v>
      </c>
      <c r="C53" s="250"/>
      <c r="D53" s="250"/>
      <c r="E53" s="250"/>
      <c r="F53" s="250"/>
      <c r="G53" s="250"/>
      <c r="H53" s="250"/>
      <c r="I53" s="250"/>
      <c r="J53" s="250"/>
      <c r="K53" s="250"/>
      <c r="L53" s="250"/>
      <c r="M53" s="250"/>
      <c r="N53" s="250"/>
      <c r="O53" s="250"/>
      <c r="P53" s="250"/>
      <c r="Q53" s="250"/>
      <c r="R53" s="250"/>
      <c r="S53" s="250"/>
      <c r="T53" s="250"/>
      <c r="U53" s="250"/>
      <c r="V53" s="250"/>
      <c r="W53" s="250"/>
      <c r="X53" s="250"/>
      <c r="Y53" s="250"/>
      <c r="Z53" s="250"/>
      <c r="AA53" s="250"/>
      <c r="AB53" s="250"/>
      <c r="AC53" s="250"/>
      <c r="AD53" s="250"/>
      <c r="AE53" s="250"/>
      <c r="AF53" s="250"/>
      <c r="AG53" s="250"/>
      <c r="AH53" s="250"/>
      <c r="AI53" s="250"/>
      <c r="AJ53" s="250"/>
      <c r="AK53" s="251"/>
    </row>
    <row r="54" spans="1:37">
      <c r="A54" s="334">
        <f>'KDKI-4'!A64</f>
        <v>0</v>
      </c>
      <c r="B54" s="334">
        <f>'KDKI-4'!B64</f>
        <v>0</v>
      </c>
      <c r="C54" s="248"/>
      <c r="D54" s="248"/>
      <c r="E54" s="248"/>
      <c r="F54" s="248"/>
      <c r="G54" s="248"/>
      <c r="H54" s="248"/>
      <c r="I54" s="248"/>
      <c r="J54" s="248"/>
      <c r="K54" s="248"/>
      <c r="L54" s="248"/>
      <c r="M54" s="248"/>
      <c r="N54" s="248"/>
      <c r="O54" s="248"/>
      <c r="P54" s="248"/>
      <c r="Q54" s="248"/>
      <c r="R54" s="248"/>
      <c r="S54" s="248"/>
      <c r="T54" s="248"/>
      <c r="U54" s="248"/>
      <c r="V54" s="248"/>
      <c r="W54" s="248"/>
      <c r="X54" s="248"/>
      <c r="Y54" s="248"/>
      <c r="Z54" s="248"/>
      <c r="AA54" s="248"/>
      <c r="AB54" s="248"/>
      <c r="AC54" s="248"/>
      <c r="AD54" s="248"/>
      <c r="AE54" s="248"/>
      <c r="AF54" s="248"/>
      <c r="AG54" s="248"/>
      <c r="AH54" s="248"/>
      <c r="AI54" s="248"/>
      <c r="AJ54" s="248"/>
      <c r="AK54" s="249"/>
    </row>
    <row r="55" spans="1:37">
      <c r="A55" s="334">
        <f>'KDKI-4'!A65</f>
        <v>0</v>
      </c>
      <c r="B55" s="334">
        <f>'KDKI-4'!B65</f>
        <v>0</v>
      </c>
      <c r="C55" s="253"/>
      <c r="D55" s="253"/>
      <c r="E55" s="253"/>
      <c r="F55" s="253"/>
      <c r="G55" s="253"/>
      <c r="H55" s="253"/>
      <c r="I55" s="253"/>
      <c r="J55" s="253"/>
      <c r="K55" s="253"/>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4"/>
    </row>
    <row r="56" spans="1:37" ht="15" customHeight="1">
      <c r="A56" s="334">
        <f>'KDKI-4'!A66</f>
        <v>0</v>
      </c>
      <c r="B56" s="334">
        <f>'KDKI-4'!B66</f>
        <v>0</v>
      </c>
    </row>
    <row r="57" spans="1:37" ht="15" customHeight="1">
      <c r="A57" s="334">
        <f>'KDKI-4'!A67</f>
        <v>0</v>
      </c>
      <c r="B57" s="334">
        <f>'KDKI-4'!B67</f>
        <v>0</v>
      </c>
    </row>
    <row r="58" spans="1:37" ht="15" customHeight="1">
      <c r="A58" s="334">
        <f>'KDKI-4'!A68</f>
        <v>0</v>
      </c>
      <c r="B58" s="334">
        <f>'KDKI-4'!B68</f>
        <v>0</v>
      </c>
    </row>
    <row r="59" spans="1:37" ht="15" customHeight="1">
      <c r="A59" s="334">
        <f>'KDKI-4'!A69</f>
        <v>0</v>
      </c>
      <c r="B59" s="334">
        <f>'KDKI-4'!B69</f>
        <v>0</v>
      </c>
    </row>
    <row r="60" spans="1:37" ht="15" customHeight="1"/>
    <row r="61" spans="1:37"/>
    <row r="62" spans="1:37"/>
    <row r="63" spans="1:37"/>
    <row r="64" spans="1:37"/>
    <row r="65"/>
  </sheetData>
  <sheetProtection password="CA9C" sheet="1" objects="1" scenarios="1" formatCells="0" formatRows="0"/>
  <mergeCells count="108">
    <mergeCell ref="JD6:JD7"/>
    <mergeCell ref="JE6:JE7"/>
    <mergeCell ref="JG6:JG7"/>
    <mergeCell ref="IY6:IY7"/>
    <mergeCell ref="IZ6:IZ7"/>
    <mergeCell ref="JA6:JA7"/>
    <mergeCell ref="JB6:JB7"/>
    <mergeCell ref="JC6:JC7"/>
    <mergeCell ref="IT6:IT7"/>
    <mergeCell ref="IU6:IU7"/>
    <mergeCell ref="IV6:IV7"/>
    <mergeCell ref="IW6:IW7"/>
    <mergeCell ref="IX6:IX7"/>
    <mergeCell ref="IN6:IN7"/>
    <mergeCell ref="IO6:IO7"/>
    <mergeCell ref="IP6:IP7"/>
    <mergeCell ref="IQ6:IQ7"/>
    <mergeCell ref="IR6:IR7"/>
    <mergeCell ref="II6:II7"/>
    <mergeCell ref="IJ6:IJ7"/>
    <mergeCell ref="IK6:IK7"/>
    <mergeCell ref="IL6:IL7"/>
    <mergeCell ref="IM6:IM7"/>
    <mergeCell ref="IC6:IC7"/>
    <mergeCell ref="IE6:IE7"/>
    <mergeCell ref="IF6:IF7"/>
    <mergeCell ref="IG6:IG7"/>
    <mergeCell ref="IH6:IH7"/>
    <mergeCell ref="HG6:HG7"/>
    <mergeCell ref="HH6:HJ7"/>
    <mergeCell ref="HK6:HK7"/>
    <mergeCell ref="HL6:HL7"/>
    <mergeCell ref="HM6:HM7"/>
    <mergeCell ref="GZ6:GZ7"/>
    <mergeCell ref="HA6:HA7"/>
    <mergeCell ref="HB6:HD7"/>
    <mergeCell ref="HE6:HE7"/>
    <mergeCell ref="HF6:HF7"/>
    <mergeCell ref="GS6:GS7"/>
    <mergeCell ref="GT6:GT7"/>
    <mergeCell ref="GU6:GU7"/>
    <mergeCell ref="GV6:GX7"/>
    <mergeCell ref="GY6:GY7"/>
    <mergeCell ref="GJ6:GL7"/>
    <mergeCell ref="GM6:GM7"/>
    <mergeCell ref="GN6:GN7"/>
    <mergeCell ref="GO6:GO7"/>
    <mergeCell ref="GP6:GR7"/>
    <mergeCell ref="GC6:GC7"/>
    <mergeCell ref="GD6:GF7"/>
    <mergeCell ref="GG6:GG7"/>
    <mergeCell ref="GH6:GH7"/>
    <mergeCell ref="GI6:GI7"/>
    <mergeCell ref="FV6:FV7"/>
    <mergeCell ref="FW6:FW7"/>
    <mergeCell ref="FX6:FZ7"/>
    <mergeCell ref="GA6:GA7"/>
    <mergeCell ref="GB6:GB7"/>
    <mergeCell ref="FO6:FO7"/>
    <mergeCell ref="FP6:FP7"/>
    <mergeCell ref="FQ6:FQ7"/>
    <mergeCell ref="FR6:FT7"/>
    <mergeCell ref="FU6:FU7"/>
    <mergeCell ref="FF6:FH7"/>
    <mergeCell ref="FI6:FI7"/>
    <mergeCell ref="FJ6:FJ7"/>
    <mergeCell ref="FK6:FK7"/>
    <mergeCell ref="FL6:FN7"/>
    <mergeCell ref="EY6:EY7"/>
    <mergeCell ref="EZ6:FB7"/>
    <mergeCell ref="FC6:FC7"/>
    <mergeCell ref="FD6:FD7"/>
    <mergeCell ref="FE6:FE7"/>
    <mergeCell ref="EA6:EA7"/>
    <mergeCell ref="DP6:DY6"/>
    <mergeCell ref="EB6:EK6"/>
    <mergeCell ref="EM6:EM7"/>
    <mergeCell ref="EN6:EW6"/>
    <mergeCell ref="B1:AN1"/>
    <mergeCell ref="C2:Q2"/>
    <mergeCell ref="DM5:DM7"/>
    <mergeCell ref="AS5:BM5"/>
    <mergeCell ref="BN5:CH5"/>
    <mergeCell ref="BG6:BM6"/>
    <mergeCell ref="X6:AD6"/>
    <mergeCell ref="AE6:AK6"/>
    <mergeCell ref="AL6:AR6"/>
    <mergeCell ref="AS6:AY6"/>
    <mergeCell ref="D3:P3"/>
    <mergeCell ref="C4:I4"/>
    <mergeCell ref="A5:A7"/>
    <mergeCell ref="B5:B7"/>
    <mergeCell ref="C5:W5"/>
    <mergeCell ref="X5:AR5"/>
    <mergeCell ref="DL5:DL7"/>
    <mergeCell ref="DK5:DK7"/>
    <mergeCell ref="BN6:BT6"/>
    <mergeCell ref="BU6:CA6"/>
    <mergeCell ref="CB6:CH6"/>
    <mergeCell ref="C6:I6"/>
    <mergeCell ref="J6:P6"/>
    <mergeCell ref="CW6:DC6"/>
    <mergeCell ref="DD5:DJ5"/>
    <mergeCell ref="Q6:W6"/>
    <mergeCell ref="CI6:CO6"/>
    <mergeCell ref="CP6:CV6"/>
    <mergeCell ref="AZ6:BF6"/>
    <mergeCell ref="CI5:DC5"/>
  </mergeCells>
  <pageMargins left="0.7" right="0.7" top="0.75" bottom="0.75" header="0.3" footer="0.3"/>
  <pageSetup paperSize="256" orientation="portrait" horizontalDpi="4294967293" verticalDpi="4294967293"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FFC000"/>
  </sheetPr>
  <dimension ref="A1:IC61"/>
  <sheetViews>
    <sheetView showRowColHeaders="0" showZeros="0" workbookViewId="0">
      <pane xSplit="2" ySplit="7" topLeftCell="C8" activePane="bottomRight" state="frozen"/>
      <selection pane="topRight" activeCell="C1" sqref="C1"/>
      <selection pane="bottomLeft" activeCell="A9" sqref="A9"/>
      <selection pane="bottomRight" activeCell="J10" sqref="J10"/>
    </sheetView>
  </sheetViews>
  <sheetFormatPr defaultColWidth="0" defaultRowHeight="15" zeroHeight="1"/>
  <cols>
    <col min="1" max="1" width="4.7109375" customWidth="1"/>
    <col min="2" max="2" width="31" customWidth="1"/>
    <col min="3" max="22" width="3.7109375" customWidth="1"/>
    <col min="23" max="86" width="3.7109375" hidden="1" customWidth="1"/>
    <col min="87" max="93" width="3.7109375" customWidth="1"/>
    <col min="94" max="95" width="5.7109375" customWidth="1"/>
    <col min="96" max="96" width="90.28515625" customWidth="1"/>
    <col min="97" max="97" width="3.7109375" customWidth="1"/>
    <col min="98" max="237" width="3.7109375" hidden="1" customWidth="1"/>
    <col min="238" max="16384" width="9.140625" hidden="1"/>
  </cols>
  <sheetData>
    <row r="1" spans="1:215">
      <c r="A1" s="170"/>
      <c r="B1" s="894" t="s">
        <v>176</v>
      </c>
      <c r="C1" s="894"/>
      <c r="D1" s="894"/>
      <c r="E1" s="894"/>
      <c r="F1" s="894"/>
      <c r="G1" s="894"/>
      <c r="H1" s="894"/>
      <c r="I1" s="894"/>
      <c r="J1" s="894"/>
      <c r="K1" s="894"/>
      <c r="L1" s="894"/>
      <c r="M1" s="894"/>
      <c r="N1" s="894"/>
      <c r="O1" s="894"/>
      <c r="P1" s="894"/>
      <c r="Q1" s="894"/>
      <c r="R1" s="894"/>
      <c r="S1" s="894"/>
      <c r="T1" s="894"/>
      <c r="U1" s="894"/>
      <c r="V1" s="894"/>
      <c r="W1" s="894"/>
      <c r="X1" s="894"/>
      <c r="Y1" s="894"/>
      <c r="Z1" s="894"/>
      <c r="AA1" s="894"/>
      <c r="AB1" s="894"/>
      <c r="AC1" s="894"/>
      <c r="AD1" s="894"/>
      <c r="AE1" s="894"/>
      <c r="AF1" s="894"/>
      <c r="AG1" s="894"/>
      <c r="AH1" s="894"/>
      <c r="AI1" s="894"/>
      <c r="AJ1" s="894"/>
      <c r="AK1" s="894"/>
      <c r="AL1" s="894"/>
      <c r="AM1" s="894"/>
      <c r="AN1" s="894"/>
      <c r="CT1" t="s">
        <v>255</v>
      </c>
      <c r="CU1">
        <f>KKM!D29</f>
        <v>92</v>
      </c>
      <c r="CX1">
        <v>100</v>
      </c>
    </row>
    <row r="2" spans="1:215">
      <c r="A2" s="170"/>
      <c r="B2" s="7" t="s">
        <v>3</v>
      </c>
      <c r="C2" s="943" t="s">
        <v>192</v>
      </c>
      <c r="D2" s="943"/>
      <c r="E2" s="943"/>
      <c r="F2" s="943"/>
      <c r="G2" s="943"/>
      <c r="H2" s="943"/>
      <c r="I2" s="943"/>
      <c r="J2" s="943"/>
      <c r="K2" s="943"/>
      <c r="L2" s="943"/>
      <c r="M2" s="943"/>
      <c r="N2" s="943"/>
      <c r="O2" s="943"/>
      <c r="P2" s="943"/>
      <c r="Q2" s="943"/>
      <c r="R2" s="8"/>
      <c r="S2" s="9"/>
      <c r="T2" s="9"/>
      <c r="U2" s="9"/>
      <c r="V2" s="9"/>
      <c r="W2" s="9"/>
      <c r="X2" s="9"/>
      <c r="Y2" s="9"/>
      <c r="Z2" s="9"/>
      <c r="AA2" s="9"/>
      <c r="AB2" s="9"/>
      <c r="AC2" s="9"/>
      <c r="AD2" s="9"/>
      <c r="AE2" s="9"/>
      <c r="AF2" s="9"/>
      <c r="AG2" s="10"/>
      <c r="AH2" s="10"/>
      <c r="AL2" s="9"/>
      <c r="AM2" s="11"/>
      <c r="AN2" s="12"/>
      <c r="CT2" t="s">
        <v>207</v>
      </c>
      <c r="CU2">
        <f>KKM!D30</f>
        <v>83</v>
      </c>
      <c r="CX2">
        <f>(CX1-CU2)/2</f>
        <v>8.5</v>
      </c>
    </row>
    <row r="3" spans="1:215">
      <c r="A3" s="170"/>
      <c r="B3" s="7" t="s">
        <v>177</v>
      </c>
      <c r="C3" s="236" t="str">
        <f>MENU!N20</f>
        <v>V ( Lima )</v>
      </c>
      <c r="D3" s="10"/>
      <c r="E3" s="10"/>
      <c r="F3" s="237"/>
      <c r="G3" s="231" t="s">
        <v>188</v>
      </c>
      <c r="H3" s="231" t="s">
        <v>35</v>
      </c>
      <c r="I3" s="237" t="str">
        <f>MENU!N21</f>
        <v>1 ( satu )</v>
      </c>
      <c r="J3" s="231"/>
      <c r="K3" s="231"/>
      <c r="L3" s="231" t="s">
        <v>159</v>
      </c>
      <c r="M3" s="231" t="s">
        <v>35</v>
      </c>
      <c r="N3" s="237" t="str">
        <f>MENU!N22</f>
        <v>2019/2020</v>
      </c>
      <c r="O3" s="231"/>
      <c r="P3" s="231"/>
      <c r="Q3" s="20"/>
      <c r="R3" s="20"/>
      <c r="S3" s="20"/>
      <c r="T3" s="20"/>
      <c r="AE3" s="9"/>
      <c r="AF3" s="8"/>
      <c r="AG3" s="21"/>
      <c r="AH3" s="8"/>
      <c r="AI3" s="238"/>
      <c r="AJ3" s="238"/>
      <c r="AK3" s="238"/>
      <c r="AL3" s="170"/>
      <c r="AM3" s="170"/>
      <c r="AN3" s="170"/>
      <c r="AO3" s="170"/>
      <c r="AP3" s="170"/>
      <c r="AQ3" s="170"/>
      <c r="AR3" s="170"/>
      <c r="AS3" s="170"/>
      <c r="AT3" s="170"/>
      <c r="AU3" s="170"/>
      <c r="BG3" s="8"/>
      <c r="BH3" s="23"/>
      <c r="CT3" t="s">
        <v>394</v>
      </c>
      <c r="CU3">
        <f>KKM!D31</f>
        <v>75</v>
      </c>
    </row>
    <row r="4" spans="1:215">
      <c r="B4" s="419" t="s">
        <v>383</v>
      </c>
      <c r="C4" s="27">
        <f>KKM!D25</f>
        <v>75</v>
      </c>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CR4" s="46"/>
      <c r="CT4" t="s">
        <v>395</v>
      </c>
      <c r="CU4">
        <f>KKM!D32</f>
        <v>75</v>
      </c>
    </row>
    <row r="5" spans="1:215" ht="15" customHeight="1">
      <c r="A5" s="900" t="s">
        <v>9</v>
      </c>
      <c r="B5" s="900" t="s">
        <v>10</v>
      </c>
      <c r="C5" s="939" t="s">
        <v>397</v>
      </c>
      <c r="D5" s="940"/>
      <c r="E5" s="940"/>
      <c r="F5" s="940"/>
      <c r="G5" s="940"/>
      <c r="H5" s="940"/>
      <c r="I5" s="940"/>
      <c r="J5" s="940"/>
      <c r="K5" s="940"/>
      <c r="L5" s="940"/>
      <c r="M5" s="940"/>
      <c r="N5" s="940"/>
      <c r="O5" s="940"/>
      <c r="P5" s="940"/>
      <c r="Q5" s="940"/>
      <c r="R5" s="940"/>
      <c r="S5" s="940"/>
      <c r="T5" s="940"/>
      <c r="U5" s="940"/>
      <c r="V5" s="940"/>
      <c r="W5" s="940"/>
      <c r="X5" s="931" t="s">
        <v>11</v>
      </c>
      <c r="Y5" s="932"/>
      <c r="Z5" s="932"/>
      <c r="AA5" s="932"/>
      <c r="AB5" s="932"/>
      <c r="AC5" s="932"/>
      <c r="AD5" s="932"/>
      <c r="AE5" s="932"/>
      <c r="AF5" s="932"/>
      <c r="AG5" s="932"/>
      <c r="AH5" s="932"/>
      <c r="AI5" s="932"/>
      <c r="AJ5" s="932"/>
      <c r="AK5" s="932"/>
      <c r="AL5" s="932"/>
      <c r="AM5" s="932"/>
      <c r="AN5" s="932"/>
      <c r="AO5" s="932"/>
      <c r="AP5" s="932"/>
      <c r="AQ5" s="932"/>
      <c r="AR5" s="932"/>
      <c r="AS5" s="1229" t="s">
        <v>12</v>
      </c>
      <c r="AT5" s="1230"/>
      <c r="AU5" s="1230"/>
      <c r="AV5" s="1230"/>
      <c r="AW5" s="1230"/>
      <c r="AX5" s="1230"/>
      <c r="AY5" s="1230"/>
      <c r="AZ5" s="1230"/>
      <c r="BA5" s="1230"/>
      <c r="BB5" s="1230"/>
      <c r="BC5" s="1230"/>
      <c r="BD5" s="1230"/>
      <c r="BE5" s="1230"/>
      <c r="BF5" s="1230"/>
      <c r="BG5" s="1230"/>
      <c r="BH5" s="1230"/>
      <c r="BI5" s="1230"/>
      <c r="BJ5" s="1230"/>
      <c r="BK5" s="1230"/>
      <c r="BL5" s="1230"/>
      <c r="BM5" s="1230"/>
      <c r="BN5" s="946" t="s">
        <v>178</v>
      </c>
      <c r="BO5" s="947"/>
      <c r="BP5" s="947"/>
      <c r="BQ5" s="947"/>
      <c r="BR5" s="947"/>
      <c r="BS5" s="947"/>
      <c r="BT5" s="947"/>
      <c r="BU5" s="947"/>
      <c r="BV5" s="947"/>
      <c r="BW5" s="947"/>
      <c r="BX5" s="947"/>
      <c r="BY5" s="947"/>
      <c r="BZ5" s="947"/>
      <c r="CA5" s="947"/>
      <c r="CB5" s="947"/>
      <c r="CC5" s="947"/>
      <c r="CD5" s="947"/>
      <c r="CE5" s="947"/>
      <c r="CF5" s="947"/>
      <c r="CG5" s="947"/>
      <c r="CH5" s="947"/>
      <c r="CI5" s="956" t="s">
        <v>13</v>
      </c>
      <c r="CJ5" s="957"/>
      <c r="CK5" s="957"/>
      <c r="CL5" s="957"/>
      <c r="CM5" s="957"/>
      <c r="CN5" s="957"/>
      <c r="CO5" s="958"/>
      <c r="CP5" s="968" t="s">
        <v>179</v>
      </c>
      <c r="CQ5" s="966" t="s">
        <v>15</v>
      </c>
      <c r="CR5" s="944" t="s">
        <v>180</v>
      </c>
      <c r="DF5" t="s">
        <v>398</v>
      </c>
    </row>
    <row r="6" spans="1:215" ht="15" customHeight="1">
      <c r="A6" s="900"/>
      <c r="B6" s="900"/>
      <c r="C6" s="931" t="s">
        <v>181</v>
      </c>
      <c r="D6" s="932"/>
      <c r="E6" s="932"/>
      <c r="F6" s="932"/>
      <c r="G6" s="932"/>
      <c r="H6" s="932"/>
      <c r="I6" s="933"/>
      <c r="J6" s="946" t="s">
        <v>532</v>
      </c>
      <c r="K6" s="947"/>
      <c r="L6" s="947"/>
      <c r="M6" s="947"/>
      <c r="N6" s="947"/>
      <c r="O6" s="947"/>
      <c r="P6" s="948"/>
      <c r="Q6" s="949" t="s">
        <v>182</v>
      </c>
      <c r="R6" s="950"/>
      <c r="S6" s="950"/>
      <c r="T6" s="950"/>
      <c r="U6" s="950"/>
      <c r="V6" s="950"/>
      <c r="W6" s="951"/>
      <c r="X6" s="931" t="s">
        <v>181</v>
      </c>
      <c r="Y6" s="932"/>
      <c r="Z6" s="932"/>
      <c r="AA6" s="932"/>
      <c r="AB6" s="932"/>
      <c r="AC6" s="932"/>
      <c r="AD6" s="933"/>
      <c r="AE6" s="946" t="s">
        <v>182</v>
      </c>
      <c r="AF6" s="947"/>
      <c r="AG6" s="947"/>
      <c r="AH6" s="947"/>
      <c r="AI6" s="947"/>
      <c r="AJ6" s="947"/>
      <c r="AK6" s="948"/>
      <c r="AL6" s="949" t="s">
        <v>183</v>
      </c>
      <c r="AM6" s="950"/>
      <c r="AN6" s="950"/>
      <c r="AO6" s="950"/>
      <c r="AP6" s="950"/>
      <c r="AQ6" s="950"/>
      <c r="AR6" s="951"/>
      <c r="AS6" s="931" t="s">
        <v>181</v>
      </c>
      <c r="AT6" s="932"/>
      <c r="AU6" s="932"/>
      <c r="AV6" s="932"/>
      <c r="AW6" s="932"/>
      <c r="AX6" s="932"/>
      <c r="AY6" s="933"/>
      <c r="AZ6" s="946" t="s">
        <v>182</v>
      </c>
      <c r="BA6" s="947"/>
      <c r="BB6" s="947"/>
      <c r="BC6" s="947"/>
      <c r="BD6" s="947"/>
      <c r="BE6" s="947"/>
      <c r="BF6" s="948"/>
      <c r="BG6" s="949" t="s">
        <v>183</v>
      </c>
      <c r="BH6" s="950"/>
      <c r="BI6" s="950"/>
      <c r="BJ6" s="950"/>
      <c r="BK6" s="950"/>
      <c r="BL6" s="950"/>
      <c r="BM6" s="951"/>
      <c r="BN6" s="931" t="s">
        <v>181</v>
      </c>
      <c r="BO6" s="932"/>
      <c r="BP6" s="932"/>
      <c r="BQ6" s="932"/>
      <c r="BR6" s="932"/>
      <c r="BS6" s="932"/>
      <c r="BT6" s="933"/>
      <c r="BU6" s="946" t="s">
        <v>182</v>
      </c>
      <c r="BV6" s="947"/>
      <c r="BW6" s="947"/>
      <c r="BX6" s="947"/>
      <c r="BY6" s="947"/>
      <c r="BZ6" s="947"/>
      <c r="CA6" s="948"/>
      <c r="CB6" s="949" t="s">
        <v>183</v>
      </c>
      <c r="CC6" s="950"/>
      <c r="CD6" s="950"/>
      <c r="CE6" s="950"/>
      <c r="CF6" s="950"/>
      <c r="CG6" s="950"/>
      <c r="CH6" s="951"/>
      <c r="CI6" s="239" t="s">
        <v>19</v>
      </c>
      <c r="CJ6" s="239" t="s">
        <v>19</v>
      </c>
      <c r="CK6" s="239" t="s">
        <v>19</v>
      </c>
      <c r="CL6" s="239" t="s">
        <v>19</v>
      </c>
      <c r="CM6" s="239" t="s">
        <v>19</v>
      </c>
      <c r="CN6" s="239" t="s">
        <v>19</v>
      </c>
      <c r="CO6" s="239" t="s">
        <v>19</v>
      </c>
      <c r="CP6" s="969"/>
      <c r="CQ6" s="967"/>
      <c r="CR6" s="944"/>
      <c r="CU6" s="931" t="s">
        <v>279</v>
      </c>
      <c r="CV6" s="932"/>
      <c r="CW6" s="932"/>
      <c r="CX6" s="932"/>
      <c r="CY6" s="932"/>
      <c r="CZ6" s="932"/>
      <c r="DA6" s="932"/>
      <c r="DB6" s="932"/>
      <c r="DC6" s="932"/>
      <c r="DD6" s="933"/>
      <c r="DE6" s="937" t="s">
        <v>399</v>
      </c>
      <c r="DF6" s="934" t="s">
        <v>280</v>
      </c>
      <c r="DG6" s="935"/>
      <c r="DH6" s="935"/>
      <c r="DI6" s="935"/>
      <c r="DJ6" s="935"/>
      <c r="DK6" s="935"/>
      <c r="DL6" s="935"/>
      <c r="DM6" s="935"/>
      <c r="DN6" s="935"/>
      <c r="DO6" s="936"/>
      <c r="DP6" s="937" t="s">
        <v>399</v>
      </c>
      <c r="DQ6" s="939" t="s">
        <v>400</v>
      </c>
      <c r="DR6" s="940"/>
      <c r="DS6" s="940"/>
      <c r="DT6" s="940"/>
      <c r="DU6" s="940"/>
      <c r="DV6" s="940"/>
      <c r="DW6" s="940"/>
      <c r="DX6" s="940"/>
      <c r="DY6" s="940"/>
      <c r="DZ6" s="941"/>
      <c r="EA6" s="971" t="s">
        <v>399</v>
      </c>
      <c r="EB6" s="972">
        <v>1</v>
      </c>
      <c r="EC6" s="973"/>
      <c r="ED6" s="973"/>
      <c r="EE6" s="976"/>
      <c r="EF6" s="976"/>
      <c r="EG6" s="976"/>
      <c r="EH6" s="972">
        <v>2</v>
      </c>
      <c r="EI6" s="973"/>
      <c r="EJ6" s="973"/>
      <c r="EK6" s="976"/>
      <c r="EL6" s="976"/>
      <c r="EM6" s="976"/>
      <c r="EN6" s="972">
        <v>3</v>
      </c>
      <c r="EO6" s="973"/>
      <c r="EP6" s="973"/>
      <c r="EQ6" s="976"/>
      <c r="ER6" s="976"/>
      <c r="ES6" s="976"/>
      <c r="ET6" s="972">
        <v>4</v>
      </c>
      <c r="EU6" s="973"/>
      <c r="EV6" s="973"/>
      <c r="EW6" s="976"/>
      <c r="EX6" s="976"/>
      <c r="EY6" s="976"/>
      <c r="EZ6" s="972">
        <v>5</v>
      </c>
      <c r="FA6" s="973"/>
      <c r="FB6" s="973"/>
      <c r="FC6" s="976"/>
      <c r="FD6" s="976"/>
      <c r="FE6" s="976"/>
      <c r="FF6" s="972">
        <v>6</v>
      </c>
      <c r="FG6" s="973"/>
      <c r="FH6" s="973"/>
      <c r="FI6" s="976"/>
      <c r="FJ6" s="976"/>
      <c r="FK6" s="976"/>
      <c r="FL6" s="972">
        <v>7</v>
      </c>
      <c r="FM6" s="973"/>
      <c r="FN6" s="973"/>
      <c r="FO6" s="976"/>
      <c r="FP6" s="976"/>
      <c r="FQ6" s="976"/>
      <c r="GA6" s="68" t="s">
        <v>184</v>
      </c>
      <c r="GB6" s="68" t="s">
        <v>185</v>
      </c>
      <c r="GC6" s="755"/>
      <c r="GD6" s="978"/>
      <c r="GE6" s="979" t="str">
        <f>B45</f>
        <v>menyampaikan teks deskriptif tentang peristiwa alam dan adat istiadat.</v>
      </c>
      <c r="GF6" s="979" t="str">
        <f>B46</f>
        <v>melantunkan tembang macapat Kinanthi, dan menjelaskan  geguritan.</v>
      </c>
      <c r="GG6" s="979" t="str">
        <f>B47</f>
        <v>menceritakan wayang (Ramayana), pakaian tradisional, dan gamelan.</v>
      </c>
      <c r="GH6" s="979" t="str">
        <f>B48</f>
        <v>menggunakan unggah-ungguh basa untuk tanya jawab dan menyampaikan ajakan kepada orang lain.</v>
      </c>
      <c r="GI6" s="979" t="str">
        <f>B49</f>
        <v>menulis kata dan kalimat beraksara Jawa yang mengandung  pasangan.</v>
      </c>
      <c r="GJ6" s="979">
        <f>B50</f>
        <v>0</v>
      </c>
      <c r="GK6" s="979">
        <f>B51</f>
        <v>0</v>
      </c>
      <c r="GL6" s="981">
        <f>B52</f>
        <v>0</v>
      </c>
      <c r="GM6" s="981"/>
      <c r="GN6" s="981"/>
      <c r="GO6" s="981"/>
      <c r="GP6" s="981"/>
      <c r="GQ6" s="981" t="s">
        <v>186</v>
      </c>
      <c r="GR6" s="981" t="s">
        <v>187</v>
      </c>
      <c r="GT6" s="982" t="str">
        <f>GE6</f>
        <v>menyampaikan teks deskriptif tentang peristiwa alam dan adat istiadat.</v>
      </c>
      <c r="GU6" s="982" t="str">
        <f t="shared" ref="GU6:HC6" si="0">GF6</f>
        <v>melantunkan tembang macapat Kinanthi, dan menjelaskan  geguritan.</v>
      </c>
      <c r="GV6" s="982" t="str">
        <f t="shared" si="0"/>
        <v>menceritakan wayang (Ramayana), pakaian tradisional, dan gamelan.</v>
      </c>
      <c r="GW6" s="982" t="str">
        <f t="shared" si="0"/>
        <v>menggunakan unggah-ungguh basa untuk tanya jawab dan menyampaikan ajakan kepada orang lain.</v>
      </c>
      <c r="GX6" s="982" t="str">
        <f t="shared" si="0"/>
        <v>menulis kata dan kalimat beraksara Jawa yang mengandung  pasangan.</v>
      </c>
      <c r="GY6" s="982">
        <f t="shared" si="0"/>
        <v>0</v>
      </c>
      <c r="GZ6" s="982">
        <f t="shared" si="0"/>
        <v>0</v>
      </c>
      <c r="HA6" s="983">
        <f t="shared" si="0"/>
        <v>0</v>
      </c>
      <c r="HB6" s="983">
        <f t="shared" si="0"/>
        <v>0</v>
      </c>
      <c r="HC6" s="983">
        <f t="shared" si="0"/>
        <v>0</v>
      </c>
      <c r="HE6" s="978" t="s">
        <v>401</v>
      </c>
      <c r="HG6" s="985" t="s">
        <v>402</v>
      </c>
    </row>
    <row r="7" spans="1:215" ht="21" customHeight="1">
      <c r="A7" s="900"/>
      <c r="B7" s="961"/>
      <c r="C7" s="240" t="str">
        <f>A45</f>
        <v>4.1</v>
      </c>
      <c r="D7" s="240" t="str">
        <f>A46</f>
        <v>4.2</v>
      </c>
      <c r="E7" s="240" t="str">
        <f>A47</f>
        <v>4.3</v>
      </c>
      <c r="F7" s="240" t="str">
        <f>A48</f>
        <v>4.4</v>
      </c>
      <c r="G7" s="240" t="str">
        <f>A49</f>
        <v>4.5</v>
      </c>
      <c r="H7" s="240">
        <f>A50</f>
        <v>0</v>
      </c>
      <c r="I7" s="240">
        <f>A51</f>
        <v>0</v>
      </c>
      <c r="J7" s="240" t="str">
        <f t="shared" ref="J7:BU7" si="1">C7</f>
        <v>4.1</v>
      </c>
      <c r="K7" s="240" t="str">
        <f t="shared" si="1"/>
        <v>4.2</v>
      </c>
      <c r="L7" s="240" t="str">
        <f t="shared" si="1"/>
        <v>4.3</v>
      </c>
      <c r="M7" s="240" t="str">
        <f t="shared" si="1"/>
        <v>4.4</v>
      </c>
      <c r="N7" s="240" t="str">
        <f t="shared" si="1"/>
        <v>4.5</v>
      </c>
      <c r="O7" s="240">
        <f t="shared" si="1"/>
        <v>0</v>
      </c>
      <c r="P7" s="240">
        <f t="shared" si="1"/>
        <v>0</v>
      </c>
      <c r="Q7" s="240" t="str">
        <f t="shared" si="1"/>
        <v>4.1</v>
      </c>
      <c r="R7" s="240" t="str">
        <f t="shared" si="1"/>
        <v>4.2</v>
      </c>
      <c r="S7" s="240" t="str">
        <f t="shared" si="1"/>
        <v>4.3</v>
      </c>
      <c r="T7" s="240" t="str">
        <f t="shared" si="1"/>
        <v>4.4</v>
      </c>
      <c r="U7" s="240" t="str">
        <f t="shared" si="1"/>
        <v>4.5</v>
      </c>
      <c r="V7" s="240">
        <f t="shared" si="1"/>
        <v>0</v>
      </c>
      <c r="W7" s="240">
        <f t="shared" si="1"/>
        <v>0</v>
      </c>
      <c r="X7" s="240" t="str">
        <f t="shared" si="1"/>
        <v>4.1</v>
      </c>
      <c r="Y7" s="240" t="str">
        <f t="shared" si="1"/>
        <v>4.2</v>
      </c>
      <c r="Z7" s="240" t="str">
        <f t="shared" si="1"/>
        <v>4.3</v>
      </c>
      <c r="AA7" s="240" t="str">
        <f t="shared" si="1"/>
        <v>4.4</v>
      </c>
      <c r="AB7" s="240" t="str">
        <f t="shared" si="1"/>
        <v>4.5</v>
      </c>
      <c r="AC7" s="240">
        <f t="shared" si="1"/>
        <v>0</v>
      </c>
      <c r="AD7" s="240">
        <f t="shared" si="1"/>
        <v>0</v>
      </c>
      <c r="AE7" s="240" t="str">
        <f t="shared" si="1"/>
        <v>4.1</v>
      </c>
      <c r="AF7" s="240" t="str">
        <f t="shared" si="1"/>
        <v>4.2</v>
      </c>
      <c r="AG7" s="240" t="str">
        <f t="shared" si="1"/>
        <v>4.3</v>
      </c>
      <c r="AH7" s="240" t="str">
        <f t="shared" si="1"/>
        <v>4.4</v>
      </c>
      <c r="AI7" s="240" t="str">
        <f t="shared" si="1"/>
        <v>4.5</v>
      </c>
      <c r="AJ7" s="240">
        <f t="shared" si="1"/>
        <v>0</v>
      </c>
      <c r="AK7" s="240">
        <f t="shared" si="1"/>
        <v>0</v>
      </c>
      <c r="AL7" s="240" t="str">
        <f t="shared" si="1"/>
        <v>4.1</v>
      </c>
      <c r="AM7" s="240" t="str">
        <f t="shared" si="1"/>
        <v>4.2</v>
      </c>
      <c r="AN7" s="240" t="str">
        <f t="shared" si="1"/>
        <v>4.3</v>
      </c>
      <c r="AO7" s="240" t="str">
        <f t="shared" si="1"/>
        <v>4.4</v>
      </c>
      <c r="AP7" s="240" t="str">
        <f t="shared" si="1"/>
        <v>4.5</v>
      </c>
      <c r="AQ7" s="240">
        <f t="shared" si="1"/>
        <v>0</v>
      </c>
      <c r="AR7" s="240">
        <f t="shared" si="1"/>
        <v>0</v>
      </c>
      <c r="AS7" s="240" t="str">
        <f t="shared" si="1"/>
        <v>4.1</v>
      </c>
      <c r="AT7" s="240" t="str">
        <f t="shared" si="1"/>
        <v>4.2</v>
      </c>
      <c r="AU7" s="240" t="str">
        <f t="shared" si="1"/>
        <v>4.3</v>
      </c>
      <c r="AV7" s="240" t="str">
        <f t="shared" si="1"/>
        <v>4.4</v>
      </c>
      <c r="AW7" s="240" t="str">
        <f t="shared" si="1"/>
        <v>4.5</v>
      </c>
      <c r="AX7" s="240">
        <f t="shared" si="1"/>
        <v>0</v>
      </c>
      <c r="AY7" s="240">
        <f t="shared" si="1"/>
        <v>0</v>
      </c>
      <c r="AZ7" s="240" t="str">
        <f t="shared" si="1"/>
        <v>4.1</v>
      </c>
      <c r="BA7" s="240" t="str">
        <f t="shared" si="1"/>
        <v>4.2</v>
      </c>
      <c r="BB7" s="240" t="str">
        <f t="shared" si="1"/>
        <v>4.3</v>
      </c>
      <c r="BC7" s="240" t="str">
        <f t="shared" si="1"/>
        <v>4.4</v>
      </c>
      <c r="BD7" s="240" t="str">
        <f t="shared" si="1"/>
        <v>4.5</v>
      </c>
      <c r="BE7" s="240">
        <f t="shared" si="1"/>
        <v>0</v>
      </c>
      <c r="BF7" s="240">
        <f t="shared" si="1"/>
        <v>0</v>
      </c>
      <c r="BG7" s="240" t="str">
        <f t="shared" si="1"/>
        <v>4.1</v>
      </c>
      <c r="BH7" s="240" t="str">
        <f t="shared" si="1"/>
        <v>4.2</v>
      </c>
      <c r="BI7" s="240" t="str">
        <f t="shared" si="1"/>
        <v>4.3</v>
      </c>
      <c r="BJ7" s="240" t="str">
        <f t="shared" si="1"/>
        <v>4.4</v>
      </c>
      <c r="BK7" s="240" t="str">
        <f t="shared" si="1"/>
        <v>4.5</v>
      </c>
      <c r="BL7" s="240">
        <f t="shared" si="1"/>
        <v>0</v>
      </c>
      <c r="BM7" s="240">
        <f t="shared" si="1"/>
        <v>0</v>
      </c>
      <c r="BN7" s="240" t="str">
        <f t="shared" si="1"/>
        <v>4.1</v>
      </c>
      <c r="BO7" s="240" t="str">
        <f t="shared" si="1"/>
        <v>4.2</v>
      </c>
      <c r="BP7" s="240" t="str">
        <f t="shared" si="1"/>
        <v>4.3</v>
      </c>
      <c r="BQ7" s="240" t="str">
        <f t="shared" si="1"/>
        <v>4.4</v>
      </c>
      <c r="BR7" s="240" t="str">
        <f t="shared" si="1"/>
        <v>4.5</v>
      </c>
      <c r="BS7" s="240">
        <f t="shared" si="1"/>
        <v>0</v>
      </c>
      <c r="BT7" s="240">
        <f t="shared" si="1"/>
        <v>0</v>
      </c>
      <c r="BU7" s="240" t="str">
        <f t="shared" si="1"/>
        <v>4.1</v>
      </c>
      <c r="BV7" s="240" t="str">
        <f t="shared" ref="BV7:CH7" si="2">BO7</f>
        <v>4.2</v>
      </c>
      <c r="BW7" s="240" t="str">
        <f t="shared" si="2"/>
        <v>4.3</v>
      </c>
      <c r="BX7" s="240" t="str">
        <f t="shared" si="2"/>
        <v>4.4</v>
      </c>
      <c r="BY7" s="240" t="str">
        <f t="shared" si="2"/>
        <v>4.5</v>
      </c>
      <c r="BZ7" s="240">
        <f t="shared" si="2"/>
        <v>0</v>
      </c>
      <c r="CA7" s="240">
        <f t="shared" si="2"/>
        <v>0</v>
      </c>
      <c r="CB7" s="240" t="str">
        <f t="shared" si="2"/>
        <v>4.1</v>
      </c>
      <c r="CC7" s="240" t="str">
        <f t="shared" si="2"/>
        <v>4.2</v>
      </c>
      <c r="CD7" s="240" t="str">
        <f t="shared" si="2"/>
        <v>4.3</v>
      </c>
      <c r="CE7" s="240" t="str">
        <f t="shared" si="2"/>
        <v>4.4</v>
      </c>
      <c r="CF7" s="240" t="str">
        <f t="shared" si="2"/>
        <v>4.5</v>
      </c>
      <c r="CG7" s="240">
        <f t="shared" si="2"/>
        <v>0</v>
      </c>
      <c r="CH7" s="240">
        <f t="shared" si="2"/>
        <v>0</v>
      </c>
      <c r="CI7" s="241" t="str">
        <f>CB7</f>
        <v>4.1</v>
      </c>
      <c r="CJ7" s="241" t="str">
        <f t="shared" ref="CJ7:CO7" si="3">CC7</f>
        <v>4.2</v>
      </c>
      <c r="CK7" s="241" t="str">
        <f t="shared" si="3"/>
        <v>4.3</v>
      </c>
      <c r="CL7" s="241" t="str">
        <f t="shared" si="3"/>
        <v>4.4</v>
      </c>
      <c r="CM7" s="241" t="str">
        <f t="shared" si="3"/>
        <v>4.5</v>
      </c>
      <c r="CN7" s="241">
        <f t="shared" si="3"/>
        <v>0</v>
      </c>
      <c r="CO7" s="241">
        <f t="shared" si="3"/>
        <v>0</v>
      </c>
      <c r="CP7" s="969"/>
      <c r="CQ7" s="967"/>
      <c r="CR7" s="945"/>
      <c r="CU7" s="39">
        <v>1</v>
      </c>
      <c r="CV7" s="39">
        <v>2</v>
      </c>
      <c r="CW7" s="39">
        <v>3</v>
      </c>
      <c r="CX7" s="39">
        <v>4</v>
      </c>
      <c r="CY7" s="39">
        <v>5</v>
      </c>
      <c r="CZ7" s="39">
        <v>6</v>
      </c>
      <c r="DA7" s="39">
        <v>7</v>
      </c>
      <c r="DB7" s="39"/>
      <c r="DC7" s="39"/>
      <c r="DD7" s="39"/>
      <c r="DE7" s="938"/>
      <c r="DF7" s="39">
        <v>1</v>
      </c>
      <c r="DG7" s="39">
        <v>2</v>
      </c>
      <c r="DH7" s="39">
        <v>3</v>
      </c>
      <c r="DI7" s="39">
        <v>4</v>
      </c>
      <c r="DJ7" s="39">
        <v>5</v>
      </c>
      <c r="DK7" s="39">
        <v>6</v>
      </c>
      <c r="DL7" s="39">
        <v>7</v>
      </c>
      <c r="DM7" s="39"/>
      <c r="DN7" s="39"/>
      <c r="DO7" s="39"/>
      <c r="DP7" s="938"/>
      <c r="DQ7" s="39">
        <v>1</v>
      </c>
      <c r="DR7" s="39">
        <v>2</v>
      </c>
      <c r="DS7" s="39">
        <v>3</v>
      </c>
      <c r="DT7" s="39">
        <v>4</v>
      </c>
      <c r="DU7" s="39">
        <v>5</v>
      </c>
      <c r="DV7" s="39">
        <v>6</v>
      </c>
      <c r="DW7" s="39">
        <v>7</v>
      </c>
      <c r="DX7" s="39"/>
      <c r="DY7" s="39"/>
      <c r="DZ7" s="39"/>
      <c r="EA7" s="971"/>
      <c r="EB7" s="974"/>
      <c r="EC7" s="975"/>
      <c r="ED7" s="975"/>
      <c r="EE7" s="977"/>
      <c r="EF7" s="977"/>
      <c r="EG7" s="977"/>
      <c r="EH7" s="974"/>
      <c r="EI7" s="975"/>
      <c r="EJ7" s="975"/>
      <c r="EK7" s="977"/>
      <c r="EL7" s="977"/>
      <c r="EM7" s="977"/>
      <c r="EN7" s="974"/>
      <c r="EO7" s="975"/>
      <c r="EP7" s="975"/>
      <c r="EQ7" s="977"/>
      <c r="ER7" s="977"/>
      <c r="ES7" s="977"/>
      <c r="ET7" s="974"/>
      <c r="EU7" s="975"/>
      <c r="EV7" s="975"/>
      <c r="EW7" s="977"/>
      <c r="EX7" s="977"/>
      <c r="EY7" s="977"/>
      <c r="EZ7" s="974"/>
      <c r="FA7" s="975"/>
      <c r="FB7" s="975"/>
      <c r="FC7" s="977"/>
      <c r="FD7" s="977"/>
      <c r="FE7" s="977"/>
      <c r="FF7" s="974"/>
      <c r="FG7" s="975"/>
      <c r="FH7" s="975"/>
      <c r="FI7" s="977"/>
      <c r="FJ7" s="977"/>
      <c r="FK7" s="977"/>
      <c r="FL7" s="974"/>
      <c r="FM7" s="975"/>
      <c r="FN7" s="975"/>
      <c r="FO7" s="977"/>
      <c r="FP7" s="977"/>
      <c r="FQ7" s="977"/>
      <c r="FR7" s="578"/>
      <c r="FS7" s="578">
        <v>1</v>
      </c>
      <c r="FT7" s="578">
        <v>2</v>
      </c>
      <c r="FU7" s="578">
        <v>3</v>
      </c>
      <c r="FV7" s="578">
        <v>4</v>
      </c>
      <c r="FW7" s="578">
        <v>5</v>
      </c>
      <c r="FX7" s="578">
        <v>6</v>
      </c>
      <c r="FY7" s="578">
        <v>7</v>
      </c>
      <c r="FZ7" s="578"/>
      <c r="GA7" s="242"/>
      <c r="GB7" s="242"/>
      <c r="GC7" s="755"/>
      <c r="GD7" s="978"/>
      <c r="GE7" s="980"/>
      <c r="GF7" s="980"/>
      <c r="GG7" s="980"/>
      <c r="GH7" s="980"/>
      <c r="GI7" s="980"/>
      <c r="GJ7" s="980"/>
      <c r="GK7" s="980"/>
      <c r="GL7" s="982"/>
      <c r="GM7" s="982"/>
      <c r="GN7" s="982"/>
      <c r="GO7" s="982"/>
      <c r="GP7" s="982"/>
      <c r="GQ7" s="982"/>
      <c r="GR7" s="982"/>
      <c r="GT7" s="1233"/>
      <c r="GU7" s="1233"/>
      <c r="GV7" s="1233"/>
      <c r="GW7" s="1233"/>
      <c r="GX7" s="1233"/>
      <c r="GY7" s="1233"/>
      <c r="GZ7" s="1233"/>
      <c r="HA7" s="984"/>
      <c r="HB7" s="984"/>
      <c r="HC7" s="984"/>
      <c r="HE7" s="978"/>
      <c r="HG7" s="986"/>
    </row>
    <row r="8" spans="1:215" ht="30" customHeight="1">
      <c r="A8" s="223">
        <v>1</v>
      </c>
      <c r="B8" s="223" t="str">
        <f>SISWA!B6</f>
        <v>Afif Rafiudin</v>
      </c>
      <c r="C8" s="123">
        <v>85</v>
      </c>
      <c r="D8" s="123">
        <v>75</v>
      </c>
      <c r="E8" s="123">
        <v>80</v>
      </c>
      <c r="F8" s="123"/>
      <c r="G8" s="123"/>
      <c r="H8" s="123"/>
      <c r="I8" s="123"/>
      <c r="J8" s="255"/>
      <c r="K8" s="255"/>
      <c r="L8" s="255"/>
      <c r="M8" s="255"/>
      <c r="N8" s="255"/>
      <c r="O8" s="255"/>
      <c r="P8" s="255"/>
      <c r="Q8" s="256"/>
      <c r="R8" s="256"/>
      <c r="S8" s="256"/>
      <c r="T8" s="256"/>
      <c r="U8" s="256"/>
      <c r="V8" s="256"/>
      <c r="W8" s="256"/>
      <c r="X8" s="123"/>
      <c r="Y8" s="123"/>
      <c r="Z8" s="123"/>
      <c r="AA8" s="123"/>
      <c r="AB8" s="123"/>
      <c r="AC8" s="123"/>
      <c r="AD8" s="123"/>
      <c r="AE8" s="255"/>
      <c r="AF8" s="255"/>
      <c r="AG8" s="255"/>
      <c r="AH8" s="255"/>
      <c r="AI8" s="255"/>
      <c r="AJ8" s="255"/>
      <c r="AK8" s="255"/>
      <c r="AL8" s="256"/>
      <c r="AM8" s="256"/>
      <c r="AN8" s="256"/>
      <c r="AO8" s="256"/>
      <c r="AP8" s="256"/>
      <c r="AQ8" s="256"/>
      <c r="AR8" s="256"/>
      <c r="AS8" s="123"/>
      <c r="AT8" s="123"/>
      <c r="AU8" s="123"/>
      <c r="AV8" s="123"/>
      <c r="AW8" s="123"/>
      <c r="AX8" s="123"/>
      <c r="AY8" s="123"/>
      <c r="AZ8" s="255"/>
      <c r="BA8" s="255"/>
      <c r="BB8" s="255"/>
      <c r="BC8" s="255"/>
      <c r="BD8" s="255"/>
      <c r="BE8" s="255"/>
      <c r="BF8" s="255"/>
      <c r="BG8" s="256"/>
      <c r="BH8" s="256"/>
      <c r="BI8" s="256"/>
      <c r="BJ8" s="256"/>
      <c r="BK8" s="256"/>
      <c r="BL8" s="256"/>
      <c r="BM8" s="256"/>
      <c r="BN8" s="123"/>
      <c r="BO8" s="123"/>
      <c r="BP8" s="123"/>
      <c r="BQ8" s="123"/>
      <c r="BR8" s="123"/>
      <c r="BS8" s="123"/>
      <c r="BT8" s="123"/>
      <c r="BU8" s="255"/>
      <c r="BV8" s="255"/>
      <c r="BW8" s="255"/>
      <c r="BX8" s="255"/>
      <c r="BY8" s="255"/>
      <c r="BZ8" s="255"/>
      <c r="CA8" s="255"/>
      <c r="CB8" s="256"/>
      <c r="CC8" s="256"/>
      <c r="CD8" s="256"/>
      <c r="CE8" s="256"/>
      <c r="CF8" s="256"/>
      <c r="CG8" s="256"/>
      <c r="CH8" s="256"/>
      <c r="CI8" s="257">
        <f>IFERROR(FS8," ")</f>
        <v>85</v>
      </c>
      <c r="CJ8" s="257">
        <f t="shared" ref="CJ8:CP23" si="4">IFERROR(FT8," ")</f>
        <v>75</v>
      </c>
      <c r="CK8" s="257">
        <f t="shared" si="4"/>
        <v>80</v>
      </c>
      <c r="CL8" s="257" t="str">
        <f t="shared" si="4"/>
        <v/>
      </c>
      <c r="CM8" s="257" t="str">
        <f t="shared" si="4"/>
        <v/>
      </c>
      <c r="CN8" s="257" t="str">
        <f t="shared" si="4"/>
        <v/>
      </c>
      <c r="CO8" s="257" t="str">
        <f t="shared" si="4"/>
        <v/>
      </c>
      <c r="CP8" s="756">
        <f t="shared" si="4"/>
        <v>80</v>
      </c>
      <c r="CQ8" s="291" t="str">
        <f>IF(CP8&gt;100,"  ",IF(CP8&gt;=CU$1,"A",IF(CP8&gt;=CU$2,"B",IF(CP8&gt;=CU$3,"C",IF(CP8&gt;=1,"D","")))))</f>
        <v>C</v>
      </c>
      <c r="CR8" s="243" t="str">
        <f>IFERROR(HG8," ")</f>
        <v>Ananda Afif baik dalam menyampaikan teks deskriptif tentang peristiwa alam dan adat istiadat., cukup dalam melantunkan tembang macapat Kinanthi, dan menjelaskan  geguritan..</v>
      </c>
      <c r="CS8" s="39"/>
      <c r="CT8" s="39"/>
      <c r="CU8" s="257">
        <f>IFERROR(C8," ")</f>
        <v>85</v>
      </c>
      <c r="CV8" s="257">
        <f t="shared" ref="CV8:DA8" si="5">IFERROR(D8," ")</f>
        <v>75</v>
      </c>
      <c r="CW8" s="257">
        <f t="shared" si="5"/>
        <v>80</v>
      </c>
      <c r="CX8" s="257">
        <f t="shared" si="5"/>
        <v>0</v>
      </c>
      <c r="CY8" s="257">
        <f t="shared" si="5"/>
        <v>0</v>
      </c>
      <c r="CZ8" s="257">
        <f t="shared" si="5"/>
        <v>0</v>
      </c>
      <c r="DA8" s="257">
        <f t="shared" si="5"/>
        <v>0</v>
      </c>
      <c r="DB8" s="257"/>
      <c r="DC8" s="257"/>
      <c r="DD8" s="257"/>
      <c r="DE8" s="289">
        <f>MAX(CU8:DD8)</f>
        <v>85</v>
      </c>
      <c r="DF8" s="257">
        <f>IFERROR(J8," ")</f>
        <v>0</v>
      </c>
      <c r="DG8" s="257">
        <f t="shared" ref="DG8:DL8" si="6">IFERROR(K8," ")</f>
        <v>0</v>
      </c>
      <c r="DH8" s="257">
        <f t="shared" si="6"/>
        <v>0</v>
      </c>
      <c r="DI8" s="257">
        <f t="shared" si="6"/>
        <v>0</v>
      </c>
      <c r="DJ8" s="257">
        <f t="shared" si="6"/>
        <v>0</v>
      </c>
      <c r="DK8" s="257">
        <f t="shared" si="6"/>
        <v>0</v>
      </c>
      <c r="DL8" s="257">
        <f t="shared" si="6"/>
        <v>0</v>
      </c>
      <c r="DM8" s="223"/>
      <c r="DN8" s="223"/>
      <c r="DO8" s="223"/>
      <c r="DP8" s="289">
        <f>MAX(DF8:DO8)</f>
        <v>0</v>
      </c>
      <c r="DQ8" s="257">
        <f>IFERROR(Q8," ")</f>
        <v>0</v>
      </c>
      <c r="DR8" s="257">
        <f t="shared" ref="DR8:DW8" si="7">IFERROR(R8," ")</f>
        <v>0</v>
      </c>
      <c r="DS8" s="257">
        <f t="shared" si="7"/>
        <v>0</v>
      </c>
      <c r="DT8" s="257">
        <f t="shared" si="7"/>
        <v>0</v>
      </c>
      <c r="DU8" s="257">
        <f t="shared" si="7"/>
        <v>0</v>
      </c>
      <c r="DV8" s="257">
        <f t="shared" si="7"/>
        <v>0</v>
      </c>
      <c r="DW8" s="257">
        <f t="shared" si="7"/>
        <v>0</v>
      </c>
      <c r="DX8" s="223"/>
      <c r="DY8" s="223"/>
      <c r="DZ8" s="223"/>
      <c r="EA8" s="289">
        <f>MAX(DQ8:DZ8)</f>
        <v>0</v>
      </c>
      <c r="EB8" s="257">
        <f>CU8</f>
        <v>85</v>
      </c>
      <c r="EC8" s="257">
        <f>DF8</f>
        <v>0</v>
      </c>
      <c r="ED8" s="257">
        <f>DQ8</f>
        <v>0</v>
      </c>
      <c r="EE8" s="575">
        <f>COUNTIF(EB8:ED8,)</f>
        <v>2</v>
      </c>
      <c r="EF8" s="506">
        <f>3-EE8</f>
        <v>1</v>
      </c>
      <c r="EG8" s="39">
        <f>IFERROR(SUM(EB8:ED8)/EF8,"")</f>
        <v>85</v>
      </c>
      <c r="EH8" s="257">
        <f>CV8</f>
        <v>75</v>
      </c>
      <c r="EI8" s="257">
        <f>DG8</f>
        <v>0</v>
      </c>
      <c r="EJ8" s="257">
        <f>DR8</f>
        <v>0</v>
      </c>
      <c r="EK8" s="575">
        <f>COUNTIF(EH8:EJ8,)</f>
        <v>2</v>
      </c>
      <c r="EL8" s="506">
        <f>3-EK8</f>
        <v>1</v>
      </c>
      <c r="EM8" s="39">
        <f>IFERROR(SUM(EH8:EJ8)/EL8,"")</f>
        <v>75</v>
      </c>
      <c r="EN8" s="257">
        <f>CW8</f>
        <v>80</v>
      </c>
      <c r="EO8" s="257">
        <f>DH8</f>
        <v>0</v>
      </c>
      <c r="EP8" s="257">
        <f>DS8</f>
        <v>0</v>
      </c>
      <c r="EQ8" s="575">
        <f>COUNTIF(EN8:EP8,)</f>
        <v>2</v>
      </c>
      <c r="ER8" s="506">
        <f>3-EQ8</f>
        <v>1</v>
      </c>
      <c r="ES8" s="39">
        <f>IFERROR(SUM(EN8:EP8)/ER8,"")</f>
        <v>80</v>
      </c>
      <c r="ET8" s="257">
        <f>CX8</f>
        <v>0</v>
      </c>
      <c r="EU8" s="257">
        <f>DI8</f>
        <v>0</v>
      </c>
      <c r="EV8" s="257">
        <f>DT8</f>
        <v>0</v>
      </c>
      <c r="EW8" s="575">
        <f>COUNTIF(ET8:EV8,)</f>
        <v>3</v>
      </c>
      <c r="EX8" s="506">
        <f>3-EW8</f>
        <v>0</v>
      </c>
      <c r="EY8" s="39" t="str">
        <f>IFERROR(SUM(ET8:EV8)/EX8,"")</f>
        <v/>
      </c>
      <c r="EZ8" s="257">
        <f>CY8</f>
        <v>0</v>
      </c>
      <c r="FA8" s="257">
        <f>DJ8</f>
        <v>0</v>
      </c>
      <c r="FB8" s="257">
        <f>DU8</f>
        <v>0</v>
      </c>
      <c r="FC8" s="575">
        <f>COUNTIF(EZ8:FB8,)</f>
        <v>3</v>
      </c>
      <c r="FD8" s="506">
        <f>3-FC8</f>
        <v>0</v>
      </c>
      <c r="FE8" s="39" t="str">
        <f>IFERROR(SUM(EZ8:FB8)/FD8,"")</f>
        <v/>
      </c>
      <c r="FF8" s="257">
        <f>CZ8</f>
        <v>0</v>
      </c>
      <c r="FG8" s="257">
        <f>DK8</f>
        <v>0</v>
      </c>
      <c r="FH8" s="257">
        <f>DV8</f>
        <v>0</v>
      </c>
      <c r="FI8" s="575">
        <f>COUNTIF(FF8:FH8,)</f>
        <v>3</v>
      </c>
      <c r="FJ8" s="506">
        <f>3-FI8</f>
        <v>0</v>
      </c>
      <c r="FK8" s="39" t="str">
        <f>IFERROR(SUM(FF8:FH8)/FJ8,"")</f>
        <v/>
      </c>
      <c r="FL8" s="257">
        <f>DA8</f>
        <v>0</v>
      </c>
      <c r="FM8" s="257">
        <f>DL8</f>
        <v>0</v>
      </c>
      <c r="FN8" s="257">
        <f>DW8</f>
        <v>0</v>
      </c>
      <c r="FO8" s="575">
        <f>COUNTIF(FL8:FN8,)</f>
        <v>3</v>
      </c>
      <c r="FP8" s="506">
        <f>3-FO8</f>
        <v>0</v>
      </c>
      <c r="FQ8" s="39" t="str">
        <f>IFERROR(SUM(FL8:FN8)/FP8,"")</f>
        <v/>
      </c>
      <c r="FR8" s="39"/>
      <c r="FS8" s="39">
        <f>EG8</f>
        <v>85</v>
      </c>
      <c r="FT8" s="39">
        <f>EM8</f>
        <v>75</v>
      </c>
      <c r="FU8" s="39">
        <f>ES8</f>
        <v>80</v>
      </c>
      <c r="FV8" s="39" t="str">
        <f>EY8</f>
        <v/>
      </c>
      <c r="FW8" s="39" t="str">
        <f>FE8</f>
        <v/>
      </c>
      <c r="FX8" s="39" t="str">
        <f>FK8</f>
        <v/>
      </c>
      <c r="FY8" s="257" t="str">
        <f>FQ8</f>
        <v/>
      </c>
      <c r="FZ8" s="569">
        <f>IFERROR(ROUND(AVERAGE(FS8:FY8),0)," ")</f>
        <v>80</v>
      </c>
      <c r="GA8" s="289">
        <f>MAX(FS8:FY8)</f>
        <v>85</v>
      </c>
      <c r="GB8" s="289">
        <f>MIN(FS8:FY8)</f>
        <v>75</v>
      </c>
      <c r="GC8" s="289" t="str">
        <f>SISWA!E6</f>
        <v>Afif</v>
      </c>
      <c r="GD8" s="223" t="str">
        <f>IF(GP8&gt;1,"Ananda "&amp;GC8&amp;" ","")</f>
        <v xml:space="preserve">Ananda Afif </v>
      </c>
      <c r="GE8" s="580">
        <f>IF(FS8=$GA8,$GA8,"")</f>
        <v>85</v>
      </c>
      <c r="GF8" s="580" t="str">
        <f t="shared" ref="GF8:GK8" si="8">IF(FT8=$GA8,$GA8,"")</f>
        <v/>
      </c>
      <c r="GG8" s="580" t="str">
        <f t="shared" si="8"/>
        <v/>
      </c>
      <c r="GH8" s="580" t="str">
        <f t="shared" si="8"/>
        <v/>
      </c>
      <c r="GI8" s="580" t="str">
        <f t="shared" si="8"/>
        <v/>
      </c>
      <c r="GJ8" s="580" t="str">
        <f t="shared" si="8"/>
        <v/>
      </c>
      <c r="GK8" s="580" t="str">
        <f t="shared" si="8"/>
        <v/>
      </c>
      <c r="GL8" s="580"/>
      <c r="GM8" s="580"/>
      <c r="GN8" s="580"/>
      <c r="GO8" s="580"/>
      <c r="GP8" s="223">
        <f>SUM(GE8:GL8)</f>
        <v>85</v>
      </c>
      <c r="GQ8" s="289" t="str">
        <f>LOOKUP(GA8,(GE8:GN8),($GE$6:$GN$6))</f>
        <v>menyampaikan teks deskriptif tentang peristiwa alam dan adat istiadat.</v>
      </c>
      <c r="GR8" s="576" t="str">
        <f>IF(GA8&gt;100,"",IF(GA8&gt;CU$1,"sangat baik dalam "&amp;GQ8,IF(GA8&gt;=CU$2,"baik dalam "&amp;GQ8,IF(GA8&gt;=CU$3,"cukup dalam "&amp;GQ8,IF(GA8&lt;CU$3,"dengan bimbingan dapat meningkatkan dalam "&amp;GQ8,IF(GA8&lt;1," ",””))))))</f>
        <v>baik dalam menyampaikan teks deskriptif tentang peristiwa alam dan adat istiadat.</v>
      </c>
      <c r="GS8" s="223"/>
      <c r="GT8" s="223" t="str">
        <f>IF(FS8=$GB8,$GB8,"")</f>
        <v/>
      </c>
      <c r="GU8" s="223">
        <f t="shared" ref="GU8:GZ8" si="9">IF(FT8=$GB8,$GB8,"")</f>
        <v>75</v>
      </c>
      <c r="GV8" s="223" t="str">
        <f t="shared" si="9"/>
        <v/>
      </c>
      <c r="GW8" s="223" t="str">
        <f t="shared" si="9"/>
        <v/>
      </c>
      <c r="GX8" s="223" t="str">
        <f t="shared" si="9"/>
        <v/>
      </c>
      <c r="GY8" s="223" t="str">
        <f t="shared" si="9"/>
        <v/>
      </c>
      <c r="GZ8" s="223" t="str">
        <f t="shared" si="9"/>
        <v/>
      </c>
      <c r="HA8" s="223"/>
      <c r="HB8" s="223"/>
      <c r="HC8" s="223"/>
      <c r="HD8" s="223"/>
      <c r="HE8" s="223" t="str">
        <f>LOOKUP(GB8,(GT8:HC8),($GT$6:$HC$6))</f>
        <v>melantunkan tembang macapat Kinanthi, dan menjelaskan  geguritan.</v>
      </c>
      <c r="HF8" s="576" t="str">
        <f>IF(GB8&gt;100,"",IF(GB8&gt;CU$1,"sangat baik dalam "&amp;HE8,IF(GB8&gt;=CU$2,"baik dalam "&amp;HE8,IF(GB8&gt;=CU$3,"cukup dalam "&amp;HE8,IF(GB8&lt;CU$3,"dengan bimbingan dapat meningkatkan dalam "&amp;HE8,IF(GB8&lt;1," ",””))))))</f>
        <v>cukup dalam melantunkan tembang macapat Kinanthi, dan menjelaskan  geguritan.</v>
      </c>
      <c r="HG8" s="223" t="str">
        <f>CONCATENATE(GD8&amp;GR8&amp;", "&amp;HF8&amp;".")</f>
        <v>Ananda Afif baik dalam menyampaikan teks deskriptif tentang peristiwa alam dan adat istiadat., cukup dalam melantunkan tembang macapat Kinanthi, dan menjelaskan  geguritan..</v>
      </c>
    </row>
    <row r="9" spans="1:215" ht="30">
      <c r="A9" s="39">
        <v>2</v>
      </c>
      <c r="B9" s="223" t="str">
        <f>SISWA!B7</f>
        <v>Ahmad Faiq Athaya</v>
      </c>
      <c r="C9" s="123">
        <v>90</v>
      </c>
      <c r="D9" s="123">
        <v>85</v>
      </c>
      <c r="E9" s="123">
        <v>85</v>
      </c>
      <c r="F9" s="123"/>
      <c r="G9" s="123"/>
      <c r="H9" s="123"/>
      <c r="I9" s="123"/>
      <c r="J9" s="255"/>
      <c r="K9" s="255"/>
      <c r="L9" s="255"/>
      <c r="M9" s="255"/>
      <c r="N9" s="255"/>
      <c r="O9" s="255"/>
      <c r="P9" s="255"/>
      <c r="Q9" s="256"/>
      <c r="R9" s="256"/>
      <c r="S9" s="256"/>
      <c r="T9" s="256"/>
      <c r="U9" s="256"/>
      <c r="V9" s="256"/>
      <c r="W9" s="256"/>
      <c r="X9" s="123"/>
      <c r="Y9" s="123"/>
      <c r="Z9" s="123"/>
      <c r="AA9" s="123"/>
      <c r="AB9" s="123"/>
      <c r="AC9" s="123"/>
      <c r="AD9" s="123"/>
      <c r="AE9" s="255"/>
      <c r="AF9" s="255"/>
      <c r="AG9" s="255"/>
      <c r="AH9" s="255"/>
      <c r="AI9" s="255"/>
      <c r="AJ9" s="255"/>
      <c r="AK9" s="255"/>
      <c r="AL9" s="256"/>
      <c r="AM9" s="256"/>
      <c r="AN9" s="256"/>
      <c r="AO9" s="256"/>
      <c r="AP9" s="256"/>
      <c r="AQ9" s="256"/>
      <c r="AR9" s="256"/>
      <c r="AS9" s="123"/>
      <c r="AT9" s="123"/>
      <c r="AU9" s="123"/>
      <c r="AV9" s="123"/>
      <c r="AW9" s="123"/>
      <c r="AX9" s="123"/>
      <c r="AY9" s="123"/>
      <c r="AZ9" s="255"/>
      <c r="BA9" s="255"/>
      <c r="BB9" s="255"/>
      <c r="BC9" s="255"/>
      <c r="BD9" s="255"/>
      <c r="BE9" s="255"/>
      <c r="BF9" s="255"/>
      <c r="BG9" s="256"/>
      <c r="BH9" s="256"/>
      <c r="BI9" s="256"/>
      <c r="BJ9" s="256"/>
      <c r="BK9" s="256"/>
      <c r="BL9" s="256"/>
      <c r="BM9" s="256"/>
      <c r="BN9" s="123"/>
      <c r="BO9" s="123"/>
      <c r="BP9" s="123"/>
      <c r="BQ9" s="123"/>
      <c r="BR9" s="123"/>
      <c r="BS9" s="123"/>
      <c r="BT9" s="123"/>
      <c r="BU9" s="255"/>
      <c r="BV9" s="255"/>
      <c r="BW9" s="255"/>
      <c r="BX9" s="255"/>
      <c r="BY9" s="255"/>
      <c r="BZ9" s="255"/>
      <c r="CA9" s="255"/>
      <c r="CB9" s="256"/>
      <c r="CC9" s="256"/>
      <c r="CD9" s="256"/>
      <c r="CE9" s="256"/>
      <c r="CF9" s="256"/>
      <c r="CG9" s="256"/>
      <c r="CH9" s="256"/>
      <c r="CI9" s="257">
        <f t="shared" ref="CI9:CI42" si="10">IFERROR(FS9," ")</f>
        <v>90</v>
      </c>
      <c r="CJ9" s="257">
        <f t="shared" ref="CJ9:CJ42" si="11">IFERROR(FT9," ")</f>
        <v>85</v>
      </c>
      <c r="CK9" s="257">
        <f t="shared" ref="CK9:CK42" si="12">IFERROR(FU9," ")</f>
        <v>85</v>
      </c>
      <c r="CL9" s="257" t="str">
        <f t="shared" ref="CL9:CL42" si="13">IFERROR(FV9," ")</f>
        <v/>
      </c>
      <c r="CM9" s="257" t="str">
        <f t="shared" ref="CM9:CM42" si="14">IFERROR(FW9," ")</f>
        <v/>
      </c>
      <c r="CN9" s="257" t="str">
        <f t="shared" ref="CN9:CN42" si="15">IFERROR(FX9," ")</f>
        <v/>
      </c>
      <c r="CO9" s="257" t="str">
        <f t="shared" ref="CO9:CP42" si="16">IFERROR(FY9," ")</f>
        <v/>
      </c>
      <c r="CP9" s="756">
        <f t="shared" si="4"/>
        <v>87</v>
      </c>
      <c r="CQ9" s="291" t="str">
        <f t="shared" ref="CQ9:CQ42" si="17">IF(CP9&gt;100,"  ",IF(CP9&gt;=CU$1,"A",IF(CP9&gt;=CU$2,"B",IF(CP9&gt;=CU$3,"C",IF(CP9&gt;=1,"D","")))))</f>
        <v>B</v>
      </c>
      <c r="CR9" s="243" t="str">
        <f t="shared" ref="CR9:CR42" si="18">IFERROR(HG9," ")</f>
        <v>Ananda Athaya baik dalam menyampaikan teks deskriptif tentang peristiwa alam dan adat istiadat., baik dalam menceritakan wayang (Ramayana), pakaian tradisional, dan gamelan..</v>
      </c>
      <c r="CS9" s="39"/>
      <c r="CT9" s="39"/>
      <c r="CU9" s="257">
        <f t="shared" ref="CU9:CU42" si="19">IFERROR(C9," ")</f>
        <v>90</v>
      </c>
      <c r="CV9" s="257">
        <f t="shared" ref="CV9:CV42" si="20">IFERROR(D9," ")</f>
        <v>85</v>
      </c>
      <c r="CW9" s="257">
        <f t="shared" ref="CW9:CW42" si="21">IFERROR(E9," ")</f>
        <v>85</v>
      </c>
      <c r="CX9" s="257">
        <f t="shared" ref="CX9:CX42" si="22">IFERROR(F9," ")</f>
        <v>0</v>
      </c>
      <c r="CY9" s="257">
        <f t="shared" ref="CY9:CY42" si="23">IFERROR(G9," ")</f>
        <v>0</v>
      </c>
      <c r="CZ9" s="257">
        <f t="shared" ref="CZ9:CZ42" si="24">IFERROR(H9," ")</f>
        <v>0</v>
      </c>
      <c r="DA9" s="257">
        <f t="shared" ref="DA9:DA42" si="25">IFERROR(I9," ")</f>
        <v>0</v>
      </c>
      <c r="DB9" s="257"/>
      <c r="DC9" s="257"/>
      <c r="DD9" s="257"/>
      <c r="DE9" s="289">
        <f t="shared" ref="DE9:DE42" si="26">MAX(CU9:DD9)</f>
        <v>90</v>
      </c>
      <c r="DF9" s="257">
        <f t="shared" ref="DF9:DF42" si="27">IFERROR(J9," ")</f>
        <v>0</v>
      </c>
      <c r="DG9" s="257">
        <f t="shared" ref="DG9:DG42" si="28">IFERROR(K9," ")</f>
        <v>0</v>
      </c>
      <c r="DH9" s="257">
        <f t="shared" ref="DH9:DH42" si="29">IFERROR(L9," ")</f>
        <v>0</v>
      </c>
      <c r="DI9" s="257">
        <f t="shared" ref="DI9:DI42" si="30">IFERROR(M9," ")</f>
        <v>0</v>
      </c>
      <c r="DJ9" s="257">
        <f t="shared" ref="DJ9:DJ42" si="31">IFERROR(N9," ")</f>
        <v>0</v>
      </c>
      <c r="DK9" s="257">
        <f t="shared" ref="DK9:DK42" si="32">IFERROR(O9," ")</f>
        <v>0</v>
      </c>
      <c r="DL9" s="257">
        <f t="shared" ref="DL9:DL42" si="33">IFERROR(P9," ")</f>
        <v>0</v>
      </c>
      <c r="DM9" s="223"/>
      <c r="DN9" s="223"/>
      <c r="DO9" s="223"/>
      <c r="DP9" s="289">
        <f t="shared" ref="DP9:DP42" si="34">MAX(DF9:DO9)</f>
        <v>0</v>
      </c>
      <c r="DQ9" s="257">
        <f t="shared" ref="DQ9:DQ42" si="35">IFERROR(Q9," ")</f>
        <v>0</v>
      </c>
      <c r="DR9" s="257">
        <f t="shared" ref="DR9:DR42" si="36">IFERROR(R9," ")</f>
        <v>0</v>
      </c>
      <c r="DS9" s="257">
        <f t="shared" ref="DS9:DS42" si="37">IFERROR(S9," ")</f>
        <v>0</v>
      </c>
      <c r="DT9" s="257">
        <f t="shared" ref="DT9:DT42" si="38">IFERROR(T9," ")</f>
        <v>0</v>
      </c>
      <c r="DU9" s="257">
        <f t="shared" ref="DU9:DU42" si="39">IFERROR(U9," ")</f>
        <v>0</v>
      </c>
      <c r="DV9" s="257">
        <f t="shared" ref="DV9:DV42" si="40">IFERROR(V9," ")</f>
        <v>0</v>
      </c>
      <c r="DW9" s="257">
        <f t="shared" ref="DW9:DW42" si="41">IFERROR(W9," ")</f>
        <v>0</v>
      </c>
      <c r="DX9" s="223"/>
      <c r="DY9" s="223"/>
      <c r="DZ9" s="223"/>
      <c r="EA9" s="289">
        <f t="shared" ref="EA9:EA42" si="42">MAX(DQ9:DZ9)</f>
        <v>0</v>
      </c>
      <c r="EB9" s="257">
        <f t="shared" ref="EB9:EB42" si="43">CU9</f>
        <v>90</v>
      </c>
      <c r="EC9" s="257">
        <f t="shared" ref="EC9:EC42" si="44">DF9</f>
        <v>0</v>
      </c>
      <c r="ED9" s="257">
        <f t="shared" ref="ED9:ED42" si="45">DQ9</f>
        <v>0</v>
      </c>
      <c r="EE9" s="575">
        <f t="shared" ref="EE9:EE42" si="46">COUNTIF(EB9:ED9,)</f>
        <v>2</v>
      </c>
      <c r="EF9" s="506">
        <f t="shared" ref="EF9:EF42" si="47">3-EE9</f>
        <v>1</v>
      </c>
      <c r="EG9" s="39">
        <f t="shared" ref="EG9:EG42" si="48">IFERROR(SUM(EB9:ED9)/EF9,"")</f>
        <v>90</v>
      </c>
      <c r="EH9" s="257">
        <f t="shared" ref="EH9:EH42" si="49">CV9</f>
        <v>85</v>
      </c>
      <c r="EI9" s="257">
        <f t="shared" ref="EI9:EI42" si="50">DG9</f>
        <v>0</v>
      </c>
      <c r="EJ9" s="257">
        <f t="shared" ref="EJ9:EJ42" si="51">DR9</f>
        <v>0</v>
      </c>
      <c r="EK9" s="575">
        <f t="shared" ref="EK9:EK42" si="52">COUNTIF(EH9:EJ9,)</f>
        <v>2</v>
      </c>
      <c r="EL9" s="506">
        <f t="shared" ref="EL9:EL42" si="53">3-EK9</f>
        <v>1</v>
      </c>
      <c r="EM9" s="39">
        <f t="shared" ref="EM9:EM42" si="54">IFERROR(SUM(EH9:EJ9)/EL9,"")</f>
        <v>85</v>
      </c>
      <c r="EN9" s="257">
        <f t="shared" ref="EN9:EN42" si="55">CW9</f>
        <v>85</v>
      </c>
      <c r="EO9" s="257">
        <f t="shared" ref="EO9:EO42" si="56">DH9</f>
        <v>0</v>
      </c>
      <c r="EP9" s="257">
        <f t="shared" ref="EP9:EP42" si="57">DS9</f>
        <v>0</v>
      </c>
      <c r="EQ9" s="575">
        <f t="shared" ref="EQ9:EQ42" si="58">COUNTIF(EN9:EP9,)</f>
        <v>2</v>
      </c>
      <c r="ER9" s="506">
        <f t="shared" ref="ER9:ER42" si="59">3-EQ9</f>
        <v>1</v>
      </c>
      <c r="ES9" s="39">
        <f t="shared" ref="ES9:ES42" si="60">IFERROR(SUM(EN9:EP9)/ER9,"")</f>
        <v>85</v>
      </c>
      <c r="ET9" s="257">
        <f t="shared" ref="ET9:ET42" si="61">CX9</f>
        <v>0</v>
      </c>
      <c r="EU9" s="257">
        <f t="shared" ref="EU9:EU42" si="62">DI9</f>
        <v>0</v>
      </c>
      <c r="EV9" s="257">
        <f t="shared" ref="EV9:EV42" si="63">DT9</f>
        <v>0</v>
      </c>
      <c r="EW9" s="575">
        <f t="shared" ref="EW9:EW42" si="64">COUNTIF(ET9:EV9,)</f>
        <v>3</v>
      </c>
      <c r="EX9" s="506">
        <f t="shared" ref="EX9:EX42" si="65">3-EW9</f>
        <v>0</v>
      </c>
      <c r="EY9" s="39" t="str">
        <f t="shared" ref="EY9:EY42" si="66">IFERROR(SUM(ET9:EV9)/EX9,"")</f>
        <v/>
      </c>
      <c r="EZ9" s="257">
        <f t="shared" ref="EZ9:EZ42" si="67">CY9</f>
        <v>0</v>
      </c>
      <c r="FA9" s="257">
        <f t="shared" ref="FA9:FA42" si="68">DJ9</f>
        <v>0</v>
      </c>
      <c r="FB9" s="257">
        <f t="shared" ref="FB9:FB42" si="69">DU9</f>
        <v>0</v>
      </c>
      <c r="FC9" s="575">
        <f t="shared" ref="FC9:FC42" si="70">COUNTIF(EZ9:FB9,)</f>
        <v>3</v>
      </c>
      <c r="FD9" s="506">
        <f t="shared" ref="FD9:FD42" si="71">3-FC9</f>
        <v>0</v>
      </c>
      <c r="FE9" s="39" t="str">
        <f t="shared" ref="FE9:FE42" si="72">IFERROR(SUM(EZ9:FB9)/FD9,"")</f>
        <v/>
      </c>
      <c r="FF9" s="257">
        <f t="shared" ref="FF9:FF42" si="73">CZ9</f>
        <v>0</v>
      </c>
      <c r="FG9" s="257">
        <f t="shared" ref="FG9:FG42" si="74">DK9</f>
        <v>0</v>
      </c>
      <c r="FH9" s="257">
        <f t="shared" ref="FH9:FH42" si="75">DV9</f>
        <v>0</v>
      </c>
      <c r="FI9" s="575">
        <f t="shared" ref="FI9:FI42" si="76">COUNTIF(FF9:FH9,)</f>
        <v>3</v>
      </c>
      <c r="FJ9" s="506">
        <f t="shared" ref="FJ9:FJ42" si="77">3-FI9</f>
        <v>0</v>
      </c>
      <c r="FK9" s="39" t="str">
        <f t="shared" ref="FK9:FK42" si="78">IFERROR(SUM(FF9:FH9)/FJ9,"")</f>
        <v/>
      </c>
      <c r="FL9" s="257">
        <f t="shared" ref="FL9:FL42" si="79">DA9</f>
        <v>0</v>
      </c>
      <c r="FM9" s="257">
        <f t="shared" ref="FM9:FM42" si="80">DL9</f>
        <v>0</v>
      </c>
      <c r="FN9" s="257">
        <f t="shared" ref="FN9:FN42" si="81">DW9</f>
        <v>0</v>
      </c>
      <c r="FO9" s="575">
        <f t="shared" ref="FO9:FO42" si="82">COUNTIF(FL9:FN9,)</f>
        <v>3</v>
      </c>
      <c r="FP9" s="506">
        <f t="shared" ref="FP9:FP42" si="83">3-FO9</f>
        <v>0</v>
      </c>
      <c r="FQ9" s="39" t="str">
        <f t="shared" ref="FQ9:FQ42" si="84">IFERROR(SUM(FL9:FN9)/FP9,"")</f>
        <v/>
      </c>
      <c r="FR9" s="39"/>
      <c r="FS9" s="39">
        <f t="shared" ref="FS9:FS42" si="85">EG9</f>
        <v>90</v>
      </c>
      <c r="FT9" s="39">
        <f t="shared" ref="FT9:FT42" si="86">EM9</f>
        <v>85</v>
      </c>
      <c r="FU9" s="39">
        <f t="shared" ref="FU9:FU42" si="87">ES9</f>
        <v>85</v>
      </c>
      <c r="FV9" s="39" t="str">
        <f t="shared" ref="FV9:FV42" si="88">EY9</f>
        <v/>
      </c>
      <c r="FW9" s="39" t="str">
        <f t="shared" ref="FW9:FW42" si="89">FE9</f>
        <v/>
      </c>
      <c r="FX9" s="39" t="str">
        <f t="shared" ref="FX9:FX42" si="90">FK9</f>
        <v/>
      </c>
      <c r="FY9" s="257" t="str">
        <f t="shared" ref="FY9:FY42" si="91">FQ9</f>
        <v/>
      </c>
      <c r="FZ9" s="569">
        <f t="shared" ref="FZ9:FZ42" si="92">IFERROR(ROUND(AVERAGE(FS9:FY9),0)," ")</f>
        <v>87</v>
      </c>
      <c r="GA9" s="289">
        <f t="shared" ref="GA9:GA42" si="93">MAX(FS9:FY9)</f>
        <v>90</v>
      </c>
      <c r="GB9" s="289">
        <f t="shared" ref="GB9:GB42" si="94">MIN(FS9:FY9)</f>
        <v>85</v>
      </c>
      <c r="GC9" s="289" t="str">
        <f>SISWA!E7</f>
        <v>Athaya</v>
      </c>
      <c r="GD9" s="223" t="str">
        <f t="shared" ref="GD9:GD42" si="95">IF(GP9&gt;1,"Ananda "&amp;GC9&amp;" ","")</f>
        <v xml:space="preserve">Ananda Athaya </v>
      </c>
      <c r="GE9" s="580">
        <f t="shared" ref="GE9:GE42" si="96">IF(FS9=$GA9,$GA9,"")</f>
        <v>90</v>
      </c>
      <c r="GF9" s="580" t="str">
        <f t="shared" ref="GF9:GF42" si="97">IF(FT9=$GA9,$GA9,"")</f>
        <v/>
      </c>
      <c r="GG9" s="580" t="str">
        <f t="shared" ref="GG9:GG42" si="98">IF(FU9=$GA9,$GA9,"")</f>
        <v/>
      </c>
      <c r="GH9" s="580" t="str">
        <f t="shared" ref="GH9:GH42" si="99">IF(FV9=$GA9,$GA9,"")</f>
        <v/>
      </c>
      <c r="GI9" s="580" t="str">
        <f t="shared" ref="GI9:GI42" si="100">IF(FW9=$GA9,$GA9,"")</f>
        <v/>
      </c>
      <c r="GJ9" s="580" t="str">
        <f t="shared" ref="GJ9:GJ42" si="101">IF(FX9=$GA9,$GA9,"")</f>
        <v/>
      </c>
      <c r="GK9" s="580" t="str">
        <f t="shared" ref="GK9:GK42" si="102">IF(FY9=$GA9,$GA9,"")</f>
        <v/>
      </c>
      <c r="GL9" s="580"/>
      <c r="GM9" s="580"/>
      <c r="GN9" s="580"/>
      <c r="GO9" s="580"/>
      <c r="GP9" s="223">
        <f t="shared" ref="GP9:GP42" si="103">SUM(GE9:GL9)</f>
        <v>90</v>
      </c>
      <c r="GQ9" s="289" t="str">
        <f t="shared" ref="GQ9:GQ42" si="104">LOOKUP(GA9,(GE9:GN9),($GE$6:$GN$6))</f>
        <v>menyampaikan teks deskriptif tentang peristiwa alam dan adat istiadat.</v>
      </c>
      <c r="GR9" s="576" t="str">
        <f>IF(GA9&gt;100,"",IF(GA9&gt;CU$1,"sangat baik dalam "&amp;GQ9,IF(GA9&gt;=CU$2,"baik dalam "&amp;GQ9,IF(GA9&gt;=CU$3,"cukup dalam "&amp;GQ9,IF(GA9&lt;CU$3,"dengan bimbingan dapat meningkatkan dalam "&amp;GQ9,IF(GA9&lt;1," ",””))))))</f>
        <v>baik dalam menyampaikan teks deskriptif tentang peristiwa alam dan adat istiadat.</v>
      </c>
      <c r="GS9" s="223"/>
      <c r="GT9" s="223" t="str">
        <f t="shared" ref="GT9:GT42" si="105">IF(FS9=$GB9,$GB9,"")</f>
        <v/>
      </c>
      <c r="GU9" s="223">
        <f t="shared" ref="GU9:GU42" si="106">IF(FT9=$GB9,$GB9,"")</f>
        <v>85</v>
      </c>
      <c r="GV9" s="223">
        <f t="shared" ref="GV9:GV42" si="107">IF(FU9=$GB9,$GB9,"")</f>
        <v>85</v>
      </c>
      <c r="GW9" s="223" t="str">
        <f t="shared" ref="GW9:GW42" si="108">IF(FV9=$GB9,$GB9,"")</f>
        <v/>
      </c>
      <c r="GX9" s="223" t="str">
        <f t="shared" ref="GX9:GX42" si="109">IF(FW9=$GB9,$GB9,"")</f>
        <v/>
      </c>
      <c r="GY9" s="223" t="str">
        <f t="shared" ref="GY9:GY42" si="110">IF(FX9=$GB9,$GB9,"")</f>
        <v/>
      </c>
      <c r="GZ9" s="223" t="str">
        <f t="shared" ref="GZ9:GZ42" si="111">IF(FY9=$GB9,$GB9,"")</f>
        <v/>
      </c>
      <c r="HA9" s="223"/>
      <c r="HB9" s="223"/>
      <c r="HC9" s="223"/>
      <c r="HD9" s="223"/>
      <c r="HE9" s="223" t="str">
        <f t="shared" ref="HE9:HE42" si="112">LOOKUP(GB9,(GT9:HC9),($GT$6:$HC$6))</f>
        <v>menceritakan wayang (Ramayana), pakaian tradisional, dan gamelan.</v>
      </c>
      <c r="HF9" s="576" t="str">
        <f>IF(GB9&gt;100,"",IF(GB9&gt;CU$1,"sangat baik dalam "&amp;HE9,IF(GB9&gt;=CU$2,"baik dalam "&amp;HE9,IF(GB9&gt;=CU$3,"cukup dalam "&amp;HE9,IF(GB9&lt;CU$3,"dengan bimbingan dapat meningkatkan dalam "&amp;HE9,IF(GB9&lt;1," ",””))))))</f>
        <v>baik dalam menceritakan wayang (Ramayana), pakaian tradisional, dan gamelan.</v>
      </c>
      <c r="HG9" s="223" t="str">
        <f t="shared" ref="HG9:HG42" si="113">CONCATENATE(GD9&amp;GR9&amp;", "&amp;HF9&amp;".")</f>
        <v>Ananda Athaya baik dalam menyampaikan teks deskriptif tentang peristiwa alam dan adat istiadat., baik dalam menceritakan wayang (Ramayana), pakaian tradisional, dan gamelan..</v>
      </c>
    </row>
    <row r="10" spans="1:215" ht="30">
      <c r="A10" s="39">
        <v>3</v>
      </c>
      <c r="B10" s="223" t="str">
        <f>SISWA!B8</f>
        <v>Amira Zerlinda</v>
      </c>
      <c r="C10" s="123">
        <v>80</v>
      </c>
      <c r="D10" s="123">
        <v>75</v>
      </c>
      <c r="E10" s="123">
        <v>80</v>
      </c>
      <c r="F10" s="123"/>
      <c r="G10" s="123"/>
      <c r="H10" s="123"/>
      <c r="I10" s="123"/>
      <c r="J10" s="255"/>
      <c r="K10" s="255"/>
      <c r="L10" s="255"/>
      <c r="M10" s="255"/>
      <c r="N10" s="255"/>
      <c r="O10" s="255"/>
      <c r="P10" s="255"/>
      <c r="Q10" s="256"/>
      <c r="R10" s="256"/>
      <c r="S10" s="256"/>
      <c r="T10" s="256"/>
      <c r="U10" s="256"/>
      <c r="V10" s="256"/>
      <c r="W10" s="256"/>
      <c r="X10" s="123"/>
      <c r="Y10" s="123"/>
      <c r="Z10" s="123"/>
      <c r="AA10" s="123"/>
      <c r="AB10" s="123"/>
      <c r="AC10" s="123"/>
      <c r="AD10" s="123"/>
      <c r="AE10" s="255"/>
      <c r="AF10" s="255"/>
      <c r="AG10" s="255"/>
      <c r="AH10" s="255"/>
      <c r="AI10" s="255"/>
      <c r="AJ10" s="255"/>
      <c r="AK10" s="255"/>
      <c r="AL10" s="256"/>
      <c r="AM10" s="256"/>
      <c r="AN10" s="256"/>
      <c r="AO10" s="256"/>
      <c r="AP10" s="256"/>
      <c r="AQ10" s="256"/>
      <c r="AR10" s="256"/>
      <c r="AS10" s="123"/>
      <c r="AT10" s="123"/>
      <c r="AU10" s="123"/>
      <c r="AV10" s="123"/>
      <c r="AW10" s="123"/>
      <c r="AX10" s="123"/>
      <c r="AY10" s="123"/>
      <c r="AZ10" s="255"/>
      <c r="BA10" s="255"/>
      <c r="BB10" s="255"/>
      <c r="BC10" s="255"/>
      <c r="BD10" s="255"/>
      <c r="BE10" s="255"/>
      <c r="BF10" s="255"/>
      <c r="BG10" s="256"/>
      <c r="BH10" s="256"/>
      <c r="BI10" s="256"/>
      <c r="BJ10" s="256"/>
      <c r="BK10" s="256"/>
      <c r="BL10" s="256"/>
      <c r="BM10" s="256"/>
      <c r="BN10" s="123"/>
      <c r="BO10" s="123"/>
      <c r="BP10" s="123"/>
      <c r="BQ10" s="123"/>
      <c r="BR10" s="123"/>
      <c r="BS10" s="123"/>
      <c r="BT10" s="123"/>
      <c r="BU10" s="255"/>
      <c r="BV10" s="255"/>
      <c r="BW10" s="255"/>
      <c r="BX10" s="255"/>
      <c r="BY10" s="255"/>
      <c r="BZ10" s="255"/>
      <c r="CA10" s="255"/>
      <c r="CB10" s="256"/>
      <c r="CC10" s="256"/>
      <c r="CD10" s="256"/>
      <c r="CE10" s="256"/>
      <c r="CF10" s="256"/>
      <c r="CG10" s="256"/>
      <c r="CH10" s="256"/>
      <c r="CI10" s="257">
        <f t="shared" si="10"/>
        <v>80</v>
      </c>
      <c r="CJ10" s="257">
        <f t="shared" si="11"/>
        <v>75</v>
      </c>
      <c r="CK10" s="257">
        <f t="shared" si="12"/>
        <v>80</v>
      </c>
      <c r="CL10" s="257" t="str">
        <f t="shared" si="13"/>
        <v/>
      </c>
      <c r="CM10" s="257" t="str">
        <f t="shared" si="14"/>
        <v/>
      </c>
      <c r="CN10" s="257" t="str">
        <f t="shared" si="15"/>
        <v/>
      </c>
      <c r="CO10" s="257" t="str">
        <f t="shared" si="16"/>
        <v/>
      </c>
      <c r="CP10" s="756">
        <f t="shared" si="4"/>
        <v>78</v>
      </c>
      <c r="CQ10" s="291" t="str">
        <f t="shared" si="17"/>
        <v>C</v>
      </c>
      <c r="CR10" s="243" t="str">
        <f t="shared" si="18"/>
        <v>Ananda Amira cukup dalam menceritakan wayang (Ramayana), pakaian tradisional, dan gamelan., cukup dalam melantunkan tembang macapat Kinanthi, dan menjelaskan  geguritan..</v>
      </c>
      <c r="CS10" s="39"/>
      <c r="CT10" s="39"/>
      <c r="CU10" s="257">
        <f t="shared" si="19"/>
        <v>80</v>
      </c>
      <c r="CV10" s="257">
        <f t="shared" si="20"/>
        <v>75</v>
      </c>
      <c r="CW10" s="257">
        <f t="shared" si="21"/>
        <v>80</v>
      </c>
      <c r="CX10" s="257">
        <f t="shared" si="22"/>
        <v>0</v>
      </c>
      <c r="CY10" s="257">
        <f t="shared" si="23"/>
        <v>0</v>
      </c>
      <c r="CZ10" s="257">
        <f t="shared" si="24"/>
        <v>0</v>
      </c>
      <c r="DA10" s="257">
        <f t="shared" si="25"/>
        <v>0</v>
      </c>
      <c r="DB10" s="257"/>
      <c r="DC10" s="257"/>
      <c r="DD10" s="257"/>
      <c r="DE10" s="289">
        <f t="shared" si="26"/>
        <v>80</v>
      </c>
      <c r="DF10" s="257">
        <f t="shared" si="27"/>
        <v>0</v>
      </c>
      <c r="DG10" s="257">
        <f t="shared" si="28"/>
        <v>0</v>
      </c>
      <c r="DH10" s="257">
        <f t="shared" si="29"/>
        <v>0</v>
      </c>
      <c r="DI10" s="257">
        <f t="shared" si="30"/>
        <v>0</v>
      </c>
      <c r="DJ10" s="257">
        <f t="shared" si="31"/>
        <v>0</v>
      </c>
      <c r="DK10" s="257">
        <f t="shared" si="32"/>
        <v>0</v>
      </c>
      <c r="DL10" s="257">
        <f t="shared" si="33"/>
        <v>0</v>
      </c>
      <c r="DM10" s="223"/>
      <c r="DN10" s="223"/>
      <c r="DO10" s="223"/>
      <c r="DP10" s="289">
        <f t="shared" si="34"/>
        <v>0</v>
      </c>
      <c r="DQ10" s="257">
        <f t="shared" si="35"/>
        <v>0</v>
      </c>
      <c r="DR10" s="257">
        <f t="shared" si="36"/>
        <v>0</v>
      </c>
      <c r="DS10" s="257">
        <f t="shared" si="37"/>
        <v>0</v>
      </c>
      <c r="DT10" s="257">
        <f t="shared" si="38"/>
        <v>0</v>
      </c>
      <c r="DU10" s="257">
        <f t="shared" si="39"/>
        <v>0</v>
      </c>
      <c r="DV10" s="257">
        <f t="shared" si="40"/>
        <v>0</v>
      </c>
      <c r="DW10" s="257">
        <f t="shared" si="41"/>
        <v>0</v>
      </c>
      <c r="DX10" s="223"/>
      <c r="DY10" s="223"/>
      <c r="DZ10" s="223"/>
      <c r="EA10" s="289">
        <f t="shared" si="42"/>
        <v>0</v>
      </c>
      <c r="EB10" s="257">
        <f t="shared" si="43"/>
        <v>80</v>
      </c>
      <c r="EC10" s="257">
        <f t="shared" si="44"/>
        <v>0</v>
      </c>
      <c r="ED10" s="257">
        <f t="shared" si="45"/>
        <v>0</v>
      </c>
      <c r="EE10" s="575">
        <f t="shared" si="46"/>
        <v>2</v>
      </c>
      <c r="EF10" s="506">
        <f t="shared" si="47"/>
        <v>1</v>
      </c>
      <c r="EG10" s="39">
        <f t="shared" si="48"/>
        <v>80</v>
      </c>
      <c r="EH10" s="257">
        <f t="shared" si="49"/>
        <v>75</v>
      </c>
      <c r="EI10" s="257">
        <f t="shared" si="50"/>
        <v>0</v>
      </c>
      <c r="EJ10" s="257">
        <f t="shared" si="51"/>
        <v>0</v>
      </c>
      <c r="EK10" s="575">
        <f t="shared" si="52"/>
        <v>2</v>
      </c>
      <c r="EL10" s="506">
        <f t="shared" si="53"/>
        <v>1</v>
      </c>
      <c r="EM10" s="39">
        <f t="shared" si="54"/>
        <v>75</v>
      </c>
      <c r="EN10" s="257">
        <f t="shared" si="55"/>
        <v>80</v>
      </c>
      <c r="EO10" s="257">
        <f t="shared" si="56"/>
        <v>0</v>
      </c>
      <c r="EP10" s="257">
        <f t="shared" si="57"/>
        <v>0</v>
      </c>
      <c r="EQ10" s="575">
        <f t="shared" si="58"/>
        <v>2</v>
      </c>
      <c r="ER10" s="506">
        <f t="shared" si="59"/>
        <v>1</v>
      </c>
      <c r="ES10" s="39">
        <f t="shared" si="60"/>
        <v>80</v>
      </c>
      <c r="ET10" s="257">
        <f t="shared" si="61"/>
        <v>0</v>
      </c>
      <c r="EU10" s="257">
        <f t="shared" si="62"/>
        <v>0</v>
      </c>
      <c r="EV10" s="257">
        <f t="shared" si="63"/>
        <v>0</v>
      </c>
      <c r="EW10" s="575">
        <f t="shared" si="64"/>
        <v>3</v>
      </c>
      <c r="EX10" s="506">
        <f t="shared" si="65"/>
        <v>0</v>
      </c>
      <c r="EY10" s="39" t="str">
        <f t="shared" si="66"/>
        <v/>
      </c>
      <c r="EZ10" s="257">
        <f t="shared" si="67"/>
        <v>0</v>
      </c>
      <c r="FA10" s="257">
        <f t="shared" si="68"/>
        <v>0</v>
      </c>
      <c r="FB10" s="257">
        <f t="shared" si="69"/>
        <v>0</v>
      </c>
      <c r="FC10" s="575">
        <f t="shared" si="70"/>
        <v>3</v>
      </c>
      <c r="FD10" s="506">
        <f t="shared" si="71"/>
        <v>0</v>
      </c>
      <c r="FE10" s="39" t="str">
        <f t="shared" si="72"/>
        <v/>
      </c>
      <c r="FF10" s="257">
        <f t="shared" si="73"/>
        <v>0</v>
      </c>
      <c r="FG10" s="257">
        <f t="shared" si="74"/>
        <v>0</v>
      </c>
      <c r="FH10" s="257">
        <f t="shared" si="75"/>
        <v>0</v>
      </c>
      <c r="FI10" s="575">
        <f t="shared" si="76"/>
        <v>3</v>
      </c>
      <c r="FJ10" s="506">
        <f t="shared" si="77"/>
        <v>0</v>
      </c>
      <c r="FK10" s="39" t="str">
        <f t="shared" si="78"/>
        <v/>
      </c>
      <c r="FL10" s="257">
        <f t="shared" si="79"/>
        <v>0</v>
      </c>
      <c r="FM10" s="257">
        <f t="shared" si="80"/>
        <v>0</v>
      </c>
      <c r="FN10" s="257">
        <f t="shared" si="81"/>
        <v>0</v>
      </c>
      <c r="FO10" s="575">
        <f t="shared" si="82"/>
        <v>3</v>
      </c>
      <c r="FP10" s="506">
        <f t="shared" si="83"/>
        <v>0</v>
      </c>
      <c r="FQ10" s="39" t="str">
        <f t="shared" si="84"/>
        <v/>
      </c>
      <c r="FR10" s="39"/>
      <c r="FS10" s="39">
        <f t="shared" si="85"/>
        <v>80</v>
      </c>
      <c r="FT10" s="39">
        <f t="shared" si="86"/>
        <v>75</v>
      </c>
      <c r="FU10" s="39">
        <f t="shared" si="87"/>
        <v>80</v>
      </c>
      <c r="FV10" s="39" t="str">
        <f t="shared" si="88"/>
        <v/>
      </c>
      <c r="FW10" s="39" t="str">
        <f t="shared" si="89"/>
        <v/>
      </c>
      <c r="FX10" s="39" t="str">
        <f t="shared" si="90"/>
        <v/>
      </c>
      <c r="FY10" s="257" t="str">
        <f t="shared" si="91"/>
        <v/>
      </c>
      <c r="FZ10" s="569">
        <f t="shared" si="92"/>
        <v>78</v>
      </c>
      <c r="GA10" s="289">
        <f t="shared" si="93"/>
        <v>80</v>
      </c>
      <c r="GB10" s="289">
        <f t="shared" si="94"/>
        <v>75</v>
      </c>
      <c r="GC10" s="289" t="str">
        <f>SISWA!E8</f>
        <v>Amira</v>
      </c>
      <c r="GD10" s="223" t="str">
        <f t="shared" si="95"/>
        <v xml:space="preserve">Ananda Amira </v>
      </c>
      <c r="GE10" s="580">
        <f t="shared" si="96"/>
        <v>80</v>
      </c>
      <c r="GF10" s="580" t="str">
        <f t="shared" si="97"/>
        <v/>
      </c>
      <c r="GG10" s="580">
        <f t="shared" si="98"/>
        <v>80</v>
      </c>
      <c r="GH10" s="580" t="str">
        <f t="shared" si="99"/>
        <v/>
      </c>
      <c r="GI10" s="580" t="str">
        <f t="shared" si="100"/>
        <v/>
      </c>
      <c r="GJ10" s="580" t="str">
        <f t="shared" si="101"/>
        <v/>
      </c>
      <c r="GK10" s="580" t="str">
        <f t="shared" si="102"/>
        <v/>
      </c>
      <c r="GL10" s="580"/>
      <c r="GM10" s="580"/>
      <c r="GN10" s="580"/>
      <c r="GO10" s="580"/>
      <c r="GP10" s="223">
        <f t="shared" si="103"/>
        <v>160</v>
      </c>
      <c r="GQ10" s="289" t="str">
        <f t="shared" si="104"/>
        <v>menceritakan wayang (Ramayana), pakaian tradisional, dan gamelan.</v>
      </c>
      <c r="GR10" s="576" t="str">
        <f>IF(GA10&gt;100,"",IF(GA10&gt;CU$1,"sangat baik dalam "&amp;GQ10,IF(GA10&gt;=CU$2,"baik dalam "&amp;GQ10,IF(GA10&gt;=CU$3,"cukup dalam "&amp;GQ10,IF(GA10&lt;CU$3,"dengan bimbingan dapat meningkatkan dalam "&amp;GQ10,IF(GA10&lt;1," ",””))))))</f>
        <v>cukup dalam menceritakan wayang (Ramayana), pakaian tradisional, dan gamelan.</v>
      </c>
      <c r="GS10" s="223"/>
      <c r="GT10" s="223" t="str">
        <f t="shared" si="105"/>
        <v/>
      </c>
      <c r="GU10" s="223">
        <f t="shared" si="106"/>
        <v>75</v>
      </c>
      <c r="GV10" s="223" t="str">
        <f t="shared" si="107"/>
        <v/>
      </c>
      <c r="GW10" s="223" t="str">
        <f t="shared" si="108"/>
        <v/>
      </c>
      <c r="GX10" s="223" t="str">
        <f t="shared" si="109"/>
        <v/>
      </c>
      <c r="GY10" s="223" t="str">
        <f t="shared" si="110"/>
        <v/>
      </c>
      <c r="GZ10" s="223" t="str">
        <f t="shared" si="111"/>
        <v/>
      </c>
      <c r="HA10" s="223"/>
      <c r="HB10" s="223"/>
      <c r="HC10" s="223"/>
      <c r="HD10" s="223"/>
      <c r="HE10" s="223" t="str">
        <f t="shared" si="112"/>
        <v>melantunkan tembang macapat Kinanthi, dan menjelaskan  geguritan.</v>
      </c>
      <c r="HF10" s="576" t="str">
        <f>IF(GB10&gt;100,"",IF(GB10&gt;CU$1,"sangat baik dalam "&amp;HE10,IF(GB10&gt;=CU$2,"baik dalam "&amp;HE10,IF(GB10&gt;=CU$3,"cukup dalam "&amp;HE10,IF(GB10&lt;CU$3,"dengan bimbingan dapat meningkatkan dalam "&amp;HE10,IF(GB10&lt;1," ",””))))))</f>
        <v>cukup dalam melantunkan tembang macapat Kinanthi, dan menjelaskan  geguritan.</v>
      </c>
      <c r="HG10" s="223" t="str">
        <f t="shared" si="113"/>
        <v>Ananda Amira cukup dalam menceritakan wayang (Ramayana), pakaian tradisional, dan gamelan., cukup dalam melantunkan tembang macapat Kinanthi, dan menjelaskan  geguritan..</v>
      </c>
    </row>
    <row r="11" spans="1:215" ht="30">
      <c r="A11" s="39">
        <v>4</v>
      </c>
      <c r="B11" s="223" t="str">
        <f>SISWA!B9</f>
        <v>Andrian Putra Pangestu</v>
      </c>
      <c r="C11" s="123">
        <v>85</v>
      </c>
      <c r="D11" s="123">
        <v>80</v>
      </c>
      <c r="E11" s="123">
        <v>80</v>
      </c>
      <c r="F11" s="123"/>
      <c r="G11" s="123"/>
      <c r="H11" s="123"/>
      <c r="I11" s="123"/>
      <c r="J11" s="255"/>
      <c r="K11" s="255"/>
      <c r="L11" s="255"/>
      <c r="M11" s="255"/>
      <c r="N11" s="255"/>
      <c r="O11" s="255"/>
      <c r="P11" s="255"/>
      <c r="Q11" s="256"/>
      <c r="R11" s="256"/>
      <c r="S11" s="256"/>
      <c r="T11" s="256"/>
      <c r="U11" s="256"/>
      <c r="V11" s="256"/>
      <c r="W11" s="256"/>
      <c r="X11" s="123"/>
      <c r="Y11" s="123"/>
      <c r="Z11" s="123"/>
      <c r="AA11" s="123"/>
      <c r="AB11" s="123"/>
      <c r="AC11" s="123"/>
      <c r="AD11" s="123"/>
      <c r="AE11" s="255"/>
      <c r="AF11" s="255"/>
      <c r="AG11" s="255"/>
      <c r="AH11" s="255"/>
      <c r="AI11" s="255"/>
      <c r="AJ11" s="255"/>
      <c r="AK11" s="255"/>
      <c r="AL11" s="256"/>
      <c r="AM11" s="256"/>
      <c r="AN11" s="256"/>
      <c r="AO11" s="256"/>
      <c r="AP11" s="256"/>
      <c r="AQ11" s="256"/>
      <c r="AR11" s="256"/>
      <c r="AS11" s="123"/>
      <c r="AT11" s="123"/>
      <c r="AU11" s="123"/>
      <c r="AV11" s="123"/>
      <c r="AW11" s="123"/>
      <c r="AX11" s="123"/>
      <c r="AY11" s="123"/>
      <c r="AZ11" s="255"/>
      <c r="BA11" s="255"/>
      <c r="BB11" s="255"/>
      <c r="BC11" s="255"/>
      <c r="BD11" s="255"/>
      <c r="BE11" s="255"/>
      <c r="BF11" s="255"/>
      <c r="BG11" s="256"/>
      <c r="BH11" s="256"/>
      <c r="BI11" s="256"/>
      <c r="BJ11" s="256"/>
      <c r="BK11" s="256"/>
      <c r="BL11" s="256"/>
      <c r="BM11" s="256"/>
      <c r="BN11" s="123"/>
      <c r="BO11" s="123"/>
      <c r="BP11" s="123"/>
      <c r="BQ11" s="123"/>
      <c r="BR11" s="123"/>
      <c r="BS11" s="123"/>
      <c r="BT11" s="123"/>
      <c r="BU11" s="255"/>
      <c r="BV11" s="255"/>
      <c r="BW11" s="255"/>
      <c r="BX11" s="255"/>
      <c r="BY11" s="255"/>
      <c r="BZ11" s="255"/>
      <c r="CA11" s="255"/>
      <c r="CB11" s="256"/>
      <c r="CC11" s="256"/>
      <c r="CD11" s="256"/>
      <c r="CE11" s="256"/>
      <c r="CF11" s="256"/>
      <c r="CG11" s="256"/>
      <c r="CH11" s="256"/>
      <c r="CI11" s="257">
        <f t="shared" si="10"/>
        <v>85</v>
      </c>
      <c r="CJ11" s="257">
        <f t="shared" si="11"/>
        <v>80</v>
      </c>
      <c r="CK11" s="257">
        <f t="shared" si="12"/>
        <v>80</v>
      </c>
      <c r="CL11" s="257" t="str">
        <f t="shared" si="13"/>
        <v/>
      </c>
      <c r="CM11" s="257" t="str">
        <f t="shared" si="14"/>
        <v/>
      </c>
      <c r="CN11" s="257" t="str">
        <f t="shared" si="15"/>
        <v/>
      </c>
      <c r="CO11" s="257" t="str">
        <f t="shared" si="16"/>
        <v/>
      </c>
      <c r="CP11" s="756">
        <f t="shared" si="4"/>
        <v>82</v>
      </c>
      <c r="CQ11" s="291" t="str">
        <f t="shared" si="17"/>
        <v>C</v>
      </c>
      <c r="CR11" s="243" t="str">
        <f t="shared" si="18"/>
        <v>Ananda Andri baik dalam menyampaikan teks deskriptif tentang peristiwa alam dan adat istiadat., cukup dalam menceritakan wayang (Ramayana), pakaian tradisional, dan gamelan..</v>
      </c>
      <c r="CS11" s="39"/>
      <c r="CT11" s="39"/>
      <c r="CU11" s="257">
        <f t="shared" si="19"/>
        <v>85</v>
      </c>
      <c r="CV11" s="257">
        <f t="shared" si="20"/>
        <v>80</v>
      </c>
      <c r="CW11" s="257">
        <f t="shared" si="21"/>
        <v>80</v>
      </c>
      <c r="CX11" s="257">
        <f t="shared" si="22"/>
        <v>0</v>
      </c>
      <c r="CY11" s="257">
        <f t="shared" si="23"/>
        <v>0</v>
      </c>
      <c r="CZ11" s="257">
        <f t="shared" si="24"/>
        <v>0</v>
      </c>
      <c r="DA11" s="257">
        <f t="shared" si="25"/>
        <v>0</v>
      </c>
      <c r="DB11" s="257"/>
      <c r="DC11" s="257"/>
      <c r="DD11" s="257"/>
      <c r="DE11" s="289">
        <f t="shared" si="26"/>
        <v>85</v>
      </c>
      <c r="DF11" s="257">
        <f t="shared" si="27"/>
        <v>0</v>
      </c>
      <c r="DG11" s="257">
        <f t="shared" si="28"/>
        <v>0</v>
      </c>
      <c r="DH11" s="257">
        <f t="shared" si="29"/>
        <v>0</v>
      </c>
      <c r="DI11" s="257">
        <f t="shared" si="30"/>
        <v>0</v>
      </c>
      <c r="DJ11" s="257">
        <f t="shared" si="31"/>
        <v>0</v>
      </c>
      <c r="DK11" s="257">
        <f t="shared" si="32"/>
        <v>0</v>
      </c>
      <c r="DL11" s="257">
        <f t="shared" si="33"/>
        <v>0</v>
      </c>
      <c r="DM11" s="223"/>
      <c r="DN11" s="223"/>
      <c r="DO11" s="223"/>
      <c r="DP11" s="289">
        <f t="shared" si="34"/>
        <v>0</v>
      </c>
      <c r="DQ11" s="257">
        <f t="shared" si="35"/>
        <v>0</v>
      </c>
      <c r="DR11" s="257">
        <f t="shared" si="36"/>
        <v>0</v>
      </c>
      <c r="DS11" s="257">
        <f t="shared" si="37"/>
        <v>0</v>
      </c>
      <c r="DT11" s="257">
        <f t="shared" si="38"/>
        <v>0</v>
      </c>
      <c r="DU11" s="257">
        <f t="shared" si="39"/>
        <v>0</v>
      </c>
      <c r="DV11" s="257">
        <f t="shared" si="40"/>
        <v>0</v>
      </c>
      <c r="DW11" s="257">
        <f t="shared" si="41"/>
        <v>0</v>
      </c>
      <c r="DX11" s="223"/>
      <c r="DY11" s="223"/>
      <c r="DZ11" s="223"/>
      <c r="EA11" s="289">
        <f t="shared" si="42"/>
        <v>0</v>
      </c>
      <c r="EB11" s="257">
        <f t="shared" si="43"/>
        <v>85</v>
      </c>
      <c r="EC11" s="257">
        <f t="shared" si="44"/>
        <v>0</v>
      </c>
      <c r="ED11" s="257">
        <f t="shared" si="45"/>
        <v>0</v>
      </c>
      <c r="EE11" s="575">
        <f t="shared" si="46"/>
        <v>2</v>
      </c>
      <c r="EF11" s="506">
        <f t="shared" si="47"/>
        <v>1</v>
      </c>
      <c r="EG11" s="39">
        <f t="shared" si="48"/>
        <v>85</v>
      </c>
      <c r="EH11" s="257">
        <f t="shared" si="49"/>
        <v>80</v>
      </c>
      <c r="EI11" s="257">
        <f t="shared" si="50"/>
        <v>0</v>
      </c>
      <c r="EJ11" s="257">
        <f t="shared" si="51"/>
        <v>0</v>
      </c>
      <c r="EK11" s="575">
        <f t="shared" si="52"/>
        <v>2</v>
      </c>
      <c r="EL11" s="506">
        <f t="shared" si="53"/>
        <v>1</v>
      </c>
      <c r="EM11" s="39">
        <f t="shared" si="54"/>
        <v>80</v>
      </c>
      <c r="EN11" s="257">
        <f t="shared" si="55"/>
        <v>80</v>
      </c>
      <c r="EO11" s="257">
        <f t="shared" si="56"/>
        <v>0</v>
      </c>
      <c r="EP11" s="257">
        <f t="shared" si="57"/>
        <v>0</v>
      </c>
      <c r="EQ11" s="575">
        <f t="shared" si="58"/>
        <v>2</v>
      </c>
      <c r="ER11" s="506">
        <f t="shared" si="59"/>
        <v>1</v>
      </c>
      <c r="ES11" s="39">
        <f t="shared" si="60"/>
        <v>80</v>
      </c>
      <c r="ET11" s="257">
        <f t="shared" si="61"/>
        <v>0</v>
      </c>
      <c r="EU11" s="257">
        <f t="shared" si="62"/>
        <v>0</v>
      </c>
      <c r="EV11" s="257">
        <f t="shared" si="63"/>
        <v>0</v>
      </c>
      <c r="EW11" s="575">
        <f t="shared" si="64"/>
        <v>3</v>
      </c>
      <c r="EX11" s="506">
        <f t="shared" si="65"/>
        <v>0</v>
      </c>
      <c r="EY11" s="39" t="str">
        <f t="shared" si="66"/>
        <v/>
      </c>
      <c r="EZ11" s="257">
        <f t="shared" si="67"/>
        <v>0</v>
      </c>
      <c r="FA11" s="257">
        <f t="shared" si="68"/>
        <v>0</v>
      </c>
      <c r="FB11" s="257">
        <f t="shared" si="69"/>
        <v>0</v>
      </c>
      <c r="FC11" s="575">
        <f t="shared" si="70"/>
        <v>3</v>
      </c>
      <c r="FD11" s="506">
        <f t="shared" si="71"/>
        <v>0</v>
      </c>
      <c r="FE11" s="39" t="str">
        <f t="shared" si="72"/>
        <v/>
      </c>
      <c r="FF11" s="257">
        <f t="shared" si="73"/>
        <v>0</v>
      </c>
      <c r="FG11" s="257">
        <f t="shared" si="74"/>
        <v>0</v>
      </c>
      <c r="FH11" s="257">
        <f t="shared" si="75"/>
        <v>0</v>
      </c>
      <c r="FI11" s="575">
        <f t="shared" si="76"/>
        <v>3</v>
      </c>
      <c r="FJ11" s="506">
        <f t="shared" si="77"/>
        <v>0</v>
      </c>
      <c r="FK11" s="39" t="str">
        <f t="shared" si="78"/>
        <v/>
      </c>
      <c r="FL11" s="257">
        <f t="shared" si="79"/>
        <v>0</v>
      </c>
      <c r="FM11" s="257">
        <f t="shared" si="80"/>
        <v>0</v>
      </c>
      <c r="FN11" s="257">
        <f t="shared" si="81"/>
        <v>0</v>
      </c>
      <c r="FO11" s="575">
        <f t="shared" si="82"/>
        <v>3</v>
      </c>
      <c r="FP11" s="506">
        <f t="shared" si="83"/>
        <v>0</v>
      </c>
      <c r="FQ11" s="39" t="str">
        <f t="shared" si="84"/>
        <v/>
      </c>
      <c r="FR11" s="39"/>
      <c r="FS11" s="39">
        <f t="shared" si="85"/>
        <v>85</v>
      </c>
      <c r="FT11" s="39">
        <f t="shared" si="86"/>
        <v>80</v>
      </c>
      <c r="FU11" s="39">
        <f t="shared" si="87"/>
        <v>80</v>
      </c>
      <c r="FV11" s="39" t="str">
        <f t="shared" si="88"/>
        <v/>
      </c>
      <c r="FW11" s="39" t="str">
        <f t="shared" si="89"/>
        <v/>
      </c>
      <c r="FX11" s="39" t="str">
        <f t="shared" si="90"/>
        <v/>
      </c>
      <c r="FY11" s="257" t="str">
        <f t="shared" si="91"/>
        <v/>
      </c>
      <c r="FZ11" s="569">
        <f t="shared" si="92"/>
        <v>82</v>
      </c>
      <c r="GA11" s="289">
        <f t="shared" si="93"/>
        <v>85</v>
      </c>
      <c r="GB11" s="289">
        <f t="shared" si="94"/>
        <v>80</v>
      </c>
      <c r="GC11" s="289" t="str">
        <f>SISWA!E9</f>
        <v>Andri</v>
      </c>
      <c r="GD11" s="223" t="str">
        <f t="shared" si="95"/>
        <v xml:space="preserve">Ananda Andri </v>
      </c>
      <c r="GE11" s="580">
        <f t="shared" si="96"/>
        <v>85</v>
      </c>
      <c r="GF11" s="580" t="str">
        <f t="shared" si="97"/>
        <v/>
      </c>
      <c r="GG11" s="580" t="str">
        <f t="shared" si="98"/>
        <v/>
      </c>
      <c r="GH11" s="580" t="str">
        <f t="shared" si="99"/>
        <v/>
      </c>
      <c r="GI11" s="580" t="str">
        <f t="shared" si="100"/>
        <v/>
      </c>
      <c r="GJ11" s="580" t="str">
        <f t="shared" si="101"/>
        <v/>
      </c>
      <c r="GK11" s="580" t="str">
        <f t="shared" si="102"/>
        <v/>
      </c>
      <c r="GL11" s="580"/>
      <c r="GM11" s="580"/>
      <c r="GN11" s="580"/>
      <c r="GO11" s="580"/>
      <c r="GP11" s="223">
        <f t="shared" si="103"/>
        <v>85</v>
      </c>
      <c r="GQ11" s="289" t="str">
        <f t="shared" si="104"/>
        <v>menyampaikan teks deskriptif tentang peristiwa alam dan adat istiadat.</v>
      </c>
      <c r="GR11" s="576" t="str">
        <f>IF(GA11&gt;100,"",IF(GA11&gt;CU$1,"sangat baik dalam "&amp;GQ11,IF(GA11&gt;=CU$2,"baik dalam "&amp;GQ11,IF(GA11&gt;=CU$3,"cukup dalam "&amp;GQ11,IF(GA11&lt;CU$3,"dengan bimbingan dapat meningkatkan dalam "&amp;GQ11,IF(GA11&lt;1," ",””))))))</f>
        <v>baik dalam menyampaikan teks deskriptif tentang peristiwa alam dan adat istiadat.</v>
      </c>
      <c r="GS11" s="223"/>
      <c r="GT11" s="223" t="str">
        <f t="shared" si="105"/>
        <v/>
      </c>
      <c r="GU11" s="223">
        <f t="shared" si="106"/>
        <v>80</v>
      </c>
      <c r="GV11" s="223">
        <f t="shared" si="107"/>
        <v>80</v>
      </c>
      <c r="GW11" s="223" t="str">
        <f t="shared" si="108"/>
        <v/>
      </c>
      <c r="GX11" s="223" t="str">
        <f t="shared" si="109"/>
        <v/>
      </c>
      <c r="GY11" s="223" t="str">
        <f t="shared" si="110"/>
        <v/>
      </c>
      <c r="GZ11" s="223" t="str">
        <f t="shared" si="111"/>
        <v/>
      </c>
      <c r="HA11" s="223"/>
      <c r="HB11" s="223"/>
      <c r="HC11" s="223"/>
      <c r="HD11" s="223"/>
      <c r="HE11" s="223" t="str">
        <f t="shared" si="112"/>
        <v>menceritakan wayang (Ramayana), pakaian tradisional, dan gamelan.</v>
      </c>
      <c r="HF11" s="576" t="str">
        <f>IF(GB11&gt;100,"",IF(GB11&gt;CU$1,"sangat baik dalam "&amp;HE11,IF(GB11&gt;=CU$2,"baik dalam "&amp;HE11,IF(GB11&gt;=CU$3,"cukup dalam "&amp;HE11,IF(GB11&lt;CU$3,"dengan bimbingan dapat meningkatkan dalam "&amp;HE11,IF(GB11&lt;1," ",””))))))</f>
        <v>cukup dalam menceritakan wayang (Ramayana), pakaian tradisional, dan gamelan.</v>
      </c>
      <c r="HG11" s="223" t="str">
        <f t="shared" si="113"/>
        <v>Ananda Andri baik dalam menyampaikan teks deskriptif tentang peristiwa alam dan adat istiadat., cukup dalam menceritakan wayang (Ramayana), pakaian tradisional, dan gamelan..</v>
      </c>
    </row>
    <row r="12" spans="1:215" ht="30">
      <c r="A12" s="39">
        <v>5</v>
      </c>
      <c r="B12" s="223" t="str">
        <f>SISWA!B10</f>
        <v>Gresiya Suma Safitri</v>
      </c>
      <c r="C12" s="123">
        <v>90</v>
      </c>
      <c r="D12" s="123">
        <v>89</v>
      </c>
      <c r="E12" s="123">
        <v>85</v>
      </c>
      <c r="F12" s="123"/>
      <c r="G12" s="123"/>
      <c r="H12" s="123"/>
      <c r="I12" s="123"/>
      <c r="J12" s="255"/>
      <c r="K12" s="255"/>
      <c r="L12" s="255"/>
      <c r="M12" s="255"/>
      <c r="N12" s="255"/>
      <c r="O12" s="255"/>
      <c r="P12" s="255"/>
      <c r="Q12" s="256"/>
      <c r="R12" s="256"/>
      <c r="S12" s="256"/>
      <c r="T12" s="256"/>
      <c r="U12" s="256"/>
      <c r="V12" s="256"/>
      <c r="W12" s="256"/>
      <c r="X12" s="123"/>
      <c r="Y12" s="123"/>
      <c r="Z12" s="123"/>
      <c r="AA12" s="123"/>
      <c r="AB12" s="123"/>
      <c r="AC12" s="123"/>
      <c r="AD12" s="123"/>
      <c r="AE12" s="255"/>
      <c r="AF12" s="255"/>
      <c r="AG12" s="255"/>
      <c r="AH12" s="255"/>
      <c r="AI12" s="255"/>
      <c r="AJ12" s="255"/>
      <c r="AK12" s="255"/>
      <c r="AL12" s="256"/>
      <c r="AM12" s="256"/>
      <c r="AN12" s="256"/>
      <c r="AO12" s="256"/>
      <c r="AP12" s="256"/>
      <c r="AQ12" s="256"/>
      <c r="AR12" s="256"/>
      <c r="AS12" s="123"/>
      <c r="AT12" s="123"/>
      <c r="AU12" s="123"/>
      <c r="AV12" s="123"/>
      <c r="AW12" s="123"/>
      <c r="AX12" s="123"/>
      <c r="AY12" s="123"/>
      <c r="AZ12" s="255"/>
      <c r="BA12" s="255"/>
      <c r="BB12" s="255"/>
      <c r="BC12" s="255"/>
      <c r="BD12" s="255"/>
      <c r="BE12" s="255"/>
      <c r="BF12" s="255"/>
      <c r="BG12" s="256"/>
      <c r="BH12" s="256"/>
      <c r="BI12" s="256"/>
      <c r="BJ12" s="256"/>
      <c r="BK12" s="256"/>
      <c r="BL12" s="256"/>
      <c r="BM12" s="256"/>
      <c r="BN12" s="123"/>
      <c r="BO12" s="123"/>
      <c r="BP12" s="123"/>
      <c r="BQ12" s="123"/>
      <c r="BR12" s="123"/>
      <c r="BS12" s="123"/>
      <c r="BT12" s="123"/>
      <c r="BU12" s="255"/>
      <c r="BV12" s="255"/>
      <c r="BW12" s="255"/>
      <c r="BX12" s="255"/>
      <c r="BY12" s="255"/>
      <c r="BZ12" s="255"/>
      <c r="CA12" s="255"/>
      <c r="CB12" s="256"/>
      <c r="CC12" s="256"/>
      <c r="CD12" s="256"/>
      <c r="CE12" s="256"/>
      <c r="CF12" s="256"/>
      <c r="CG12" s="256"/>
      <c r="CH12" s="256"/>
      <c r="CI12" s="257">
        <f t="shared" si="10"/>
        <v>90</v>
      </c>
      <c r="CJ12" s="257">
        <f t="shared" si="11"/>
        <v>89</v>
      </c>
      <c r="CK12" s="257">
        <f t="shared" si="12"/>
        <v>85</v>
      </c>
      <c r="CL12" s="257" t="str">
        <f t="shared" si="13"/>
        <v/>
      </c>
      <c r="CM12" s="257" t="str">
        <f t="shared" si="14"/>
        <v/>
      </c>
      <c r="CN12" s="257" t="str">
        <f t="shared" si="15"/>
        <v/>
      </c>
      <c r="CO12" s="257" t="str">
        <f t="shared" si="16"/>
        <v/>
      </c>
      <c r="CP12" s="756">
        <f t="shared" si="4"/>
        <v>88</v>
      </c>
      <c r="CQ12" s="291" t="str">
        <f t="shared" si="17"/>
        <v>B</v>
      </c>
      <c r="CR12" s="243" t="str">
        <f t="shared" si="18"/>
        <v>Ananda Gresia baik dalam menyampaikan teks deskriptif tentang peristiwa alam dan adat istiadat., baik dalam menceritakan wayang (Ramayana), pakaian tradisional, dan gamelan..</v>
      </c>
      <c r="CS12" s="39"/>
      <c r="CT12" s="39"/>
      <c r="CU12" s="257">
        <f t="shared" si="19"/>
        <v>90</v>
      </c>
      <c r="CV12" s="257">
        <f t="shared" si="20"/>
        <v>89</v>
      </c>
      <c r="CW12" s="257">
        <f t="shared" si="21"/>
        <v>85</v>
      </c>
      <c r="CX12" s="257">
        <f t="shared" si="22"/>
        <v>0</v>
      </c>
      <c r="CY12" s="257">
        <f t="shared" si="23"/>
        <v>0</v>
      </c>
      <c r="CZ12" s="257">
        <f t="shared" si="24"/>
        <v>0</v>
      </c>
      <c r="DA12" s="257">
        <f t="shared" si="25"/>
        <v>0</v>
      </c>
      <c r="DB12" s="257"/>
      <c r="DC12" s="257"/>
      <c r="DD12" s="257"/>
      <c r="DE12" s="289">
        <f t="shared" si="26"/>
        <v>90</v>
      </c>
      <c r="DF12" s="257">
        <f t="shared" si="27"/>
        <v>0</v>
      </c>
      <c r="DG12" s="257">
        <f t="shared" si="28"/>
        <v>0</v>
      </c>
      <c r="DH12" s="257">
        <f t="shared" si="29"/>
        <v>0</v>
      </c>
      <c r="DI12" s="257">
        <f t="shared" si="30"/>
        <v>0</v>
      </c>
      <c r="DJ12" s="257">
        <f t="shared" si="31"/>
        <v>0</v>
      </c>
      <c r="DK12" s="257">
        <f t="shared" si="32"/>
        <v>0</v>
      </c>
      <c r="DL12" s="257">
        <f t="shared" si="33"/>
        <v>0</v>
      </c>
      <c r="DM12" s="223"/>
      <c r="DN12" s="223"/>
      <c r="DO12" s="223"/>
      <c r="DP12" s="289">
        <f t="shared" si="34"/>
        <v>0</v>
      </c>
      <c r="DQ12" s="257">
        <f t="shared" si="35"/>
        <v>0</v>
      </c>
      <c r="DR12" s="257">
        <f t="shared" si="36"/>
        <v>0</v>
      </c>
      <c r="DS12" s="257">
        <f t="shared" si="37"/>
        <v>0</v>
      </c>
      <c r="DT12" s="257">
        <f t="shared" si="38"/>
        <v>0</v>
      </c>
      <c r="DU12" s="257">
        <f t="shared" si="39"/>
        <v>0</v>
      </c>
      <c r="DV12" s="257">
        <f t="shared" si="40"/>
        <v>0</v>
      </c>
      <c r="DW12" s="257">
        <f t="shared" si="41"/>
        <v>0</v>
      </c>
      <c r="DX12" s="223"/>
      <c r="DY12" s="223"/>
      <c r="DZ12" s="223"/>
      <c r="EA12" s="289">
        <f t="shared" si="42"/>
        <v>0</v>
      </c>
      <c r="EB12" s="257">
        <f t="shared" si="43"/>
        <v>90</v>
      </c>
      <c r="EC12" s="257">
        <f t="shared" si="44"/>
        <v>0</v>
      </c>
      <c r="ED12" s="257">
        <f t="shared" si="45"/>
        <v>0</v>
      </c>
      <c r="EE12" s="575">
        <f t="shared" si="46"/>
        <v>2</v>
      </c>
      <c r="EF12" s="506">
        <f t="shared" si="47"/>
        <v>1</v>
      </c>
      <c r="EG12" s="39">
        <f t="shared" si="48"/>
        <v>90</v>
      </c>
      <c r="EH12" s="257">
        <f t="shared" si="49"/>
        <v>89</v>
      </c>
      <c r="EI12" s="257">
        <f t="shared" si="50"/>
        <v>0</v>
      </c>
      <c r="EJ12" s="257">
        <f t="shared" si="51"/>
        <v>0</v>
      </c>
      <c r="EK12" s="575">
        <f t="shared" si="52"/>
        <v>2</v>
      </c>
      <c r="EL12" s="506">
        <f t="shared" si="53"/>
        <v>1</v>
      </c>
      <c r="EM12" s="39">
        <f t="shared" si="54"/>
        <v>89</v>
      </c>
      <c r="EN12" s="257">
        <f t="shared" si="55"/>
        <v>85</v>
      </c>
      <c r="EO12" s="257">
        <f t="shared" si="56"/>
        <v>0</v>
      </c>
      <c r="EP12" s="257">
        <f t="shared" si="57"/>
        <v>0</v>
      </c>
      <c r="EQ12" s="575">
        <f t="shared" si="58"/>
        <v>2</v>
      </c>
      <c r="ER12" s="506">
        <f t="shared" si="59"/>
        <v>1</v>
      </c>
      <c r="ES12" s="39">
        <f t="shared" si="60"/>
        <v>85</v>
      </c>
      <c r="ET12" s="257">
        <f t="shared" si="61"/>
        <v>0</v>
      </c>
      <c r="EU12" s="257">
        <f t="shared" si="62"/>
        <v>0</v>
      </c>
      <c r="EV12" s="257">
        <f t="shared" si="63"/>
        <v>0</v>
      </c>
      <c r="EW12" s="575">
        <f t="shared" si="64"/>
        <v>3</v>
      </c>
      <c r="EX12" s="506">
        <f t="shared" si="65"/>
        <v>0</v>
      </c>
      <c r="EY12" s="39" t="str">
        <f t="shared" si="66"/>
        <v/>
      </c>
      <c r="EZ12" s="257">
        <f t="shared" si="67"/>
        <v>0</v>
      </c>
      <c r="FA12" s="257">
        <f t="shared" si="68"/>
        <v>0</v>
      </c>
      <c r="FB12" s="257">
        <f t="shared" si="69"/>
        <v>0</v>
      </c>
      <c r="FC12" s="575">
        <f t="shared" si="70"/>
        <v>3</v>
      </c>
      <c r="FD12" s="506">
        <f t="shared" si="71"/>
        <v>0</v>
      </c>
      <c r="FE12" s="39" t="str">
        <f t="shared" si="72"/>
        <v/>
      </c>
      <c r="FF12" s="257">
        <f t="shared" si="73"/>
        <v>0</v>
      </c>
      <c r="FG12" s="257">
        <f t="shared" si="74"/>
        <v>0</v>
      </c>
      <c r="FH12" s="257">
        <f t="shared" si="75"/>
        <v>0</v>
      </c>
      <c r="FI12" s="575">
        <f t="shared" si="76"/>
        <v>3</v>
      </c>
      <c r="FJ12" s="506">
        <f t="shared" si="77"/>
        <v>0</v>
      </c>
      <c r="FK12" s="39" t="str">
        <f t="shared" si="78"/>
        <v/>
      </c>
      <c r="FL12" s="257">
        <f t="shared" si="79"/>
        <v>0</v>
      </c>
      <c r="FM12" s="257">
        <f t="shared" si="80"/>
        <v>0</v>
      </c>
      <c r="FN12" s="257">
        <f t="shared" si="81"/>
        <v>0</v>
      </c>
      <c r="FO12" s="575">
        <f t="shared" si="82"/>
        <v>3</v>
      </c>
      <c r="FP12" s="506">
        <f t="shared" si="83"/>
        <v>0</v>
      </c>
      <c r="FQ12" s="39" t="str">
        <f t="shared" si="84"/>
        <v/>
      </c>
      <c r="FR12" s="39"/>
      <c r="FS12" s="39">
        <f t="shared" si="85"/>
        <v>90</v>
      </c>
      <c r="FT12" s="39">
        <f t="shared" si="86"/>
        <v>89</v>
      </c>
      <c r="FU12" s="39">
        <f t="shared" si="87"/>
        <v>85</v>
      </c>
      <c r="FV12" s="39" t="str">
        <f t="shared" si="88"/>
        <v/>
      </c>
      <c r="FW12" s="39" t="str">
        <f t="shared" si="89"/>
        <v/>
      </c>
      <c r="FX12" s="39" t="str">
        <f t="shared" si="90"/>
        <v/>
      </c>
      <c r="FY12" s="257" t="str">
        <f t="shared" si="91"/>
        <v/>
      </c>
      <c r="FZ12" s="569">
        <f t="shared" si="92"/>
        <v>88</v>
      </c>
      <c r="GA12" s="289">
        <f t="shared" si="93"/>
        <v>90</v>
      </c>
      <c r="GB12" s="289">
        <f t="shared" si="94"/>
        <v>85</v>
      </c>
      <c r="GC12" s="289" t="str">
        <f>SISWA!E10</f>
        <v>Gresia</v>
      </c>
      <c r="GD12" s="223" t="str">
        <f t="shared" si="95"/>
        <v xml:space="preserve">Ananda Gresia </v>
      </c>
      <c r="GE12" s="580">
        <f t="shared" si="96"/>
        <v>90</v>
      </c>
      <c r="GF12" s="580" t="str">
        <f t="shared" si="97"/>
        <v/>
      </c>
      <c r="GG12" s="580" t="str">
        <f t="shared" si="98"/>
        <v/>
      </c>
      <c r="GH12" s="580" t="str">
        <f t="shared" si="99"/>
        <v/>
      </c>
      <c r="GI12" s="580" t="str">
        <f t="shared" si="100"/>
        <v/>
      </c>
      <c r="GJ12" s="580" t="str">
        <f t="shared" si="101"/>
        <v/>
      </c>
      <c r="GK12" s="580" t="str">
        <f t="shared" si="102"/>
        <v/>
      </c>
      <c r="GL12" s="580"/>
      <c r="GM12" s="580"/>
      <c r="GN12" s="580"/>
      <c r="GO12" s="580"/>
      <c r="GP12" s="223">
        <f t="shared" si="103"/>
        <v>90</v>
      </c>
      <c r="GQ12" s="289" t="str">
        <f t="shared" si="104"/>
        <v>menyampaikan teks deskriptif tentang peristiwa alam dan adat istiadat.</v>
      </c>
      <c r="GR12" s="576" t="str">
        <f>IF(GA12&gt;100,"",IF(GA12&gt;CU$1,"sangat baik dalam "&amp;GQ12,IF(GA12&gt;=CU$2,"baik dalam "&amp;GQ12,IF(GA12&gt;=CU$3,"cukup dalam "&amp;GQ12,IF(GA12&lt;CU$3,"dengan bimbingan dapat meningkatkan dalam "&amp;GQ12,IF(GA12&lt;1," ",””))))))</f>
        <v>baik dalam menyampaikan teks deskriptif tentang peristiwa alam dan adat istiadat.</v>
      </c>
      <c r="GS12" s="223"/>
      <c r="GT12" s="223" t="str">
        <f t="shared" si="105"/>
        <v/>
      </c>
      <c r="GU12" s="223" t="str">
        <f t="shared" si="106"/>
        <v/>
      </c>
      <c r="GV12" s="223">
        <f t="shared" si="107"/>
        <v>85</v>
      </c>
      <c r="GW12" s="223" t="str">
        <f t="shared" si="108"/>
        <v/>
      </c>
      <c r="GX12" s="223" t="str">
        <f t="shared" si="109"/>
        <v/>
      </c>
      <c r="GY12" s="223" t="str">
        <f t="shared" si="110"/>
        <v/>
      </c>
      <c r="GZ12" s="223" t="str">
        <f t="shared" si="111"/>
        <v/>
      </c>
      <c r="HA12" s="223"/>
      <c r="HB12" s="223"/>
      <c r="HC12" s="223"/>
      <c r="HD12" s="223"/>
      <c r="HE12" s="223" t="str">
        <f t="shared" si="112"/>
        <v>menceritakan wayang (Ramayana), pakaian tradisional, dan gamelan.</v>
      </c>
      <c r="HF12" s="576" t="str">
        <f>IF(GB12&gt;100,"",IF(GB12&gt;CU$1,"sangat baik dalam "&amp;HE12,IF(GB12&gt;=CU$2,"baik dalam "&amp;HE12,IF(GB12&gt;=CU$3,"cukup dalam "&amp;HE12,IF(GB12&lt;CU$3,"dengan bimbingan dapat meningkatkan dalam "&amp;HE12,IF(GB12&lt;1," ",””))))))</f>
        <v>baik dalam menceritakan wayang (Ramayana), pakaian tradisional, dan gamelan.</v>
      </c>
      <c r="HG12" s="223" t="str">
        <f t="shared" si="113"/>
        <v>Ananda Gresia baik dalam menyampaikan teks deskriptif tentang peristiwa alam dan adat istiadat., baik dalam menceritakan wayang (Ramayana), pakaian tradisional, dan gamelan..</v>
      </c>
    </row>
    <row r="13" spans="1:215" ht="30">
      <c r="A13" s="39">
        <v>6</v>
      </c>
      <c r="B13" s="223" t="str">
        <f>SISWA!B11</f>
        <v>Hasna Fathitya Sabrina</v>
      </c>
      <c r="C13" s="123">
        <v>90</v>
      </c>
      <c r="D13" s="123">
        <v>80</v>
      </c>
      <c r="E13" s="123">
        <v>80</v>
      </c>
      <c r="F13" s="123"/>
      <c r="G13" s="123"/>
      <c r="H13" s="123"/>
      <c r="I13" s="123"/>
      <c r="J13" s="255"/>
      <c r="K13" s="255"/>
      <c r="L13" s="255"/>
      <c r="M13" s="255"/>
      <c r="N13" s="255"/>
      <c r="O13" s="255"/>
      <c r="P13" s="255"/>
      <c r="Q13" s="256"/>
      <c r="R13" s="256"/>
      <c r="S13" s="256"/>
      <c r="T13" s="256"/>
      <c r="U13" s="256"/>
      <c r="V13" s="256"/>
      <c r="W13" s="256"/>
      <c r="X13" s="123"/>
      <c r="Y13" s="123"/>
      <c r="Z13" s="123"/>
      <c r="AA13" s="123"/>
      <c r="AB13" s="123"/>
      <c r="AC13" s="123"/>
      <c r="AD13" s="123"/>
      <c r="AE13" s="255"/>
      <c r="AF13" s="255"/>
      <c r="AG13" s="255"/>
      <c r="AH13" s="255"/>
      <c r="AI13" s="255"/>
      <c r="AJ13" s="255"/>
      <c r="AK13" s="255"/>
      <c r="AL13" s="256"/>
      <c r="AM13" s="256"/>
      <c r="AN13" s="256"/>
      <c r="AO13" s="256"/>
      <c r="AP13" s="256"/>
      <c r="AQ13" s="256"/>
      <c r="AR13" s="256"/>
      <c r="AS13" s="123"/>
      <c r="AT13" s="123"/>
      <c r="AU13" s="123"/>
      <c r="AV13" s="123"/>
      <c r="AW13" s="123"/>
      <c r="AX13" s="123"/>
      <c r="AY13" s="123"/>
      <c r="AZ13" s="255"/>
      <c r="BA13" s="255"/>
      <c r="BB13" s="255"/>
      <c r="BC13" s="255"/>
      <c r="BD13" s="255"/>
      <c r="BE13" s="255"/>
      <c r="BF13" s="255"/>
      <c r="BG13" s="256"/>
      <c r="BH13" s="256"/>
      <c r="BI13" s="256"/>
      <c r="BJ13" s="256"/>
      <c r="BK13" s="256"/>
      <c r="BL13" s="256"/>
      <c r="BM13" s="256"/>
      <c r="BN13" s="123"/>
      <c r="BO13" s="123"/>
      <c r="BP13" s="123"/>
      <c r="BQ13" s="123"/>
      <c r="BR13" s="123"/>
      <c r="BS13" s="123"/>
      <c r="BT13" s="123"/>
      <c r="BU13" s="255"/>
      <c r="BV13" s="255"/>
      <c r="BW13" s="255"/>
      <c r="BX13" s="255"/>
      <c r="BY13" s="255"/>
      <c r="BZ13" s="255"/>
      <c r="CA13" s="255"/>
      <c r="CB13" s="256"/>
      <c r="CC13" s="256"/>
      <c r="CD13" s="256"/>
      <c r="CE13" s="256"/>
      <c r="CF13" s="256"/>
      <c r="CG13" s="256"/>
      <c r="CH13" s="256"/>
      <c r="CI13" s="257">
        <f t="shared" si="10"/>
        <v>90</v>
      </c>
      <c r="CJ13" s="257">
        <f t="shared" si="11"/>
        <v>80</v>
      </c>
      <c r="CK13" s="257">
        <f t="shared" si="12"/>
        <v>80</v>
      </c>
      <c r="CL13" s="257" t="str">
        <f t="shared" si="13"/>
        <v/>
      </c>
      <c r="CM13" s="257" t="str">
        <f t="shared" si="14"/>
        <v/>
      </c>
      <c r="CN13" s="257" t="str">
        <f t="shared" si="15"/>
        <v/>
      </c>
      <c r="CO13" s="257" t="str">
        <f t="shared" si="16"/>
        <v/>
      </c>
      <c r="CP13" s="756">
        <f t="shared" si="4"/>
        <v>83</v>
      </c>
      <c r="CQ13" s="291" t="str">
        <f t="shared" si="17"/>
        <v>B</v>
      </c>
      <c r="CR13" s="243" t="str">
        <f t="shared" si="18"/>
        <v>Ananda Hasna baik dalam menyampaikan teks deskriptif tentang peristiwa alam dan adat istiadat., cukup dalam menceritakan wayang (Ramayana), pakaian tradisional, dan gamelan..</v>
      </c>
      <c r="CS13" s="39"/>
      <c r="CT13" s="39"/>
      <c r="CU13" s="257">
        <f t="shared" si="19"/>
        <v>90</v>
      </c>
      <c r="CV13" s="257">
        <f t="shared" si="20"/>
        <v>80</v>
      </c>
      <c r="CW13" s="257">
        <f t="shared" si="21"/>
        <v>80</v>
      </c>
      <c r="CX13" s="257">
        <f t="shared" si="22"/>
        <v>0</v>
      </c>
      <c r="CY13" s="257">
        <f t="shared" si="23"/>
        <v>0</v>
      </c>
      <c r="CZ13" s="257">
        <f t="shared" si="24"/>
        <v>0</v>
      </c>
      <c r="DA13" s="257">
        <f t="shared" si="25"/>
        <v>0</v>
      </c>
      <c r="DB13" s="257"/>
      <c r="DC13" s="257"/>
      <c r="DD13" s="257"/>
      <c r="DE13" s="289">
        <f t="shared" si="26"/>
        <v>90</v>
      </c>
      <c r="DF13" s="257">
        <f t="shared" si="27"/>
        <v>0</v>
      </c>
      <c r="DG13" s="257">
        <f t="shared" si="28"/>
        <v>0</v>
      </c>
      <c r="DH13" s="257">
        <f t="shared" si="29"/>
        <v>0</v>
      </c>
      <c r="DI13" s="257">
        <f t="shared" si="30"/>
        <v>0</v>
      </c>
      <c r="DJ13" s="257">
        <f t="shared" si="31"/>
        <v>0</v>
      </c>
      <c r="DK13" s="257">
        <f t="shared" si="32"/>
        <v>0</v>
      </c>
      <c r="DL13" s="257">
        <f t="shared" si="33"/>
        <v>0</v>
      </c>
      <c r="DM13" s="223"/>
      <c r="DN13" s="223"/>
      <c r="DO13" s="223"/>
      <c r="DP13" s="289">
        <f t="shared" si="34"/>
        <v>0</v>
      </c>
      <c r="DQ13" s="257">
        <f t="shared" si="35"/>
        <v>0</v>
      </c>
      <c r="DR13" s="257">
        <f t="shared" si="36"/>
        <v>0</v>
      </c>
      <c r="DS13" s="257">
        <f t="shared" si="37"/>
        <v>0</v>
      </c>
      <c r="DT13" s="257">
        <f t="shared" si="38"/>
        <v>0</v>
      </c>
      <c r="DU13" s="257">
        <f t="shared" si="39"/>
        <v>0</v>
      </c>
      <c r="DV13" s="257">
        <f t="shared" si="40"/>
        <v>0</v>
      </c>
      <c r="DW13" s="257">
        <f t="shared" si="41"/>
        <v>0</v>
      </c>
      <c r="DX13" s="223"/>
      <c r="DY13" s="223"/>
      <c r="DZ13" s="223"/>
      <c r="EA13" s="289">
        <f t="shared" si="42"/>
        <v>0</v>
      </c>
      <c r="EB13" s="257">
        <f t="shared" si="43"/>
        <v>90</v>
      </c>
      <c r="EC13" s="257">
        <f t="shared" si="44"/>
        <v>0</v>
      </c>
      <c r="ED13" s="257">
        <f t="shared" si="45"/>
        <v>0</v>
      </c>
      <c r="EE13" s="575">
        <f t="shared" si="46"/>
        <v>2</v>
      </c>
      <c r="EF13" s="506">
        <f t="shared" si="47"/>
        <v>1</v>
      </c>
      <c r="EG13" s="39">
        <f t="shared" si="48"/>
        <v>90</v>
      </c>
      <c r="EH13" s="257">
        <f t="shared" si="49"/>
        <v>80</v>
      </c>
      <c r="EI13" s="257">
        <f t="shared" si="50"/>
        <v>0</v>
      </c>
      <c r="EJ13" s="257">
        <f t="shared" si="51"/>
        <v>0</v>
      </c>
      <c r="EK13" s="575">
        <f t="shared" si="52"/>
        <v>2</v>
      </c>
      <c r="EL13" s="506">
        <f t="shared" si="53"/>
        <v>1</v>
      </c>
      <c r="EM13" s="39">
        <f t="shared" si="54"/>
        <v>80</v>
      </c>
      <c r="EN13" s="257">
        <f t="shared" si="55"/>
        <v>80</v>
      </c>
      <c r="EO13" s="257">
        <f t="shared" si="56"/>
        <v>0</v>
      </c>
      <c r="EP13" s="257">
        <f t="shared" si="57"/>
        <v>0</v>
      </c>
      <c r="EQ13" s="575">
        <f t="shared" si="58"/>
        <v>2</v>
      </c>
      <c r="ER13" s="506">
        <f t="shared" si="59"/>
        <v>1</v>
      </c>
      <c r="ES13" s="39">
        <f t="shared" si="60"/>
        <v>80</v>
      </c>
      <c r="ET13" s="257">
        <f t="shared" si="61"/>
        <v>0</v>
      </c>
      <c r="EU13" s="257">
        <f t="shared" si="62"/>
        <v>0</v>
      </c>
      <c r="EV13" s="257">
        <f t="shared" si="63"/>
        <v>0</v>
      </c>
      <c r="EW13" s="575">
        <f t="shared" si="64"/>
        <v>3</v>
      </c>
      <c r="EX13" s="506">
        <f t="shared" si="65"/>
        <v>0</v>
      </c>
      <c r="EY13" s="39" t="str">
        <f t="shared" si="66"/>
        <v/>
      </c>
      <c r="EZ13" s="257">
        <f t="shared" si="67"/>
        <v>0</v>
      </c>
      <c r="FA13" s="257">
        <f t="shared" si="68"/>
        <v>0</v>
      </c>
      <c r="FB13" s="257">
        <f t="shared" si="69"/>
        <v>0</v>
      </c>
      <c r="FC13" s="575">
        <f t="shared" si="70"/>
        <v>3</v>
      </c>
      <c r="FD13" s="506">
        <f t="shared" si="71"/>
        <v>0</v>
      </c>
      <c r="FE13" s="39" t="str">
        <f t="shared" si="72"/>
        <v/>
      </c>
      <c r="FF13" s="257">
        <f t="shared" si="73"/>
        <v>0</v>
      </c>
      <c r="FG13" s="257">
        <f t="shared" si="74"/>
        <v>0</v>
      </c>
      <c r="FH13" s="257">
        <f t="shared" si="75"/>
        <v>0</v>
      </c>
      <c r="FI13" s="575">
        <f t="shared" si="76"/>
        <v>3</v>
      </c>
      <c r="FJ13" s="506">
        <f t="shared" si="77"/>
        <v>0</v>
      </c>
      <c r="FK13" s="39" t="str">
        <f t="shared" si="78"/>
        <v/>
      </c>
      <c r="FL13" s="257">
        <f t="shared" si="79"/>
        <v>0</v>
      </c>
      <c r="FM13" s="257">
        <f t="shared" si="80"/>
        <v>0</v>
      </c>
      <c r="FN13" s="257">
        <f t="shared" si="81"/>
        <v>0</v>
      </c>
      <c r="FO13" s="575">
        <f t="shared" si="82"/>
        <v>3</v>
      </c>
      <c r="FP13" s="506">
        <f t="shared" si="83"/>
        <v>0</v>
      </c>
      <c r="FQ13" s="39" t="str">
        <f t="shared" si="84"/>
        <v/>
      </c>
      <c r="FR13" s="39"/>
      <c r="FS13" s="39">
        <f t="shared" si="85"/>
        <v>90</v>
      </c>
      <c r="FT13" s="39">
        <f t="shared" si="86"/>
        <v>80</v>
      </c>
      <c r="FU13" s="39">
        <f t="shared" si="87"/>
        <v>80</v>
      </c>
      <c r="FV13" s="39" t="str">
        <f t="shared" si="88"/>
        <v/>
      </c>
      <c r="FW13" s="39" t="str">
        <f t="shared" si="89"/>
        <v/>
      </c>
      <c r="FX13" s="39" t="str">
        <f t="shared" si="90"/>
        <v/>
      </c>
      <c r="FY13" s="257" t="str">
        <f t="shared" si="91"/>
        <v/>
      </c>
      <c r="FZ13" s="569">
        <f t="shared" si="92"/>
        <v>83</v>
      </c>
      <c r="GA13" s="289">
        <f t="shared" si="93"/>
        <v>90</v>
      </c>
      <c r="GB13" s="289">
        <f t="shared" si="94"/>
        <v>80</v>
      </c>
      <c r="GC13" s="289" t="str">
        <f>SISWA!E11</f>
        <v>Hasna</v>
      </c>
      <c r="GD13" s="223" t="str">
        <f t="shared" si="95"/>
        <v xml:space="preserve">Ananda Hasna </v>
      </c>
      <c r="GE13" s="580">
        <f t="shared" si="96"/>
        <v>90</v>
      </c>
      <c r="GF13" s="580" t="str">
        <f t="shared" si="97"/>
        <v/>
      </c>
      <c r="GG13" s="580" t="str">
        <f t="shared" si="98"/>
        <v/>
      </c>
      <c r="GH13" s="580" t="str">
        <f t="shared" si="99"/>
        <v/>
      </c>
      <c r="GI13" s="580" t="str">
        <f t="shared" si="100"/>
        <v/>
      </c>
      <c r="GJ13" s="580" t="str">
        <f t="shared" si="101"/>
        <v/>
      </c>
      <c r="GK13" s="580" t="str">
        <f t="shared" si="102"/>
        <v/>
      </c>
      <c r="GL13" s="580"/>
      <c r="GM13" s="580"/>
      <c r="GN13" s="580"/>
      <c r="GO13" s="580"/>
      <c r="GP13" s="223">
        <f t="shared" si="103"/>
        <v>90</v>
      </c>
      <c r="GQ13" s="289" t="str">
        <f t="shared" si="104"/>
        <v>menyampaikan teks deskriptif tentang peristiwa alam dan adat istiadat.</v>
      </c>
      <c r="GR13" s="576" t="str">
        <f>IF(GA13&gt;100,"",IF(GA13&gt;CU$1,"sangat baik dalam "&amp;GQ13,IF(GA13&gt;=CU$2,"baik dalam "&amp;GQ13,IF(GA13&gt;=CU$3,"cukup dalam "&amp;GQ13,IF(GA13&lt;CU$3,"dengan bimbingan dapat meningkatkan dalam "&amp;GQ13,IF(GA13&lt;1," ",””))))))</f>
        <v>baik dalam menyampaikan teks deskriptif tentang peristiwa alam dan adat istiadat.</v>
      </c>
      <c r="GS13" s="223"/>
      <c r="GT13" s="223" t="str">
        <f t="shared" si="105"/>
        <v/>
      </c>
      <c r="GU13" s="223">
        <f t="shared" si="106"/>
        <v>80</v>
      </c>
      <c r="GV13" s="223">
        <f t="shared" si="107"/>
        <v>80</v>
      </c>
      <c r="GW13" s="223" t="str">
        <f t="shared" si="108"/>
        <v/>
      </c>
      <c r="GX13" s="223" t="str">
        <f t="shared" si="109"/>
        <v/>
      </c>
      <c r="GY13" s="223" t="str">
        <f t="shared" si="110"/>
        <v/>
      </c>
      <c r="GZ13" s="223" t="str">
        <f t="shared" si="111"/>
        <v/>
      </c>
      <c r="HA13" s="223"/>
      <c r="HB13" s="223"/>
      <c r="HC13" s="223"/>
      <c r="HD13" s="223"/>
      <c r="HE13" s="223" t="str">
        <f t="shared" si="112"/>
        <v>menceritakan wayang (Ramayana), pakaian tradisional, dan gamelan.</v>
      </c>
      <c r="HF13" s="576" t="str">
        <f>IF(GB13&gt;100,"",IF(GB13&gt;CU$1,"sangat baik dalam "&amp;HE13,IF(GB13&gt;=CU$2,"baik dalam "&amp;HE13,IF(GB13&gt;=CU$3,"cukup dalam "&amp;HE13,IF(GB13&lt;CU$3,"dengan bimbingan dapat meningkatkan dalam "&amp;HE13,IF(GB13&lt;1," ",””))))))</f>
        <v>cukup dalam menceritakan wayang (Ramayana), pakaian tradisional, dan gamelan.</v>
      </c>
      <c r="HG13" s="223" t="str">
        <f t="shared" si="113"/>
        <v>Ananda Hasna baik dalam menyampaikan teks deskriptif tentang peristiwa alam dan adat istiadat., cukup dalam menceritakan wayang (Ramayana), pakaian tradisional, dan gamelan..</v>
      </c>
    </row>
    <row r="14" spans="1:215" ht="30">
      <c r="A14" s="39">
        <v>7</v>
      </c>
      <c r="B14" s="223" t="str">
        <f>SISWA!B12</f>
        <v>Indah Fitria Ningrum</v>
      </c>
      <c r="C14" s="123">
        <v>85</v>
      </c>
      <c r="D14" s="123">
        <v>85</v>
      </c>
      <c r="E14" s="123">
        <v>85</v>
      </c>
      <c r="F14" s="123"/>
      <c r="G14" s="123"/>
      <c r="H14" s="123"/>
      <c r="I14" s="123"/>
      <c r="J14" s="255"/>
      <c r="K14" s="255"/>
      <c r="L14" s="255"/>
      <c r="M14" s="255"/>
      <c r="N14" s="255"/>
      <c r="O14" s="255"/>
      <c r="P14" s="255"/>
      <c r="Q14" s="256"/>
      <c r="R14" s="256"/>
      <c r="S14" s="256"/>
      <c r="T14" s="256"/>
      <c r="U14" s="256"/>
      <c r="V14" s="256"/>
      <c r="W14" s="256"/>
      <c r="X14" s="123"/>
      <c r="Y14" s="123"/>
      <c r="Z14" s="123"/>
      <c r="AA14" s="123"/>
      <c r="AB14" s="123"/>
      <c r="AC14" s="123"/>
      <c r="AD14" s="123"/>
      <c r="AE14" s="255"/>
      <c r="AF14" s="255"/>
      <c r="AG14" s="255"/>
      <c r="AH14" s="255"/>
      <c r="AI14" s="255"/>
      <c r="AJ14" s="255"/>
      <c r="AK14" s="255"/>
      <c r="AL14" s="256"/>
      <c r="AM14" s="256"/>
      <c r="AN14" s="256"/>
      <c r="AO14" s="256"/>
      <c r="AP14" s="256"/>
      <c r="AQ14" s="256"/>
      <c r="AR14" s="256"/>
      <c r="AS14" s="123"/>
      <c r="AT14" s="123"/>
      <c r="AU14" s="123"/>
      <c r="AV14" s="123"/>
      <c r="AW14" s="123"/>
      <c r="AX14" s="123"/>
      <c r="AY14" s="123"/>
      <c r="AZ14" s="255"/>
      <c r="BA14" s="255"/>
      <c r="BB14" s="255"/>
      <c r="BC14" s="255"/>
      <c r="BD14" s="255"/>
      <c r="BE14" s="255"/>
      <c r="BF14" s="255"/>
      <c r="BG14" s="256"/>
      <c r="BH14" s="256"/>
      <c r="BI14" s="256"/>
      <c r="BJ14" s="256"/>
      <c r="BK14" s="256"/>
      <c r="BL14" s="256"/>
      <c r="BM14" s="256"/>
      <c r="BN14" s="123"/>
      <c r="BO14" s="123"/>
      <c r="BP14" s="123"/>
      <c r="BQ14" s="123"/>
      <c r="BR14" s="123"/>
      <c r="BS14" s="123"/>
      <c r="BT14" s="123"/>
      <c r="BU14" s="255"/>
      <c r="BV14" s="255"/>
      <c r="BW14" s="255"/>
      <c r="BX14" s="255"/>
      <c r="BY14" s="255"/>
      <c r="BZ14" s="255"/>
      <c r="CA14" s="255"/>
      <c r="CB14" s="256"/>
      <c r="CC14" s="256"/>
      <c r="CD14" s="256"/>
      <c r="CE14" s="256"/>
      <c r="CF14" s="256"/>
      <c r="CG14" s="256"/>
      <c r="CH14" s="256"/>
      <c r="CI14" s="257">
        <f t="shared" si="10"/>
        <v>85</v>
      </c>
      <c r="CJ14" s="257">
        <f t="shared" si="11"/>
        <v>85</v>
      </c>
      <c r="CK14" s="257">
        <f t="shared" si="12"/>
        <v>85</v>
      </c>
      <c r="CL14" s="257" t="str">
        <f t="shared" si="13"/>
        <v/>
      </c>
      <c r="CM14" s="257" t="str">
        <f t="shared" si="14"/>
        <v/>
      </c>
      <c r="CN14" s="257" t="str">
        <f t="shared" si="15"/>
        <v/>
      </c>
      <c r="CO14" s="257" t="str">
        <f t="shared" si="16"/>
        <v/>
      </c>
      <c r="CP14" s="756">
        <f t="shared" si="4"/>
        <v>85</v>
      </c>
      <c r="CQ14" s="291" t="str">
        <f t="shared" si="17"/>
        <v>B</v>
      </c>
      <c r="CR14" s="243" t="str">
        <f t="shared" si="18"/>
        <v>Ananda Indah baik dalam menceritakan wayang (Ramayana), pakaian tradisional, dan gamelan., baik dalam menceritakan wayang (Ramayana), pakaian tradisional, dan gamelan..</v>
      </c>
      <c r="CS14" s="39"/>
      <c r="CT14" s="39"/>
      <c r="CU14" s="257">
        <f t="shared" si="19"/>
        <v>85</v>
      </c>
      <c r="CV14" s="257">
        <f t="shared" si="20"/>
        <v>85</v>
      </c>
      <c r="CW14" s="257">
        <f t="shared" si="21"/>
        <v>85</v>
      </c>
      <c r="CX14" s="257">
        <f t="shared" si="22"/>
        <v>0</v>
      </c>
      <c r="CY14" s="257">
        <f t="shared" si="23"/>
        <v>0</v>
      </c>
      <c r="CZ14" s="257">
        <f t="shared" si="24"/>
        <v>0</v>
      </c>
      <c r="DA14" s="257">
        <f t="shared" si="25"/>
        <v>0</v>
      </c>
      <c r="DB14" s="257"/>
      <c r="DC14" s="257"/>
      <c r="DD14" s="257"/>
      <c r="DE14" s="289">
        <f t="shared" si="26"/>
        <v>85</v>
      </c>
      <c r="DF14" s="257">
        <f t="shared" si="27"/>
        <v>0</v>
      </c>
      <c r="DG14" s="257">
        <f t="shared" si="28"/>
        <v>0</v>
      </c>
      <c r="DH14" s="257">
        <f t="shared" si="29"/>
        <v>0</v>
      </c>
      <c r="DI14" s="257">
        <f t="shared" si="30"/>
        <v>0</v>
      </c>
      <c r="DJ14" s="257">
        <f t="shared" si="31"/>
        <v>0</v>
      </c>
      <c r="DK14" s="257">
        <f t="shared" si="32"/>
        <v>0</v>
      </c>
      <c r="DL14" s="257">
        <f t="shared" si="33"/>
        <v>0</v>
      </c>
      <c r="DM14" s="223"/>
      <c r="DN14" s="223"/>
      <c r="DO14" s="223"/>
      <c r="DP14" s="289">
        <f t="shared" si="34"/>
        <v>0</v>
      </c>
      <c r="DQ14" s="257">
        <f t="shared" si="35"/>
        <v>0</v>
      </c>
      <c r="DR14" s="257">
        <f t="shared" si="36"/>
        <v>0</v>
      </c>
      <c r="DS14" s="257">
        <f t="shared" si="37"/>
        <v>0</v>
      </c>
      <c r="DT14" s="257">
        <f t="shared" si="38"/>
        <v>0</v>
      </c>
      <c r="DU14" s="257">
        <f t="shared" si="39"/>
        <v>0</v>
      </c>
      <c r="DV14" s="257">
        <f t="shared" si="40"/>
        <v>0</v>
      </c>
      <c r="DW14" s="257">
        <f t="shared" si="41"/>
        <v>0</v>
      </c>
      <c r="DX14" s="223"/>
      <c r="DY14" s="223"/>
      <c r="DZ14" s="223"/>
      <c r="EA14" s="289">
        <f t="shared" si="42"/>
        <v>0</v>
      </c>
      <c r="EB14" s="257">
        <f t="shared" si="43"/>
        <v>85</v>
      </c>
      <c r="EC14" s="257">
        <f t="shared" si="44"/>
        <v>0</v>
      </c>
      <c r="ED14" s="257">
        <f t="shared" si="45"/>
        <v>0</v>
      </c>
      <c r="EE14" s="575">
        <f t="shared" si="46"/>
        <v>2</v>
      </c>
      <c r="EF14" s="506">
        <f t="shared" si="47"/>
        <v>1</v>
      </c>
      <c r="EG14" s="39">
        <f t="shared" si="48"/>
        <v>85</v>
      </c>
      <c r="EH14" s="257">
        <f t="shared" si="49"/>
        <v>85</v>
      </c>
      <c r="EI14" s="257">
        <f t="shared" si="50"/>
        <v>0</v>
      </c>
      <c r="EJ14" s="257">
        <f t="shared" si="51"/>
        <v>0</v>
      </c>
      <c r="EK14" s="575">
        <f t="shared" si="52"/>
        <v>2</v>
      </c>
      <c r="EL14" s="506">
        <f t="shared" si="53"/>
        <v>1</v>
      </c>
      <c r="EM14" s="39">
        <f t="shared" si="54"/>
        <v>85</v>
      </c>
      <c r="EN14" s="257">
        <f t="shared" si="55"/>
        <v>85</v>
      </c>
      <c r="EO14" s="257">
        <f t="shared" si="56"/>
        <v>0</v>
      </c>
      <c r="EP14" s="257">
        <f t="shared" si="57"/>
        <v>0</v>
      </c>
      <c r="EQ14" s="575">
        <f t="shared" si="58"/>
        <v>2</v>
      </c>
      <c r="ER14" s="506">
        <f t="shared" si="59"/>
        <v>1</v>
      </c>
      <c r="ES14" s="39">
        <f t="shared" si="60"/>
        <v>85</v>
      </c>
      <c r="ET14" s="257">
        <f t="shared" si="61"/>
        <v>0</v>
      </c>
      <c r="EU14" s="257">
        <f t="shared" si="62"/>
        <v>0</v>
      </c>
      <c r="EV14" s="257">
        <f t="shared" si="63"/>
        <v>0</v>
      </c>
      <c r="EW14" s="575">
        <f t="shared" si="64"/>
        <v>3</v>
      </c>
      <c r="EX14" s="506">
        <f t="shared" si="65"/>
        <v>0</v>
      </c>
      <c r="EY14" s="39" t="str">
        <f t="shared" si="66"/>
        <v/>
      </c>
      <c r="EZ14" s="257">
        <f t="shared" si="67"/>
        <v>0</v>
      </c>
      <c r="FA14" s="257">
        <f t="shared" si="68"/>
        <v>0</v>
      </c>
      <c r="FB14" s="257">
        <f t="shared" si="69"/>
        <v>0</v>
      </c>
      <c r="FC14" s="575">
        <f t="shared" si="70"/>
        <v>3</v>
      </c>
      <c r="FD14" s="506">
        <f t="shared" si="71"/>
        <v>0</v>
      </c>
      <c r="FE14" s="39" t="str">
        <f t="shared" si="72"/>
        <v/>
      </c>
      <c r="FF14" s="257">
        <f t="shared" si="73"/>
        <v>0</v>
      </c>
      <c r="FG14" s="257">
        <f t="shared" si="74"/>
        <v>0</v>
      </c>
      <c r="FH14" s="257">
        <f t="shared" si="75"/>
        <v>0</v>
      </c>
      <c r="FI14" s="575">
        <f t="shared" si="76"/>
        <v>3</v>
      </c>
      <c r="FJ14" s="506">
        <f t="shared" si="77"/>
        <v>0</v>
      </c>
      <c r="FK14" s="39" t="str">
        <f t="shared" si="78"/>
        <v/>
      </c>
      <c r="FL14" s="257">
        <f t="shared" si="79"/>
        <v>0</v>
      </c>
      <c r="FM14" s="257">
        <f t="shared" si="80"/>
        <v>0</v>
      </c>
      <c r="FN14" s="257">
        <f t="shared" si="81"/>
        <v>0</v>
      </c>
      <c r="FO14" s="575">
        <f t="shared" si="82"/>
        <v>3</v>
      </c>
      <c r="FP14" s="506">
        <f t="shared" si="83"/>
        <v>0</v>
      </c>
      <c r="FQ14" s="39" t="str">
        <f t="shared" si="84"/>
        <v/>
      </c>
      <c r="FR14" s="39"/>
      <c r="FS14" s="39">
        <f t="shared" si="85"/>
        <v>85</v>
      </c>
      <c r="FT14" s="39">
        <f t="shared" si="86"/>
        <v>85</v>
      </c>
      <c r="FU14" s="39">
        <f t="shared" si="87"/>
        <v>85</v>
      </c>
      <c r="FV14" s="39" t="str">
        <f t="shared" si="88"/>
        <v/>
      </c>
      <c r="FW14" s="39" t="str">
        <f t="shared" si="89"/>
        <v/>
      </c>
      <c r="FX14" s="39" t="str">
        <f t="shared" si="90"/>
        <v/>
      </c>
      <c r="FY14" s="257" t="str">
        <f t="shared" si="91"/>
        <v/>
      </c>
      <c r="FZ14" s="569">
        <f t="shared" si="92"/>
        <v>85</v>
      </c>
      <c r="GA14" s="289">
        <f t="shared" si="93"/>
        <v>85</v>
      </c>
      <c r="GB14" s="289">
        <f t="shared" si="94"/>
        <v>85</v>
      </c>
      <c r="GC14" s="289" t="str">
        <f>SISWA!E12</f>
        <v>Indah</v>
      </c>
      <c r="GD14" s="223" t="str">
        <f t="shared" si="95"/>
        <v xml:space="preserve">Ananda Indah </v>
      </c>
      <c r="GE14" s="580">
        <f t="shared" si="96"/>
        <v>85</v>
      </c>
      <c r="GF14" s="580">
        <f t="shared" si="97"/>
        <v>85</v>
      </c>
      <c r="GG14" s="580">
        <f t="shared" si="98"/>
        <v>85</v>
      </c>
      <c r="GH14" s="580" t="str">
        <f t="shared" si="99"/>
        <v/>
      </c>
      <c r="GI14" s="580" t="str">
        <f t="shared" si="100"/>
        <v/>
      </c>
      <c r="GJ14" s="580" t="str">
        <f t="shared" si="101"/>
        <v/>
      </c>
      <c r="GK14" s="580" t="str">
        <f t="shared" si="102"/>
        <v/>
      </c>
      <c r="GL14" s="580"/>
      <c r="GM14" s="580"/>
      <c r="GN14" s="580"/>
      <c r="GO14" s="580"/>
      <c r="GP14" s="223">
        <f t="shared" si="103"/>
        <v>255</v>
      </c>
      <c r="GQ14" s="289" t="str">
        <f t="shared" si="104"/>
        <v>menceritakan wayang (Ramayana), pakaian tradisional, dan gamelan.</v>
      </c>
      <c r="GR14" s="576" t="str">
        <f>IF(GA14&gt;100,"",IF(GA14&gt;CU$1,"sangat baik dalam "&amp;GQ14,IF(GA14&gt;=CU$2,"baik dalam "&amp;GQ14,IF(GA14&gt;=CU$3,"cukup dalam "&amp;GQ14,IF(GA14&lt;CU$3,"dengan bimbingan dapat meningkatkan dalam "&amp;GQ14,IF(GA14&lt;1," ",””))))))</f>
        <v>baik dalam menceritakan wayang (Ramayana), pakaian tradisional, dan gamelan.</v>
      </c>
      <c r="GS14" s="223"/>
      <c r="GT14" s="223">
        <f t="shared" si="105"/>
        <v>85</v>
      </c>
      <c r="GU14" s="223">
        <f t="shared" si="106"/>
        <v>85</v>
      </c>
      <c r="GV14" s="223">
        <f t="shared" si="107"/>
        <v>85</v>
      </c>
      <c r="GW14" s="223" t="str">
        <f t="shared" si="108"/>
        <v/>
      </c>
      <c r="GX14" s="223" t="str">
        <f t="shared" si="109"/>
        <v/>
      </c>
      <c r="GY14" s="223" t="str">
        <f t="shared" si="110"/>
        <v/>
      </c>
      <c r="GZ14" s="223" t="str">
        <f t="shared" si="111"/>
        <v/>
      </c>
      <c r="HA14" s="223"/>
      <c r="HB14" s="223"/>
      <c r="HC14" s="223"/>
      <c r="HD14" s="223"/>
      <c r="HE14" s="223" t="str">
        <f t="shared" si="112"/>
        <v>menceritakan wayang (Ramayana), pakaian tradisional, dan gamelan.</v>
      </c>
      <c r="HF14" s="576" t="str">
        <f>IF(GB14&gt;100,"",IF(GB14&gt;CU$1,"sangat baik dalam "&amp;HE14,IF(GB14&gt;=CU$2,"baik dalam "&amp;HE14,IF(GB14&gt;=CU$3,"cukup dalam "&amp;HE14,IF(GB14&lt;CU$3,"dengan bimbingan dapat meningkatkan dalam "&amp;HE14,IF(GB14&lt;1," ",””))))))</f>
        <v>baik dalam menceritakan wayang (Ramayana), pakaian tradisional, dan gamelan.</v>
      </c>
      <c r="HG14" s="223" t="str">
        <f t="shared" si="113"/>
        <v>Ananda Indah baik dalam menceritakan wayang (Ramayana), pakaian tradisional, dan gamelan., baik dalam menceritakan wayang (Ramayana), pakaian tradisional, dan gamelan..</v>
      </c>
    </row>
    <row r="15" spans="1:215" ht="30">
      <c r="A15" s="39">
        <v>8</v>
      </c>
      <c r="B15" s="223" t="str">
        <f>SISWA!B13</f>
        <v>Muhammad Ilham Sarifuddin</v>
      </c>
      <c r="C15" s="123">
        <v>85</v>
      </c>
      <c r="D15" s="123">
        <v>80</v>
      </c>
      <c r="E15" s="123">
        <v>80</v>
      </c>
      <c r="F15" s="123"/>
      <c r="G15" s="123"/>
      <c r="H15" s="123"/>
      <c r="I15" s="123"/>
      <c r="J15" s="255"/>
      <c r="K15" s="255"/>
      <c r="L15" s="255"/>
      <c r="M15" s="255"/>
      <c r="N15" s="255"/>
      <c r="O15" s="255"/>
      <c r="P15" s="255"/>
      <c r="Q15" s="256"/>
      <c r="R15" s="256"/>
      <c r="S15" s="256"/>
      <c r="T15" s="256"/>
      <c r="U15" s="256"/>
      <c r="V15" s="256"/>
      <c r="W15" s="256"/>
      <c r="X15" s="123"/>
      <c r="Y15" s="123"/>
      <c r="Z15" s="123"/>
      <c r="AA15" s="123"/>
      <c r="AB15" s="123"/>
      <c r="AC15" s="123"/>
      <c r="AD15" s="123"/>
      <c r="AE15" s="255"/>
      <c r="AF15" s="255"/>
      <c r="AG15" s="255"/>
      <c r="AH15" s="255"/>
      <c r="AI15" s="255"/>
      <c r="AJ15" s="255"/>
      <c r="AK15" s="255"/>
      <c r="AL15" s="256"/>
      <c r="AM15" s="256"/>
      <c r="AN15" s="256"/>
      <c r="AO15" s="256"/>
      <c r="AP15" s="256"/>
      <c r="AQ15" s="256"/>
      <c r="AR15" s="256"/>
      <c r="AS15" s="123"/>
      <c r="AT15" s="123"/>
      <c r="AU15" s="123"/>
      <c r="AV15" s="123"/>
      <c r="AW15" s="123"/>
      <c r="AX15" s="123"/>
      <c r="AY15" s="123"/>
      <c r="AZ15" s="255"/>
      <c r="BA15" s="255"/>
      <c r="BB15" s="255"/>
      <c r="BC15" s="255"/>
      <c r="BD15" s="255"/>
      <c r="BE15" s="255"/>
      <c r="BF15" s="255"/>
      <c r="BG15" s="256"/>
      <c r="BH15" s="256"/>
      <c r="BI15" s="256"/>
      <c r="BJ15" s="256"/>
      <c r="BK15" s="256"/>
      <c r="BL15" s="256"/>
      <c r="BM15" s="256"/>
      <c r="BN15" s="123"/>
      <c r="BO15" s="123"/>
      <c r="BP15" s="123"/>
      <c r="BQ15" s="123"/>
      <c r="BR15" s="123"/>
      <c r="BS15" s="123"/>
      <c r="BT15" s="123"/>
      <c r="BU15" s="255"/>
      <c r="BV15" s="255"/>
      <c r="BW15" s="255"/>
      <c r="BX15" s="255"/>
      <c r="BY15" s="255"/>
      <c r="BZ15" s="255"/>
      <c r="CA15" s="255"/>
      <c r="CB15" s="256"/>
      <c r="CC15" s="256"/>
      <c r="CD15" s="256"/>
      <c r="CE15" s="256"/>
      <c r="CF15" s="256"/>
      <c r="CG15" s="256"/>
      <c r="CH15" s="256"/>
      <c r="CI15" s="257">
        <f t="shared" si="10"/>
        <v>85</v>
      </c>
      <c r="CJ15" s="257">
        <f t="shared" si="11"/>
        <v>80</v>
      </c>
      <c r="CK15" s="257">
        <f t="shared" si="12"/>
        <v>80</v>
      </c>
      <c r="CL15" s="257" t="str">
        <f t="shared" si="13"/>
        <v/>
      </c>
      <c r="CM15" s="257" t="str">
        <f t="shared" si="14"/>
        <v/>
      </c>
      <c r="CN15" s="257" t="str">
        <f t="shared" si="15"/>
        <v/>
      </c>
      <c r="CO15" s="257" t="str">
        <f t="shared" si="16"/>
        <v/>
      </c>
      <c r="CP15" s="756">
        <f t="shared" si="4"/>
        <v>82</v>
      </c>
      <c r="CQ15" s="291" t="str">
        <f t="shared" si="17"/>
        <v>C</v>
      </c>
      <c r="CR15" s="243" t="str">
        <f t="shared" si="18"/>
        <v>Ananda Ilham baik dalam menyampaikan teks deskriptif tentang peristiwa alam dan adat istiadat., cukup dalam menceritakan wayang (Ramayana), pakaian tradisional, dan gamelan..</v>
      </c>
      <c r="CS15" s="39"/>
      <c r="CT15" s="39"/>
      <c r="CU15" s="257">
        <f t="shared" si="19"/>
        <v>85</v>
      </c>
      <c r="CV15" s="257">
        <f t="shared" si="20"/>
        <v>80</v>
      </c>
      <c r="CW15" s="257">
        <f t="shared" si="21"/>
        <v>80</v>
      </c>
      <c r="CX15" s="257">
        <f t="shared" si="22"/>
        <v>0</v>
      </c>
      <c r="CY15" s="257">
        <f t="shared" si="23"/>
        <v>0</v>
      </c>
      <c r="CZ15" s="257">
        <f t="shared" si="24"/>
        <v>0</v>
      </c>
      <c r="DA15" s="257">
        <f t="shared" si="25"/>
        <v>0</v>
      </c>
      <c r="DB15" s="257"/>
      <c r="DC15" s="257"/>
      <c r="DD15" s="257"/>
      <c r="DE15" s="289">
        <f t="shared" si="26"/>
        <v>85</v>
      </c>
      <c r="DF15" s="257">
        <f t="shared" si="27"/>
        <v>0</v>
      </c>
      <c r="DG15" s="257">
        <f t="shared" si="28"/>
        <v>0</v>
      </c>
      <c r="DH15" s="257">
        <f t="shared" si="29"/>
        <v>0</v>
      </c>
      <c r="DI15" s="257">
        <f t="shared" si="30"/>
        <v>0</v>
      </c>
      <c r="DJ15" s="257">
        <f t="shared" si="31"/>
        <v>0</v>
      </c>
      <c r="DK15" s="257">
        <f t="shared" si="32"/>
        <v>0</v>
      </c>
      <c r="DL15" s="257">
        <f t="shared" si="33"/>
        <v>0</v>
      </c>
      <c r="DM15" s="223"/>
      <c r="DN15" s="223"/>
      <c r="DO15" s="223"/>
      <c r="DP15" s="289">
        <f t="shared" si="34"/>
        <v>0</v>
      </c>
      <c r="DQ15" s="257">
        <f t="shared" si="35"/>
        <v>0</v>
      </c>
      <c r="DR15" s="257">
        <f t="shared" si="36"/>
        <v>0</v>
      </c>
      <c r="DS15" s="257">
        <f t="shared" si="37"/>
        <v>0</v>
      </c>
      <c r="DT15" s="257">
        <f t="shared" si="38"/>
        <v>0</v>
      </c>
      <c r="DU15" s="257">
        <f t="shared" si="39"/>
        <v>0</v>
      </c>
      <c r="DV15" s="257">
        <f t="shared" si="40"/>
        <v>0</v>
      </c>
      <c r="DW15" s="257">
        <f t="shared" si="41"/>
        <v>0</v>
      </c>
      <c r="DX15" s="223"/>
      <c r="DY15" s="223"/>
      <c r="DZ15" s="223"/>
      <c r="EA15" s="289">
        <f t="shared" si="42"/>
        <v>0</v>
      </c>
      <c r="EB15" s="257">
        <f t="shared" si="43"/>
        <v>85</v>
      </c>
      <c r="EC15" s="257">
        <f t="shared" si="44"/>
        <v>0</v>
      </c>
      <c r="ED15" s="257">
        <f t="shared" si="45"/>
        <v>0</v>
      </c>
      <c r="EE15" s="575">
        <f t="shared" si="46"/>
        <v>2</v>
      </c>
      <c r="EF15" s="506">
        <f t="shared" si="47"/>
        <v>1</v>
      </c>
      <c r="EG15" s="39">
        <f t="shared" si="48"/>
        <v>85</v>
      </c>
      <c r="EH15" s="257">
        <f t="shared" si="49"/>
        <v>80</v>
      </c>
      <c r="EI15" s="257">
        <f t="shared" si="50"/>
        <v>0</v>
      </c>
      <c r="EJ15" s="257">
        <f t="shared" si="51"/>
        <v>0</v>
      </c>
      <c r="EK15" s="575">
        <f t="shared" si="52"/>
        <v>2</v>
      </c>
      <c r="EL15" s="506">
        <f t="shared" si="53"/>
        <v>1</v>
      </c>
      <c r="EM15" s="39">
        <f t="shared" si="54"/>
        <v>80</v>
      </c>
      <c r="EN15" s="257">
        <f t="shared" si="55"/>
        <v>80</v>
      </c>
      <c r="EO15" s="257">
        <f t="shared" si="56"/>
        <v>0</v>
      </c>
      <c r="EP15" s="257">
        <f t="shared" si="57"/>
        <v>0</v>
      </c>
      <c r="EQ15" s="575">
        <f t="shared" si="58"/>
        <v>2</v>
      </c>
      <c r="ER15" s="506">
        <f t="shared" si="59"/>
        <v>1</v>
      </c>
      <c r="ES15" s="39">
        <f t="shared" si="60"/>
        <v>80</v>
      </c>
      <c r="ET15" s="257">
        <f t="shared" si="61"/>
        <v>0</v>
      </c>
      <c r="EU15" s="257">
        <f t="shared" si="62"/>
        <v>0</v>
      </c>
      <c r="EV15" s="257">
        <f t="shared" si="63"/>
        <v>0</v>
      </c>
      <c r="EW15" s="575">
        <f t="shared" si="64"/>
        <v>3</v>
      </c>
      <c r="EX15" s="506">
        <f t="shared" si="65"/>
        <v>0</v>
      </c>
      <c r="EY15" s="39" t="str">
        <f t="shared" si="66"/>
        <v/>
      </c>
      <c r="EZ15" s="257">
        <f t="shared" si="67"/>
        <v>0</v>
      </c>
      <c r="FA15" s="257">
        <f t="shared" si="68"/>
        <v>0</v>
      </c>
      <c r="FB15" s="257">
        <f t="shared" si="69"/>
        <v>0</v>
      </c>
      <c r="FC15" s="575">
        <f t="shared" si="70"/>
        <v>3</v>
      </c>
      <c r="FD15" s="506">
        <f t="shared" si="71"/>
        <v>0</v>
      </c>
      <c r="FE15" s="39" t="str">
        <f t="shared" si="72"/>
        <v/>
      </c>
      <c r="FF15" s="257">
        <f t="shared" si="73"/>
        <v>0</v>
      </c>
      <c r="FG15" s="257">
        <f t="shared" si="74"/>
        <v>0</v>
      </c>
      <c r="FH15" s="257">
        <f t="shared" si="75"/>
        <v>0</v>
      </c>
      <c r="FI15" s="575">
        <f t="shared" si="76"/>
        <v>3</v>
      </c>
      <c r="FJ15" s="506">
        <f t="shared" si="77"/>
        <v>0</v>
      </c>
      <c r="FK15" s="39" t="str">
        <f t="shared" si="78"/>
        <v/>
      </c>
      <c r="FL15" s="257">
        <f t="shared" si="79"/>
        <v>0</v>
      </c>
      <c r="FM15" s="257">
        <f t="shared" si="80"/>
        <v>0</v>
      </c>
      <c r="FN15" s="257">
        <f t="shared" si="81"/>
        <v>0</v>
      </c>
      <c r="FO15" s="575">
        <f t="shared" si="82"/>
        <v>3</v>
      </c>
      <c r="FP15" s="506">
        <f t="shared" si="83"/>
        <v>0</v>
      </c>
      <c r="FQ15" s="39" t="str">
        <f t="shared" si="84"/>
        <v/>
      </c>
      <c r="FR15" s="39"/>
      <c r="FS15" s="39">
        <f t="shared" si="85"/>
        <v>85</v>
      </c>
      <c r="FT15" s="39">
        <f t="shared" si="86"/>
        <v>80</v>
      </c>
      <c r="FU15" s="39">
        <f t="shared" si="87"/>
        <v>80</v>
      </c>
      <c r="FV15" s="39" t="str">
        <f t="shared" si="88"/>
        <v/>
      </c>
      <c r="FW15" s="39" t="str">
        <f t="shared" si="89"/>
        <v/>
      </c>
      <c r="FX15" s="39" t="str">
        <f t="shared" si="90"/>
        <v/>
      </c>
      <c r="FY15" s="257" t="str">
        <f t="shared" si="91"/>
        <v/>
      </c>
      <c r="FZ15" s="569">
        <f t="shared" si="92"/>
        <v>82</v>
      </c>
      <c r="GA15" s="289">
        <f t="shared" si="93"/>
        <v>85</v>
      </c>
      <c r="GB15" s="289">
        <f t="shared" si="94"/>
        <v>80</v>
      </c>
      <c r="GC15" s="289" t="str">
        <f>SISWA!E13</f>
        <v>Ilham</v>
      </c>
      <c r="GD15" s="223" t="str">
        <f t="shared" si="95"/>
        <v xml:space="preserve">Ananda Ilham </v>
      </c>
      <c r="GE15" s="580">
        <f t="shared" si="96"/>
        <v>85</v>
      </c>
      <c r="GF15" s="580" t="str">
        <f t="shared" si="97"/>
        <v/>
      </c>
      <c r="GG15" s="580" t="str">
        <f t="shared" si="98"/>
        <v/>
      </c>
      <c r="GH15" s="580" t="str">
        <f t="shared" si="99"/>
        <v/>
      </c>
      <c r="GI15" s="580" t="str">
        <f t="shared" si="100"/>
        <v/>
      </c>
      <c r="GJ15" s="580" t="str">
        <f t="shared" si="101"/>
        <v/>
      </c>
      <c r="GK15" s="580" t="str">
        <f t="shared" si="102"/>
        <v/>
      </c>
      <c r="GL15" s="580"/>
      <c r="GM15" s="580"/>
      <c r="GN15" s="580"/>
      <c r="GO15" s="580"/>
      <c r="GP15" s="223">
        <f t="shared" si="103"/>
        <v>85</v>
      </c>
      <c r="GQ15" s="289" t="str">
        <f t="shared" si="104"/>
        <v>menyampaikan teks deskriptif tentang peristiwa alam dan adat istiadat.</v>
      </c>
      <c r="GR15" s="576" t="str">
        <f>IF(GA15&gt;100,"",IF(GA15&gt;CU$1,"sangat baik dalam "&amp;GQ15,IF(GA15&gt;=CU$2,"baik dalam "&amp;GQ15,IF(GA15&gt;=CU$3,"cukup dalam "&amp;GQ15,IF(GA15&lt;CU$3,"dengan bimbingan dapat meningkatkan dalam "&amp;GQ15,IF(GA15&lt;1," ",””))))))</f>
        <v>baik dalam menyampaikan teks deskriptif tentang peristiwa alam dan adat istiadat.</v>
      </c>
      <c r="GS15" s="223"/>
      <c r="GT15" s="223" t="str">
        <f t="shared" si="105"/>
        <v/>
      </c>
      <c r="GU15" s="223">
        <f t="shared" si="106"/>
        <v>80</v>
      </c>
      <c r="GV15" s="223">
        <f t="shared" si="107"/>
        <v>80</v>
      </c>
      <c r="GW15" s="223" t="str">
        <f t="shared" si="108"/>
        <v/>
      </c>
      <c r="GX15" s="223" t="str">
        <f t="shared" si="109"/>
        <v/>
      </c>
      <c r="GY15" s="223" t="str">
        <f t="shared" si="110"/>
        <v/>
      </c>
      <c r="GZ15" s="223" t="str">
        <f t="shared" si="111"/>
        <v/>
      </c>
      <c r="HA15" s="223"/>
      <c r="HB15" s="223"/>
      <c r="HC15" s="223"/>
      <c r="HD15" s="223"/>
      <c r="HE15" s="223" t="str">
        <f t="shared" si="112"/>
        <v>menceritakan wayang (Ramayana), pakaian tradisional, dan gamelan.</v>
      </c>
      <c r="HF15" s="576" t="str">
        <f>IF(GB15&gt;100,"",IF(GB15&gt;CU$1,"sangat baik dalam "&amp;HE15,IF(GB15&gt;=CU$2,"baik dalam "&amp;HE15,IF(GB15&gt;=CU$3,"cukup dalam "&amp;HE15,IF(GB15&lt;CU$3,"dengan bimbingan dapat meningkatkan dalam "&amp;HE15,IF(GB15&lt;1," ",””))))))</f>
        <v>cukup dalam menceritakan wayang (Ramayana), pakaian tradisional, dan gamelan.</v>
      </c>
      <c r="HG15" s="223" t="str">
        <f t="shared" si="113"/>
        <v>Ananda Ilham baik dalam menyampaikan teks deskriptif tentang peristiwa alam dan adat istiadat., cukup dalam menceritakan wayang (Ramayana), pakaian tradisional, dan gamelan..</v>
      </c>
    </row>
    <row r="16" spans="1:215" ht="30">
      <c r="A16" s="39">
        <v>9</v>
      </c>
      <c r="B16" s="223" t="str">
        <f>SISWA!B14</f>
        <v>Muhammad Raditya Ainul Yaqin</v>
      </c>
      <c r="C16" s="123">
        <v>85</v>
      </c>
      <c r="D16" s="123">
        <v>80</v>
      </c>
      <c r="E16" s="123">
        <v>80</v>
      </c>
      <c r="F16" s="123"/>
      <c r="G16" s="123"/>
      <c r="H16" s="123"/>
      <c r="I16" s="123"/>
      <c r="J16" s="255"/>
      <c r="K16" s="255"/>
      <c r="L16" s="255"/>
      <c r="M16" s="255"/>
      <c r="N16" s="255"/>
      <c r="O16" s="255"/>
      <c r="P16" s="255"/>
      <c r="Q16" s="256"/>
      <c r="R16" s="256"/>
      <c r="S16" s="256"/>
      <c r="T16" s="256"/>
      <c r="U16" s="256"/>
      <c r="V16" s="256"/>
      <c r="W16" s="256"/>
      <c r="X16" s="123"/>
      <c r="Y16" s="123"/>
      <c r="Z16" s="123"/>
      <c r="AA16" s="123"/>
      <c r="AB16" s="123"/>
      <c r="AC16" s="123"/>
      <c r="AD16" s="123"/>
      <c r="AE16" s="255"/>
      <c r="AF16" s="255"/>
      <c r="AG16" s="255"/>
      <c r="AH16" s="255"/>
      <c r="AI16" s="255"/>
      <c r="AJ16" s="255"/>
      <c r="AK16" s="255"/>
      <c r="AL16" s="256"/>
      <c r="AM16" s="256"/>
      <c r="AN16" s="256"/>
      <c r="AO16" s="256"/>
      <c r="AP16" s="256"/>
      <c r="AQ16" s="256"/>
      <c r="AR16" s="256"/>
      <c r="AS16" s="123"/>
      <c r="AT16" s="123"/>
      <c r="AU16" s="123"/>
      <c r="AV16" s="123"/>
      <c r="AW16" s="123"/>
      <c r="AX16" s="123"/>
      <c r="AY16" s="123"/>
      <c r="AZ16" s="255"/>
      <c r="BA16" s="255"/>
      <c r="BB16" s="255"/>
      <c r="BC16" s="255"/>
      <c r="BD16" s="255"/>
      <c r="BE16" s="255"/>
      <c r="BF16" s="255"/>
      <c r="BG16" s="256"/>
      <c r="BH16" s="256"/>
      <c r="BI16" s="256"/>
      <c r="BJ16" s="256"/>
      <c r="BK16" s="256"/>
      <c r="BL16" s="256"/>
      <c r="BM16" s="256"/>
      <c r="BN16" s="123"/>
      <c r="BO16" s="123"/>
      <c r="BP16" s="123"/>
      <c r="BQ16" s="123"/>
      <c r="BR16" s="123"/>
      <c r="BS16" s="123"/>
      <c r="BT16" s="123"/>
      <c r="BU16" s="255"/>
      <c r="BV16" s="255"/>
      <c r="BW16" s="255"/>
      <c r="BX16" s="255"/>
      <c r="BY16" s="255"/>
      <c r="BZ16" s="255"/>
      <c r="CA16" s="255"/>
      <c r="CB16" s="256"/>
      <c r="CC16" s="256"/>
      <c r="CD16" s="256"/>
      <c r="CE16" s="256"/>
      <c r="CF16" s="256"/>
      <c r="CG16" s="256"/>
      <c r="CH16" s="256"/>
      <c r="CI16" s="257">
        <f t="shared" si="10"/>
        <v>85</v>
      </c>
      <c r="CJ16" s="257">
        <f t="shared" si="11"/>
        <v>80</v>
      </c>
      <c r="CK16" s="257">
        <f t="shared" si="12"/>
        <v>80</v>
      </c>
      <c r="CL16" s="257" t="str">
        <f t="shared" si="13"/>
        <v/>
      </c>
      <c r="CM16" s="257" t="str">
        <f t="shared" si="14"/>
        <v/>
      </c>
      <c r="CN16" s="257" t="str">
        <f t="shared" si="15"/>
        <v/>
      </c>
      <c r="CO16" s="257" t="str">
        <f t="shared" si="16"/>
        <v/>
      </c>
      <c r="CP16" s="756">
        <f t="shared" si="4"/>
        <v>82</v>
      </c>
      <c r="CQ16" s="291" t="str">
        <f t="shared" si="17"/>
        <v>C</v>
      </c>
      <c r="CR16" s="243" t="str">
        <f t="shared" si="18"/>
        <v>Ananda Radit baik dalam menyampaikan teks deskriptif tentang peristiwa alam dan adat istiadat., cukup dalam menceritakan wayang (Ramayana), pakaian tradisional, dan gamelan..</v>
      </c>
      <c r="CS16" s="39"/>
      <c r="CT16" s="39"/>
      <c r="CU16" s="257">
        <f t="shared" si="19"/>
        <v>85</v>
      </c>
      <c r="CV16" s="257">
        <f t="shared" si="20"/>
        <v>80</v>
      </c>
      <c r="CW16" s="257">
        <f t="shared" si="21"/>
        <v>80</v>
      </c>
      <c r="CX16" s="257">
        <f t="shared" si="22"/>
        <v>0</v>
      </c>
      <c r="CY16" s="257">
        <f t="shared" si="23"/>
        <v>0</v>
      </c>
      <c r="CZ16" s="257">
        <f t="shared" si="24"/>
        <v>0</v>
      </c>
      <c r="DA16" s="257">
        <f t="shared" si="25"/>
        <v>0</v>
      </c>
      <c r="DB16" s="257"/>
      <c r="DC16" s="257"/>
      <c r="DD16" s="257"/>
      <c r="DE16" s="289">
        <f t="shared" si="26"/>
        <v>85</v>
      </c>
      <c r="DF16" s="257">
        <f t="shared" si="27"/>
        <v>0</v>
      </c>
      <c r="DG16" s="257">
        <f t="shared" si="28"/>
        <v>0</v>
      </c>
      <c r="DH16" s="257">
        <f t="shared" si="29"/>
        <v>0</v>
      </c>
      <c r="DI16" s="257">
        <f t="shared" si="30"/>
        <v>0</v>
      </c>
      <c r="DJ16" s="257">
        <f t="shared" si="31"/>
        <v>0</v>
      </c>
      <c r="DK16" s="257">
        <f t="shared" si="32"/>
        <v>0</v>
      </c>
      <c r="DL16" s="257">
        <f t="shared" si="33"/>
        <v>0</v>
      </c>
      <c r="DM16" s="223"/>
      <c r="DN16" s="223"/>
      <c r="DO16" s="223"/>
      <c r="DP16" s="289">
        <f t="shared" si="34"/>
        <v>0</v>
      </c>
      <c r="DQ16" s="257">
        <f t="shared" si="35"/>
        <v>0</v>
      </c>
      <c r="DR16" s="257">
        <f t="shared" si="36"/>
        <v>0</v>
      </c>
      <c r="DS16" s="257">
        <f t="shared" si="37"/>
        <v>0</v>
      </c>
      <c r="DT16" s="257">
        <f t="shared" si="38"/>
        <v>0</v>
      </c>
      <c r="DU16" s="257">
        <f t="shared" si="39"/>
        <v>0</v>
      </c>
      <c r="DV16" s="257">
        <f t="shared" si="40"/>
        <v>0</v>
      </c>
      <c r="DW16" s="257">
        <f t="shared" si="41"/>
        <v>0</v>
      </c>
      <c r="DX16" s="223"/>
      <c r="DY16" s="223"/>
      <c r="DZ16" s="223"/>
      <c r="EA16" s="289">
        <f t="shared" si="42"/>
        <v>0</v>
      </c>
      <c r="EB16" s="257">
        <f t="shared" si="43"/>
        <v>85</v>
      </c>
      <c r="EC16" s="257">
        <f t="shared" si="44"/>
        <v>0</v>
      </c>
      <c r="ED16" s="257">
        <f t="shared" si="45"/>
        <v>0</v>
      </c>
      <c r="EE16" s="575">
        <f t="shared" si="46"/>
        <v>2</v>
      </c>
      <c r="EF16" s="506">
        <f t="shared" si="47"/>
        <v>1</v>
      </c>
      <c r="EG16" s="39">
        <f t="shared" si="48"/>
        <v>85</v>
      </c>
      <c r="EH16" s="257">
        <f t="shared" si="49"/>
        <v>80</v>
      </c>
      <c r="EI16" s="257">
        <f t="shared" si="50"/>
        <v>0</v>
      </c>
      <c r="EJ16" s="257">
        <f t="shared" si="51"/>
        <v>0</v>
      </c>
      <c r="EK16" s="575">
        <f t="shared" si="52"/>
        <v>2</v>
      </c>
      <c r="EL16" s="506">
        <f t="shared" si="53"/>
        <v>1</v>
      </c>
      <c r="EM16" s="39">
        <f t="shared" si="54"/>
        <v>80</v>
      </c>
      <c r="EN16" s="257">
        <f t="shared" si="55"/>
        <v>80</v>
      </c>
      <c r="EO16" s="257">
        <f t="shared" si="56"/>
        <v>0</v>
      </c>
      <c r="EP16" s="257">
        <f t="shared" si="57"/>
        <v>0</v>
      </c>
      <c r="EQ16" s="575">
        <f t="shared" si="58"/>
        <v>2</v>
      </c>
      <c r="ER16" s="506">
        <f t="shared" si="59"/>
        <v>1</v>
      </c>
      <c r="ES16" s="39">
        <f t="shared" si="60"/>
        <v>80</v>
      </c>
      <c r="ET16" s="257">
        <f t="shared" si="61"/>
        <v>0</v>
      </c>
      <c r="EU16" s="257">
        <f t="shared" si="62"/>
        <v>0</v>
      </c>
      <c r="EV16" s="257">
        <f t="shared" si="63"/>
        <v>0</v>
      </c>
      <c r="EW16" s="575">
        <f t="shared" si="64"/>
        <v>3</v>
      </c>
      <c r="EX16" s="506">
        <f t="shared" si="65"/>
        <v>0</v>
      </c>
      <c r="EY16" s="39" t="str">
        <f t="shared" si="66"/>
        <v/>
      </c>
      <c r="EZ16" s="257">
        <f t="shared" si="67"/>
        <v>0</v>
      </c>
      <c r="FA16" s="257">
        <f t="shared" si="68"/>
        <v>0</v>
      </c>
      <c r="FB16" s="257">
        <f t="shared" si="69"/>
        <v>0</v>
      </c>
      <c r="FC16" s="575">
        <f t="shared" si="70"/>
        <v>3</v>
      </c>
      <c r="FD16" s="506">
        <f t="shared" si="71"/>
        <v>0</v>
      </c>
      <c r="FE16" s="39" t="str">
        <f t="shared" si="72"/>
        <v/>
      </c>
      <c r="FF16" s="257">
        <f t="shared" si="73"/>
        <v>0</v>
      </c>
      <c r="FG16" s="257">
        <f t="shared" si="74"/>
        <v>0</v>
      </c>
      <c r="FH16" s="257">
        <f t="shared" si="75"/>
        <v>0</v>
      </c>
      <c r="FI16" s="575">
        <f t="shared" si="76"/>
        <v>3</v>
      </c>
      <c r="FJ16" s="506">
        <f t="shared" si="77"/>
        <v>0</v>
      </c>
      <c r="FK16" s="39" t="str">
        <f t="shared" si="78"/>
        <v/>
      </c>
      <c r="FL16" s="257">
        <f t="shared" si="79"/>
        <v>0</v>
      </c>
      <c r="FM16" s="257">
        <f t="shared" si="80"/>
        <v>0</v>
      </c>
      <c r="FN16" s="257">
        <f t="shared" si="81"/>
        <v>0</v>
      </c>
      <c r="FO16" s="575">
        <f t="shared" si="82"/>
        <v>3</v>
      </c>
      <c r="FP16" s="506">
        <f t="shared" si="83"/>
        <v>0</v>
      </c>
      <c r="FQ16" s="39" t="str">
        <f t="shared" si="84"/>
        <v/>
      </c>
      <c r="FR16" s="39"/>
      <c r="FS16" s="39">
        <f t="shared" si="85"/>
        <v>85</v>
      </c>
      <c r="FT16" s="39">
        <f t="shared" si="86"/>
        <v>80</v>
      </c>
      <c r="FU16" s="39">
        <f t="shared" si="87"/>
        <v>80</v>
      </c>
      <c r="FV16" s="39" t="str">
        <f t="shared" si="88"/>
        <v/>
      </c>
      <c r="FW16" s="39" t="str">
        <f t="shared" si="89"/>
        <v/>
      </c>
      <c r="FX16" s="39" t="str">
        <f t="shared" si="90"/>
        <v/>
      </c>
      <c r="FY16" s="257" t="str">
        <f t="shared" si="91"/>
        <v/>
      </c>
      <c r="FZ16" s="569">
        <f t="shared" si="92"/>
        <v>82</v>
      </c>
      <c r="GA16" s="289">
        <f t="shared" si="93"/>
        <v>85</v>
      </c>
      <c r="GB16" s="289">
        <f t="shared" si="94"/>
        <v>80</v>
      </c>
      <c r="GC16" s="289" t="str">
        <f>SISWA!E14</f>
        <v>Radit</v>
      </c>
      <c r="GD16" s="223" t="str">
        <f t="shared" si="95"/>
        <v xml:space="preserve">Ananda Radit </v>
      </c>
      <c r="GE16" s="580">
        <f t="shared" si="96"/>
        <v>85</v>
      </c>
      <c r="GF16" s="580" t="str">
        <f t="shared" si="97"/>
        <v/>
      </c>
      <c r="GG16" s="580" t="str">
        <f t="shared" si="98"/>
        <v/>
      </c>
      <c r="GH16" s="580" t="str">
        <f t="shared" si="99"/>
        <v/>
      </c>
      <c r="GI16" s="580" t="str">
        <f t="shared" si="100"/>
        <v/>
      </c>
      <c r="GJ16" s="580" t="str">
        <f t="shared" si="101"/>
        <v/>
      </c>
      <c r="GK16" s="580" t="str">
        <f t="shared" si="102"/>
        <v/>
      </c>
      <c r="GL16" s="580"/>
      <c r="GM16" s="580"/>
      <c r="GN16" s="580"/>
      <c r="GO16" s="580"/>
      <c r="GP16" s="223">
        <f t="shared" si="103"/>
        <v>85</v>
      </c>
      <c r="GQ16" s="289" t="str">
        <f t="shared" si="104"/>
        <v>menyampaikan teks deskriptif tentang peristiwa alam dan adat istiadat.</v>
      </c>
      <c r="GR16" s="576" t="str">
        <f>IF(GA16&gt;100,"",IF(GA16&gt;CU$1,"sangat baik dalam "&amp;GQ16,IF(GA16&gt;=CU$2,"baik dalam "&amp;GQ16,IF(GA16&gt;=CU$3,"cukup dalam "&amp;GQ16,IF(GA16&lt;CU$3,"dengan bimbingan dapat meningkatkan dalam "&amp;GQ16,IF(GA16&lt;1," ",””))))))</f>
        <v>baik dalam menyampaikan teks deskriptif tentang peristiwa alam dan adat istiadat.</v>
      </c>
      <c r="GS16" s="223"/>
      <c r="GT16" s="223" t="str">
        <f t="shared" si="105"/>
        <v/>
      </c>
      <c r="GU16" s="223">
        <f t="shared" si="106"/>
        <v>80</v>
      </c>
      <c r="GV16" s="223">
        <f t="shared" si="107"/>
        <v>80</v>
      </c>
      <c r="GW16" s="223" t="str">
        <f t="shared" si="108"/>
        <v/>
      </c>
      <c r="GX16" s="223" t="str">
        <f t="shared" si="109"/>
        <v/>
      </c>
      <c r="GY16" s="223" t="str">
        <f t="shared" si="110"/>
        <v/>
      </c>
      <c r="GZ16" s="223" t="str">
        <f t="shared" si="111"/>
        <v/>
      </c>
      <c r="HA16" s="223"/>
      <c r="HB16" s="223"/>
      <c r="HC16" s="223"/>
      <c r="HD16" s="223"/>
      <c r="HE16" s="223" t="str">
        <f t="shared" si="112"/>
        <v>menceritakan wayang (Ramayana), pakaian tradisional, dan gamelan.</v>
      </c>
      <c r="HF16" s="576" t="str">
        <f>IF(GB16&gt;100,"",IF(GB16&gt;CU$1,"sangat baik dalam "&amp;HE16,IF(GB16&gt;=CU$2,"baik dalam "&amp;HE16,IF(GB16&gt;=CU$3,"cukup dalam "&amp;HE16,IF(GB16&lt;CU$3,"dengan bimbingan dapat meningkatkan dalam "&amp;HE16,IF(GB16&lt;1," ",””))))))</f>
        <v>cukup dalam menceritakan wayang (Ramayana), pakaian tradisional, dan gamelan.</v>
      </c>
      <c r="HG16" s="223" t="str">
        <f t="shared" si="113"/>
        <v>Ananda Radit baik dalam menyampaikan teks deskriptif tentang peristiwa alam dan adat istiadat., cukup dalam menceritakan wayang (Ramayana), pakaian tradisional, dan gamelan..</v>
      </c>
    </row>
    <row r="17" spans="1:215" ht="30">
      <c r="A17" s="39">
        <v>10</v>
      </c>
      <c r="B17" s="223" t="str">
        <f>SISWA!B15</f>
        <v>Muhammad Shulhan Al-farisi</v>
      </c>
      <c r="C17" s="123">
        <v>80</v>
      </c>
      <c r="D17" s="123">
        <v>85</v>
      </c>
      <c r="E17" s="123">
        <v>85</v>
      </c>
      <c r="F17" s="123"/>
      <c r="G17" s="123"/>
      <c r="H17" s="123"/>
      <c r="I17" s="123"/>
      <c r="J17" s="255"/>
      <c r="K17" s="255"/>
      <c r="L17" s="255"/>
      <c r="M17" s="255"/>
      <c r="N17" s="255"/>
      <c r="O17" s="255"/>
      <c r="P17" s="255"/>
      <c r="Q17" s="256"/>
      <c r="R17" s="256"/>
      <c r="S17" s="256"/>
      <c r="T17" s="256"/>
      <c r="U17" s="256"/>
      <c r="V17" s="256"/>
      <c r="W17" s="256"/>
      <c r="X17" s="123"/>
      <c r="Y17" s="123"/>
      <c r="Z17" s="123"/>
      <c r="AA17" s="123"/>
      <c r="AB17" s="123"/>
      <c r="AC17" s="123"/>
      <c r="AD17" s="123"/>
      <c r="AE17" s="255"/>
      <c r="AF17" s="255"/>
      <c r="AG17" s="255"/>
      <c r="AH17" s="255"/>
      <c r="AI17" s="255"/>
      <c r="AJ17" s="255"/>
      <c r="AK17" s="255"/>
      <c r="AL17" s="256"/>
      <c r="AM17" s="256"/>
      <c r="AN17" s="256"/>
      <c r="AO17" s="256"/>
      <c r="AP17" s="256"/>
      <c r="AQ17" s="256"/>
      <c r="AR17" s="256"/>
      <c r="AS17" s="123"/>
      <c r="AT17" s="123"/>
      <c r="AU17" s="123"/>
      <c r="AV17" s="123"/>
      <c r="AW17" s="123"/>
      <c r="AX17" s="123"/>
      <c r="AY17" s="123"/>
      <c r="AZ17" s="255"/>
      <c r="BA17" s="255"/>
      <c r="BB17" s="255"/>
      <c r="BC17" s="255"/>
      <c r="BD17" s="255"/>
      <c r="BE17" s="255"/>
      <c r="BF17" s="255"/>
      <c r="BG17" s="256"/>
      <c r="BH17" s="256"/>
      <c r="BI17" s="256"/>
      <c r="BJ17" s="256"/>
      <c r="BK17" s="256"/>
      <c r="BL17" s="256"/>
      <c r="BM17" s="256"/>
      <c r="BN17" s="123"/>
      <c r="BO17" s="123"/>
      <c r="BP17" s="123"/>
      <c r="BQ17" s="123"/>
      <c r="BR17" s="123"/>
      <c r="BS17" s="123"/>
      <c r="BT17" s="123"/>
      <c r="BU17" s="255"/>
      <c r="BV17" s="255"/>
      <c r="BW17" s="255"/>
      <c r="BX17" s="255"/>
      <c r="BY17" s="255"/>
      <c r="BZ17" s="255"/>
      <c r="CA17" s="255"/>
      <c r="CB17" s="256"/>
      <c r="CC17" s="256"/>
      <c r="CD17" s="256"/>
      <c r="CE17" s="256"/>
      <c r="CF17" s="256"/>
      <c r="CG17" s="256"/>
      <c r="CH17" s="256"/>
      <c r="CI17" s="257">
        <f t="shared" si="10"/>
        <v>80</v>
      </c>
      <c r="CJ17" s="257">
        <f t="shared" si="11"/>
        <v>85</v>
      </c>
      <c r="CK17" s="257">
        <f t="shared" si="12"/>
        <v>85</v>
      </c>
      <c r="CL17" s="257" t="str">
        <f t="shared" si="13"/>
        <v/>
      </c>
      <c r="CM17" s="257" t="str">
        <f t="shared" si="14"/>
        <v/>
      </c>
      <c r="CN17" s="257" t="str">
        <f t="shared" si="15"/>
        <v/>
      </c>
      <c r="CO17" s="257" t="str">
        <f t="shared" si="16"/>
        <v/>
      </c>
      <c r="CP17" s="756">
        <f t="shared" si="4"/>
        <v>83</v>
      </c>
      <c r="CQ17" s="291" t="str">
        <f t="shared" si="17"/>
        <v>B</v>
      </c>
      <c r="CR17" s="243" t="str">
        <f t="shared" si="18"/>
        <v>Ananda Shulhan baik dalam menceritakan wayang (Ramayana), pakaian tradisional, dan gamelan., cukup dalam menyampaikan teks deskriptif tentang peristiwa alam dan adat istiadat..</v>
      </c>
      <c r="CS17" s="39"/>
      <c r="CT17" s="39"/>
      <c r="CU17" s="257">
        <f t="shared" si="19"/>
        <v>80</v>
      </c>
      <c r="CV17" s="257">
        <f t="shared" si="20"/>
        <v>85</v>
      </c>
      <c r="CW17" s="257">
        <f t="shared" si="21"/>
        <v>85</v>
      </c>
      <c r="CX17" s="257">
        <f t="shared" si="22"/>
        <v>0</v>
      </c>
      <c r="CY17" s="257">
        <f t="shared" si="23"/>
        <v>0</v>
      </c>
      <c r="CZ17" s="257">
        <f t="shared" si="24"/>
        <v>0</v>
      </c>
      <c r="DA17" s="257">
        <f t="shared" si="25"/>
        <v>0</v>
      </c>
      <c r="DB17" s="257"/>
      <c r="DC17" s="257"/>
      <c r="DD17" s="257"/>
      <c r="DE17" s="289">
        <f t="shared" si="26"/>
        <v>85</v>
      </c>
      <c r="DF17" s="257">
        <f t="shared" si="27"/>
        <v>0</v>
      </c>
      <c r="DG17" s="257">
        <f t="shared" si="28"/>
        <v>0</v>
      </c>
      <c r="DH17" s="257">
        <f t="shared" si="29"/>
        <v>0</v>
      </c>
      <c r="DI17" s="257">
        <f t="shared" si="30"/>
        <v>0</v>
      </c>
      <c r="DJ17" s="257">
        <f t="shared" si="31"/>
        <v>0</v>
      </c>
      <c r="DK17" s="257">
        <f t="shared" si="32"/>
        <v>0</v>
      </c>
      <c r="DL17" s="257">
        <f t="shared" si="33"/>
        <v>0</v>
      </c>
      <c r="DM17" s="223"/>
      <c r="DN17" s="223"/>
      <c r="DO17" s="223"/>
      <c r="DP17" s="289">
        <f t="shared" si="34"/>
        <v>0</v>
      </c>
      <c r="DQ17" s="257">
        <f t="shared" si="35"/>
        <v>0</v>
      </c>
      <c r="DR17" s="257">
        <f t="shared" si="36"/>
        <v>0</v>
      </c>
      <c r="DS17" s="257">
        <f t="shared" si="37"/>
        <v>0</v>
      </c>
      <c r="DT17" s="257">
        <f t="shared" si="38"/>
        <v>0</v>
      </c>
      <c r="DU17" s="257">
        <f t="shared" si="39"/>
        <v>0</v>
      </c>
      <c r="DV17" s="257">
        <f t="shared" si="40"/>
        <v>0</v>
      </c>
      <c r="DW17" s="257">
        <f t="shared" si="41"/>
        <v>0</v>
      </c>
      <c r="DX17" s="223"/>
      <c r="DY17" s="223"/>
      <c r="DZ17" s="223"/>
      <c r="EA17" s="289">
        <f t="shared" si="42"/>
        <v>0</v>
      </c>
      <c r="EB17" s="257">
        <f t="shared" si="43"/>
        <v>80</v>
      </c>
      <c r="EC17" s="257">
        <f t="shared" si="44"/>
        <v>0</v>
      </c>
      <c r="ED17" s="257">
        <f t="shared" si="45"/>
        <v>0</v>
      </c>
      <c r="EE17" s="575">
        <f t="shared" si="46"/>
        <v>2</v>
      </c>
      <c r="EF17" s="506">
        <f t="shared" si="47"/>
        <v>1</v>
      </c>
      <c r="EG17" s="39">
        <f t="shared" si="48"/>
        <v>80</v>
      </c>
      <c r="EH17" s="257">
        <f t="shared" si="49"/>
        <v>85</v>
      </c>
      <c r="EI17" s="257">
        <f t="shared" si="50"/>
        <v>0</v>
      </c>
      <c r="EJ17" s="257">
        <f t="shared" si="51"/>
        <v>0</v>
      </c>
      <c r="EK17" s="575">
        <f t="shared" si="52"/>
        <v>2</v>
      </c>
      <c r="EL17" s="506">
        <f t="shared" si="53"/>
        <v>1</v>
      </c>
      <c r="EM17" s="39">
        <f t="shared" si="54"/>
        <v>85</v>
      </c>
      <c r="EN17" s="257">
        <f t="shared" si="55"/>
        <v>85</v>
      </c>
      <c r="EO17" s="257">
        <f t="shared" si="56"/>
        <v>0</v>
      </c>
      <c r="EP17" s="257">
        <f t="shared" si="57"/>
        <v>0</v>
      </c>
      <c r="EQ17" s="575">
        <f t="shared" si="58"/>
        <v>2</v>
      </c>
      <c r="ER17" s="506">
        <f t="shared" si="59"/>
        <v>1</v>
      </c>
      <c r="ES17" s="39">
        <f t="shared" si="60"/>
        <v>85</v>
      </c>
      <c r="ET17" s="257">
        <f t="shared" si="61"/>
        <v>0</v>
      </c>
      <c r="EU17" s="257">
        <f t="shared" si="62"/>
        <v>0</v>
      </c>
      <c r="EV17" s="257">
        <f t="shared" si="63"/>
        <v>0</v>
      </c>
      <c r="EW17" s="575">
        <f t="shared" si="64"/>
        <v>3</v>
      </c>
      <c r="EX17" s="506">
        <f t="shared" si="65"/>
        <v>0</v>
      </c>
      <c r="EY17" s="39" t="str">
        <f t="shared" si="66"/>
        <v/>
      </c>
      <c r="EZ17" s="257">
        <f t="shared" si="67"/>
        <v>0</v>
      </c>
      <c r="FA17" s="257">
        <f t="shared" si="68"/>
        <v>0</v>
      </c>
      <c r="FB17" s="257">
        <f t="shared" si="69"/>
        <v>0</v>
      </c>
      <c r="FC17" s="575">
        <f t="shared" si="70"/>
        <v>3</v>
      </c>
      <c r="FD17" s="506">
        <f t="shared" si="71"/>
        <v>0</v>
      </c>
      <c r="FE17" s="39" t="str">
        <f t="shared" si="72"/>
        <v/>
      </c>
      <c r="FF17" s="257">
        <f t="shared" si="73"/>
        <v>0</v>
      </c>
      <c r="FG17" s="257">
        <f t="shared" si="74"/>
        <v>0</v>
      </c>
      <c r="FH17" s="257">
        <f t="shared" si="75"/>
        <v>0</v>
      </c>
      <c r="FI17" s="575">
        <f t="shared" si="76"/>
        <v>3</v>
      </c>
      <c r="FJ17" s="506">
        <f t="shared" si="77"/>
        <v>0</v>
      </c>
      <c r="FK17" s="39" t="str">
        <f t="shared" si="78"/>
        <v/>
      </c>
      <c r="FL17" s="257">
        <f t="shared" si="79"/>
        <v>0</v>
      </c>
      <c r="FM17" s="257">
        <f t="shared" si="80"/>
        <v>0</v>
      </c>
      <c r="FN17" s="257">
        <f t="shared" si="81"/>
        <v>0</v>
      </c>
      <c r="FO17" s="575">
        <f t="shared" si="82"/>
        <v>3</v>
      </c>
      <c r="FP17" s="506">
        <f t="shared" si="83"/>
        <v>0</v>
      </c>
      <c r="FQ17" s="39" t="str">
        <f t="shared" si="84"/>
        <v/>
      </c>
      <c r="FR17" s="39"/>
      <c r="FS17" s="39">
        <f t="shared" si="85"/>
        <v>80</v>
      </c>
      <c r="FT17" s="39">
        <f t="shared" si="86"/>
        <v>85</v>
      </c>
      <c r="FU17" s="39">
        <f t="shared" si="87"/>
        <v>85</v>
      </c>
      <c r="FV17" s="39" t="str">
        <f t="shared" si="88"/>
        <v/>
      </c>
      <c r="FW17" s="39" t="str">
        <f t="shared" si="89"/>
        <v/>
      </c>
      <c r="FX17" s="39" t="str">
        <f t="shared" si="90"/>
        <v/>
      </c>
      <c r="FY17" s="257" t="str">
        <f t="shared" si="91"/>
        <v/>
      </c>
      <c r="FZ17" s="569">
        <f t="shared" si="92"/>
        <v>83</v>
      </c>
      <c r="GA17" s="289">
        <f t="shared" si="93"/>
        <v>85</v>
      </c>
      <c r="GB17" s="289">
        <f t="shared" si="94"/>
        <v>80</v>
      </c>
      <c r="GC17" s="289" t="str">
        <f>SISWA!E15</f>
        <v>Shulhan</v>
      </c>
      <c r="GD17" s="223" t="str">
        <f t="shared" si="95"/>
        <v xml:space="preserve">Ananda Shulhan </v>
      </c>
      <c r="GE17" s="580" t="str">
        <f t="shared" si="96"/>
        <v/>
      </c>
      <c r="GF17" s="580">
        <f t="shared" si="97"/>
        <v>85</v>
      </c>
      <c r="GG17" s="580">
        <f t="shared" si="98"/>
        <v>85</v>
      </c>
      <c r="GH17" s="580" t="str">
        <f t="shared" si="99"/>
        <v/>
      </c>
      <c r="GI17" s="580" t="str">
        <f t="shared" si="100"/>
        <v/>
      </c>
      <c r="GJ17" s="580" t="str">
        <f t="shared" si="101"/>
        <v/>
      </c>
      <c r="GK17" s="580" t="str">
        <f t="shared" si="102"/>
        <v/>
      </c>
      <c r="GL17" s="580"/>
      <c r="GM17" s="580"/>
      <c r="GN17" s="580"/>
      <c r="GO17" s="580"/>
      <c r="GP17" s="223">
        <f t="shared" si="103"/>
        <v>170</v>
      </c>
      <c r="GQ17" s="289" t="str">
        <f t="shared" si="104"/>
        <v>menceritakan wayang (Ramayana), pakaian tradisional, dan gamelan.</v>
      </c>
      <c r="GR17" s="576" t="str">
        <f>IF(GA17&gt;100,"",IF(GA17&gt;CU$1,"sangat baik dalam "&amp;GQ17,IF(GA17&gt;=CU$2,"baik dalam "&amp;GQ17,IF(GA17&gt;=CU$3,"cukup dalam "&amp;GQ17,IF(GA17&lt;CU$3,"dengan bimbingan dapat meningkatkan dalam "&amp;GQ17,IF(GA17&lt;1," ",””))))))</f>
        <v>baik dalam menceritakan wayang (Ramayana), pakaian tradisional, dan gamelan.</v>
      </c>
      <c r="GS17" s="223"/>
      <c r="GT17" s="223">
        <f t="shared" si="105"/>
        <v>80</v>
      </c>
      <c r="GU17" s="223" t="str">
        <f t="shared" si="106"/>
        <v/>
      </c>
      <c r="GV17" s="223" t="str">
        <f t="shared" si="107"/>
        <v/>
      </c>
      <c r="GW17" s="223" t="str">
        <f t="shared" si="108"/>
        <v/>
      </c>
      <c r="GX17" s="223" t="str">
        <f t="shared" si="109"/>
        <v/>
      </c>
      <c r="GY17" s="223" t="str">
        <f t="shared" si="110"/>
        <v/>
      </c>
      <c r="GZ17" s="223" t="str">
        <f t="shared" si="111"/>
        <v/>
      </c>
      <c r="HA17" s="223"/>
      <c r="HB17" s="223"/>
      <c r="HC17" s="223"/>
      <c r="HD17" s="223"/>
      <c r="HE17" s="223" t="str">
        <f t="shared" si="112"/>
        <v>menyampaikan teks deskriptif tentang peristiwa alam dan adat istiadat.</v>
      </c>
      <c r="HF17" s="576" t="str">
        <f>IF(GB17&gt;100,"",IF(GB17&gt;CU$1,"sangat baik dalam "&amp;HE17,IF(GB17&gt;=CU$2,"baik dalam "&amp;HE17,IF(GB17&gt;=CU$3,"cukup dalam "&amp;HE17,IF(GB17&lt;CU$3,"dengan bimbingan dapat meningkatkan dalam "&amp;HE17,IF(GB17&lt;1," ",””))))))</f>
        <v>cukup dalam menyampaikan teks deskriptif tentang peristiwa alam dan adat istiadat.</v>
      </c>
      <c r="HG17" s="223" t="str">
        <f t="shared" si="113"/>
        <v>Ananda Shulhan baik dalam menceritakan wayang (Ramayana), pakaian tradisional, dan gamelan., cukup dalam menyampaikan teks deskriptif tentang peristiwa alam dan adat istiadat..</v>
      </c>
    </row>
    <row r="18" spans="1:215" ht="30">
      <c r="A18" s="39">
        <v>11</v>
      </c>
      <c r="B18" s="223" t="str">
        <f>SISWA!B16</f>
        <v>Novaris Dwi Firmansyah</v>
      </c>
      <c r="C18" s="123">
        <v>80</v>
      </c>
      <c r="D18" s="123">
        <v>80</v>
      </c>
      <c r="E18" s="123">
        <v>80</v>
      </c>
      <c r="F18" s="123"/>
      <c r="G18" s="123"/>
      <c r="H18" s="123"/>
      <c r="I18" s="123"/>
      <c r="J18" s="255"/>
      <c r="K18" s="255"/>
      <c r="L18" s="255"/>
      <c r="M18" s="255"/>
      <c r="N18" s="255"/>
      <c r="O18" s="255"/>
      <c r="P18" s="255"/>
      <c r="Q18" s="256"/>
      <c r="R18" s="256"/>
      <c r="S18" s="256"/>
      <c r="T18" s="256"/>
      <c r="U18" s="256"/>
      <c r="V18" s="256"/>
      <c r="W18" s="256"/>
      <c r="X18" s="123"/>
      <c r="Y18" s="123"/>
      <c r="Z18" s="123"/>
      <c r="AA18" s="123"/>
      <c r="AB18" s="123"/>
      <c r="AC18" s="123"/>
      <c r="AD18" s="123"/>
      <c r="AE18" s="255"/>
      <c r="AF18" s="255"/>
      <c r="AG18" s="255"/>
      <c r="AH18" s="255"/>
      <c r="AI18" s="255"/>
      <c r="AJ18" s="255"/>
      <c r="AK18" s="255"/>
      <c r="AL18" s="256"/>
      <c r="AM18" s="256"/>
      <c r="AN18" s="256"/>
      <c r="AO18" s="256"/>
      <c r="AP18" s="256"/>
      <c r="AQ18" s="256"/>
      <c r="AR18" s="256"/>
      <c r="AS18" s="123"/>
      <c r="AT18" s="123"/>
      <c r="AU18" s="123"/>
      <c r="AV18" s="123"/>
      <c r="AW18" s="123"/>
      <c r="AX18" s="123"/>
      <c r="AY18" s="123"/>
      <c r="AZ18" s="255"/>
      <c r="BA18" s="255"/>
      <c r="BB18" s="255"/>
      <c r="BC18" s="255"/>
      <c r="BD18" s="255"/>
      <c r="BE18" s="255"/>
      <c r="BF18" s="255"/>
      <c r="BG18" s="256"/>
      <c r="BH18" s="256"/>
      <c r="BI18" s="256"/>
      <c r="BJ18" s="256"/>
      <c r="BK18" s="256"/>
      <c r="BL18" s="256"/>
      <c r="BM18" s="256"/>
      <c r="BN18" s="123"/>
      <c r="BO18" s="123"/>
      <c r="BP18" s="123"/>
      <c r="BQ18" s="123"/>
      <c r="BR18" s="123"/>
      <c r="BS18" s="123"/>
      <c r="BT18" s="123"/>
      <c r="BU18" s="255"/>
      <c r="BV18" s="255"/>
      <c r="BW18" s="255"/>
      <c r="BX18" s="255"/>
      <c r="BY18" s="255"/>
      <c r="BZ18" s="255"/>
      <c r="CA18" s="255"/>
      <c r="CB18" s="256"/>
      <c r="CC18" s="256"/>
      <c r="CD18" s="256"/>
      <c r="CE18" s="256"/>
      <c r="CF18" s="256"/>
      <c r="CG18" s="256"/>
      <c r="CH18" s="256"/>
      <c r="CI18" s="257">
        <f t="shared" si="10"/>
        <v>80</v>
      </c>
      <c r="CJ18" s="257">
        <f t="shared" si="11"/>
        <v>80</v>
      </c>
      <c r="CK18" s="257">
        <f t="shared" si="12"/>
        <v>80</v>
      </c>
      <c r="CL18" s="257" t="str">
        <f t="shared" si="13"/>
        <v/>
      </c>
      <c r="CM18" s="257" t="str">
        <f t="shared" si="14"/>
        <v/>
      </c>
      <c r="CN18" s="257" t="str">
        <f t="shared" si="15"/>
        <v/>
      </c>
      <c r="CO18" s="257" t="str">
        <f t="shared" si="16"/>
        <v/>
      </c>
      <c r="CP18" s="756">
        <f t="shared" si="4"/>
        <v>80</v>
      </c>
      <c r="CQ18" s="291" t="str">
        <f t="shared" si="17"/>
        <v>C</v>
      </c>
      <c r="CR18" s="243" t="str">
        <f t="shared" si="18"/>
        <v>Ananda Varis cukup dalam menceritakan wayang (Ramayana), pakaian tradisional, dan gamelan., cukup dalam menceritakan wayang (Ramayana), pakaian tradisional, dan gamelan..</v>
      </c>
      <c r="CS18" s="39"/>
      <c r="CT18" s="39"/>
      <c r="CU18" s="257">
        <f t="shared" si="19"/>
        <v>80</v>
      </c>
      <c r="CV18" s="257">
        <f t="shared" si="20"/>
        <v>80</v>
      </c>
      <c r="CW18" s="257">
        <f t="shared" si="21"/>
        <v>80</v>
      </c>
      <c r="CX18" s="257">
        <f t="shared" si="22"/>
        <v>0</v>
      </c>
      <c r="CY18" s="257">
        <f t="shared" si="23"/>
        <v>0</v>
      </c>
      <c r="CZ18" s="257">
        <f t="shared" si="24"/>
        <v>0</v>
      </c>
      <c r="DA18" s="257">
        <f t="shared" si="25"/>
        <v>0</v>
      </c>
      <c r="DB18" s="257"/>
      <c r="DC18" s="257"/>
      <c r="DD18" s="257"/>
      <c r="DE18" s="289">
        <f t="shared" si="26"/>
        <v>80</v>
      </c>
      <c r="DF18" s="257">
        <f t="shared" si="27"/>
        <v>0</v>
      </c>
      <c r="DG18" s="257">
        <f t="shared" si="28"/>
        <v>0</v>
      </c>
      <c r="DH18" s="257">
        <f t="shared" si="29"/>
        <v>0</v>
      </c>
      <c r="DI18" s="257">
        <f t="shared" si="30"/>
        <v>0</v>
      </c>
      <c r="DJ18" s="257">
        <f t="shared" si="31"/>
        <v>0</v>
      </c>
      <c r="DK18" s="257">
        <f t="shared" si="32"/>
        <v>0</v>
      </c>
      <c r="DL18" s="257">
        <f t="shared" si="33"/>
        <v>0</v>
      </c>
      <c r="DM18" s="223"/>
      <c r="DN18" s="223"/>
      <c r="DO18" s="223"/>
      <c r="DP18" s="289">
        <f t="shared" si="34"/>
        <v>0</v>
      </c>
      <c r="DQ18" s="257">
        <f t="shared" si="35"/>
        <v>0</v>
      </c>
      <c r="DR18" s="257">
        <f t="shared" si="36"/>
        <v>0</v>
      </c>
      <c r="DS18" s="257">
        <f t="shared" si="37"/>
        <v>0</v>
      </c>
      <c r="DT18" s="257">
        <f t="shared" si="38"/>
        <v>0</v>
      </c>
      <c r="DU18" s="257">
        <f t="shared" si="39"/>
        <v>0</v>
      </c>
      <c r="DV18" s="257">
        <f t="shared" si="40"/>
        <v>0</v>
      </c>
      <c r="DW18" s="257">
        <f t="shared" si="41"/>
        <v>0</v>
      </c>
      <c r="DX18" s="223"/>
      <c r="DY18" s="223"/>
      <c r="DZ18" s="223"/>
      <c r="EA18" s="289">
        <f t="shared" si="42"/>
        <v>0</v>
      </c>
      <c r="EB18" s="257">
        <f t="shared" si="43"/>
        <v>80</v>
      </c>
      <c r="EC18" s="257">
        <f t="shared" si="44"/>
        <v>0</v>
      </c>
      <c r="ED18" s="257">
        <f t="shared" si="45"/>
        <v>0</v>
      </c>
      <c r="EE18" s="575">
        <f t="shared" si="46"/>
        <v>2</v>
      </c>
      <c r="EF18" s="506">
        <f t="shared" si="47"/>
        <v>1</v>
      </c>
      <c r="EG18" s="39">
        <f t="shared" si="48"/>
        <v>80</v>
      </c>
      <c r="EH18" s="257">
        <f t="shared" si="49"/>
        <v>80</v>
      </c>
      <c r="EI18" s="257">
        <f t="shared" si="50"/>
        <v>0</v>
      </c>
      <c r="EJ18" s="257">
        <f t="shared" si="51"/>
        <v>0</v>
      </c>
      <c r="EK18" s="575">
        <f t="shared" si="52"/>
        <v>2</v>
      </c>
      <c r="EL18" s="506">
        <f t="shared" si="53"/>
        <v>1</v>
      </c>
      <c r="EM18" s="39">
        <f t="shared" si="54"/>
        <v>80</v>
      </c>
      <c r="EN18" s="257">
        <f t="shared" si="55"/>
        <v>80</v>
      </c>
      <c r="EO18" s="257">
        <f t="shared" si="56"/>
        <v>0</v>
      </c>
      <c r="EP18" s="257">
        <f t="shared" si="57"/>
        <v>0</v>
      </c>
      <c r="EQ18" s="575">
        <f t="shared" si="58"/>
        <v>2</v>
      </c>
      <c r="ER18" s="506">
        <f t="shared" si="59"/>
        <v>1</v>
      </c>
      <c r="ES18" s="39">
        <f t="shared" si="60"/>
        <v>80</v>
      </c>
      <c r="ET18" s="257">
        <f t="shared" si="61"/>
        <v>0</v>
      </c>
      <c r="EU18" s="257">
        <f t="shared" si="62"/>
        <v>0</v>
      </c>
      <c r="EV18" s="257">
        <f t="shared" si="63"/>
        <v>0</v>
      </c>
      <c r="EW18" s="575">
        <f t="shared" si="64"/>
        <v>3</v>
      </c>
      <c r="EX18" s="506">
        <f t="shared" si="65"/>
        <v>0</v>
      </c>
      <c r="EY18" s="39" t="str">
        <f t="shared" si="66"/>
        <v/>
      </c>
      <c r="EZ18" s="257">
        <f t="shared" si="67"/>
        <v>0</v>
      </c>
      <c r="FA18" s="257">
        <f t="shared" si="68"/>
        <v>0</v>
      </c>
      <c r="FB18" s="257">
        <f t="shared" si="69"/>
        <v>0</v>
      </c>
      <c r="FC18" s="575">
        <f t="shared" si="70"/>
        <v>3</v>
      </c>
      <c r="FD18" s="506">
        <f t="shared" si="71"/>
        <v>0</v>
      </c>
      <c r="FE18" s="39" t="str">
        <f t="shared" si="72"/>
        <v/>
      </c>
      <c r="FF18" s="257">
        <f t="shared" si="73"/>
        <v>0</v>
      </c>
      <c r="FG18" s="257">
        <f t="shared" si="74"/>
        <v>0</v>
      </c>
      <c r="FH18" s="257">
        <f t="shared" si="75"/>
        <v>0</v>
      </c>
      <c r="FI18" s="575">
        <f t="shared" si="76"/>
        <v>3</v>
      </c>
      <c r="FJ18" s="506">
        <f t="shared" si="77"/>
        <v>0</v>
      </c>
      <c r="FK18" s="39" t="str">
        <f t="shared" si="78"/>
        <v/>
      </c>
      <c r="FL18" s="257">
        <f t="shared" si="79"/>
        <v>0</v>
      </c>
      <c r="FM18" s="257">
        <f t="shared" si="80"/>
        <v>0</v>
      </c>
      <c r="FN18" s="257">
        <f t="shared" si="81"/>
        <v>0</v>
      </c>
      <c r="FO18" s="575">
        <f t="shared" si="82"/>
        <v>3</v>
      </c>
      <c r="FP18" s="506">
        <f t="shared" si="83"/>
        <v>0</v>
      </c>
      <c r="FQ18" s="39" t="str">
        <f t="shared" si="84"/>
        <v/>
      </c>
      <c r="FR18" s="39"/>
      <c r="FS18" s="39">
        <f t="shared" si="85"/>
        <v>80</v>
      </c>
      <c r="FT18" s="39">
        <f t="shared" si="86"/>
        <v>80</v>
      </c>
      <c r="FU18" s="39">
        <f t="shared" si="87"/>
        <v>80</v>
      </c>
      <c r="FV18" s="39" t="str">
        <f t="shared" si="88"/>
        <v/>
      </c>
      <c r="FW18" s="39" t="str">
        <f t="shared" si="89"/>
        <v/>
      </c>
      <c r="FX18" s="39" t="str">
        <f t="shared" si="90"/>
        <v/>
      </c>
      <c r="FY18" s="257" t="str">
        <f t="shared" si="91"/>
        <v/>
      </c>
      <c r="FZ18" s="569">
        <f t="shared" si="92"/>
        <v>80</v>
      </c>
      <c r="GA18" s="289">
        <f t="shared" si="93"/>
        <v>80</v>
      </c>
      <c r="GB18" s="289">
        <f t="shared" si="94"/>
        <v>80</v>
      </c>
      <c r="GC18" s="289" t="str">
        <f>SISWA!E16</f>
        <v>Varis</v>
      </c>
      <c r="GD18" s="223" t="str">
        <f t="shared" si="95"/>
        <v xml:space="preserve">Ananda Varis </v>
      </c>
      <c r="GE18" s="580">
        <f t="shared" si="96"/>
        <v>80</v>
      </c>
      <c r="GF18" s="580">
        <f t="shared" si="97"/>
        <v>80</v>
      </c>
      <c r="GG18" s="580">
        <f t="shared" si="98"/>
        <v>80</v>
      </c>
      <c r="GH18" s="580" t="str">
        <f t="shared" si="99"/>
        <v/>
      </c>
      <c r="GI18" s="580" t="str">
        <f t="shared" si="100"/>
        <v/>
      </c>
      <c r="GJ18" s="580" t="str">
        <f t="shared" si="101"/>
        <v/>
      </c>
      <c r="GK18" s="580" t="str">
        <f t="shared" si="102"/>
        <v/>
      </c>
      <c r="GL18" s="580"/>
      <c r="GM18" s="580"/>
      <c r="GN18" s="580"/>
      <c r="GO18" s="580"/>
      <c r="GP18" s="223">
        <f t="shared" si="103"/>
        <v>240</v>
      </c>
      <c r="GQ18" s="289" t="str">
        <f t="shared" si="104"/>
        <v>menceritakan wayang (Ramayana), pakaian tradisional, dan gamelan.</v>
      </c>
      <c r="GR18" s="576" t="str">
        <f>IF(GA18&gt;100,"",IF(GA18&gt;CU$1,"sangat baik dalam "&amp;GQ18,IF(GA18&gt;=CU$2,"baik dalam "&amp;GQ18,IF(GA18&gt;=CU$3,"cukup dalam "&amp;GQ18,IF(GA18&lt;CU$3,"dengan bimbingan dapat meningkatkan dalam "&amp;GQ18,IF(GA18&lt;1," ",””))))))</f>
        <v>cukup dalam menceritakan wayang (Ramayana), pakaian tradisional, dan gamelan.</v>
      </c>
      <c r="GS18" s="223"/>
      <c r="GT18" s="223">
        <f t="shared" si="105"/>
        <v>80</v>
      </c>
      <c r="GU18" s="223">
        <f t="shared" si="106"/>
        <v>80</v>
      </c>
      <c r="GV18" s="223">
        <f t="shared" si="107"/>
        <v>80</v>
      </c>
      <c r="GW18" s="223" t="str">
        <f t="shared" si="108"/>
        <v/>
      </c>
      <c r="GX18" s="223" t="str">
        <f t="shared" si="109"/>
        <v/>
      </c>
      <c r="GY18" s="223" t="str">
        <f t="shared" si="110"/>
        <v/>
      </c>
      <c r="GZ18" s="223" t="str">
        <f t="shared" si="111"/>
        <v/>
      </c>
      <c r="HA18" s="223"/>
      <c r="HB18" s="223"/>
      <c r="HC18" s="223"/>
      <c r="HD18" s="223"/>
      <c r="HE18" s="223" t="str">
        <f t="shared" si="112"/>
        <v>menceritakan wayang (Ramayana), pakaian tradisional, dan gamelan.</v>
      </c>
      <c r="HF18" s="576" t="str">
        <f>IF(GB18&gt;100,"",IF(GB18&gt;CU$1,"sangat baik dalam "&amp;HE18,IF(GB18&gt;=CU$2,"baik dalam "&amp;HE18,IF(GB18&gt;=CU$3,"cukup dalam "&amp;HE18,IF(GB18&lt;CU$3,"dengan bimbingan dapat meningkatkan dalam "&amp;HE18,IF(GB18&lt;1," ",””))))))</f>
        <v>cukup dalam menceritakan wayang (Ramayana), pakaian tradisional, dan gamelan.</v>
      </c>
      <c r="HG18" s="223" t="str">
        <f t="shared" si="113"/>
        <v>Ananda Varis cukup dalam menceritakan wayang (Ramayana), pakaian tradisional, dan gamelan., cukup dalam menceritakan wayang (Ramayana), pakaian tradisional, dan gamelan..</v>
      </c>
    </row>
    <row r="19" spans="1:215" ht="30">
      <c r="A19" s="39">
        <v>12</v>
      </c>
      <c r="B19" s="223" t="str">
        <f>SISWA!B17</f>
        <v>Oktafiya Duwi Safitri</v>
      </c>
      <c r="C19" s="123">
        <v>80</v>
      </c>
      <c r="D19" s="123">
        <v>75</v>
      </c>
      <c r="E19" s="123">
        <v>80</v>
      </c>
      <c r="F19" s="123"/>
      <c r="G19" s="123"/>
      <c r="H19" s="123"/>
      <c r="I19" s="123"/>
      <c r="J19" s="255"/>
      <c r="K19" s="255"/>
      <c r="L19" s="255"/>
      <c r="M19" s="255"/>
      <c r="N19" s="255"/>
      <c r="O19" s="255"/>
      <c r="P19" s="255"/>
      <c r="Q19" s="256"/>
      <c r="R19" s="256"/>
      <c r="S19" s="256"/>
      <c r="T19" s="256"/>
      <c r="U19" s="256"/>
      <c r="V19" s="256"/>
      <c r="W19" s="256"/>
      <c r="X19" s="123"/>
      <c r="Y19" s="123"/>
      <c r="Z19" s="123"/>
      <c r="AA19" s="123"/>
      <c r="AB19" s="123"/>
      <c r="AC19" s="123"/>
      <c r="AD19" s="123"/>
      <c r="AE19" s="255"/>
      <c r="AF19" s="255"/>
      <c r="AG19" s="255"/>
      <c r="AH19" s="255"/>
      <c r="AI19" s="255"/>
      <c r="AJ19" s="255"/>
      <c r="AK19" s="255"/>
      <c r="AL19" s="256"/>
      <c r="AM19" s="256"/>
      <c r="AN19" s="256"/>
      <c r="AO19" s="256"/>
      <c r="AP19" s="256"/>
      <c r="AQ19" s="256"/>
      <c r="AR19" s="256"/>
      <c r="AS19" s="123"/>
      <c r="AT19" s="123"/>
      <c r="AU19" s="123"/>
      <c r="AV19" s="123"/>
      <c r="AW19" s="123"/>
      <c r="AX19" s="123"/>
      <c r="AY19" s="123"/>
      <c r="AZ19" s="255"/>
      <c r="BA19" s="255"/>
      <c r="BB19" s="255"/>
      <c r="BC19" s="255"/>
      <c r="BD19" s="255"/>
      <c r="BE19" s="255"/>
      <c r="BF19" s="255"/>
      <c r="BG19" s="256"/>
      <c r="BH19" s="256"/>
      <c r="BI19" s="256"/>
      <c r="BJ19" s="256"/>
      <c r="BK19" s="256"/>
      <c r="BL19" s="256"/>
      <c r="BM19" s="256"/>
      <c r="BN19" s="123"/>
      <c r="BO19" s="123"/>
      <c r="BP19" s="123"/>
      <c r="BQ19" s="123"/>
      <c r="BR19" s="123"/>
      <c r="BS19" s="123"/>
      <c r="BT19" s="123"/>
      <c r="BU19" s="255"/>
      <c r="BV19" s="255"/>
      <c r="BW19" s="255"/>
      <c r="BX19" s="255"/>
      <c r="BY19" s="255"/>
      <c r="BZ19" s="255"/>
      <c r="CA19" s="255"/>
      <c r="CB19" s="256"/>
      <c r="CC19" s="256"/>
      <c r="CD19" s="256"/>
      <c r="CE19" s="256"/>
      <c r="CF19" s="256"/>
      <c r="CG19" s="256"/>
      <c r="CH19" s="256"/>
      <c r="CI19" s="257">
        <f t="shared" si="10"/>
        <v>80</v>
      </c>
      <c r="CJ19" s="257">
        <f t="shared" si="11"/>
        <v>75</v>
      </c>
      <c r="CK19" s="257">
        <f t="shared" si="12"/>
        <v>80</v>
      </c>
      <c r="CL19" s="257" t="str">
        <f t="shared" si="13"/>
        <v/>
      </c>
      <c r="CM19" s="257" t="str">
        <f t="shared" si="14"/>
        <v/>
      </c>
      <c r="CN19" s="257" t="str">
        <f t="shared" si="15"/>
        <v/>
      </c>
      <c r="CO19" s="257" t="str">
        <f t="shared" si="16"/>
        <v/>
      </c>
      <c r="CP19" s="756">
        <f t="shared" si="4"/>
        <v>78</v>
      </c>
      <c r="CQ19" s="291" t="str">
        <f t="shared" si="17"/>
        <v>C</v>
      </c>
      <c r="CR19" s="243" t="str">
        <f t="shared" si="18"/>
        <v>Ananda Fitri cukup dalam menceritakan wayang (Ramayana), pakaian tradisional, dan gamelan., cukup dalam melantunkan tembang macapat Kinanthi, dan menjelaskan  geguritan..</v>
      </c>
      <c r="CS19" s="39"/>
      <c r="CT19" s="39"/>
      <c r="CU19" s="257">
        <f t="shared" si="19"/>
        <v>80</v>
      </c>
      <c r="CV19" s="257">
        <f t="shared" si="20"/>
        <v>75</v>
      </c>
      <c r="CW19" s="257">
        <f t="shared" si="21"/>
        <v>80</v>
      </c>
      <c r="CX19" s="257">
        <f t="shared" si="22"/>
        <v>0</v>
      </c>
      <c r="CY19" s="257">
        <f t="shared" si="23"/>
        <v>0</v>
      </c>
      <c r="CZ19" s="257">
        <f t="shared" si="24"/>
        <v>0</v>
      </c>
      <c r="DA19" s="257">
        <f t="shared" si="25"/>
        <v>0</v>
      </c>
      <c r="DB19" s="257"/>
      <c r="DC19" s="257"/>
      <c r="DD19" s="257"/>
      <c r="DE19" s="289">
        <f t="shared" si="26"/>
        <v>80</v>
      </c>
      <c r="DF19" s="257">
        <f t="shared" si="27"/>
        <v>0</v>
      </c>
      <c r="DG19" s="257">
        <f t="shared" si="28"/>
        <v>0</v>
      </c>
      <c r="DH19" s="257">
        <f t="shared" si="29"/>
        <v>0</v>
      </c>
      <c r="DI19" s="257">
        <f t="shared" si="30"/>
        <v>0</v>
      </c>
      <c r="DJ19" s="257">
        <f t="shared" si="31"/>
        <v>0</v>
      </c>
      <c r="DK19" s="257">
        <f t="shared" si="32"/>
        <v>0</v>
      </c>
      <c r="DL19" s="257">
        <f t="shared" si="33"/>
        <v>0</v>
      </c>
      <c r="DM19" s="223"/>
      <c r="DN19" s="223"/>
      <c r="DO19" s="223"/>
      <c r="DP19" s="289">
        <f t="shared" si="34"/>
        <v>0</v>
      </c>
      <c r="DQ19" s="257">
        <f t="shared" si="35"/>
        <v>0</v>
      </c>
      <c r="DR19" s="257">
        <f t="shared" si="36"/>
        <v>0</v>
      </c>
      <c r="DS19" s="257">
        <f t="shared" si="37"/>
        <v>0</v>
      </c>
      <c r="DT19" s="257">
        <f t="shared" si="38"/>
        <v>0</v>
      </c>
      <c r="DU19" s="257">
        <f t="shared" si="39"/>
        <v>0</v>
      </c>
      <c r="DV19" s="257">
        <f t="shared" si="40"/>
        <v>0</v>
      </c>
      <c r="DW19" s="257">
        <f t="shared" si="41"/>
        <v>0</v>
      </c>
      <c r="DX19" s="223"/>
      <c r="DY19" s="223"/>
      <c r="DZ19" s="223"/>
      <c r="EA19" s="289">
        <f t="shared" si="42"/>
        <v>0</v>
      </c>
      <c r="EB19" s="257">
        <f t="shared" si="43"/>
        <v>80</v>
      </c>
      <c r="EC19" s="257">
        <f t="shared" si="44"/>
        <v>0</v>
      </c>
      <c r="ED19" s="257">
        <f t="shared" si="45"/>
        <v>0</v>
      </c>
      <c r="EE19" s="575">
        <f t="shared" si="46"/>
        <v>2</v>
      </c>
      <c r="EF19" s="506">
        <f t="shared" si="47"/>
        <v>1</v>
      </c>
      <c r="EG19" s="39">
        <f t="shared" si="48"/>
        <v>80</v>
      </c>
      <c r="EH19" s="257">
        <f t="shared" si="49"/>
        <v>75</v>
      </c>
      <c r="EI19" s="257">
        <f t="shared" si="50"/>
        <v>0</v>
      </c>
      <c r="EJ19" s="257">
        <f t="shared" si="51"/>
        <v>0</v>
      </c>
      <c r="EK19" s="575">
        <f t="shared" si="52"/>
        <v>2</v>
      </c>
      <c r="EL19" s="506">
        <f t="shared" si="53"/>
        <v>1</v>
      </c>
      <c r="EM19" s="39">
        <f t="shared" si="54"/>
        <v>75</v>
      </c>
      <c r="EN19" s="257">
        <f t="shared" si="55"/>
        <v>80</v>
      </c>
      <c r="EO19" s="257">
        <f t="shared" si="56"/>
        <v>0</v>
      </c>
      <c r="EP19" s="257">
        <f t="shared" si="57"/>
        <v>0</v>
      </c>
      <c r="EQ19" s="575">
        <f t="shared" si="58"/>
        <v>2</v>
      </c>
      <c r="ER19" s="506">
        <f t="shared" si="59"/>
        <v>1</v>
      </c>
      <c r="ES19" s="39">
        <f t="shared" si="60"/>
        <v>80</v>
      </c>
      <c r="ET19" s="257">
        <f t="shared" si="61"/>
        <v>0</v>
      </c>
      <c r="EU19" s="257">
        <f t="shared" si="62"/>
        <v>0</v>
      </c>
      <c r="EV19" s="257">
        <f t="shared" si="63"/>
        <v>0</v>
      </c>
      <c r="EW19" s="575">
        <f t="shared" si="64"/>
        <v>3</v>
      </c>
      <c r="EX19" s="506">
        <f t="shared" si="65"/>
        <v>0</v>
      </c>
      <c r="EY19" s="39" t="str">
        <f t="shared" si="66"/>
        <v/>
      </c>
      <c r="EZ19" s="257">
        <f t="shared" si="67"/>
        <v>0</v>
      </c>
      <c r="FA19" s="257">
        <f t="shared" si="68"/>
        <v>0</v>
      </c>
      <c r="FB19" s="257">
        <f t="shared" si="69"/>
        <v>0</v>
      </c>
      <c r="FC19" s="575">
        <f t="shared" si="70"/>
        <v>3</v>
      </c>
      <c r="FD19" s="506">
        <f t="shared" si="71"/>
        <v>0</v>
      </c>
      <c r="FE19" s="39" t="str">
        <f t="shared" si="72"/>
        <v/>
      </c>
      <c r="FF19" s="257">
        <f t="shared" si="73"/>
        <v>0</v>
      </c>
      <c r="FG19" s="257">
        <f t="shared" si="74"/>
        <v>0</v>
      </c>
      <c r="FH19" s="257">
        <f t="shared" si="75"/>
        <v>0</v>
      </c>
      <c r="FI19" s="575">
        <f t="shared" si="76"/>
        <v>3</v>
      </c>
      <c r="FJ19" s="506">
        <f t="shared" si="77"/>
        <v>0</v>
      </c>
      <c r="FK19" s="39" t="str">
        <f t="shared" si="78"/>
        <v/>
      </c>
      <c r="FL19" s="257">
        <f t="shared" si="79"/>
        <v>0</v>
      </c>
      <c r="FM19" s="257">
        <f t="shared" si="80"/>
        <v>0</v>
      </c>
      <c r="FN19" s="257">
        <f t="shared" si="81"/>
        <v>0</v>
      </c>
      <c r="FO19" s="575">
        <f t="shared" si="82"/>
        <v>3</v>
      </c>
      <c r="FP19" s="506">
        <f t="shared" si="83"/>
        <v>0</v>
      </c>
      <c r="FQ19" s="39" t="str">
        <f t="shared" si="84"/>
        <v/>
      </c>
      <c r="FR19" s="39"/>
      <c r="FS19" s="39">
        <f t="shared" si="85"/>
        <v>80</v>
      </c>
      <c r="FT19" s="39">
        <f t="shared" si="86"/>
        <v>75</v>
      </c>
      <c r="FU19" s="39">
        <f t="shared" si="87"/>
        <v>80</v>
      </c>
      <c r="FV19" s="39" t="str">
        <f t="shared" si="88"/>
        <v/>
      </c>
      <c r="FW19" s="39" t="str">
        <f t="shared" si="89"/>
        <v/>
      </c>
      <c r="FX19" s="39" t="str">
        <f t="shared" si="90"/>
        <v/>
      </c>
      <c r="FY19" s="257" t="str">
        <f t="shared" si="91"/>
        <v/>
      </c>
      <c r="FZ19" s="569">
        <f t="shared" si="92"/>
        <v>78</v>
      </c>
      <c r="GA19" s="289">
        <f t="shared" si="93"/>
        <v>80</v>
      </c>
      <c r="GB19" s="289">
        <f t="shared" si="94"/>
        <v>75</v>
      </c>
      <c r="GC19" s="289" t="str">
        <f>SISWA!E17</f>
        <v>Fitri</v>
      </c>
      <c r="GD19" s="223" t="str">
        <f t="shared" si="95"/>
        <v xml:space="preserve">Ananda Fitri </v>
      </c>
      <c r="GE19" s="580">
        <f t="shared" si="96"/>
        <v>80</v>
      </c>
      <c r="GF19" s="580" t="str">
        <f t="shared" si="97"/>
        <v/>
      </c>
      <c r="GG19" s="580">
        <f t="shared" si="98"/>
        <v>80</v>
      </c>
      <c r="GH19" s="580" t="str">
        <f t="shared" si="99"/>
        <v/>
      </c>
      <c r="GI19" s="580" t="str">
        <f t="shared" si="100"/>
        <v/>
      </c>
      <c r="GJ19" s="580" t="str">
        <f t="shared" si="101"/>
        <v/>
      </c>
      <c r="GK19" s="580" t="str">
        <f t="shared" si="102"/>
        <v/>
      </c>
      <c r="GL19" s="580"/>
      <c r="GM19" s="580"/>
      <c r="GN19" s="580"/>
      <c r="GO19" s="580"/>
      <c r="GP19" s="223">
        <f t="shared" si="103"/>
        <v>160</v>
      </c>
      <c r="GQ19" s="289" t="str">
        <f t="shared" si="104"/>
        <v>menceritakan wayang (Ramayana), pakaian tradisional, dan gamelan.</v>
      </c>
      <c r="GR19" s="576" t="str">
        <f>IF(GA19&gt;100,"",IF(GA19&gt;CU$1,"sangat baik dalam "&amp;GQ19,IF(GA19&gt;=CU$2,"baik dalam "&amp;GQ19,IF(GA19&gt;=CU$3,"cukup dalam "&amp;GQ19,IF(GA19&lt;CU$3,"dengan bimbingan dapat meningkatkan dalam "&amp;GQ19,IF(GA19&lt;1," ",””))))))</f>
        <v>cukup dalam menceritakan wayang (Ramayana), pakaian tradisional, dan gamelan.</v>
      </c>
      <c r="GS19" s="223"/>
      <c r="GT19" s="223" t="str">
        <f t="shared" si="105"/>
        <v/>
      </c>
      <c r="GU19" s="223">
        <f t="shared" si="106"/>
        <v>75</v>
      </c>
      <c r="GV19" s="223" t="str">
        <f t="shared" si="107"/>
        <v/>
      </c>
      <c r="GW19" s="223" t="str">
        <f t="shared" si="108"/>
        <v/>
      </c>
      <c r="GX19" s="223" t="str">
        <f t="shared" si="109"/>
        <v/>
      </c>
      <c r="GY19" s="223" t="str">
        <f t="shared" si="110"/>
        <v/>
      </c>
      <c r="GZ19" s="223" t="str">
        <f t="shared" si="111"/>
        <v/>
      </c>
      <c r="HA19" s="223"/>
      <c r="HB19" s="223"/>
      <c r="HC19" s="223"/>
      <c r="HD19" s="223"/>
      <c r="HE19" s="223" t="str">
        <f t="shared" si="112"/>
        <v>melantunkan tembang macapat Kinanthi, dan menjelaskan  geguritan.</v>
      </c>
      <c r="HF19" s="576" t="str">
        <f>IF(GB19&gt;100,"",IF(GB19&gt;CU$1,"sangat baik dalam "&amp;HE19,IF(GB19&gt;=CU$2,"baik dalam "&amp;HE19,IF(GB19&gt;=CU$3,"cukup dalam "&amp;HE19,IF(GB19&lt;CU$3,"dengan bimbingan dapat meningkatkan dalam "&amp;HE19,IF(GB19&lt;1," ",””))))))</f>
        <v>cukup dalam melantunkan tembang macapat Kinanthi, dan menjelaskan  geguritan.</v>
      </c>
      <c r="HG19" s="223" t="str">
        <f t="shared" si="113"/>
        <v>Ananda Fitri cukup dalam menceritakan wayang (Ramayana), pakaian tradisional, dan gamelan., cukup dalam melantunkan tembang macapat Kinanthi, dan menjelaskan  geguritan..</v>
      </c>
    </row>
    <row r="20" spans="1:215" ht="30">
      <c r="A20" s="39">
        <v>13</v>
      </c>
      <c r="B20" s="223" t="str">
        <f>SISWA!B18</f>
        <v>Prastika Guntur Firmansyah</v>
      </c>
      <c r="C20" s="123">
        <v>90</v>
      </c>
      <c r="D20" s="123">
        <v>85</v>
      </c>
      <c r="E20" s="123">
        <v>85</v>
      </c>
      <c r="F20" s="123"/>
      <c r="G20" s="123"/>
      <c r="H20" s="123"/>
      <c r="I20" s="123"/>
      <c r="J20" s="255"/>
      <c r="K20" s="255"/>
      <c r="L20" s="255"/>
      <c r="M20" s="255"/>
      <c r="N20" s="255"/>
      <c r="O20" s="255"/>
      <c r="P20" s="255"/>
      <c r="Q20" s="256"/>
      <c r="R20" s="256"/>
      <c r="S20" s="256"/>
      <c r="T20" s="256"/>
      <c r="U20" s="256"/>
      <c r="V20" s="256"/>
      <c r="W20" s="256"/>
      <c r="X20" s="123"/>
      <c r="Y20" s="123"/>
      <c r="Z20" s="123"/>
      <c r="AA20" s="123"/>
      <c r="AB20" s="123"/>
      <c r="AC20" s="123"/>
      <c r="AD20" s="123"/>
      <c r="AE20" s="255"/>
      <c r="AF20" s="255"/>
      <c r="AG20" s="255"/>
      <c r="AH20" s="255"/>
      <c r="AI20" s="255"/>
      <c r="AJ20" s="255"/>
      <c r="AK20" s="255"/>
      <c r="AL20" s="256"/>
      <c r="AM20" s="256"/>
      <c r="AN20" s="256"/>
      <c r="AO20" s="256"/>
      <c r="AP20" s="256"/>
      <c r="AQ20" s="256"/>
      <c r="AR20" s="256"/>
      <c r="AS20" s="123"/>
      <c r="AT20" s="123"/>
      <c r="AU20" s="123"/>
      <c r="AV20" s="123"/>
      <c r="AW20" s="123"/>
      <c r="AX20" s="123"/>
      <c r="AY20" s="123"/>
      <c r="AZ20" s="255"/>
      <c r="BA20" s="255"/>
      <c r="BB20" s="255"/>
      <c r="BC20" s="255"/>
      <c r="BD20" s="255"/>
      <c r="BE20" s="255"/>
      <c r="BF20" s="255"/>
      <c r="BG20" s="256"/>
      <c r="BH20" s="256"/>
      <c r="BI20" s="256"/>
      <c r="BJ20" s="256"/>
      <c r="BK20" s="256"/>
      <c r="BL20" s="256"/>
      <c r="BM20" s="256"/>
      <c r="BN20" s="123"/>
      <c r="BO20" s="123"/>
      <c r="BP20" s="123"/>
      <c r="BQ20" s="123"/>
      <c r="BR20" s="123"/>
      <c r="BS20" s="123"/>
      <c r="BT20" s="123"/>
      <c r="BU20" s="255"/>
      <c r="BV20" s="255"/>
      <c r="BW20" s="255"/>
      <c r="BX20" s="255"/>
      <c r="BY20" s="255"/>
      <c r="BZ20" s="255"/>
      <c r="CA20" s="255"/>
      <c r="CB20" s="256"/>
      <c r="CC20" s="256"/>
      <c r="CD20" s="256"/>
      <c r="CE20" s="256"/>
      <c r="CF20" s="256"/>
      <c r="CG20" s="256"/>
      <c r="CH20" s="256"/>
      <c r="CI20" s="257">
        <f t="shared" si="10"/>
        <v>90</v>
      </c>
      <c r="CJ20" s="257">
        <f t="shared" si="11"/>
        <v>85</v>
      </c>
      <c r="CK20" s="257">
        <f t="shared" si="12"/>
        <v>85</v>
      </c>
      <c r="CL20" s="257" t="str">
        <f t="shared" si="13"/>
        <v/>
      </c>
      <c r="CM20" s="257" t="str">
        <f t="shared" si="14"/>
        <v/>
      </c>
      <c r="CN20" s="257" t="str">
        <f t="shared" si="15"/>
        <v/>
      </c>
      <c r="CO20" s="257" t="str">
        <f t="shared" si="16"/>
        <v/>
      </c>
      <c r="CP20" s="756">
        <f t="shared" si="4"/>
        <v>87</v>
      </c>
      <c r="CQ20" s="291" t="str">
        <f t="shared" si="17"/>
        <v>B</v>
      </c>
      <c r="CR20" s="243" t="str">
        <f t="shared" si="18"/>
        <v>Ananda Pras baik dalam menyampaikan teks deskriptif tentang peristiwa alam dan adat istiadat., baik dalam menceritakan wayang (Ramayana), pakaian tradisional, dan gamelan..</v>
      </c>
      <c r="CS20" s="39"/>
      <c r="CT20" s="39"/>
      <c r="CU20" s="257">
        <f t="shared" si="19"/>
        <v>90</v>
      </c>
      <c r="CV20" s="257">
        <f t="shared" si="20"/>
        <v>85</v>
      </c>
      <c r="CW20" s="257">
        <f t="shared" si="21"/>
        <v>85</v>
      </c>
      <c r="CX20" s="257">
        <f t="shared" si="22"/>
        <v>0</v>
      </c>
      <c r="CY20" s="257">
        <f t="shared" si="23"/>
        <v>0</v>
      </c>
      <c r="CZ20" s="257">
        <f t="shared" si="24"/>
        <v>0</v>
      </c>
      <c r="DA20" s="257">
        <f t="shared" si="25"/>
        <v>0</v>
      </c>
      <c r="DB20" s="257"/>
      <c r="DC20" s="257"/>
      <c r="DD20" s="257"/>
      <c r="DE20" s="289">
        <f t="shared" si="26"/>
        <v>90</v>
      </c>
      <c r="DF20" s="257">
        <f t="shared" si="27"/>
        <v>0</v>
      </c>
      <c r="DG20" s="257">
        <f t="shared" si="28"/>
        <v>0</v>
      </c>
      <c r="DH20" s="257">
        <f t="shared" si="29"/>
        <v>0</v>
      </c>
      <c r="DI20" s="257">
        <f t="shared" si="30"/>
        <v>0</v>
      </c>
      <c r="DJ20" s="257">
        <f t="shared" si="31"/>
        <v>0</v>
      </c>
      <c r="DK20" s="257">
        <f t="shared" si="32"/>
        <v>0</v>
      </c>
      <c r="DL20" s="257">
        <f t="shared" si="33"/>
        <v>0</v>
      </c>
      <c r="DM20" s="223"/>
      <c r="DN20" s="223"/>
      <c r="DO20" s="223"/>
      <c r="DP20" s="289">
        <f t="shared" si="34"/>
        <v>0</v>
      </c>
      <c r="DQ20" s="257">
        <f t="shared" si="35"/>
        <v>0</v>
      </c>
      <c r="DR20" s="257">
        <f t="shared" si="36"/>
        <v>0</v>
      </c>
      <c r="DS20" s="257">
        <f t="shared" si="37"/>
        <v>0</v>
      </c>
      <c r="DT20" s="257">
        <f t="shared" si="38"/>
        <v>0</v>
      </c>
      <c r="DU20" s="257">
        <f t="shared" si="39"/>
        <v>0</v>
      </c>
      <c r="DV20" s="257">
        <f t="shared" si="40"/>
        <v>0</v>
      </c>
      <c r="DW20" s="257">
        <f t="shared" si="41"/>
        <v>0</v>
      </c>
      <c r="DX20" s="223"/>
      <c r="DY20" s="223"/>
      <c r="DZ20" s="223"/>
      <c r="EA20" s="289">
        <f t="shared" si="42"/>
        <v>0</v>
      </c>
      <c r="EB20" s="257">
        <f t="shared" si="43"/>
        <v>90</v>
      </c>
      <c r="EC20" s="257">
        <f t="shared" si="44"/>
        <v>0</v>
      </c>
      <c r="ED20" s="257">
        <f t="shared" si="45"/>
        <v>0</v>
      </c>
      <c r="EE20" s="575">
        <f t="shared" si="46"/>
        <v>2</v>
      </c>
      <c r="EF20" s="506">
        <f t="shared" si="47"/>
        <v>1</v>
      </c>
      <c r="EG20" s="39">
        <f t="shared" si="48"/>
        <v>90</v>
      </c>
      <c r="EH20" s="257">
        <f t="shared" si="49"/>
        <v>85</v>
      </c>
      <c r="EI20" s="257">
        <f t="shared" si="50"/>
        <v>0</v>
      </c>
      <c r="EJ20" s="257">
        <f t="shared" si="51"/>
        <v>0</v>
      </c>
      <c r="EK20" s="575">
        <f t="shared" si="52"/>
        <v>2</v>
      </c>
      <c r="EL20" s="506">
        <f t="shared" si="53"/>
        <v>1</v>
      </c>
      <c r="EM20" s="39">
        <f t="shared" si="54"/>
        <v>85</v>
      </c>
      <c r="EN20" s="257">
        <f t="shared" si="55"/>
        <v>85</v>
      </c>
      <c r="EO20" s="257">
        <f t="shared" si="56"/>
        <v>0</v>
      </c>
      <c r="EP20" s="257">
        <f t="shared" si="57"/>
        <v>0</v>
      </c>
      <c r="EQ20" s="575">
        <f t="shared" si="58"/>
        <v>2</v>
      </c>
      <c r="ER20" s="506">
        <f t="shared" si="59"/>
        <v>1</v>
      </c>
      <c r="ES20" s="39">
        <f t="shared" si="60"/>
        <v>85</v>
      </c>
      <c r="ET20" s="257">
        <f t="shared" si="61"/>
        <v>0</v>
      </c>
      <c r="EU20" s="257">
        <f t="shared" si="62"/>
        <v>0</v>
      </c>
      <c r="EV20" s="257">
        <f t="shared" si="63"/>
        <v>0</v>
      </c>
      <c r="EW20" s="575">
        <f t="shared" si="64"/>
        <v>3</v>
      </c>
      <c r="EX20" s="506">
        <f t="shared" si="65"/>
        <v>0</v>
      </c>
      <c r="EY20" s="39" t="str">
        <f t="shared" si="66"/>
        <v/>
      </c>
      <c r="EZ20" s="257">
        <f t="shared" si="67"/>
        <v>0</v>
      </c>
      <c r="FA20" s="257">
        <f t="shared" si="68"/>
        <v>0</v>
      </c>
      <c r="FB20" s="257">
        <f t="shared" si="69"/>
        <v>0</v>
      </c>
      <c r="FC20" s="575">
        <f t="shared" si="70"/>
        <v>3</v>
      </c>
      <c r="FD20" s="506">
        <f t="shared" si="71"/>
        <v>0</v>
      </c>
      <c r="FE20" s="39" t="str">
        <f t="shared" si="72"/>
        <v/>
      </c>
      <c r="FF20" s="257">
        <f t="shared" si="73"/>
        <v>0</v>
      </c>
      <c r="FG20" s="257">
        <f t="shared" si="74"/>
        <v>0</v>
      </c>
      <c r="FH20" s="257">
        <f t="shared" si="75"/>
        <v>0</v>
      </c>
      <c r="FI20" s="575">
        <f t="shared" si="76"/>
        <v>3</v>
      </c>
      <c r="FJ20" s="506">
        <f t="shared" si="77"/>
        <v>0</v>
      </c>
      <c r="FK20" s="39" t="str">
        <f t="shared" si="78"/>
        <v/>
      </c>
      <c r="FL20" s="257">
        <f t="shared" si="79"/>
        <v>0</v>
      </c>
      <c r="FM20" s="257">
        <f t="shared" si="80"/>
        <v>0</v>
      </c>
      <c r="FN20" s="257">
        <f t="shared" si="81"/>
        <v>0</v>
      </c>
      <c r="FO20" s="575">
        <f t="shared" si="82"/>
        <v>3</v>
      </c>
      <c r="FP20" s="506">
        <f t="shared" si="83"/>
        <v>0</v>
      </c>
      <c r="FQ20" s="39" t="str">
        <f t="shared" si="84"/>
        <v/>
      </c>
      <c r="FR20" s="39"/>
      <c r="FS20" s="39">
        <f t="shared" si="85"/>
        <v>90</v>
      </c>
      <c r="FT20" s="39">
        <f t="shared" si="86"/>
        <v>85</v>
      </c>
      <c r="FU20" s="39">
        <f t="shared" si="87"/>
        <v>85</v>
      </c>
      <c r="FV20" s="39" t="str">
        <f t="shared" si="88"/>
        <v/>
      </c>
      <c r="FW20" s="39" t="str">
        <f t="shared" si="89"/>
        <v/>
      </c>
      <c r="FX20" s="39" t="str">
        <f t="shared" si="90"/>
        <v/>
      </c>
      <c r="FY20" s="257" t="str">
        <f t="shared" si="91"/>
        <v/>
      </c>
      <c r="FZ20" s="569">
        <f t="shared" si="92"/>
        <v>87</v>
      </c>
      <c r="GA20" s="289">
        <f t="shared" si="93"/>
        <v>90</v>
      </c>
      <c r="GB20" s="289">
        <f t="shared" si="94"/>
        <v>85</v>
      </c>
      <c r="GC20" s="289" t="str">
        <f>SISWA!E18</f>
        <v>Pras</v>
      </c>
      <c r="GD20" s="223" t="str">
        <f t="shared" si="95"/>
        <v xml:space="preserve">Ananda Pras </v>
      </c>
      <c r="GE20" s="580">
        <f t="shared" si="96"/>
        <v>90</v>
      </c>
      <c r="GF20" s="580" t="str">
        <f t="shared" si="97"/>
        <v/>
      </c>
      <c r="GG20" s="580" t="str">
        <f t="shared" si="98"/>
        <v/>
      </c>
      <c r="GH20" s="580" t="str">
        <f t="shared" si="99"/>
        <v/>
      </c>
      <c r="GI20" s="580" t="str">
        <f t="shared" si="100"/>
        <v/>
      </c>
      <c r="GJ20" s="580" t="str">
        <f t="shared" si="101"/>
        <v/>
      </c>
      <c r="GK20" s="580" t="str">
        <f t="shared" si="102"/>
        <v/>
      </c>
      <c r="GL20" s="580"/>
      <c r="GM20" s="580"/>
      <c r="GN20" s="580"/>
      <c r="GO20" s="580"/>
      <c r="GP20" s="223">
        <f t="shared" si="103"/>
        <v>90</v>
      </c>
      <c r="GQ20" s="289" t="str">
        <f t="shared" si="104"/>
        <v>menyampaikan teks deskriptif tentang peristiwa alam dan adat istiadat.</v>
      </c>
      <c r="GR20" s="576" t="str">
        <f>IF(GA20&gt;100,"",IF(GA20&gt;CU$1,"sangat baik dalam "&amp;GQ20,IF(GA20&gt;=CU$2,"baik dalam "&amp;GQ20,IF(GA20&gt;=CU$3,"cukup dalam "&amp;GQ20,IF(GA20&lt;CU$3,"dengan bimbingan dapat meningkatkan dalam "&amp;GQ20,IF(GA20&lt;1," ",””))))))</f>
        <v>baik dalam menyampaikan teks deskriptif tentang peristiwa alam dan adat istiadat.</v>
      </c>
      <c r="GS20" s="223"/>
      <c r="GT20" s="223" t="str">
        <f t="shared" si="105"/>
        <v/>
      </c>
      <c r="GU20" s="223">
        <f t="shared" si="106"/>
        <v>85</v>
      </c>
      <c r="GV20" s="223">
        <f t="shared" si="107"/>
        <v>85</v>
      </c>
      <c r="GW20" s="223" t="str">
        <f t="shared" si="108"/>
        <v/>
      </c>
      <c r="GX20" s="223" t="str">
        <f t="shared" si="109"/>
        <v/>
      </c>
      <c r="GY20" s="223" t="str">
        <f t="shared" si="110"/>
        <v/>
      </c>
      <c r="GZ20" s="223" t="str">
        <f t="shared" si="111"/>
        <v/>
      </c>
      <c r="HA20" s="223"/>
      <c r="HB20" s="223"/>
      <c r="HC20" s="223"/>
      <c r="HD20" s="223"/>
      <c r="HE20" s="223" t="str">
        <f t="shared" si="112"/>
        <v>menceritakan wayang (Ramayana), pakaian tradisional, dan gamelan.</v>
      </c>
      <c r="HF20" s="576" t="str">
        <f>IF(GB20&gt;100,"",IF(GB20&gt;CU$1,"sangat baik dalam "&amp;HE20,IF(GB20&gt;=CU$2,"baik dalam "&amp;HE20,IF(GB20&gt;=CU$3,"cukup dalam "&amp;HE20,IF(GB20&lt;CU$3,"dengan bimbingan dapat meningkatkan dalam "&amp;HE20,IF(GB20&lt;1," ",””))))))</f>
        <v>baik dalam menceritakan wayang (Ramayana), pakaian tradisional, dan gamelan.</v>
      </c>
      <c r="HG20" s="223" t="str">
        <f t="shared" si="113"/>
        <v>Ananda Pras baik dalam menyampaikan teks deskriptif tentang peristiwa alam dan adat istiadat., baik dalam menceritakan wayang (Ramayana), pakaian tradisional, dan gamelan..</v>
      </c>
    </row>
    <row r="21" spans="1:215" ht="30">
      <c r="A21" s="39">
        <v>14</v>
      </c>
      <c r="B21" s="223" t="str">
        <f>SISWA!B19</f>
        <v>Siti Musyafiani</v>
      </c>
      <c r="C21" s="123">
        <v>90</v>
      </c>
      <c r="D21" s="123">
        <v>80</v>
      </c>
      <c r="E21" s="123">
        <v>85</v>
      </c>
      <c r="F21" s="123"/>
      <c r="G21" s="123"/>
      <c r="H21" s="123"/>
      <c r="I21" s="123"/>
      <c r="J21" s="255"/>
      <c r="K21" s="255"/>
      <c r="L21" s="255"/>
      <c r="M21" s="255"/>
      <c r="N21" s="255"/>
      <c r="O21" s="255"/>
      <c r="P21" s="255"/>
      <c r="Q21" s="256"/>
      <c r="R21" s="256"/>
      <c r="S21" s="256"/>
      <c r="T21" s="256"/>
      <c r="U21" s="256"/>
      <c r="V21" s="256"/>
      <c r="W21" s="256"/>
      <c r="X21" s="123"/>
      <c r="Y21" s="123"/>
      <c r="Z21" s="123"/>
      <c r="AA21" s="123"/>
      <c r="AB21" s="123"/>
      <c r="AC21" s="123"/>
      <c r="AD21" s="123"/>
      <c r="AE21" s="255"/>
      <c r="AF21" s="255"/>
      <c r="AG21" s="255"/>
      <c r="AH21" s="255"/>
      <c r="AI21" s="255"/>
      <c r="AJ21" s="255"/>
      <c r="AK21" s="255"/>
      <c r="AL21" s="256"/>
      <c r="AM21" s="256"/>
      <c r="AN21" s="256"/>
      <c r="AO21" s="256"/>
      <c r="AP21" s="256"/>
      <c r="AQ21" s="256"/>
      <c r="AR21" s="256"/>
      <c r="AS21" s="123"/>
      <c r="AT21" s="123"/>
      <c r="AU21" s="123"/>
      <c r="AV21" s="123"/>
      <c r="AW21" s="123"/>
      <c r="AX21" s="123"/>
      <c r="AY21" s="123"/>
      <c r="AZ21" s="255"/>
      <c r="BA21" s="255"/>
      <c r="BB21" s="255"/>
      <c r="BC21" s="255"/>
      <c r="BD21" s="255"/>
      <c r="BE21" s="255"/>
      <c r="BF21" s="255"/>
      <c r="BG21" s="256"/>
      <c r="BH21" s="256"/>
      <c r="BI21" s="256"/>
      <c r="BJ21" s="256"/>
      <c r="BK21" s="256"/>
      <c r="BL21" s="256"/>
      <c r="BM21" s="256"/>
      <c r="BN21" s="123"/>
      <c r="BO21" s="123"/>
      <c r="BP21" s="123"/>
      <c r="BQ21" s="123"/>
      <c r="BR21" s="123"/>
      <c r="BS21" s="123"/>
      <c r="BT21" s="123"/>
      <c r="BU21" s="255"/>
      <c r="BV21" s="255"/>
      <c r="BW21" s="255"/>
      <c r="BX21" s="255"/>
      <c r="BY21" s="255"/>
      <c r="BZ21" s="255"/>
      <c r="CA21" s="255"/>
      <c r="CB21" s="256"/>
      <c r="CC21" s="256"/>
      <c r="CD21" s="256"/>
      <c r="CE21" s="256"/>
      <c r="CF21" s="256"/>
      <c r="CG21" s="256"/>
      <c r="CH21" s="256"/>
      <c r="CI21" s="257">
        <f t="shared" si="10"/>
        <v>90</v>
      </c>
      <c r="CJ21" s="257">
        <f t="shared" si="11"/>
        <v>80</v>
      </c>
      <c r="CK21" s="257">
        <f t="shared" si="12"/>
        <v>85</v>
      </c>
      <c r="CL21" s="257" t="str">
        <f t="shared" si="13"/>
        <v/>
      </c>
      <c r="CM21" s="257" t="str">
        <f t="shared" si="14"/>
        <v/>
      </c>
      <c r="CN21" s="257" t="str">
        <f t="shared" si="15"/>
        <v/>
      </c>
      <c r="CO21" s="257" t="str">
        <f t="shared" si="16"/>
        <v/>
      </c>
      <c r="CP21" s="756">
        <f t="shared" si="4"/>
        <v>85</v>
      </c>
      <c r="CQ21" s="291" t="str">
        <f t="shared" si="17"/>
        <v>B</v>
      </c>
      <c r="CR21" s="243" t="str">
        <f t="shared" si="18"/>
        <v>Ananda Fifi baik dalam menyampaikan teks deskriptif tentang peristiwa alam dan adat istiadat., cukup dalam melantunkan tembang macapat Kinanthi, dan menjelaskan  geguritan..</v>
      </c>
      <c r="CS21" s="39"/>
      <c r="CT21" s="39"/>
      <c r="CU21" s="257">
        <f t="shared" si="19"/>
        <v>90</v>
      </c>
      <c r="CV21" s="257">
        <f t="shared" si="20"/>
        <v>80</v>
      </c>
      <c r="CW21" s="257">
        <f t="shared" si="21"/>
        <v>85</v>
      </c>
      <c r="CX21" s="257">
        <f t="shared" si="22"/>
        <v>0</v>
      </c>
      <c r="CY21" s="257">
        <f t="shared" si="23"/>
        <v>0</v>
      </c>
      <c r="CZ21" s="257">
        <f t="shared" si="24"/>
        <v>0</v>
      </c>
      <c r="DA21" s="257">
        <f t="shared" si="25"/>
        <v>0</v>
      </c>
      <c r="DB21" s="257"/>
      <c r="DC21" s="257"/>
      <c r="DD21" s="257"/>
      <c r="DE21" s="289">
        <f t="shared" si="26"/>
        <v>90</v>
      </c>
      <c r="DF21" s="257">
        <f t="shared" si="27"/>
        <v>0</v>
      </c>
      <c r="DG21" s="257">
        <f t="shared" si="28"/>
        <v>0</v>
      </c>
      <c r="DH21" s="257">
        <f t="shared" si="29"/>
        <v>0</v>
      </c>
      <c r="DI21" s="257">
        <f t="shared" si="30"/>
        <v>0</v>
      </c>
      <c r="DJ21" s="257">
        <f t="shared" si="31"/>
        <v>0</v>
      </c>
      <c r="DK21" s="257">
        <f t="shared" si="32"/>
        <v>0</v>
      </c>
      <c r="DL21" s="257">
        <f t="shared" si="33"/>
        <v>0</v>
      </c>
      <c r="DM21" s="223"/>
      <c r="DN21" s="223"/>
      <c r="DO21" s="223"/>
      <c r="DP21" s="289">
        <f t="shared" si="34"/>
        <v>0</v>
      </c>
      <c r="DQ21" s="257">
        <f t="shared" si="35"/>
        <v>0</v>
      </c>
      <c r="DR21" s="257">
        <f t="shared" si="36"/>
        <v>0</v>
      </c>
      <c r="DS21" s="257">
        <f t="shared" si="37"/>
        <v>0</v>
      </c>
      <c r="DT21" s="257">
        <f t="shared" si="38"/>
        <v>0</v>
      </c>
      <c r="DU21" s="257">
        <f t="shared" si="39"/>
        <v>0</v>
      </c>
      <c r="DV21" s="257">
        <f t="shared" si="40"/>
        <v>0</v>
      </c>
      <c r="DW21" s="257">
        <f t="shared" si="41"/>
        <v>0</v>
      </c>
      <c r="DX21" s="223"/>
      <c r="DY21" s="223"/>
      <c r="DZ21" s="223"/>
      <c r="EA21" s="289">
        <f t="shared" si="42"/>
        <v>0</v>
      </c>
      <c r="EB21" s="257">
        <f t="shared" si="43"/>
        <v>90</v>
      </c>
      <c r="EC21" s="257">
        <f t="shared" si="44"/>
        <v>0</v>
      </c>
      <c r="ED21" s="257">
        <f t="shared" si="45"/>
        <v>0</v>
      </c>
      <c r="EE21" s="575">
        <f t="shared" si="46"/>
        <v>2</v>
      </c>
      <c r="EF21" s="506">
        <f t="shared" si="47"/>
        <v>1</v>
      </c>
      <c r="EG21" s="39">
        <f t="shared" si="48"/>
        <v>90</v>
      </c>
      <c r="EH21" s="257">
        <f t="shared" si="49"/>
        <v>80</v>
      </c>
      <c r="EI21" s="257">
        <f t="shared" si="50"/>
        <v>0</v>
      </c>
      <c r="EJ21" s="257">
        <f t="shared" si="51"/>
        <v>0</v>
      </c>
      <c r="EK21" s="575">
        <f t="shared" si="52"/>
        <v>2</v>
      </c>
      <c r="EL21" s="506">
        <f t="shared" si="53"/>
        <v>1</v>
      </c>
      <c r="EM21" s="39">
        <f t="shared" si="54"/>
        <v>80</v>
      </c>
      <c r="EN21" s="257">
        <f t="shared" si="55"/>
        <v>85</v>
      </c>
      <c r="EO21" s="257">
        <f t="shared" si="56"/>
        <v>0</v>
      </c>
      <c r="EP21" s="257">
        <f t="shared" si="57"/>
        <v>0</v>
      </c>
      <c r="EQ21" s="575">
        <f t="shared" si="58"/>
        <v>2</v>
      </c>
      <c r="ER21" s="506">
        <f t="shared" si="59"/>
        <v>1</v>
      </c>
      <c r="ES21" s="39">
        <f t="shared" si="60"/>
        <v>85</v>
      </c>
      <c r="ET21" s="257">
        <f t="shared" si="61"/>
        <v>0</v>
      </c>
      <c r="EU21" s="257">
        <f t="shared" si="62"/>
        <v>0</v>
      </c>
      <c r="EV21" s="257">
        <f t="shared" si="63"/>
        <v>0</v>
      </c>
      <c r="EW21" s="575">
        <f t="shared" si="64"/>
        <v>3</v>
      </c>
      <c r="EX21" s="506">
        <f t="shared" si="65"/>
        <v>0</v>
      </c>
      <c r="EY21" s="39" t="str">
        <f t="shared" si="66"/>
        <v/>
      </c>
      <c r="EZ21" s="257">
        <f t="shared" si="67"/>
        <v>0</v>
      </c>
      <c r="FA21" s="257">
        <f t="shared" si="68"/>
        <v>0</v>
      </c>
      <c r="FB21" s="257">
        <f t="shared" si="69"/>
        <v>0</v>
      </c>
      <c r="FC21" s="575">
        <f t="shared" si="70"/>
        <v>3</v>
      </c>
      <c r="FD21" s="506">
        <f t="shared" si="71"/>
        <v>0</v>
      </c>
      <c r="FE21" s="39" t="str">
        <f t="shared" si="72"/>
        <v/>
      </c>
      <c r="FF21" s="257">
        <f t="shared" si="73"/>
        <v>0</v>
      </c>
      <c r="FG21" s="257">
        <f t="shared" si="74"/>
        <v>0</v>
      </c>
      <c r="FH21" s="257">
        <f t="shared" si="75"/>
        <v>0</v>
      </c>
      <c r="FI21" s="575">
        <f t="shared" si="76"/>
        <v>3</v>
      </c>
      <c r="FJ21" s="506">
        <f t="shared" si="77"/>
        <v>0</v>
      </c>
      <c r="FK21" s="39" t="str">
        <f t="shared" si="78"/>
        <v/>
      </c>
      <c r="FL21" s="257">
        <f t="shared" si="79"/>
        <v>0</v>
      </c>
      <c r="FM21" s="257">
        <f t="shared" si="80"/>
        <v>0</v>
      </c>
      <c r="FN21" s="257">
        <f t="shared" si="81"/>
        <v>0</v>
      </c>
      <c r="FO21" s="575">
        <f t="shared" si="82"/>
        <v>3</v>
      </c>
      <c r="FP21" s="506">
        <f t="shared" si="83"/>
        <v>0</v>
      </c>
      <c r="FQ21" s="39" t="str">
        <f t="shared" si="84"/>
        <v/>
      </c>
      <c r="FR21" s="39"/>
      <c r="FS21" s="39">
        <f t="shared" si="85"/>
        <v>90</v>
      </c>
      <c r="FT21" s="39">
        <f t="shared" si="86"/>
        <v>80</v>
      </c>
      <c r="FU21" s="39">
        <f t="shared" si="87"/>
        <v>85</v>
      </c>
      <c r="FV21" s="39" t="str">
        <f t="shared" si="88"/>
        <v/>
      </c>
      <c r="FW21" s="39" t="str">
        <f t="shared" si="89"/>
        <v/>
      </c>
      <c r="FX21" s="39" t="str">
        <f t="shared" si="90"/>
        <v/>
      </c>
      <c r="FY21" s="257" t="str">
        <f t="shared" si="91"/>
        <v/>
      </c>
      <c r="FZ21" s="569">
        <f t="shared" si="92"/>
        <v>85</v>
      </c>
      <c r="GA21" s="289">
        <f t="shared" si="93"/>
        <v>90</v>
      </c>
      <c r="GB21" s="289">
        <f t="shared" si="94"/>
        <v>80</v>
      </c>
      <c r="GC21" s="289" t="str">
        <f>SISWA!E19</f>
        <v>Fifi</v>
      </c>
      <c r="GD21" s="223" t="str">
        <f t="shared" si="95"/>
        <v xml:space="preserve">Ananda Fifi </v>
      </c>
      <c r="GE21" s="580">
        <f t="shared" si="96"/>
        <v>90</v>
      </c>
      <c r="GF21" s="580" t="str">
        <f t="shared" si="97"/>
        <v/>
      </c>
      <c r="GG21" s="580" t="str">
        <f t="shared" si="98"/>
        <v/>
      </c>
      <c r="GH21" s="580" t="str">
        <f t="shared" si="99"/>
        <v/>
      </c>
      <c r="GI21" s="580" t="str">
        <f t="shared" si="100"/>
        <v/>
      </c>
      <c r="GJ21" s="580" t="str">
        <f t="shared" si="101"/>
        <v/>
      </c>
      <c r="GK21" s="580" t="str">
        <f t="shared" si="102"/>
        <v/>
      </c>
      <c r="GL21" s="580"/>
      <c r="GM21" s="580"/>
      <c r="GN21" s="580"/>
      <c r="GO21" s="580"/>
      <c r="GP21" s="223">
        <f t="shared" si="103"/>
        <v>90</v>
      </c>
      <c r="GQ21" s="289" t="str">
        <f t="shared" si="104"/>
        <v>menyampaikan teks deskriptif tentang peristiwa alam dan adat istiadat.</v>
      </c>
      <c r="GR21" s="576" t="str">
        <f>IF(GA21&gt;100,"",IF(GA21&gt;CU$1,"sangat baik dalam "&amp;GQ21,IF(GA21&gt;=CU$2,"baik dalam "&amp;GQ21,IF(GA21&gt;=CU$3,"cukup dalam "&amp;GQ21,IF(GA21&lt;CU$3,"dengan bimbingan dapat meningkatkan dalam "&amp;GQ21,IF(GA21&lt;1," ",””))))))</f>
        <v>baik dalam menyampaikan teks deskriptif tentang peristiwa alam dan adat istiadat.</v>
      </c>
      <c r="GS21" s="223"/>
      <c r="GT21" s="223" t="str">
        <f t="shared" si="105"/>
        <v/>
      </c>
      <c r="GU21" s="223">
        <f t="shared" si="106"/>
        <v>80</v>
      </c>
      <c r="GV21" s="223" t="str">
        <f t="shared" si="107"/>
        <v/>
      </c>
      <c r="GW21" s="223" t="str">
        <f t="shared" si="108"/>
        <v/>
      </c>
      <c r="GX21" s="223" t="str">
        <f t="shared" si="109"/>
        <v/>
      </c>
      <c r="GY21" s="223" t="str">
        <f t="shared" si="110"/>
        <v/>
      </c>
      <c r="GZ21" s="223" t="str">
        <f t="shared" si="111"/>
        <v/>
      </c>
      <c r="HA21" s="223"/>
      <c r="HB21" s="223"/>
      <c r="HC21" s="223"/>
      <c r="HD21" s="223"/>
      <c r="HE21" s="223" t="str">
        <f t="shared" si="112"/>
        <v>melantunkan tembang macapat Kinanthi, dan menjelaskan  geguritan.</v>
      </c>
      <c r="HF21" s="576" t="str">
        <f>IF(GB21&gt;100,"",IF(GB21&gt;CU$1,"sangat baik dalam "&amp;HE21,IF(GB21&gt;=CU$2,"baik dalam "&amp;HE21,IF(GB21&gt;=CU$3,"cukup dalam "&amp;HE21,IF(GB21&lt;CU$3,"dengan bimbingan dapat meningkatkan dalam "&amp;HE21,IF(GB21&lt;1," ",””))))))</f>
        <v>cukup dalam melantunkan tembang macapat Kinanthi, dan menjelaskan  geguritan.</v>
      </c>
      <c r="HG21" s="223" t="str">
        <f t="shared" si="113"/>
        <v>Ananda Fifi baik dalam menyampaikan teks deskriptif tentang peristiwa alam dan adat istiadat., cukup dalam melantunkan tembang macapat Kinanthi, dan menjelaskan  geguritan..</v>
      </c>
    </row>
    <row r="22" spans="1:215" ht="30">
      <c r="A22" s="39">
        <v>15</v>
      </c>
      <c r="B22" s="223" t="str">
        <f>SISWA!B20</f>
        <v>Tegar Arya Pangestu</v>
      </c>
      <c r="C22" s="123">
        <v>85</v>
      </c>
      <c r="D22" s="123">
        <v>80</v>
      </c>
      <c r="E22" s="123">
        <v>80</v>
      </c>
      <c r="F22" s="123"/>
      <c r="G22" s="123"/>
      <c r="H22" s="123"/>
      <c r="I22" s="123"/>
      <c r="J22" s="255"/>
      <c r="K22" s="255"/>
      <c r="L22" s="255"/>
      <c r="M22" s="255"/>
      <c r="N22" s="255"/>
      <c r="O22" s="255"/>
      <c r="P22" s="255"/>
      <c r="Q22" s="256"/>
      <c r="R22" s="256"/>
      <c r="S22" s="256"/>
      <c r="T22" s="256"/>
      <c r="U22" s="256"/>
      <c r="V22" s="256"/>
      <c r="W22" s="256"/>
      <c r="X22" s="123"/>
      <c r="Y22" s="123"/>
      <c r="Z22" s="123"/>
      <c r="AA22" s="123"/>
      <c r="AB22" s="123"/>
      <c r="AC22" s="123"/>
      <c r="AD22" s="123"/>
      <c r="AE22" s="255"/>
      <c r="AF22" s="255"/>
      <c r="AG22" s="255"/>
      <c r="AH22" s="255"/>
      <c r="AI22" s="255"/>
      <c r="AJ22" s="255"/>
      <c r="AK22" s="255"/>
      <c r="AL22" s="256"/>
      <c r="AM22" s="256"/>
      <c r="AN22" s="256"/>
      <c r="AO22" s="256"/>
      <c r="AP22" s="256"/>
      <c r="AQ22" s="256"/>
      <c r="AR22" s="256"/>
      <c r="AS22" s="123"/>
      <c r="AT22" s="123"/>
      <c r="AU22" s="123"/>
      <c r="AV22" s="123"/>
      <c r="AW22" s="123"/>
      <c r="AX22" s="123"/>
      <c r="AY22" s="123"/>
      <c r="AZ22" s="255"/>
      <c r="BA22" s="255"/>
      <c r="BB22" s="255"/>
      <c r="BC22" s="255"/>
      <c r="BD22" s="255"/>
      <c r="BE22" s="255"/>
      <c r="BF22" s="255"/>
      <c r="BG22" s="256"/>
      <c r="BH22" s="256"/>
      <c r="BI22" s="256"/>
      <c r="BJ22" s="256"/>
      <c r="BK22" s="256"/>
      <c r="BL22" s="256"/>
      <c r="BM22" s="256"/>
      <c r="BN22" s="123"/>
      <c r="BO22" s="123"/>
      <c r="BP22" s="123"/>
      <c r="BQ22" s="123"/>
      <c r="BR22" s="123"/>
      <c r="BS22" s="123"/>
      <c r="BT22" s="123"/>
      <c r="BU22" s="255"/>
      <c r="BV22" s="255"/>
      <c r="BW22" s="255"/>
      <c r="BX22" s="255"/>
      <c r="BY22" s="255"/>
      <c r="BZ22" s="255"/>
      <c r="CA22" s="255"/>
      <c r="CB22" s="256"/>
      <c r="CC22" s="256"/>
      <c r="CD22" s="256"/>
      <c r="CE22" s="256"/>
      <c r="CF22" s="256"/>
      <c r="CG22" s="256"/>
      <c r="CH22" s="256"/>
      <c r="CI22" s="257">
        <f t="shared" si="10"/>
        <v>85</v>
      </c>
      <c r="CJ22" s="257">
        <f t="shared" si="11"/>
        <v>80</v>
      </c>
      <c r="CK22" s="257">
        <f t="shared" si="12"/>
        <v>80</v>
      </c>
      <c r="CL22" s="257" t="str">
        <f t="shared" si="13"/>
        <v/>
      </c>
      <c r="CM22" s="257" t="str">
        <f t="shared" si="14"/>
        <v/>
      </c>
      <c r="CN22" s="257" t="str">
        <f t="shared" si="15"/>
        <v/>
      </c>
      <c r="CO22" s="257" t="str">
        <f t="shared" si="16"/>
        <v/>
      </c>
      <c r="CP22" s="756">
        <f t="shared" si="4"/>
        <v>82</v>
      </c>
      <c r="CQ22" s="291" t="str">
        <f t="shared" si="17"/>
        <v>C</v>
      </c>
      <c r="CR22" s="243" t="str">
        <f t="shared" si="18"/>
        <v>Ananda Tegar baik dalam menyampaikan teks deskriptif tentang peristiwa alam dan adat istiadat., cukup dalam menceritakan wayang (Ramayana), pakaian tradisional, dan gamelan..</v>
      </c>
      <c r="CS22" s="39"/>
      <c r="CT22" s="39"/>
      <c r="CU22" s="257">
        <f t="shared" si="19"/>
        <v>85</v>
      </c>
      <c r="CV22" s="257">
        <f t="shared" si="20"/>
        <v>80</v>
      </c>
      <c r="CW22" s="257">
        <f t="shared" si="21"/>
        <v>80</v>
      </c>
      <c r="CX22" s="257">
        <f t="shared" si="22"/>
        <v>0</v>
      </c>
      <c r="CY22" s="257">
        <f t="shared" si="23"/>
        <v>0</v>
      </c>
      <c r="CZ22" s="257">
        <f t="shared" si="24"/>
        <v>0</v>
      </c>
      <c r="DA22" s="257">
        <f t="shared" si="25"/>
        <v>0</v>
      </c>
      <c r="DB22" s="257"/>
      <c r="DC22" s="257"/>
      <c r="DD22" s="257"/>
      <c r="DE22" s="289">
        <f t="shared" si="26"/>
        <v>85</v>
      </c>
      <c r="DF22" s="257">
        <f t="shared" si="27"/>
        <v>0</v>
      </c>
      <c r="DG22" s="257">
        <f t="shared" si="28"/>
        <v>0</v>
      </c>
      <c r="DH22" s="257">
        <f t="shared" si="29"/>
        <v>0</v>
      </c>
      <c r="DI22" s="257">
        <f t="shared" si="30"/>
        <v>0</v>
      </c>
      <c r="DJ22" s="257">
        <f t="shared" si="31"/>
        <v>0</v>
      </c>
      <c r="DK22" s="257">
        <f t="shared" si="32"/>
        <v>0</v>
      </c>
      <c r="DL22" s="257">
        <f t="shared" si="33"/>
        <v>0</v>
      </c>
      <c r="DM22" s="223"/>
      <c r="DN22" s="223"/>
      <c r="DO22" s="223"/>
      <c r="DP22" s="289">
        <f t="shared" si="34"/>
        <v>0</v>
      </c>
      <c r="DQ22" s="257">
        <f t="shared" si="35"/>
        <v>0</v>
      </c>
      <c r="DR22" s="257">
        <f t="shared" si="36"/>
        <v>0</v>
      </c>
      <c r="DS22" s="257">
        <f t="shared" si="37"/>
        <v>0</v>
      </c>
      <c r="DT22" s="257">
        <f t="shared" si="38"/>
        <v>0</v>
      </c>
      <c r="DU22" s="257">
        <f t="shared" si="39"/>
        <v>0</v>
      </c>
      <c r="DV22" s="257">
        <f t="shared" si="40"/>
        <v>0</v>
      </c>
      <c r="DW22" s="257">
        <f t="shared" si="41"/>
        <v>0</v>
      </c>
      <c r="DX22" s="223"/>
      <c r="DY22" s="223"/>
      <c r="DZ22" s="223"/>
      <c r="EA22" s="289">
        <f t="shared" si="42"/>
        <v>0</v>
      </c>
      <c r="EB22" s="257">
        <f t="shared" si="43"/>
        <v>85</v>
      </c>
      <c r="EC22" s="257">
        <f t="shared" si="44"/>
        <v>0</v>
      </c>
      <c r="ED22" s="257">
        <f t="shared" si="45"/>
        <v>0</v>
      </c>
      <c r="EE22" s="575">
        <f t="shared" si="46"/>
        <v>2</v>
      </c>
      <c r="EF22" s="506">
        <f t="shared" si="47"/>
        <v>1</v>
      </c>
      <c r="EG22" s="39">
        <f t="shared" si="48"/>
        <v>85</v>
      </c>
      <c r="EH22" s="257">
        <f t="shared" si="49"/>
        <v>80</v>
      </c>
      <c r="EI22" s="257">
        <f t="shared" si="50"/>
        <v>0</v>
      </c>
      <c r="EJ22" s="257">
        <f t="shared" si="51"/>
        <v>0</v>
      </c>
      <c r="EK22" s="575">
        <f t="shared" si="52"/>
        <v>2</v>
      </c>
      <c r="EL22" s="506">
        <f t="shared" si="53"/>
        <v>1</v>
      </c>
      <c r="EM22" s="39">
        <f t="shared" si="54"/>
        <v>80</v>
      </c>
      <c r="EN22" s="257">
        <f t="shared" si="55"/>
        <v>80</v>
      </c>
      <c r="EO22" s="257">
        <f t="shared" si="56"/>
        <v>0</v>
      </c>
      <c r="EP22" s="257">
        <f t="shared" si="57"/>
        <v>0</v>
      </c>
      <c r="EQ22" s="575">
        <f t="shared" si="58"/>
        <v>2</v>
      </c>
      <c r="ER22" s="506">
        <f t="shared" si="59"/>
        <v>1</v>
      </c>
      <c r="ES22" s="39">
        <f t="shared" si="60"/>
        <v>80</v>
      </c>
      <c r="ET22" s="257">
        <f t="shared" si="61"/>
        <v>0</v>
      </c>
      <c r="EU22" s="257">
        <f t="shared" si="62"/>
        <v>0</v>
      </c>
      <c r="EV22" s="257">
        <f t="shared" si="63"/>
        <v>0</v>
      </c>
      <c r="EW22" s="575">
        <f t="shared" si="64"/>
        <v>3</v>
      </c>
      <c r="EX22" s="506">
        <f t="shared" si="65"/>
        <v>0</v>
      </c>
      <c r="EY22" s="39" t="str">
        <f t="shared" si="66"/>
        <v/>
      </c>
      <c r="EZ22" s="257">
        <f t="shared" si="67"/>
        <v>0</v>
      </c>
      <c r="FA22" s="257">
        <f t="shared" si="68"/>
        <v>0</v>
      </c>
      <c r="FB22" s="257">
        <f t="shared" si="69"/>
        <v>0</v>
      </c>
      <c r="FC22" s="575">
        <f t="shared" si="70"/>
        <v>3</v>
      </c>
      <c r="FD22" s="506">
        <f t="shared" si="71"/>
        <v>0</v>
      </c>
      <c r="FE22" s="39" t="str">
        <f t="shared" si="72"/>
        <v/>
      </c>
      <c r="FF22" s="257">
        <f t="shared" si="73"/>
        <v>0</v>
      </c>
      <c r="FG22" s="257">
        <f t="shared" si="74"/>
        <v>0</v>
      </c>
      <c r="FH22" s="257">
        <f t="shared" si="75"/>
        <v>0</v>
      </c>
      <c r="FI22" s="575">
        <f t="shared" si="76"/>
        <v>3</v>
      </c>
      <c r="FJ22" s="506">
        <f t="shared" si="77"/>
        <v>0</v>
      </c>
      <c r="FK22" s="39" t="str">
        <f t="shared" si="78"/>
        <v/>
      </c>
      <c r="FL22" s="257">
        <f t="shared" si="79"/>
        <v>0</v>
      </c>
      <c r="FM22" s="257">
        <f t="shared" si="80"/>
        <v>0</v>
      </c>
      <c r="FN22" s="257">
        <f t="shared" si="81"/>
        <v>0</v>
      </c>
      <c r="FO22" s="575">
        <f t="shared" si="82"/>
        <v>3</v>
      </c>
      <c r="FP22" s="506">
        <f t="shared" si="83"/>
        <v>0</v>
      </c>
      <c r="FQ22" s="39" t="str">
        <f t="shared" si="84"/>
        <v/>
      </c>
      <c r="FR22" s="39"/>
      <c r="FS22" s="39">
        <f t="shared" si="85"/>
        <v>85</v>
      </c>
      <c r="FT22" s="39">
        <f t="shared" si="86"/>
        <v>80</v>
      </c>
      <c r="FU22" s="39">
        <f t="shared" si="87"/>
        <v>80</v>
      </c>
      <c r="FV22" s="39" t="str">
        <f t="shared" si="88"/>
        <v/>
      </c>
      <c r="FW22" s="39" t="str">
        <f t="shared" si="89"/>
        <v/>
      </c>
      <c r="FX22" s="39" t="str">
        <f t="shared" si="90"/>
        <v/>
      </c>
      <c r="FY22" s="257" t="str">
        <f t="shared" si="91"/>
        <v/>
      </c>
      <c r="FZ22" s="569">
        <f t="shared" si="92"/>
        <v>82</v>
      </c>
      <c r="GA22" s="289">
        <f t="shared" si="93"/>
        <v>85</v>
      </c>
      <c r="GB22" s="289">
        <f t="shared" si="94"/>
        <v>80</v>
      </c>
      <c r="GC22" s="289" t="str">
        <f>SISWA!E20</f>
        <v>Tegar</v>
      </c>
      <c r="GD22" s="223" t="str">
        <f t="shared" si="95"/>
        <v xml:space="preserve">Ananda Tegar </v>
      </c>
      <c r="GE22" s="580">
        <f t="shared" si="96"/>
        <v>85</v>
      </c>
      <c r="GF22" s="580" t="str">
        <f t="shared" si="97"/>
        <v/>
      </c>
      <c r="GG22" s="580" t="str">
        <f t="shared" si="98"/>
        <v/>
      </c>
      <c r="GH22" s="580" t="str">
        <f t="shared" si="99"/>
        <v/>
      </c>
      <c r="GI22" s="580" t="str">
        <f t="shared" si="100"/>
        <v/>
      </c>
      <c r="GJ22" s="580" t="str">
        <f t="shared" si="101"/>
        <v/>
      </c>
      <c r="GK22" s="580" t="str">
        <f t="shared" si="102"/>
        <v/>
      </c>
      <c r="GL22" s="580"/>
      <c r="GM22" s="580"/>
      <c r="GN22" s="580"/>
      <c r="GO22" s="580"/>
      <c r="GP22" s="223">
        <f t="shared" si="103"/>
        <v>85</v>
      </c>
      <c r="GQ22" s="289" t="str">
        <f t="shared" si="104"/>
        <v>menyampaikan teks deskriptif tentang peristiwa alam dan adat istiadat.</v>
      </c>
      <c r="GR22" s="576" t="str">
        <f>IF(GA22&gt;100,"",IF(GA22&gt;CU$1,"sangat baik dalam "&amp;GQ22,IF(GA22&gt;=CU$2,"baik dalam "&amp;GQ22,IF(GA22&gt;=CU$3,"cukup dalam "&amp;GQ22,IF(GA22&lt;CU$3,"dengan bimbingan dapat meningkatkan dalam "&amp;GQ22,IF(GA22&lt;1," ",””))))))</f>
        <v>baik dalam menyampaikan teks deskriptif tentang peristiwa alam dan adat istiadat.</v>
      </c>
      <c r="GS22" s="223"/>
      <c r="GT22" s="223" t="str">
        <f t="shared" si="105"/>
        <v/>
      </c>
      <c r="GU22" s="223">
        <f t="shared" si="106"/>
        <v>80</v>
      </c>
      <c r="GV22" s="223">
        <f t="shared" si="107"/>
        <v>80</v>
      </c>
      <c r="GW22" s="223" t="str">
        <f t="shared" si="108"/>
        <v/>
      </c>
      <c r="GX22" s="223" t="str">
        <f t="shared" si="109"/>
        <v/>
      </c>
      <c r="GY22" s="223" t="str">
        <f t="shared" si="110"/>
        <v/>
      </c>
      <c r="GZ22" s="223" t="str">
        <f t="shared" si="111"/>
        <v/>
      </c>
      <c r="HA22" s="223"/>
      <c r="HB22" s="223"/>
      <c r="HC22" s="223"/>
      <c r="HD22" s="223"/>
      <c r="HE22" s="223" t="str">
        <f t="shared" si="112"/>
        <v>menceritakan wayang (Ramayana), pakaian tradisional, dan gamelan.</v>
      </c>
      <c r="HF22" s="576" t="str">
        <f>IF(GB22&gt;100,"",IF(GB22&gt;CU$1,"sangat baik dalam "&amp;HE22,IF(GB22&gt;=CU$2,"baik dalam "&amp;HE22,IF(GB22&gt;=CU$3,"cukup dalam "&amp;HE22,IF(GB22&lt;CU$3,"dengan bimbingan dapat meningkatkan dalam "&amp;HE22,IF(GB22&lt;1," ",””))))))</f>
        <v>cukup dalam menceritakan wayang (Ramayana), pakaian tradisional, dan gamelan.</v>
      </c>
      <c r="HG22" s="223" t="str">
        <f t="shared" si="113"/>
        <v>Ananda Tegar baik dalam menyampaikan teks deskriptif tentang peristiwa alam dan adat istiadat., cukup dalam menceritakan wayang (Ramayana), pakaian tradisional, dan gamelan..</v>
      </c>
    </row>
    <row r="23" spans="1:215">
      <c r="A23" s="39">
        <v>16</v>
      </c>
      <c r="B23" s="223">
        <f>SISWA!B21</f>
        <v>0</v>
      </c>
      <c r="C23" s="123"/>
      <c r="D23" s="123"/>
      <c r="E23" s="123"/>
      <c r="F23" s="123"/>
      <c r="G23" s="123"/>
      <c r="H23" s="123"/>
      <c r="I23" s="123"/>
      <c r="J23" s="255"/>
      <c r="K23" s="255"/>
      <c r="L23" s="255"/>
      <c r="M23" s="255"/>
      <c r="N23" s="255"/>
      <c r="O23" s="255"/>
      <c r="P23" s="255"/>
      <c r="Q23" s="256"/>
      <c r="R23" s="256"/>
      <c r="S23" s="256"/>
      <c r="T23" s="256"/>
      <c r="U23" s="256"/>
      <c r="V23" s="256"/>
      <c r="W23" s="256"/>
      <c r="X23" s="123"/>
      <c r="Y23" s="123"/>
      <c r="Z23" s="123"/>
      <c r="AA23" s="123"/>
      <c r="AB23" s="123"/>
      <c r="AC23" s="123"/>
      <c r="AD23" s="123"/>
      <c r="AE23" s="255"/>
      <c r="AF23" s="255"/>
      <c r="AG23" s="255"/>
      <c r="AH23" s="255"/>
      <c r="AI23" s="255"/>
      <c r="AJ23" s="255"/>
      <c r="AK23" s="255"/>
      <c r="AL23" s="256"/>
      <c r="AM23" s="256"/>
      <c r="AN23" s="256"/>
      <c r="AO23" s="256"/>
      <c r="AP23" s="256"/>
      <c r="AQ23" s="256"/>
      <c r="AR23" s="256"/>
      <c r="AS23" s="123"/>
      <c r="AT23" s="123"/>
      <c r="AU23" s="123"/>
      <c r="AV23" s="123"/>
      <c r="AW23" s="123"/>
      <c r="AX23" s="123"/>
      <c r="AY23" s="123"/>
      <c r="AZ23" s="255"/>
      <c r="BA23" s="255"/>
      <c r="BB23" s="255"/>
      <c r="BC23" s="255"/>
      <c r="BD23" s="255"/>
      <c r="BE23" s="255"/>
      <c r="BF23" s="255"/>
      <c r="BG23" s="256"/>
      <c r="BH23" s="256"/>
      <c r="BI23" s="256"/>
      <c r="BJ23" s="256"/>
      <c r="BK23" s="256"/>
      <c r="BL23" s="256"/>
      <c r="BM23" s="256"/>
      <c r="BN23" s="123"/>
      <c r="BO23" s="123"/>
      <c r="BP23" s="123"/>
      <c r="BQ23" s="123"/>
      <c r="BR23" s="123"/>
      <c r="BS23" s="123"/>
      <c r="BT23" s="123"/>
      <c r="BU23" s="255"/>
      <c r="BV23" s="255"/>
      <c r="BW23" s="255"/>
      <c r="BX23" s="255"/>
      <c r="BY23" s="255"/>
      <c r="BZ23" s="255"/>
      <c r="CA23" s="255"/>
      <c r="CB23" s="256"/>
      <c r="CC23" s="256"/>
      <c r="CD23" s="256"/>
      <c r="CE23" s="256"/>
      <c r="CF23" s="256"/>
      <c r="CG23" s="256"/>
      <c r="CH23" s="256"/>
      <c r="CI23" s="257" t="str">
        <f t="shared" si="10"/>
        <v/>
      </c>
      <c r="CJ23" s="257" t="str">
        <f t="shared" si="11"/>
        <v/>
      </c>
      <c r="CK23" s="257" t="str">
        <f t="shared" si="12"/>
        <v/>
      </c>
      <c r="CL23" s="257" t="str">
        <f t="shared" si="13"/>
        <v/>
      </c>
      <c r="CM23" s="257" t="str">
        <f t="shared" si="14"/>
        <v/>
      </c>
      <c r="CN23" s="257" t="str">
        <f t="shared" si="15"/>
        <v/>
      </c>
      <c r="CO23" s="257" t="str">
        <f t="shared" si="16"/>
        <v/>
      </c>
      <c r="CP23" s="756" t="str">
        <f t="shared" si="4"/>
        <v xml:space="preserve"> </v>
      </c>
      <c r="CQ23" s="291" t="str">
        <f t="shared" si="17"/>
        <v xml:space="preserve">  </v>
      </c>
      <c r="CR23" s="243" t="str">
        <f t="shared" si="18"/>
        <v xml:space="preserve"> </v>
      </c>
      <c r="CS23" s="39"/>
      <c r="CT23" s="39"/>
      <c r="CU23" s="257">
        <f t="shared" si="19"/>
        <v>0</v>
      </c>
      <c r="CV23" s="257">
        <f t="shared" si="20"/>
        <v>0</v>
      </c>
      <c r="CW23" s="257">
        <f t="shared" si="21"/>
        <v>0</v>
      </c>
      <c r="CX23" s="257">
        <f t="shared" si="22"/>
        <v>0</v>
      </c>
      <c r="CY23" s="257">
        <f t="shared" si="23"/>
        <v>0</v>
      </c>
      <c r="CZ23" s="257">
        <f t="shared" si="24"/>
        <v>0</v>
      </c>
      <c r="DA23" s="257">
        <f t="shared" si="25"/>
        <v>0</v>
      </c>
      <c r="DB23" s="257"/>
      <c r="DC23" s="257"/>
      <c r="DD23" s="257"/>
      <c r="DE23" s="289">
        <f t="shared" si="26"/>
        <v>0</v>
      </c>
      <c r="DF23" s="257">
        <f t="shared" si="27"/>
        <v>0</v>
      </c>
      <c r="DG23" s="257">
        <f t="shared" si="28"/>
        <v>0</v>
      </c>
      <c r="DH23" s="257">
        <f t="shared" si="29"/>
        <v>0</v>
      </c>
      <c r="DI23" s="257">
        <f t="shared" si="30"/>
        <v>0</v>
      </c>
      <c r="DJ23" s="257">
        <f t="shared" si="31"/>
        <v>0</v>
      </c>
      <c r="DK23" s="257">
        <f t="shared" si="32"/>
        <v>0</v>
      </c>
      <c r="DL23" s="257">
        <f t="shared" si="33"/>
        <v>0</v>
      </c>
      <c r="DM23" s="223"/>
      <c r="DN23" s="223"/>
      <c r="DO23" s="223"/>
      <c r="DP23" s="289">
        <f t="shared" si="34"/>
        <v>0</v>
      </c>
      <c r="DQ23" s="257">
        <f t="shared" si="35"/>
        <v>0</v>
      </c>
      <c r="DR23" s="257">
        <f t="shared" si="36"/>
        <v>0</v>
      </c>
      <c r="DS23" s="257">
        <f t="shared" si="37"/>
        <v>0</v>
      </c>
      <c r="DT23" s="257">
        <f t="shared" si="38"/>
        <v>0</v>
      </c>
      <c r="DU23" s="257">
        <f t="shared" si="39"/>
        <v>0</v>
      </c>
      <c r="DV23" s="257">
        <f t="shared" si="40"/>
        <v>0</v>
      </c>
      <c r="DW23" s="257">
        <f t="shared" si="41"/>
        <v>0</v>
      </c>
      <c r="DX23" s="223"/>
      <c r="DY23" s="223"/>
      <c r="DZ23" s="223"/>
      <c r="EA23" s="289">
        <f t="shared" si="42"/>
        <v>0</v>
      </c>
      <c r="EB23" s="257">
        <f t="shared" si="43"/>
        <v>0</v>
      </c>
      <c r="EC23" s="257">
        <f t="shared" si="44"/>
        <v>0</v>
      </c>
      <c r="ED23" s="257">
        <f t="shared" si="45"/>
        <v>0</v>
      </c>
      <c r="EE23" s="575">
        <f t="shared" si="46"/>
        <v>3</v>
      </c>
      <c r="EF23" s="506">
        <f t="shared" si="47"/>
        <v>0</v>
      </c>
      <c r="EG23" s="39" t="str">
        <f t="shared" si="48"/>
        <v/>
      </c>
      <c r="EH23" s="257">
        <f t="shared" si="49"/>
        <v>0</v>
      </c>
      <c r="EI23" s="257">
        <f t="shared" si="50"/>
        <v>0</v>
      </c>
      <c r="EJ23" s="257">
        <f t="shared" si="51"/>
        <v>0</v>
      </c>
      <c r="EK23" s="575">
        <f t="shared" si="52"/>
        <v>3</v>
      </c>
      <c r="EL23" s="506">
        <f t="shared" si="53"/>
        <v>0</v>
      </c>
      <c r="EM23" s="39" t="str">
        <f t="shared" si="54"/>
        <v/>
      </c>
      <c r="EN23" s="257">
        <f t="shared" si="55"/>
        <v>0</v>
      </c>
      <c r="EO23" s="257">
        <f t="shared" si="56"/>
        <v>0</v>
      </c>
      <c r="EP23" s="257">
        <f t="shared" si="57"/>
        <v>0</v>
      </c>
      <c r="EQ23" s="575">
        <f t="shared" si="58"/>
        <v>3</v>
      </c>
      <c r="ER23" s="506">
        <f t="shared" si="59"/>
        <v>0</v>
      </c>
      <c r="ES23" s="39" t="str">
        <f t="shared" si="60"/>
        <v/>
      </c>
      <c r="ET23" s="257">
        <f t="shared" si="61"/>
        <v>0</v>
      </c>
      <c r="EU23" s="257">
        <f t="shared" si="62"/>
        <v>0</v>
      </c>
      <c r="EV23" s="257">
        <f t="shared" si="63"/>
        <v>0</v>
      </c>
      <c r="EW23" s="575">
        <f t="shared" si="64"/>
        <v>3</v>
      </c>
      <c r="EX23" s="506">
        <f t="shared" si="65"/>
        <v>0</v>
      </c>
      <c r="EY23" s="39" t="str">
        <f t="shared" si="66"/>
        <v/>
      </c>
      <c r="EZ23" s="257">
        <f t="shared" si="67"/>
        <v>0</v>
      </c>
      <c r="FA23" s="257">
        <f t="shared" si="68"/>
        <v>0</v>
      </c>
      <c r="FB23" s="257">
        <f t="shared" si="69"/>
        <v>0</v>
      </c>
      <c r="FC23" s="575">
        <f t="shared" si="70"/>
        <v>3</v>
      </c>
      <c r="FD23" s="506">
        <f t="shared" si="71"/>
        <v>0</v>
      </c>
      <c r="FE23" s="39" t="str">
        <f t="shared" si="72"/>
        <v/>
      </c>
      <c r="FF23" s="257">
        <f t="shared" si="73"/>
        <v>0</v>
      </c>
      <c r="FG23" s="257">
        <f t="shared" si="74"/>
        <v>0</v>
      </c>
      <c r="FH23" s="257">
        <f t="shared" si="75"/>
        <v>0</v>
      </c>
      <c r="FI23" s="575">
        <f t="shared" si="76"/>
        <v>3</v>
      </c>
      <c r="FJ23" s="506">
        <f t="shared" si="77"/>
        <v>0</v>
      </c>
      <c r="FK23" s="39" t="str">
        <f t="shared" si="78"/>
        <v/>
      </c>
      <c r="FL23" s="257">
        <f t="shared" si="79"/>
        <v>0</v>
      </c>
      <c r="FM23" s="257">
        <f t="shared" si="80"/>
        <v>0</v>
      </c>
      <c r="FN23" s="257">
        <f t="shared" si="81"/>
        <v>0</v>
      </c>
      <c r="FO23" s="575">
        <f t="shared" si="82"/>
        <v>3</v>
      </c>
      <c r="FP23" s="506">
        <f t="shared" si="83"/>
        <v>0</v>
      </c>
      <c r="FQ23" s="39" t="str">
        <f t="shared" si="84"/>
        <v/>
      </c>
      <c r="FR23" s="39"/>
      <c r="FS23" s="39" t="str">
        <f t="shared" si="85"/>
        <v/>
      </c>
      <c r="FT23" s="39" t="str">
        <f t="shared" si="86"/>
        <v/>
      </c>
      <c r="FU23" s="39" t="str">
        <f t="shared" si="87"/>
        <v/>
      </c>
      <c r="FV23" s="39" t="str">
        <f t="shared" si="88"/>
        <v/>
      </c>
      <c r="FW23" s="39" t="str">
        <f t="shared" si="89"/>
        <v/>
      </c>
      <c r="FX23" s="39" t="str">
        <f t="shared" si="90"/>
        <v/>
      </c>
      <c r="FY23" s="257" t="str">
        <f t="shared" si="91"/>
        <v/>
      </c>
      <c r="FZ23" s="569" t="str">
        <f t="shared" si="92"/>
        <v xml:space="preserve"> </v>
      </c>
      <c r="GA23" s="289">
        <f t="shared" si="93"/>
        <v>0</v>
      </c>
      <c r="GB23" s="289">
        <f t="shared" si="94"/>
        <v>0</v>
      </c>
      <c r="GC23" s="289">
        <f>SISWA!E21</f>
        <v>0</v>
      </c>
      <c r="GD23" s="223" t="str">
        <f t="shared" si="95"/>
        <v/>
      </c>
      <c r="GE23" s="580" t="str">
        <f t="shared" si="96"/>
        <v/>
      </c>
      <c r="GF23" s="580" t="str">
        <f t="shared" si="97"/>
        <v/>
      </c>
      <c r="GG23" s="580" t="str">
        <f t="shared" si="98"/>
        <v/>
      </c>
      <c r="GH23" s="580" t="str">
        <f t="shared" si="99"/>
        <v/>
      </c>
      <c r="GI23" s="580" t="str">
        <f t="shared" si="100"/>
        <v/>
      </c>
      <c r="GJ23" s="580" t="str">
        <f t="shared" si="101"/>
        <v/>
      </c>
      <c r="GK23" s="580" t="str">
        <f t="shared" si="102"/>
        <v/>
      </c>
      <c r="GL23" s="580"/>
      <c r="GM23" s="580"/>
      <c r="GN23" s="580"/>
      <c r="GO23" s="580"/>
      <c r="GP23" s="223">
        <f t="shared" si="103"/>
        <v>0</v>
      </c>
      <c r="GQ23" s="289" t="e">
        <f t="shared" si="104"/>
        <v>#N/A</v>
      </c>
      <c r="GR23" s="576" t="e">
        <f>IF(GA23&gt;100,"",IF(GA23&gt;CU$1,"sangat baik dalam "&amp;GQ23,IF(GA23&gt;=CU$2,"baik dalam "&amp;GQ23,IF(GA23&gt;=CU$3,"cukup dalam "&amp;GQ23,IF(GA23&lt;CU$3,"dengan bimbingan dapat meningkatkan dalam "&amp;GQ23,IF(GA23&lt;1," ",””))))))</f>
        <v>#N/A</v>
      </c>
      <c r="GS23" s="223"/>
      <c r="GT23" s="223" t="str">
        <f t="shared" si="105"/>
        <v/>
      </c>
      <c r="GU23" s="223" t="str">
        <f t="shared" si="106"/>
        <v/>
      </c>
      <c r="GV23" s="223" t="str">
        <f t="shared" si="107"/>
        <v/>
      </c>
      <c r="GW23" s="223" t="str">
        <f t="shared" si="108"/>
        <v/>
      </c>
      <c r="GX23" s="223" t="str">
        <f t="shared" si="109"/>
        <v/>
      </c>
      <c r="GY23" s="223" t="str">
        <f t="shared" si="110"/>
        <v/>
      </c>
      <c r="GZ23" s="223" t="str">
        <f t="shared" si="111"/>
        <v/>
      </c>
      <c r="HA23" s="223"/>
      <c r="HB23" s="223"/>
      <c r="HC23" s="223"/>
      <c r="HD23" s="223"/>
      <c r="HE23" s="223" t="e">
        <f t="shared" si="112"/>
        <v>#N/A</v>
      </c>
      <c r="HF23" s="576" t="e">
        <f>IF(GB23&gt;100,"",IF(GB23&gt;CU$1,"sangat baik dalam "&amp;HE23,IF(GB23&gt;=CU$2,"baik dalam "&amp;HE23,IF(GB23&gt;=CU$3,"cukup dalam "&amp;HE23,IF(GB23&lt;CU$3,"dengan bimbingan dapat meningkatkan dalam "&amp;HE23,IF(GB23&lt;1," ",””))))))</f>
        <v>#N/A</v>
      </c>
      <c r="HG23" s="223" t="e">
        <f t="shared" si="113"/>
        <v>#N/A</v>
      </c>
    </row>
    <row r="24" spans="1:215">
      <c r="A24" s="39">
        <v>17</v>
      </c>
      <c r="B24" s="223">
        <f>SISWA!B22</f>
        <v>0</v>
      </c>
      <c r="C24" s="123"/>
      <c r="D24" s="123"/>
      <c r="E24" s="123"/>
      <c r="F24" s="123"/>
      <c r="G24" s="123"/>
      <c r="H24" s="123"/>
      <c r="I24" s="123"/>
      <c r="J24" s="255"/>
      <c r="K24" s="255"/>
      <c r="L24" s="255"/>
      <c r="M24" s="255"/>
      <c r="N24" s="255"/>
      <c r="O24" s="255"/>
      <c r="P24" s="255"/>
      <c r="Q24" s="256"/>
      <c r="R24" s="256"/>
      <c r="S24" s="256"/>
      <c r="T24" s="256"/>
      <c r="U24" s="256"/>
      <c r="V24" s="256"/>
      <c r="W24" s="256"/>
      <c r="X24" s="123"/>
      <c r="Y24" s="123"/>
      <c r="Z24" s="123"/>
      <c r="AA24" s="123"/>
      <c r="AB24" s="123"/>
      <c r="AC24" s="123"/>
      <c r="AD24" s="123"/>
      <c r="AE24" s="255"/>
      <c r="AF24" s="255"/>
      <c r="AG24" s="255"/>
      <c r="AH24" s="255"/>
      <c r="AI24" s="255"/>
      <c r="AJ24" s="255"/>
      <c r="AK24" s="255"/>
      <c r="AL24" s="256"/>
      <c r="AM24" s="256"/>
      <c r="AN24" s="256"/>
      <c r="AO24" s="256"/>
      <c r="AP24" s="256"/>
      <c r="AQ24" s="256"/>
      <c r="AR24" s="256"/>
      <c r="AS24" s="123"/>
      <c r="AT24" s="123"/>
      <c r="AU24" s="123"/>
      <c r="AV24" s="123"/>
      <c r="AW24" s="123"/>
      <c r="AX24" s="123"/>
      <c r="AY24" s="123"/>
      <c r="AZ24" s="255"/>
      <c r="BA24" s="255"/>
      <c r="BB24" s="255"/>
      <c r="BC24" s="255"/>
      <c r="BD24" s="255"/>
      <c r="BE24" s="255"/>
      <c r="BF24" s="255"/>
      <c r="BG24" s="256"/>
      <c r="BH24" s="256"/>
      <c r="BI24" s="256"/>
      <c r="BJ24" s="256"/>
      <c r="BK24" s="256"/>
      <c r="BL24" s="256"/>
      <c r="BM24" s="256"/>
      <c r="BN24" s="123"/>
      <c r="BO24" s="123"/>
      <c r="BP24" s="123"/>
      <c r="BQ24" s="123"/>
      <c r="BR24" s="123"/>
      <c r="BS24" s="123"/>
      <c r="BT24" s="123"/>
      <c r="BU24" s="255"/>
      <c r="BV24" s="255"/>
      <c r="BW24" s="255"/>
      <c r="BX24" s="255"/>
      <c r="BY24" s="255"/>
      <c r="BZ24" s="255"/>
      <c r="CA24" s="255"/>
      <c r="CB24" s="256"/>
      <c r="CC24" s="256"/>
      <c r="CD24" s="256"/>
      <c r="CE24" s="256"/>
      <c r="CF24" s="256"/>
      <c r="CG24" s="256"/>
      <c r="CH24" s="256"/>
      <c r="CI24" s="257" t="str">
        <f t="shared" si="10"/>
        <v/>
      </c>
      <c r="CJ24" s="257" t="str">
        <f t="shared" si="11"/>
        <v/>
      </c>
      <c r="CK24" s="257" t="str">
        <f t="shared" si="12"/>
        <v/>
      </c>
      <c r="CL24" s="257" t="str">
        <f t="shared" si="13"/>
        <v/>
      </c>
      <c r="CM24" s="257" t="str">
        <f t="shared" si="14"/>
        <v/>
      </c>
      <c r="CN24" s="257" t="str">
        <f t="shared" si="15"/>
        <v/>
      </c>
      <c r="CO24" s="257" t="str">
        <f t="shared" si="16"/>
        <v/>
      </c>
      <c r="CP24" s="756" t="str">
        <f t="shared" si="16"/>
        <v xml:space="preserve"> </v>
      </c>
      <c r="CQ24" s="291" t="str">
        <f t="shared" si="17"/>
        <v xml:space="preserve">  </v>
      </c>
      <c r="CR24" s="243" t="str">
        <f t="shared" si="18"/>
        <v xml:space="preserve"> </v>
      </c>
      <c r="CS24" s="39"/>
      <c r="CT24" s="39"/>
      <c r="CU24" s="257">
        <f t="shared" si="19"/>
        <v>0</v>
      </c>
      <c r="CV24" s="257">
        <f t="shared" si="20"/>
        <v>0</v>
      </c>
      <c r="CW24" s="257">
        <f t="shared" si="21"/>
        <v>0</v>
      </c>
      <c r="CX24" s="257">
        <f t="shared" si="22"/>
        <v>0</v>
      </c>
      <c r="CY24" s="257">
        <f t="shared" si="23"/>
        <v>0</v>
      </c>
      <c r="CZ24" s="257">
        <f t="shared" si="24"/>
        <v>0</v>
      </c>
      <c r="DA24" s="257">
        <f t="shared" si="25"/>
        <v>0</v>
      </c>
      <c r="DB24" s="257"/>
      <c r="DC24" s="257"/>
      <c r="DD24" s="257"/>
      <c r="DE24" s="289">
        <f t="shared" si="26"/>
        <v>0</v>
      </c>
      <c r="DF24" s="257">
        <f t="shared" si="27"/>
        <v>0</v>
      </c>
      <c r="DG24" s="257">
        <f t="shared" si="28"/>
        <v>0</v>
      </c>
      <c r="DH24" s="257">
        <f t="shared" si="29"/>
        <v>0</v>
      </c>
      <c r="DI24" s="257">
        <f t="shared" si="30"/>
        <v>0</v>
      </c>
      <c r="DJ24" s="257">
        <f t="shared" si="31"/>
        <v>0</v>
      </c>
      <c r="DK24" s="257">
        <f t="shared" si="32"/>
        <v>0</v>
      </c>
      <c r="DL24" s="257">
        <f t="shared" si="33"/>
        <v>0</v>
      </c>
      <c r="DM24" s="223"/>
      <c r="DN24" s="223"/>
      <c r="DO24" s="223"/>
      <c r="DP24" s="289">
        <f t="shared" si="34"/>
        <v>0</v>
      </c>
      <c r="DQ24" s="257">
        <f t="shared" si="35"/>
        <v>0</v>
      </c>
      <c r="DR24" s="257">
        <f t="shared" si="36"/>
        <v>0</v>
      </c>
      <c r="DS24" s="257">
        <f t="shared" si="37"/>
        <v>0</v>
      </c>
      <c r="DT24" s="257">
        <f t="shared" si="38"/>
        <v>0</v>
      </c>
      <c r="DU24" s="257">
        <f t="shared" si="39"/>
        <v>0</v>
      </c>
      <c r="DV24" s="257">
        <f t="shared" si="40"/>
        <v>0</v>
      </c>
      <c r="DW24" s="257">
        <f t="shared" si="41"/>
        <v>0</v>
      </c>
      <c r="DX24" s="223"/>
      <c r="DY24" s="223"/>
      <c r="DZ24" s="223"/>
      <c r="EA24" s="289">
        <f t="shared" si="42"/>
        <v>0</v>
      </c>
      <c r="EB24" s="257">
        <f t="shared" si="43"/>
        <v>0</v>
      </c>
      <c r="EC24" s="257">
        <f t="shared" si="44"/>
        <v>0</v>
      </c>
      <c r="ED24" s="257">
        <f t="shared" si="45"/>
        <v>0</v>
      </c>
      <c r="EE24" s="575">
        <f t="shared" si="46"/>
        <v>3</v>
      </c>
      <c r="EF24" s="506">
        <f t="shared" si="47"/>
        <v>0</v>
      </c>
      <c r="EG24" s="39" t="str">
        <f t="shared" si="48"/>
        <v/>
      </c>
      <c r="EH24" s="257">
        <f t="shared" si="49"/>
        <v>0</v>
      </c>
      <c r="EI24" s="257">
        <f t="shared" si="50"/>
        <v>0</v>
      </c>
      <c r="EJ24" s="257">
        <f t="shared" si="51"/>
        <v>0</v>
      </c>
      <c r="EK24" s="575">
        <f t="shared" si="52"/>
        <v>3</v>
      </c>
      <c r="EL24" s="506">
        <f t="shared" si="53"/>
        <v>0</v>
      </c>
      <c r="EM24" s="39" t="str">
        <f t="shared" si="54"/>
        <v/>
      </c>
      <c r="EN24" s="257">
        <f t="shared" si="55"/>
        <v>0</v>
      </c>
      <c r="EO24" s="257">
        <f t="shared" si="56"/>
        <v>0</v>
      </c>
      <c r="EP24" s="257">
        <f t="shared" si="57"/>
        <v>0</v>
      </c>
      <c r="EQ24" s="575">
        <f t="shared" si="58"/>
        <v>3</v>
      </c>
      <c r="ER24" s="506">
        <f t="shared" si="59"/>
        <v>0</v>
      </c>
      <c r="ES24" s="39" t="str">
        <f t="shared" si="60"/>
        <v/>
      </c>
      <c r="ET24" s="257">
        <f t="shared" si="61"/>
        <v>0</v>
      </c>
      <c r="EU24" s="257">
        <f t="shared" si="62"/>
        <v>0</v>
      </c>
      <c r="EV24" s="257">
        <f t="shared" si="63"/>
        <v>0</v>
      </c>
      <c r="EW24" s="575">
        <f t="shared" si="64"/>
        <v>3</v>
      </c>
      <c r="EX24" s="506">
        <f t="shared" si="65"/>
        <v>0</v>
      </c>
      <c r="EY24" s="39" t="str">
        <f t="shared" si="66"/>
        <v/>
      </c>
      <c r="EZ24" s="257">
        <f t="shared" si="67"/>
        <v>0</v>
      </c>
      <c r="FA24" s="257">
        <f t="shared" si="68"/>
        <v>0</v>
      </c>
      <c r="FB24" s="257">
        <f t="shared" si="69"/>
        <v>0</v>
      </c>
      <c r="FC24" s="575">
        <f t="shared" si="70"/>
        <v>3</v>
      </c>
      <c r="FD24" s="506">
        <f t="shared" si="71"/>
        <v>0</v>
      </c>
      <c r="FE24" s="39" t="str">
        <f t="shared" si="72"/>
        <v/>
      </c>
      <c r="FF24" s="257">
        <f t="shared" si="73"/>
        <v>0</v>
      </c>
      <c r="FG24" s="257">
        <f t="shared" si="74"/>
        <v>0</v>
      </c>
      <c r="FH24" s="257">
        <f t="shared" si="75"/>
        <v>0</v>
      </c>
      <c r="FI24" s="575">
        <f t="shared" si="76"/>
        <v>3</v>
      </c>
      <c r="FJ24" s="506">
        <f t="shared" si="77"/>
        <v>0</v>
      </c>
      <c r="FK24" s="39" t="str">
        <f t="shared" si="78"/>
        <v/>
      </c>
      <c r="FL24" s="257">
        <f t="shared" si="79"/>
        <v>0</v>
      </c>
      <c r="FM24" s="257">
        <f t="shared" si="80"/>
        <v>0</v>
      </c>
      <c r="FN24" s="257">
        <f t="shared" si="81"/>
        <v>0</v>
      </c>
      <c r="FO24" s="575">
        <f t="shared" si="82"/>
        <v>3</v>
      </c>
      <c r="FP24" s="506">
        <f t="shared" si="83"/>
        <v>0</v>
      </c>
      <c r="FQ24" s="39" t="str">
        <f t="shared" si="84"/>
        <v/>
      </c>
      <c r="FR24" s="39"/>
      <c r="FS24" s="39" t="str">
        <f t="shared" si="85"/>
        <v/>
      </c>
      <c r="FT24" s="39" t="str">
        <f t="shared" si="86"/>
        <v/>
      </c>
      <c r="FU24" s="39" t="str">
        <f t="shared" si="87"/>
        <v/>
      </c>
      <c r="FV24" s="39" t="str">
        <f t="shared" si="88"/>
        <v/>
      </c>
      <c r="FW24" s="39" t="str">
        <f t="shared" si="89"/>
        <v/>
      </c>
      <c r="FX24" s="39" t="str">
        <f t="shared" si="90"/>
        <v/>
      </c>
      <c r="FY24" s="257" t="str">
        <f t="shared" si="91"/>
        <v/>
      </c>
      <c r="FZ24" s="569" t="str">
        <f t="shared" si="92"/>
        <v xml:space="preserve"> </v>
      </c>
      <c r="GA24" s="289">
        <f t="shared" si="93"/>
        <v>0</v>
      </c>
      <c r="GB24" s="289">
        <f t="shared" si="94"/>
        <v>0</v>
      </c>
      <c r="GC24" s="289">
        <f>SISWA!E22</f>
        <v>0</v>
      </c>
      <c r="GD24" s="223" t="str">
        <f t="shared" si="95"/>
        <v/>
      </c>
      <c r="GE24" s="580" t="str">
        <f t="shared" si="96"/>
        <v/>
      </c>
      <c r="GF24" s="580" t="str">
        <f t="shared" si="97"/>
        <v/>
      </c>
      <c r="GG24" s="580" t="str">
        <f t="shared" si="98"/>
        <v/>
      </c>
      <c r="GH24" s="580" t="str">
        <f t="shared" si="99"/>
        <v/>
      </c>
      <c r="GI24" s="580" t="str">
        <f t="shared" si="100"/>
        <v/>
      </c>
      <c r="GJ24" s="580" t="str">
        <f t="shared" si="101"/>
        <v/>
      </c>
      <c r="GK24" s="580" t="str">
        <f t="shared" si="102"/>
        <v/>
      </c>
      <c r="GL24" s="580"/>
      <c r="GM24" s="580"/>
      <c r="GN24" s="580"/>
      <c r="GO24" s="580"/>
      <c r="GP24" s="223">
        <f t="shared" si="103"/>
        <v>0</v>
      </c>
      <c r="GQ24" s="289" t="e">
        <f t="shared" si="104"/>
        <v>#N/A</v>
      </c>
      <c r="GR24" s="576" t="e">
        <f>IF(GA24&gt;100,"",IF(GA24&gt;CU$1,"sangat baik dalam "&amp;GQ24,IF(GA24&gt;=CU$2,"baik dalam "&amp;GQ24,IF(GA24&gt;=CU$3,"cukup dalam "&amp;GQ24,IF(GA24&lt;CU$3,"dengan bimbingan dapat meningkatkan dalam "&amp;GQ24,IF(GA24&lt;1," ",””))))))</f>
        <v>#N/A</v>
      </c>
      <c r="GS24" s="223"/>
      <c r="GT24" s="223" t="str">
        <f t="shared" si="105"/>
        <v/>
      </c>
      <c r="GU24" s="223" t="str">
        <f t="shared" si="106"/>
        <v/>
      </c>
      <c r="GV24" s="223" t="str">
        <f t="shared" si="107"/>
        <v/>
      </c>
      <c r="GW24" s="223" t="str">
        <f t="shared" si="108"/>
        <v/>
      </c>
      <c r="GX24" s="223" t="str">
        <f t="shared" si="109"/>
        <v/>
      </c>
      <c r="GY24" s="223" t="str">
        <f t="shared" si="110"/>
        <v/>
      </c>
      <c r="GZ24" s="223" t="str">
        <f t="shared" si="111"/>
        <v/>
      </c>
      <c r="HA24" s="223"/>
      <c r="HB24" s="223"/>
      <c r="HC24" s="223"/>
      <c r="HD24" s="223"/>
      <c r="HE24" s="223" t="e">
        <f t="shared" si="112"/>
        <v>#N/A</v>
      </c>
      <c r="HF24" s="576" t="e">
        <f>IF(GB24&gt;100,"",IF(GB24&gt;CU$1,"sangat baik dalam "&amp;HE24,IF(GB24&gt;=CU$2,"baik dalam "&amp;HE24,IF(GB24&gt;=CU$3,"cukup dalam "&amp;HE24,IF(GB24&lt;CU$3,"dengan bimbingan dapat meningkatkan dalam "&amp;HE24,IF(GB24&lt;1," ",””))))))</f>
        <v>#N/A</v>
      </c>
      <c r="HG24" s="223" t="e">
        <f t="shared" si="113"/>
        <v>#N/A</v>
      </c>
    </row>
    <row r="25" spans="1:215">
      <c r="A25" s="39">
        <v>18</v>
      </c>
      <c r="B25" s="223">
        <f>SISWA!B23</f>
        <v>0</v>
      </c>
      <c r="C25" s="123"/>
      <c r="D25" s="123"/>
      <c r="E25" s="123"/>
      <c r="F25" s="123"/>
      <c r="G25" s="123"/>
      <c r="H25" s="123"/>
      <c r="I25" s="123"/>
      <c r="J25" s="255"/>
      <c r="K25" s="255"/>
      <c r="L25" s="255"/>
      <c r="M25" s="255"/>
      <c r="N25" s="255"/>
      <c r="O25" s="255"/>
      <c r="P25" s="255"/>
      <c r="Q25" s="256"/>
      <c r="R25" s="256"/>
      <c r="S25" s="256"/>
      <c r="T25" s="256"/>
      <c r="U25" s="256"/>
      <c r="V25" s="256"/>
      <c r="W25" s="256"/>
      <c r="X25" s="123"/>
      <c r="Y25" s="123"/>
      <c r="Z25" s="123"/>
      <c r="AA25" s="123"/>
      <c r="AB25" s="123"/>
      <c r="AC25" s="123"/>
      <c r="AD25" s="123"/>
      <c r="AE25" s="255"/>
      <c r="AF25" s="255"/>
      <c r="AG25" s="255"/>
      <c r="AH25" s="255"/>
      <c r="AI25" s="255"/>
      <c r="AJ25" s="255"/>
      <c r="AK25" s="255"/>
      <c r="AL25" s="256"/>
      <c r="AM25" s="256"/>
      <c r="AN25" s="256"/>
      <c r="AO25" s="256"/>
      <c r="AP25" s="256"/>
      <c r="AQ25" s="256"/>
      <c r="AR25" s="256"/>
      <c r="AS25" s="123"/>
      <c r="AT25" s="123"/>
      <c r="AU25" s="123"/>
      <c r="AV25" s="123"/>
      <c r="AW25" s="123"/>
      <c r="AX25" s="123"/>
      <c r="AY25" s="123"/>
      <c r="AZ25" s="255"/>
      <c r="BA25" s="255"/>
      <c r="BB25" s="255"/>
      <c r="BC25" s="255"/>
      <c r="BD25" s="255"/>
      <c r="BE25" s="255"/>
      <c r="BF25" s="255"/>
      <c r="BG25" s="256"/>
      <c r="BH25" s="256"/>
      <c r="BI25" s="256"/>
      <c r="BJ25" s="256"/>
      <c r="BK25" s="256"/>
      <c r="BL25" s="256"/>
      <c r="BM25" s="256"/>
      <c r="BN25" s="123"/>
      <c r="BO25" s="123"/>
      <c r="BP25" s="123"/>
      <c r="BQ25" s="123"/>
      <c r="BR25" s="123"/>
      <c r="BS25" s="123"/>
      <c r="BT25" s="123"/>
      <c r="BU25" s="255"/>
      <c r="BV25" s="255"/>
      <c r="BW25" s="255"/>
      <c r="BX25" s="255"/>
      <c r="BY25" s="255"/>
      <c r="BZ25" s="255"/>
      <c r="CA25" s="255"/>
      <c r="CB25" s="256"/>
      <c r="CC25" s="256"/>
      <c r="CD25" s="256"/>
      <c r="CE25" s="256"/>
      <c r="CF25" s="256"/>
      <c r="CG25" s="256"/>
      <c r="CH25" s="256"/>
      <c r="CI25" s="257" t="str">
        <f t="shared" si="10"/>
        <v/>
      </c>
      <c r="CJ25" s="257" t="str">
        <f t="shared" si="11"/>
        <v/>
      </c>
      <c r="CK25" s="257" t="str">
        <f t="shared" si="12"/>
        <v/>
      </c>
      <c r="CL25" s="257" t="str">
        <f t="shared" si="13"/>
        <v/>
      </c>
      <c r="CM25" s="257" t="str">
        <f t="shared" si="14"/>
        <v/>
      </c>
      <c r="CN25" s="257" t="str">
        <f t="shared" si="15"/>
        <v/>
      </c>
      <c r="CO25" s="257" t="str">
        <f t="shared" si="16"/>
        <v/>
      </c>
      <c r="CP25" s="756" t="str">
        <f t="shared" si="16"/>
        <v xml:space="preserve"> </v>
      </c>
      <c r="CQ25" s="291" t="str">
        <f t="shared" si="17"/>
        <v xml:space="preserve">  </v>
      </c>
      <c r="CR25" s="243" t="str">
        <f t="shared" si="18"/>
        <v xml:space="preserve"> </v>
      </c>
      <c r="CS25" s="39"/>
      <c r="CT25" s="39"/>
      <c r="CU25" s="257">
        <f t="shared" si="19"/>
        <v>0</v>
      </c>
      <c r="CV25" s="257">
        <f t="shared" si="20"/>
        <v>0</v>
      </c>
      <c r="CW25" s="257">
        <f t="shared" si="21"/>
        <v>0</v>
      </c>
      <c r="CX25" s="257">
        <f t="shared" si="22"/>
        <v>0</v>
      </c>
      <c r="CY25" s="257">
        <f t="shared" si="23"/>
        <v>0</v>
      </c>
      <c r="CZ25" s="257">
        <f t="shared" si="24"/>
        <v>0</v>
      </c>
      <c r="DA25" s="257">
        <f t="shared" si="25"/>
        <v>0</v>
      </c>
      <c r="DB25" s="257"/>
      <c r="DC25" s="257"/>
      <c r="DD25" s="257"/>
      <c r="DE25" s="289">
        <f t="shared" si="26"/>
        <v>0</v>
      </c>
      <c r="DF25" s="257">
        <f t="shared" si="27"/>
        <v>0</v>
      </c>
      <c r="DG25" s="257">
        <f t="shared" si="28"/>
        <v>0</v>
      </c>
      <c r="DH25" s="257">
        <f t="shared" si="29"/>
        <v>0</v>
      </c>
      <c r="DI25" s="257">
        <f t="shared" si="30"/>
        <v>0</v>
      </c>
      <c r="DJ25" s="257">
        <f t="shared" si="31"/>
        <v>0</v>
      </c>
      <c r="DK25" s="257">
        <f t="shared" si="32"/>
        <v>0</v>
      </c>
      <c r="DL25" s="257">
        <f t="shared" si="33"/>
        <v>0</v>
      </c>
      <c r="DM25" s="223"/>
      <c r="DN25" s="223"/>
      <c r="DO25" s="223"/>
      <c r="DP25" s="289">
        <f t="shared" si="34"/>
        <v>0</v>
      </c>
      <c r="DQ25" s="257">
        <f t="shared" si="35"/>
        <v>0</v>
      </c>
      <c r="DR25" s="257">
        <f t="shared" si="36"/>
        <v>0</v>
      </c>
      <c r="DS25" s="257">
        <f t="shared" si="37"/>
        <v>0</v>
      </c>
      <c r="DT25" s="257">
        <f t="shared" si="38"/>
        <v>0</v>
      </c>
      <c r="DU25" s="257">
        <f t="shared" si="39"/>
        <v>0</v>
      </c>
      <c r="DV25" s="257">
        <f t="shared" si="40"/>
        <v>0</v>
      </c>
      <c r="DW25" s="257">
        <f t="shared" si="41"/>
        <v>0</v>
      </c>
      <c r="DX25" s="223"/>
      <c r="DY25" s="223"/>
      <c r="DZ25" s="223"/>
      <c r="EA25" s="289">
        <f t="shared" si="42"/>
        <v>0</v>
      </c>
      <c r="EB25" s="257">
        <f t="shared" si="43"/>
        <v>0</v>
      </c>
      <c r="EC25" s="257">
        <f t="shared" si="44"/>
        <v>0</v>
      </c>
      <c r="ED25" s="257">
        <f t="shared" si="45"/>
        <v>0</v>
      </c>
      <c r="EE25" s="575">
        <f t="shared" si="46"/>
        <v>3</v>
      </c>
      <c r="EF25" s="506">
        <f t="shared" si="47"/>
        <v>0</v>
      </c>
      <c r="EG25" s="39" t="str">
        <f t="shared" si="48"/>
        <v/>
      </c>
      <c r="EH25" s="257">
        <f t="shared" si="49"/>
        <v>0</v>
      </c>
      <c r="EI25" s="257">
        <f t="shared" si="50"/>
        <v>0</v>
      </c>
      <c r="EJ25" s="257">
        <f t="shared" si="51"/>
        <v>0</v>
      </c>
      <c r="EK25" s="575">
        <f t="shared" si="52"/>
        <v>3</v>
      </c>
      <c r="EL25" s="506">
        <f t="shared" si="53"/>
        <v>0</v>
      </c>
      <c r="EM25" s="39" t="str">
        <f t="shared" si="54"/>
        <v/>
      </c>
      <c r="EN25" s="257">
        <f t="shared" si="55"/>
        <v>0</v>
      </c>
      <c r="EO25" s="257">
        <f t="shared" si="56"/>
        <v>0</v>
      </c>
      <c r="EP25" s="257">
        <f t="shared" si="57"/>
        <v>0</v>
      </c>
      <c r="EQ25" s="575">
        <f t="shared" si="58"/>
        <v>3</v>
      </c>
      <c r="ER25" s="506">
        <f t="shared" si="59"/>
        <v>0</v>
      </c>
      <c r="ES25" s="39" t="str">
        <f t="shared" si="60"/>
        <v/>
      </c>
      <c r="ET25" s="257">
        <f t="shared" si="61"/>
        <v>0</v>
      </c>
      <c r="EU25" s="257">
        <f t="shared" si="62"/>
        <v>0</v>
      </c>
      <c r="EV25" s="257">
        <f t="shared" si="63"/>
        <v>0</v>
      </c>
      <c r="EW25" s="575">
        <f t="shared" si="64"/>
        <v>3</v>
      </c>
      <c r="EX25" s="506">
        <f t="shared" si="65"/>
        <v>0</v>
      </c>
      <c r="EY25" s="39" t="str">
        <f t="shared" si="66"/>
        <v/>
      </c>
      <c r="EZ25" s="257">
        <f t="shared" si="67"/>
        <v>0</v>
      </c>
      <c r="FA25" s="257">
        <f t="shared" si="68"/>
        <v>0</v>
      </c>
      <c r="FB25" s="257">
        <f t="shared" si="69"/>
        <v>0</v>
      </c>
      <c r="FC25" s="575">
        <f t="shared" si="70"/>
        <v>3</v>
      </c>
      <c r="FD25" s="506">
        <f t="shared" si="71"/>
        <v>0</v>
      </c>
      <c r="FE25" s="39" t="str">
        <f t="shared" si="72"/>
        <v/>
      </c>
      <c r="FF25" s="257">
        <f t="shared" si="73"/>
        <v>0</v>
      </c>
      <c r="FG25" s="257">
        <f t="shared" si="74"/>
        <v>0</v>
      </c>
      <c r="FH25" s="257">
        <f t="shared" si="75"/>
        <v>0</v>
      </c>
      <c r="FI25" s="575">
        <f t="shared" si="76"/>
        <v>3</v>
      </c>
      <c r="FJ25" s="506">
        <f t="shared" si="77"/>
        <v>0</v>
      </c>
      <c r="FK25" s="39" t="str">
        <f t="shared" si="78"/>
        <v/>
      </c>
      <c r="FL25" s="257">
        <f t="shared" si="79"/>
        <v>0</v>
      </c>
      <c r="FM25" s="257">
        <f t="shared" si="80"/>
        <v>0</v>
      </c>
      <c r="FN25" s="257">
        <f t="shared" si="81"/>
        <v>0</v>
      </c>
      <c r="FO25" s="575">
        <f t="shared" si="82"/>
        <v>3</v>
      </c>
      <c r="FP25" s="506">
        <f t="shared" si="83"/>
        <v>0</v>
      </c>
      <c r="FQ25" s="39" t="str">
        <f t="shared" si="84"/>
        <v/>
      </c>
      <c r="FR25" s="39"/>
      <c r="FS25" s="39" t="str">
        <f t="shared" si="85"/>
        <v/>
      </c>
      <c r="FT25" s="39" t="str">
        <f t="shared" si="86"/>
        <v/>
      </c>
      <c r="FU25" s="39" t="str">
        <f t="shared" si="87"/>
        <v/>
      </c>
      <c r="FV25" s="39" t="str">
        <f t="shared" si="88"/>
        <v/>
      </c>
      <c r="FW25" s="39" t="str">
        <f t="shared" si="89"/>
        <v/>
      </c>
      <c r="FX25" s="39" t="str">
        <f t="shared" si="90"/>
        <v/>
      </c>
      <c r="FY25" s="257" t="str">
        <f t="shared" si="91"/>
        <v/>
      </c>
      <c r="FZ25" s="569" t="str">
        <f t="shared" si="92"/>
        <v xml:space="preserve"> </v>
      </c>
      <c r="GA25" s="289">
        <f t="shared" si="93"/>
        <v>0</v>
      </c>
      <c r="GB25" s="289">
        <f t="shared" si="94"/>
        <v>0</v>
      </c>
      <c r="GC25" s="289">
        <f>SISWA!E23</f>
        <v>0</v>
      </c>
      <c r="GD25" s="223" t="str">
        <f t="shared" si="95"/>
        <v/>
      </c>
      <c r="GE25" s="580" t="str">
        <f t="shared" si="96"/>
        <v/>
      </c>
      <c r="GF25" s="580" t="str">
        <f t="shared" si="97"/>
        <v/>
      </c>
      <c r="GG25" s="580" t="str">
        <f t="shared" si="98"/>
        <v/>
      </c>
      <c r="GH25" s="580" t="str">
        <f t="shared" si="99"/>
        <v/>
      </c>
      <c r="GI25" s="580" t="str">
        <f t="shared" si="100"/>
        <v/>
      </c>
      <c r="GJ25" s="580" t="str">
        <f t="shared" si="101"/>
        <v/>
      </c>
      <c r="GK25" s="580" t="str">
        <f t="shared" si="102"/>
        <v/>
      </c>
      <c r="GL25" s="580"/>
      <c r="GM25" s="580"/>
      <c r="GN25" s="580"/>
      <c r="GO25" s="580"/>
      <c r="GP25" s="223">
        <f t="shared" si="103"/>
        <v>0</v>
      </c>
      <c r="GQ25" s="289" t="e">
        <f t="shared" si="104"/>
        <v>#N/A</v>
      </c>
      <c r="GR25" s="576" t="e">
        <f>IF(GA25&gt;100,"",IF(GA25&gt;CU$1,"sangat baik dalam "&amp;GQ25,IF(GA25&gt;=CU$2,"baik dalam "&amp;GQ25,IF(GA25&gt;=CU$3,"cukup dalam "&amp;GQ25,IF(GA25&lt;CU$3,"dengan bimbingan dapat meningkatkan dalam "&amp;GQ25,IF(GA25&lt;1," ",””))))))</f>
        <v>#N/A</v>
      </c>
      <c r="GS25" s="223"/>
      <c r="GT25" s="223" t="str">
        <f t="shared" si="105"/>
        <v/>
      </c>
      <c r="GU25" s="223" t="str">
        <f t="shared" si="106"/>
        <v/>
      </c>
      <c r="GV25" s="223" t="str">
        <f t="shared" si="107"/>
        <v/>
      </c>
      <c r="GW25" s="223" t="str">
        <f t="shared" si="108"/>
        <v/>
      </c>
      <c r="GX25" s="223" t="str">
        <f t="shared" si="109"/>
        <v/>
      </c>
      <c r="GY25" s="223" t="str">
        <f t="shared" si="110"/>
        <v/>
      </c>
      <c r="GZ25" s="223" t="str">
        <f t="shared" si="111"/>
        <v/>
      </c>
      <c r="HA25" s="223"/>
      <c r="HB25" s="223"/>
      <c r="HC25" s="223"/>
      <c r="HD25" s="223"/>
      <c r="HE25" s="223" t="e">
        <f t="shared" si="112"/>
        <v>#N/A</v>
      </c>
      <c r="HF25" s="576" t="e">
        <f>IF(GB25&gt;100,"",IF(GB25&gt;CU$1,"sangat baik dalam "&amp;HE25,IF(GB25&gt;=CU$2,"baik dalam "&amp;HE25,IF(GB25&gt;=CU$3,"cukup dalam "&amp;HE25,IF(GB25&lt;CU$3,"dengan bimbingan dapat meningkatkan dalam "&amp;HE25,IF(GB25&lt;1," ",””))))))</f>
        <v>#N/A</v>
      </c>
      <c r="HG25" s="223" t="e">
        <f t="shared" si="113"/>
        <v>#N/A</v>
      </c>
    </row>
    <row r="26" spans="1:215">
      <c r="A26" s="39">
        <v>19</v>
      </c>
      <c r="B26" s="223">
        <f>SISWA!B24</f>
        <v>0</v>
      </c>
      <c r="C26" s="123"/>
      <c r="D26" s="123"/>
      <c r="E26" s="123"/>
      <c r="F26" s="123"/>
      <c r="G26" s="123"/>
      <c r="H26" s="123"/>
      <c r="I26" s="123"/>
      <c r="J26" s="255"/>
      <c r="K26" s="255"/>
      <c r="L26" s="255"/>
      <c r="M26" s="255"/>
      <c r="N26" s="255"/>
      <c r="O26" s="255"/>
      <c r="P26" s="255"/>
      <c r="Q26" s="256"/>
      <c r="R26" s="256"/>
      <c r="S26" s="256"/>
      <c r="T26" s="256"/>
      <c r="U26" s="256"/>
      <c r="V26" s="256"/>
      <c r="W26" s="256"/>
      <c r="X26" s="123"/>
      <c r="Y26" s="123"/>
      <c r="Z26" s="123"/>
      <c r="AA26" s="123"/>
      <c r="AB26" s="123"/>
      <c r="AC26" s="123"/>
      <c r="AD26" s="123"/>
      <c r="AE26" s="255"/>
      <c r="AF26" s="255"/>
      <c r="AG26" s="255"/>
      <c r="AH26" s="255"/>
      <c r="AI26" s="255"/>
      <c r="AJ26" s="255"/>
      <c r="AK26" s="255"/>
      <c r="AL26" s="256"/>
      <c r="AM26" s="256"/>
      <c r="AN26" s="256"/>
      <c r="AO26" s="256"/>
      <c r="AP26" s="256"/>
      <c r="AQ26" s="256"/>
      <c r="AR26" s="256"/>
      <c r="AS26" s="123"/>
      <c r="AT26" s="123"/>
      <c r="AU26" s="123"/>
      <c r="AV26" s="123"/>
      <c r="AW26" s="123"/>
      <c r="AX26" s="123"/>
      <c r="AY26" s="123"/>
      <c r="AZ26" s="255"/>
      <c r="BA26" s="255"/>
      <c r="BB26" s="255"/>
      <c r="BC26" s="255"/>
      <c r="BD26" s="255"/>
      <c r="BE26" s="255"/>
      <c r="BF26" s="255"/>
      <c r="BG26" s="256"/>
      <c r="BH26" s="256"/>
      <c r="BI26" s="256"/>
      <c r="BJ26" s="256"/>
      <c r="BK26" s="256"/>
      <c r="BL26" s="256"/>
      <c r="BM26" s="256"/>
      <c r="BN26" s="123"/>
      <c r="BO26" s="123"/>
      <c r="BP26" s="123"/>
      <c r="BQ26" s="123"/>
      <c r="BR26" s="123"/>
      <c r="BS26" s="123"/>
      <c r="BT26" s="123"/>
      <c r="BU26" s="255"/>
      <c r="BV26" s="255"/>
      <c r="BW26" s="255"/>
      <c r="BX26" s="255"/>
      <c r="BY26" s="255"/>
      <c r="BZ26" s="255"/>
      <c r="CA26" s="255"/>
      <c r="CB26" s="256"/>
      <c r="CC26" s="256"/>
      <c r="CD26" s="256"/>
      <c r="CE26" s="256"/>
      <c r="CF26" s="256"/>
      <c r="CG26" s="256"/>
      <c r="CH26" s="256"/>
      <c r="CI26" s="257" t="str">
        <f t="shared" si="10"/>
        <v/>
      </c>
      <c r="CJ26" s="257" t="str">
        <f t="shared" si="11"/>
        <v/>
      </c>
      <c r="CK26" s="257" t="str">
        <f t="shared" si="12"/>
        <v/>
      </c>
      <c r="CL26" s="257" t="str">
        <f t="shared" si="13"/>
        <v/>
      </c>
      <c r="CM26" s="257" t="str">
        <f t="shared" si="14"/>
        <v/>
      </c>
      <c r="CN26" s="257" t="str">
        <f t="shared" si="15"/>
        <v/>
      </c>
      <c r="CO26" s="257" t="str">
        <f t="shared" si="16"/>
        <v/>
      </c>
      <c r="CP26" s="756" t="str">
        <f t="shared" si="16"/>
        <v xml:space="preserve"> </v>
      </c>
      <c r="CQ26" s="291" t="str">
        <f t="shared" si="17"/>
        <v xml:space="preserve">  </v>
      </c>
      <c r="CR26" s="243" t="str">
        <f t="shared" si="18"/>
        <v xml:space="preserve"> </v>
      </c>
      <c r="CS26" s="39"/>
      <c r="CT26" s="39"/>
      <c r="CU26" s="257">
        <f t="shared" si="19"/>
        <v>0</v>
      </c>
      <c r="CV26" s="257">
        <f t="shared" si="20"/>
        <v>0</v>
      </c>
      <c r="CW26" s="257">
        <f t="shared" si="21"/>
        <v>0</v>
      </c>
      <c r="CX26" s="257">
        <f t="shared" si="22"/>
        <v>0</v>
      </c>
      <c r="CY26" s="257">
        <f t="shared" si="23"/>
        <v>0</v>
      </c>
      <c r="CZ26" s="257">
        <f t="shared" si="24"/>
        <v>0</v>
      </c>
      <c r="DA26" s="257">
        <f t="shared" si="25"/>
        <v>0</v>
      </c>
      <c r="DB26" s="257"/>
      <c r="DC26" s="257"/>
      <c r="DD26" s="257"/>
      <c r="DE26" s="289">
        <f t="shared" si="26"/>
        <v>0</v>
      </c>
      <c r="DF26" s="257">
        <f t="shared" si="27"/>
        <v>0</v>
      </c>
      <c r="DG26" s="257">
        <f t="shared" si="28"/>
        <v>0</v>
      </c>
      <c r="DH26" s="257">
        <f t="shared" si="29"/>
        <v>0</v>
      </c>
      <c r="DI26" s="257">
        <f t="shared" si="30"/>
        <v>0</v>
      </c>
      <c r="DJ26" s="257">
        <f t="shared" si="31"/>
        <v>0</v>
      </c>
      <c r="DK26" s="257">
        <f t="shared" si="32"/>
        <v>0</v>
      </c>
      <c r="DL26" s="257">
        <f t="shared" si="33"/>
        <v>0</v>
      </c>
      <c r="DM26" s="223"/>
      <c r="DN26" s="223"/>
      <c r="DO26" s="223"/>
      <c r="DP26" s="289">
        <f t="shared" si="34"/>
        <v>0</v>
      </c>
      <c r="DQ26" s="257">
        <f t="shared" si="35"/>
        <v>0</v>
      </c>
      <c r="DR26" s="257">
        <f t="shared" si="36"/>
        <v>0</v>
      </c>
      <c r="DS26" s="257">
        <f t="shared" si="37"/>
        <v>0</v>
      </c>
      <c r="DT26" s="257">
        <f t="shared" si="38"/>
        <v>0</v>
      </c>
      <c r="DU26" s="257">
        <f t="shared" si="39"/>
        <v>0</v>
      </c>
      <c r="DV26" s="257">
        <f t="shared" si="40"/>
        <v>0</v>
      </c>
      <c r="DW26" s="257">
        <f t="shared" si="41"/>
        <v>0</v>
      </c>
      <c r="DX26" s="223"/>
      <c r="DY26" s="223"/>
      <c r="DZ26" s="223"/>
      <c r="EA26" s="289">
        <f t="shared" si="42"/>
        <v>0</v>
      </c>
      <c r="EB26" s="257">
        <f t="shared" si="43"/>
        <v>0</v>
      </c>
      <c r="EC26" s="257">
        <f t="shared" si="44"/>
        <v>0</v>
      </c>
      <c r="ED26" s="257">
        <f t="shared" si="45"/>
        <v>0</v>
      </c>
      <c r="EE26" s="575">
        <f t="shared" si="46"/>
        <v>3</v>
      </c>
      <c r="EF26" s="506">
        <f t="shared" si="47"/>
        <v>0</v>
      </c>
      <c r="EG26" s="39" t="str">
        <f t="shared" si="48"/>
        <v/>
      </c>
      <c r="EH26" s="257">
        <f t="shared" si="49"/>
        <v>0</v>
      </c>
      <c r="EI26" s="257">
        <f t="shared" si="50"/>
        <v>0</v>
      </c>
      <c r="EJ26" s="257">
        <f t="shared" si="51"/>
        <v>0</v>
      </c>
      <c r="EK26" s="575">
        <f t="shared" si="52"/>
        <v>3</v>
      </c>
      <c r="EL26" s="506">
        <f t="shared" si="53"/>
        <v>0</v>
      </c>
      <c r="EM26" s="39" t="str">
        <f t="shared" si="54"/>
        <v/>
      </c>
      <c r="EN26" s="257">
        <f t="shared" si="55"/>
        <v>0</v>
      </c>
      <c r="EO26" s="257">
        <f t="shared" si="56"/>
        <v>0</v>
      </c>
      <c r="EP26" s="257">
        <f t="shared" si="57"/>
        <v>0</v>
      </c>
      <c r="EQ26" s="575">
        <f t="shared" si="58"/>
        <v>3</v>
      </c>
      <c r="ER26" s="506">
        <f t="shared" si="59"/>
        <v>0</v>
      </c>
      <c r="ES26" s="39" t="str">
        <f t="shared" si="60"/>
        <v/>
      </c>
      <c r="ET26" s="257">
        <f t="shared" si="61"/>
        <v>0</v>
      </c>
      <c r="EU26" s="257">
        <f t="shared" si="62"/>
        <v>0</v>
      </c>
      <c r="EV26" s="257">
        <f t="shared" si="63"/>
        <v>0</v>
      </c>
      <c r="EW26" s="575">
        <f t="shared" si="64"/>
        <v>3</v>
      </c>
      <c r="EX26" s="506">
        <f t="shared" si="65"/>
        <v>0</v>
      </c>
      <c r="EY26" s="39" t="str">
        <f t="shared" si="66"/>
        <v/>
      </c>
      <c r="EZ26" s="257">
        <f t="shared" si="67"/>
        <v>0</v>
      </c>
      <c r="FA26" s="257">
        <f t="shared" si="68"/>
        <v>0</v>
      </c>
      <c r="FB26" s="257">
        <f t="shared" si="69"/>
        <v>0</v>
      </c>
      <c r="FC26" s="575">
        <f t="shared" si="70"/>
        <v>3</v>
      </c>
      <c r="FD26" s="506">
        <f t="shared" si="71"/>
        <v>0</v>
      </c>
      <c r="FE26" s="39" t="str">
        <f t="shared" si="72"/>
        <v/>
      </c>
      <c r="FF26" s="257">
        <f t="shared" si="73"/>
        <v>0</v>
      </c>
      <c r="FG26" s="257">
        <f t="shared" si="74"/>
        <v>0</v>
      </c>
      <c r="FH26" s="257">
        <f t="shared" si="75"/>
        <v>0</v>
      </c>
      <c r="FI26" s="575">
        <f t="shared" si="76"/>
        <v>3</v>
      </c>
      <c r="FJ26" s="506">
        <f t="shared" si="77"/>
        <v>0</v>
      </c>
      <c r="FK26" s="39" t="str">
        <f t="shared" si="78"/>
        <v/>
      </c>
      <c r="FL26" s="257">
        <f t="shared" si="79"/>
        <v>0</v>
      </c>
      <c r="FM26" s="257">
        <f t="shared" si="80"/>
        <v>0</v>
      </c>
      <c r="FN26" s="257">
        <f t="shared" si="81"/>
        <v>0</v>
      </c>
      <c r="FO26" s="575">
        <f t="shared" si="82"/>
        <v>3</v>
      </c>
      <c r="FP26" s="506">
        <f t="shared" si="83"/>
        <v>0</v>
      </c>
      <c r="FQ26" s="39" t="str">
        <f t="shared" si="84"/>
        <v/>
      </c>
      <c r="FR26" s="39"/>
      <c r="FS26" s="39" t="str">
        <f t="shared" si="85"/>
        <v/>
      </c>
      <c r="FT26" s="39" t="str">
        <f t="shared" si="86"/>
        <v/>
      </c>
      <c r="FU26" s="39" t="str">
        <f t="shared" si="87"/>
        <v/>
      </c>
      <c r="FV26" s="39" t="str">
        <f t="shared" si="88"/>
        <v/>
      </c>
      <c r="FW26" s="39" t="str">
        <f t="shared" si="89"/>
        <v/>
      </c>
      <c r="FX26" s="39" t="str">
        <f t="shared" si="90"/>
        <v/>
      </c>
      <c r="FY26" s="257" t="str">
        <f t="shared" si="91"/>
        <v/>
      </c>
      <c r="FZ26" s="569" t="str">
        <f t="shared" si="92"/>
        <v xml:space="preserve"> </v>
      </c>
      <c r="GA26" s="289">
        <f t="shared" si="93"/>
        <v>0</v>
      </c>
      <c r="GB26" s="289">
        <f t="shared" si="94"/>
        <v>0</v>
      </c>
      <c r="GC26" s="289">
        <f>SISWA!E24</f>
        <v>0</v>
      </c>
      <c r="GD26" s="223" t="str">
        <f t="shared" si="95"/>
        <v/>
      </c>
      <c r="GE26" s="580" t="str">
        <f t="shared" si="96"/>
        <v/>
      </c>
      <c r="GF26" s="580" t="str">
        <f t="shared" si="97"/>
        <v/>
      </c>
      <c r="GG26" s="580" t="str">
        <f t="shared" si="98"/>
        <v/>
      </c>
      <c r="GH26" s="580" t="str">
        <f t="shared" si="99"/>
        <v/>
      </c>
      <c r="GI26" s="580" t="str">
        <f t="shared" si="100"/>
        <v/>
      </c>
      <c r="GJ26" s="580" t="str">
        <f t="shared" si="101"/>
        <v/>
      </c>
      <c r="GK26" s="580" t="str">
        <f t="shared" si="102"/>
        <v/>
      </c>
      <c r="GL26" s="580"/>
      <c r="GM26" s="580"/>
      <c r="GN26" s="580"/>
      <c r="GO26" s="580"/>
      <c r="GP26" s="223">
        <f t="shared" si="103"/>
        <v>0</v>
      </c>
      <c r="GQ26" s="289" t="e">
        <f t="shared" si="104"/>
        <v>#N/A</v>
      </c>
      <c r="GR26" s="576" t="e">
        <f>IF(GA26&gt;100,"",IF(GA26&gt;CU$1,"sangat baik dalam "&amp;GQ26,IF(GA26&gt;=CU$2,"baik dalam "&amp;GQ26,IF(GA26&gt;=CU$3,"cukup dalam "&amp;GQ26,IF(GA26&lt;CU$3,"dengan bimbingan dapat meningkatkan dalam "&amp;GQ26,IF(GA26&lt;1," ",””))))))</f>
        <v>#N/A</v>
      </c>
      <c r="GS26" s="223"/>
      <c r="GT26" s="223" t="str">
        <f t="shared" si="105"/>
        <v/>
      </c>
      <c r="GU26" s="223" t="str">
        <f t="shared" si="106"/>
        <v/>
      </c>
      <c r="GV26" s="223" t="str">
        <f t="shared" si="107"/>
        <v/>
      </c>
      <c r="GW26" s="223" t="str">
        <f t="shared" si="108"/>
        <v/>
      </c>
      <c r="GX26" s="223" t="str">
        <f t="shared" si="109"/>
        <v/>
      </c>
      <c r="GY26" s="223" t="str">
        <f t="shared" si="110"/>
        <v/>
      </c>
      <c r="GZ26" s="223" t="str">
        <f t="shared" si="111"/>
        <v/>
      </c>
      <c r="HA26" s="223"/>
      <c r="HB26" s="223"/>
      <c r="HC26" s="223"/>
      <c r="HD26" s="223"/>
      <c r="HE26" s="223" t="e">
        <f t="shared" si="112"/>
        <v>#N/A</v>
      </c>
      <c r="HF26" s="576" t="e">
        <f>IF(GB26&gt;100,"",IF(GB26&gt;CU$1,"sangat baik dalam "&amp;HE26,IF(GB26&gt;=CU$2,"baik dalam "&amp;HE26,IF(GB26&gt;=CU$3,"cukup dalam "&amp;HE26,IF(GB26&lt;CU$3,"dengan bimbingan dapat meningkatkan dalam "&amp;HE26,IF(GB26&lt;1," ",””))))))</f>
        <v>#N/A</v>
      </c>
      <c r="HG26" s="223" t="e">
        <f t="shared" si="113"/>
        <v>#N/A</v>
      </c>
    </row>
    <row r="27" spans="1:215">
      <c r="A27" s="39">
        <v>20</v>
      </c>
      <c r="B27" s="223">
        <f>SISWA!B25</f>
        <v>0</v>
      </c>
      <c r="C27" s="123"/>
      <c r="D27" s="123"/>
      <c r="E27" s="123"/>
      <c r="F27" s="123"/>
      <c r="G27" s="123"/>
      <c r="H27" s="123"/>
      <c r="I27" s="123"/>
      <c r="J27" s="255"/>
      <c r="K27" s="255"/>
      <c r="L27" s="255"/>
      <c r="M27" s="255"/>
      <c r="N27" s="255"/>
      <c r="O27" s="255"/>
      <c r="P27" s="255"/>
      <c r="Q27" s="256"/>
      <c r="R27" s="256"/>
      <c r="S27" s="256"/>
      <c r="T27" s="256"/>
      <c r="U27" s="256"/>
      <c r="V27" s="256"/>
      <c r="W27" s="256"/>
      <c r="X27" s="123"/>
      <c r="Y27" s="123"/>
      <c r="Z27" s="123"/>
      <c r="AA27" s="123"/>
      <c r="AB27" s="123"/>
      <c r="AC27" s="123"/>
      <c r="AD27" s="123"/>
      <c r="AE27" s="255"/>
      <c r="AF27" s="255"/>
      <c r="AG27" s="255"/>
      <c r="AH27" s="255"/>
      <c r="AI27" s="255"/>
      <c r="AJ27" s="255"/>
      <c r="AK27" s="255"/>
      <c r="AL27" s="256"/>
      <c r="AM27" s="256"/>
      <c r="AN27" s="256"/>
      <c r="AO27" s="256"/>
      <c r="AP27" s="256"/>
      <c r="AQ27" s="256"/>
      <c r="AR27" s="256"/>
      <c r="AS27" s="123"/>
      <c r="AT27" s="123"/>
      <c r="AU27" s="123"/>
      <c r="AV27" s="123"/>
      <c r="AW27" s="123"/>
      <c r="AX27" s="123"/>
      <c r="AY27" s="123"/>
      <c r="AZ27" s="255"/>
      <c r="BA27" s="255"/>
      <c r="BB27" s="255"/>
      <c r="BC27" s="255"/>
      <c r="BD27" s="255"/>
      <c r="BE27" s="255"/>
      <c r="BF27" s="255"/>
      <c r="BG27" s="256"/>
      <c r="BH27" s="256"/>
      <c r="BI27" s="256"/>
      <c r="BJ27" s="256"/>
      <c r="BK27" s="256"/>
      <c r="BL27" s="256"/>
      <c r="BM27" s="256"/>
      <c r="BN27" s="123"/>
      <c r="BO27" s="123"/>
      <c r="BP27" s="123"/>
      <c r="BQ27" s="123"/>
      <c r="BR27" s="123"/>
      <c r="BS27" s="123"/>
      <c r="BT27" s="123"/>
      <c r="BU27" s="255"/>
      <c r="BV27" s="255"/>
      <c r="BW27" s="255"/>
      <c r="BX27" s="255"/>
      <c r="BY27" s="255"/>
      <c r="BZ27" s="255"/>
      <c r="CA27" s="255"/>
      <c r="CB27" s="256"/>
      <c r="CC27" s="256"/>
      <c r="CD27" s="256"/>
      <c r="CE27" s="256"/>
      <c r="CF27" s="256"/>
      <c r="CG27" s="256"/>
      <c r="CH27" s="256"/>
      <c r="CI27" s="257" t="str">
        <f t="shared" si="10"/>
        <v/>
      </c>
      <c r="CJ27" s="257" t="str">
        <f t="shared" si="11"/>
        <v/>
      </c>
      <c r="CK27" s="257" t="str">
        <f t="shared" si="12"/>
        <v/>
      </c>
      <c r="CL27" s="257" t="str">
        <f t="shared" si="13"/>
        <v/>
      </c>
      <c r="CM27" s="257" t="str">
        <f t="shared" si="14"/>
        <v/>
      </c>
      <c r="CN27" s="257" t="str">
        <f t="shared" si="15"/>
        <v/>
      </c>
      <c r="CO27" s="257" t="str">
        <f t="shared" si="16"/>
        <v/>
      </c>
      <c r="CP27" s="756" t="str">
        <f t="shared" si="16"/>
        <v xml:space="preserve"> </v>
      </c>
      <c r="CQ27" s="291" t="str">
        <f t="shared" si="17"/>
        <v xml:space="preserve">  </v>
      </c>
      <c r="CR27" s="243" t="str">
        <f t="shared" si="18"/>
        <v xml:space="preserve"> </v>
      </c>
      <c r="CS27" s="39"/>
      <c r="CT27" s="39"/>
      <c r="CU27" s="257">
        <f t="shared" si="19"/>
        <v>0</v>
      </c>
      <c r="CV27" s="257">
        <f t="shared" si="20"/>
        <v>0</v>
      </c>
      <c r="CW27" s="257">
        <f t="shared" si="21"/>
        <v>0</v>
      </c>
      <c r="CX27" s="257">
        <f t="shared" si="22"/>
        <v>0</v>
      </c>
      <c r="CY27" s="257">
        <f t="shared" si="23"/>
        <v>0</v>
      </c>
      <c r="CZ27" s="257">
        <f t="shared" si="24"/>
        <v>0</v>
      </c>
      <c r="DA27" s="257">
        <f t="shared" si="25"/>
        <v>0</v>
      </c>
      <c r="DB27" s="257"/>
      <c r="DC27" s="257"/>
      <c r="DD27" s="257"/>
      <c r="DE27" s="289">
        <f t="shared" si="26"/>
        <v>0</v>
      </c>
      <c r="DF27" s="257">
        <f t="shared" si="27"/>
        <v>0</v>
      </c>
      <c r="DG27" s="257">
        <f t="shared" si="28"/>
        <v>0</v>
      </c>
      <c r="DH27" s="257">
        <f t="shared" si="29"/>
        <v>0</v>
      </c>
      <c r="DI27" s="257">
        <f t="shared" si="30"/>
        <v>0</v>
      </c>
      <c r="DJ27" s="257">
        <f t="shared" si="31"/>
        <v>0</v>
      </c>
      <c r="DK27" s="257">
        <f t="shared" si="32"/>
        <v>0</v>
      </c>
      <c r="DL27" s="257">
        <f t="shared" si="33"/>
        <v>0</v>
      </c>
      <c r="DM27" s="223"/>
      <c r="DN27" s="223"/>
      <c r="DO27" s="223"/>
      <c r="DP27" s="289">
        <f t="shared" si="34"/>
        <v>0</v>
      </c>
      <c r="DQ27" s="257">
        <f t="shared" si="35"/>
        <v>0</v>
      </c>
      <c r="DR27" s="257">
        <f t="shared" si="36"/>
        <v>0</v>
      </c>
      <c r="DS27" s="257">
        <f t="shared" si="37"/>
        <v>0</v>
      </c>
      <c r="DT27" s="257">
        <f t="shared" si="38"/>
        <v>0</v>
      </c>
      <c r="DU27" s="257">
        <f t="shared" si="39"/>
        <v>0</v>
      </c>
      <c r="DV27" s="257">
        <f t="shared" si="40"/>
        <v>0</v>
      </c>
      <c r="DW27" s="257">
        <f t="shared" si="41"/>
        <v>0</v>
      </c>
      <c r="DX27" s="223"/>
      <c r="DY27" s="223"/>
      <c r="DZ27" s="223"/>
      <c r="EA27" s="289">
        <f t="shared" si="42"/>
        <v>0</v>
      </c>
      <c r="EB27" s="257">
        <f t="shared" si="43"/>
        <v>0</v>
      </c>
      <c r="EC27" s="257">
        <f t="shared" si="44"/>
        <v>0</v>
      </c>
      <c r="ED27" s="257">
        <f t="shared" si="45"/>
        <v>0</v>
      </c>
      <c r="EE27" s="575">
        <f t="shared" si="46"/>
        <v>3</v>
      </c>
      <c r="EF27" s="506">
        <f t="shared" si="47"/>
        <v>0</v>
      </c>
      <c r="EG27" s="39" t="str">
        <f t="shared" si="48"/>
        <v/>
      </c>
      <c r="EH27" s="257">
        <f t="shared" si="49"/>
        <v>0</v>
      </c>
      <c r="EI27" s="257">
        <f t="shared" si="50"/>
        <v>0</v>
      </c>
      <c r="EJ27" s="257">
        <f t="shared" si="51"/>
        <v>0</v>
      </c>
      <c r="EK27" s="575">
        <f t="shared" si="52"/>
        <v>3</v>
      </c>
      <c r="EL27" s="506">
        <f t="shared" si="53"/>
        <v>0</v>
      </c>
      <c r="EM27" s="39" t="str">
        <f t="shared" si="54"/>
        <v/>
      </c>
      <c r="EN27" s="257">
        <f t="shared" si="55"/>
        <v>0</v>
      </c>
      <c r="EO27" s="257">
        <f t="shared" si="56"/>
        <v>0</v>
      </c>
      <c r="EP27" s="257">
        <f t="shared" si="57"/>
        <v>0</v>
      </c>
      <c r="EQ27" s="575">
        <f t="shared" si="58"/>
        <v>3</v>
      </c>
      <c r="ER27" s="506">
        <f t="shared" si="59"/>
        <v>0</v>
      </c>
      <c r="ES27" s="39" t="str">
        <f t="shared" si="60"/>
        <v/>
      </c>
      <c r="ET27" s="257">
        <f t="shared" si="61"/>
        <v>0</v>
      </c>
      <c r="EU27" s="257">
        <f t="shared" si="62"/>
        <v>0</v>
      </c>
      <c r="EV27" s="257">
        <f t="shared" si="63"/>
        <v>0</v>
      </c>
      <c r="EW27" s="575">
        <f t="shared" si="64"/>
        <v>3</v>
      </c>
      <c r="EX27" s="506">
        <f t="shared" si="65"/>
        <v>0</v>
      </c>
      <c r="EY27" s="39" t="str">
        <f t="shared" si="66"/>
        <v/>
      </c>
      <c r="EZ27" s="257">
        <f t="shared" si="67"/>
        <v>0</v>
      </c>
      <c r="FA27" s="257">
        <f t="shared" si="68"/>
        <v>0</v>
      </c>
      <c r="FB27" s="257">
        <f t="shared" si="69"/>
        <v>0</v>
      </c>
      <c r="FC27" s="575">
        <f t="shared" si="70"/>
        <v>3</v>
      </c>
      <c r="FD27" s="506">
        <f t="shared" si="71"/>
        <v>0</v>
      </c>
      <c r="FE27" s="39" t="str">
        <f t="shared" si="72"/>
        <v/>
      </c>
      <c r="FF27" s="257">
        <f t="shared" si="73"/>
        <v>0</v>
      </c>
      <c r="FG27" s="257">
        <f t="shared" si="74"/>
        <v>0</v>
      </c>
      <c r="FH27" s="257">
        <f t="shared" si="75"/>
        <v>0</v>
      </c>
      <c r="FI27" s="575">
        <f t="shared" si="76"/>
        <v>3</v>
      </c>
      <c r="FJ27" s="506">
        <f t="shared" si="77"/>
        <v>0</v>
      </c>
      <c r="FK27" s="39" t="str">
        <f t="shared" si="78"/>
        <v/>
      </c>
      <c r="FL27" s="257">
        <f t="shared" si="79"/>
        <v>0</v>
      </c>
      <c r="FM27" s="257">
        <f t="shared" si="80"/>
        <v>0</v>
      </c>
      <c r="FN27" s="257">
        <f t="shared" si="81"/>
        <v>0</v>
      </c>
      <c r="FO27" s="575">
        <f t="shared" si="82"/>
        <v>3</v>
      </c>
      <c r="FP27" s="506">
        <f t="shared" si="83"/>
        <v>0</v>
      </c>
      <c r="FQ27" s="39" t="str">
        <f t="shared" si="84"/>
        <v/>
      </c>
      <c r="FR27" s="39"/>
      <c r="FS27" s="39" t="str">
        <f t="shared" si="85"/>
        <v/>
      </c>
      <c r="FT27" s="39" t="str">
        <f t="shared" si="86"/>
        <v/>
      </c>
      <c r="FU27" s="39" t="str">
        <f t="shared" si="87"/>
        <v/>
      </c>
      <c r="FV27" s="39" t="str">
        <f t="shared" si="88"/>
        <v/>
      </c>
      <c r="FW27" s="39" t="str">
        <f t="shared" si="89"/>
        <v/>
      </c>
      <c r="FX27" s="39" t="str">
        <f t="shared" si="90"/>
        <v/>
      </c>
      <c r="FY27" s="257" t="str">
        <f t="shared" si="91"/>
        <v/>
      </c>
      <c r="FZ27" s="569" t="str">
        <f t="shared" si="92"/>
        <v xml:space="preserve"> </v>
      </c>
      <c r="GA27" s="289">
        <f t="shared" si="93"/>
        <v>0</v>
      </c>
      <c r="GB27" s="289">
        <f t="shared" si="94"/>
        <v>0</v>
      </c>
      <c r="GC27" s="289">
        <f>SISWA!E25</f>
        <v>0</v>
      </c>
      <c r="GD27" s="223" t="str">
        <f t="shared" si="95"/>
        <v/>
      </c>
      <c r="GE27" s="580" t="str">
        <f t="shared" si="96"/>
        <v/>
      </c>
      <c r="GF27" s="580" t="str">
        <f t="shared" si="97"/>
        <v/>
      </c>
      <c r="GG27" s="580" t="str">
        <f t="shared" si="98"/>
        <v/>
      </c>
      <c r="GH27" s="580" t="str">
        <f t="shared" si="99"/>
        <v/>
      </c>
      <c r="GI27" s="580" t="str">
        <f t="shared" si="100"/>
        <v/>
      </c>
      <c r="GJ27" s="580" t="str">
        <f t="shared" si="101"/>
        <v/>
      </c>
      <c r="GK27" s="580" t="str">
        <f t="shared" si="102"/>
        <v/>
      </c>
      <c r="GL27" s="580"/>
      <c r="GM27" s="580"/>
      <c r="GN27" s="580"/>
      <c r="GO27" s="580"/>
      <c r="GP27" s="223">
        <f t="shared" si="103"/>
        <v>0</v>
      </c>
      <c r="GQ27" s="289" t="e">
        <f t="shared" si="104"/>
        <v>#N/A</v>
      </c>
      <c r="GR27" s="576" t="e">
        <f>IF(GA27&gt;100,"",IF(GA27&gt;CU$1,"sangat baik dalam "&amp;GQ27,IF(GA27&gt;=CU$2,"baik dalam "&amp;GQ27,IF(GA27&gt;=CU$3,"cukup dalam "&amp;GQ27,IF(GA27&lt;CU$3,"dengan bimbingan dapat meningkatkan dalam "&amp;GQ27,IF(GA27&lt;1," ",””))))))</f>
        <v>#N/A</v>
      </c>
      <c r="GS27" s="223"/>
      <c r="GT27" s="223" t="str">
        <f t="shared" si="105"/>
        <v/>
      </c>
      <c r="GU27" s="223" t="str">
        <f t="shared" si="106"/>
        <v/>
      </c>
      <c r="GV27" s="223" t="str">
        <f t="shared" si="107"/>
        <v/>
      </c>
      <c r="GW27" s="223" t="str">
        <f t="shared" si="108"/>
        <v/>
      </c>
      <c r="GX27" s="223" t="str">
        <f t="shared" si="109"/>
        <v/>
      </c>
      <c r="GY27" s="223" t="str">
        <f t="shared" si="110"/>
        <v/>
      </c>
      <c r="GZ27" s="223" t="str">
        <f t="shared" si="111"/>
        <v/>
      </c>
      <c r="HA27" s="223"/>
      <c r="HB27" s="223"/>
      <c r="HC27" s="223"/>
      <c r="HD27" s="223"/>
      <c r="HE27" s="223" t="e">
        <f t="shared" si="112"/>
        <v>#N/A</v>
      </c>
      <c r="HF27" s="576" t="e">
        <f>IF(GB27&gt;100,"",IF(GB27&gt;CU$1,"sangat baik dalam "&amp;HE27,IF(GB27&gt;=CU$2,"baik dalam "&amp;HE27,IF(GB27&gt;=CU$3,"cukup dalam "&amp;HE27,IF(GB27&lt;CU$3,"dengan bimbingan dapat meningkatkan dalam "&amp;HE27,IF(GB27&lt;1," ",””))))))</f>
        <v>#N/A</v>
      </c>
      <c r="HG27" s="223" t="e">
        <f t="shared" si="113"/>
        <v>#N/A</v>
      </c>
    </row>
    <row r="28" spans="1:215">
      <c r="A28" s="39">
        <v>21</v>
      </c>
      <c r="B28" s="223">
        <f>SISWA!B26</f>
        <v>0</v>
      </c>
      <c r="C28" s="123"/>
      <c r="D28" s="123"/>
      <c r="E28" s="123"/>
      <c r="F28" s="123"/>
      <c r="G28" s="123"/>
      <c r="H28" s="123"/>
      <c r="I28" s="123"/>
      <c r="J28" s="255"/>
      <c r="K28" s="255"/>
      <c r="L28" s="255"/>
      <c r="M28" s="255"/>
      <c r="N28" s="255"/>
      <c r="O28" s="255"/>
      <c r="P28" s="255"/>
      <c r="Q28" s="256"/>
      <c r="R28" s="256"/>
      <c r="S28" s="256"/>
      <c r="T28" s="256"/>
      <c r="U28" s="256"/>
      <c r="V28" s="256"/>
      <c r="W28" s="256"/>
      <c r="X28" s="123"/>
      <c r="Y28" s="123"/>
      <c r="Z28" s="123"/>
      <c r="AA28" s="123"/>
      <c r="AB28" s="123"/>
      <c r="AC28" s="123"/>
      <c r="AD28" s="123"/>
      <c r="AE28" s="255"/>
      <c r="AF28" s="255"/>
      <c r="AG28" s="255"/>
      <c r="AH28" s="255"/>
      <c r="AI28" s="255"/>
      <c r="AJ28" s="255"/>
      <c r="AK28" s="255"/>
      <c r="AL28" s="256"/>
      <c r="AM28" s="256"/>
      <c r="AN28" s="256"/>
      <c r="AO28" s="256"/>
      <c r="AP28" s="256"/>
      <c r="AQ28" s="256"/>
      <c r="AR28" s="256"/>
      <c r="AS28" s="123"/>
      <c r="AT28" s="123"/>
      <c r="AU28" s="123"/>
      <c r="AV28" s="123"/>
      <c r="AW28" s="123"/>
      <c r="AX28" s="123"/>
      <c r="AY28" s="123"/>
      <c r="AZ28" s="255"/>
      <c r="BA28" s="255"/>
      <c r="BB28" s="255"/>
      <c r="BC28" s="255"/>
      <c r="BD28" s="255"/>
      <c r="BE28" s="255"/>
      <c r="BF28" s="255"/>
      <c r="BG28" s="256"/>
      <c r="BH28" s="256"/>
      <c r="BI28" s="256"/>
      <c r="BJ28" s="256"/>
      <c r="BK28" s="256"/>
      <c r="BL28" s="256"/>
      <c r="BM28" s="256"/>
      <c r="BN28" s="123"/>
      <c r="BO28" s="123"/>
      <c r="BP28" s="123"/>
      <c r="BQ28" s="123"/>
      <c r="BR28" s="123"/>
      <c r="BS28" s="123"/>
      <c r="BT28" s="123"/>
      <c r="BU28" s="255"/>
      <c r="BV28" s="255"/>
      <c r="BW28" s="255"/>
      <c r="BX28" s="255"/>
      <c r="BY28" s="255"/>
      <c r="BZ28" s="255"/>
      <c r="CA28" s="255"/>
      <c r="CB28" s="256"/>
      <c r="CC28" s="256"/>
      <c r="CD28" s="256"/>
      <c r="CE28" s="256"/>
      <c r="CF28" s="256"/>
      <c r="CG28" s="256"/>
      <c r="CH28" s="256"/>
      <c r="CI28" s="257" t="str">
        <f t="shared" si="10"/>
        <v/>
      </c>
      <c r="CJ28" s="257" t="str">
        <f t="shared" si="11"/>
        <v/>
      </c>
      <c r="CK28" s="257" t="str">
        <f t="shared" si="12"/>
        <v/>
      </c>
      <c r="CL28" s="257" t="str">
        <f t="shared" si="13"/>
        <v/>
      </c>
      <c r="CM28" s="257" t="str">
        <f t="shared" si="14"/>
        <v/>
      </c>
      <c r="CN28" s="257" t="str">
        <f t="shared" si="15"/>
        <v/>
      </c>
      <c r="CO28" s="257" t="str">
        <f t="shared" si="16"/>
        <v/>
      </c>
      <c r="CP28" s="756" t="str">
        <f t="shared" si="16"/>
        <v xml:space="preserve"> </v>
      </c>
      <c r="CQ28" s="291" t="str">
        <f t="shared" si="17"/>
        <v xml:space="preserve">  </v>
      </c>
      <c r="CR28" s="243" t="str">
        <f t="shared" si="18"/>
        <v xml:space="preserve"> </v>
      </c>
      <c r="CS28" s="39"/>
      <c r="CT28" s="39"/>
      <c r="CU28" s="257">
        <f t="shared" si="19"/>
        <v>0</v>
      </c>
      <c r="CV28" s="257">
        <f t="shared" si="20"/>
        <v>0</v>
      </c>
      <c r="CW28" s="257">
        <f t="shared" si="21"/>
        <v>0</v>
      </c>
      <c r="CX28" s="257">
        <f t="shared" si="22"/>
        <v>0</v>
      </c>
      <c r="CY28" s="257">
        <f t="shared" si="23"/>
        <v>0</v>
      </c>
      <c r="CZ28" s="257">
        <f t="shared" si="24"/>
        <v>0</v>
      </c>
      <c r="DA28" s="257">
        <f t="shared" si="25"/>
        <v>0</v>
      </c>
      <c r="DB28" s="257"/>
      <c r="DC28" s="257"/>
      <c r="DD28" s="257"/>
      <c r="DE28" s="289">
        <f t="shared" si="26"/>
        <v>0</v>
      </c>
      <c r="DF28" s="257">
        <f t="shared" si="27"/>
        <v>0</v>
      </c>
      <c r="DG28" s="257">
        <f t="shared" si="28"/>
        <v>0</v>
      </c>
      <c r="DH28" s="257">
        <f t="shared" si="29"/>
        <v>0</v>
      </c>
      <c r="DI28" s="257">
        <f t="shared" si="30"/>
        <v>0</v>
      </c>
      <c r="DJ28" s="257">
        <f t="shared" si="31"/>
        <v>0</v>
      </c>
      <c r="DK28" s="257">
        <f t="shared" si="32"/>
        <v>0</v>
      </c>
      <c r="DL28" s="257">
        <f t="shared" si="33"/>
        <v>0</v>
      </c>
      <c r="DM28" s="223"/>
      <c r="DN28" s="223"/>
      <c r="DO28" s="223"/>
      <c r="DP28" s="289">
        <f t="shared" si="34"/>
        <v>0</v>
      </c>
      <c r="DQ28" s="257">
        <f t="shared" si="35"/>
        <v>0</v>
      </c>
      <c r="DR28" s="257">
        <f t="shared" si="36"/>
        <v>0</v>
      </c>
      <c r="DS28" s="257">
        <f t="shared" si="37"/>
        <v>0</v>
      </c>
      <c r="DT28" s="257">
        <f t="shared" si="38"/>
        <v>0</v>
      </c>
      <c r="DU28" s="257">
        <f t="shared" si="39"/>
        <v>0</v>
      </c>
      <c r="DV28" s="257">
        <f t="shared" si="40"/>
        <v>0</v>
      </c>
      <c r="DW28" s="257">
        <f t="shared" si="41"/>
        <v>0</v>
      </c>
      <c r="DX28" s="223"/>
      <c r="DY28" s="223"/>
      <c r="DZ28" s="223"/>
      <c r="EA28" s="289">
        <f t="shared" si="42"/>
        <v>0</v>
      </c>
      <c r="EB28" s="257">
        <f t="shared" si="43"/>
        <v>0</v>
      </c>
      <c r="EC28" s="257">
        <f t="shared" si="44"/>
        <v>0</v>
      </c>
      <c r="ED28" s="257">
        <f t="shared" si="45"/>
        <v>0</v>
      </c>
      <c r="EE28" s="575">
        <f t="shared" si="46"/>
        <v>3</v>
      </c>
      <c r="EF28" s="506">
        <f t="shared" si="47"/>
        <v>0</v>
      </c>
      <c r="EG28" s="39" t="str">
        <f t="shared" si="48"/>
        <v/>
      </c>
      <c r="EH28" s="257">
        <f t="shared" si="49"/>
        <v>0</v>
      </c>
      <c r="EI28" s="257">
        <f t="shared" si="50"/>
        <v>0</v>
      </c>
      <c r="EJ28" s="257">
        <f t="shared" si="51"/>
        <v>0</v>
      </c>
      <c r="EK28" s="575">
        <f t="shared" si="52"/>
        <v>3</v>
      </c>
      <c r="EL28" s="506">
        <f t="shared" si="53"/>
        <v>0</v>
      </c>
      <c r="EM28" s="39" t="str">
        <f t="shared" si="54"/>
        <v/>
      </c>
      <c r="EN28" s="257">
        <f t="shared" si="55"/>
        <v>0</v>
      </c>
      <c r="EO28" s="257">
        <f t="shared" si="56"/>
        <v>0</v>
      </c>
      <c r="EP28" s="257">
        <f t="shared" si="57"/>
        <v>0</v>
      </c>
      <c r="EQ28" s="575">
        <f t="shared" si="58"/>
        <v>3</v>
      </c>
      <c r="ER28" s="506">
        <f t="shared" si="59"/>
        <v>0</v>
      </c>
      <c r="ES28" s="39" t="str">
        <f t="shared" si="60"/>
        <v/>
      </c>
      <c r="ET28" s="257">
        <f t="shared" si="61"/>
        <v>0</v>
      </c>
      <c r="EU28" s="257">
        <f t="shared" si="62"/>
        <v>0</v>
      </c>
      <c r="EV28" s="257">
        <f t="shared" si="63"/>
        <v>0</v>
      </c>
      <c r="EW28" s="575">
        <f t="shared" si="64"/>
        <v>3</v>
      </c>
      <c r="EX28" s="506">
        <f t="shared" si="65"/>
        <v>0</v>
      </c>
      <c r="EY28" s="39" t="str">
        <f t="shared" si="66"/>
        <v/>
      </c>
      <c r="EZ28" s="257">
        <f t="shared" si="67"/>
        <v>0</v>
      </c>
      <c r="FA28" s="257">
        <f t="shared" si="68"/>
        <v>0</v>
      </c>
      <c r="FB28" s="257">
        <f t="shared" si="69"/>
        <v>0</v>
      </c>
      <c r="FC28" s="575">
        <f t="shared" si="70"/>
        <v>3</v>
      </c>
      <c r="FD28" s="506">
        <f t="shared" si="71"/>
        <v>0</v>
      </c>
      <c r="FE28" s="39" t="str">
        <f t="shared" si="72"/>
        <v/>
      </c>
      <c r="FF28" s="257">
        <f t="shared" si="73"/>
        <v>0</v>
      </c>
      <c r="FG28" s="257">
        <f t="shared" si="74"/>
        <v>0</v>
      </c>
      <c r="FH28" s="257">
        <f t="shared" si="75"/>
        <v>0</v>
      </c>
      <c r="FI28" s="575">
        <f t="shared" si="76"/>
        <v>3</v>
      </c>
      <c r="FJ28" s="506">
        <f t="shared" si="77"/>
        <v>0</v>
      </c>
      <c r="FK28" s="39" t="str">
        <f t="shared" si="78"/>
        <v/>
      </c>
      <c r="FL28" s="257">
        <f t="shared" si="79"/>
        <v>0</v>
      </c>
      <c r="FM28" s="257">
        <f t="shared" si="80"/>
        <v>0</v>
      </c>
      <c r="FN28" s="257">
        <f t="shared" si="81"/>
        <v>0</v>
      </c>
      <c r="FO28" s="575">
        <f t="shared" si="82"/>
        <v>3</v>
      </c>
      <c r="FP28" s="506">
        <f t="shared" si="83"/>
        <v>0</v>
      </c>
      <c r="FQ28" s="39" t="str">
        <f t="shared" si="84"/>
        <v/>
      </c>
      <c r="FR28" s="39"/>
      <c r="FS28" s="39" t="str">
        <f t="shared" si="85"/>
        <v/>
      </c>
      <c r="FT28" s="39" t="str">
        <f t="shared" si="86"/>
        <v/>
      </c>
      <c r="FU28" s="39" t="str">
        <f t="shared" si="87"/>
        <v/>
      </c>
      <c r="FV28" s="39" t="str">
        <f t="shared" si="88"/>
        <v/>
      </c>
      <c r="FW28" s="39" t="str">
        <f t="shared" si="89"/>
        <v/>
      </c>
      <c r="FX28" s="39" t="str">
        <f t="shared" si="90"/>
        <v/>
      </c>
      <c r="FY28" s="257" t="str">
        <f t="shared" si="91"/>
        <v/>
      </c>
      <c r="FZ28" s="569" t="str">
        <f t="shared" si="92"/>
        <v xml:space="preserve"> </v>
      </c>
      <c r="GA28" s="289">
        <f t="shared" si="93"/>
        <v>0</v>
      </c>
      <c r="GB28" s="289">
        <f t="shared" si="94"/>
        <v>0</v>
      </c>
      <c r="GC28" s="289">
        <f>SISWA!E26</f>
        <v>0</v>
      </c>
      <c r="GD28" s="223" t="str">
        <f t="shared" si="95"/>
        <v/>
      </c>
      <c r="GE28" s="580" t="str">
        <f t="shared" si="96"/>
        <v/>
      </c>
      <c r="GF28" s="580" t="str">
        <f t="shared" si="97"/>
        <v/>
      </c>
      <c r="GG28" s="580" t="str">
        <f t="shared" si="98"/>
        <v/>
      </c>
      <c r="GH28" s="580" t="str">
        <f t="shared" si="99"/>
        <v/>
      </c>
      <c r="GI28" s="580" t="str">
        <f t="shared" si="100"/>
        <v/>
      </c>
      <c r="GJ28" s="580" t="str">
        <f t="shared" si="101"/>
        <v/>
      </c>
      <c r="GK28" s="580" t="str">
        <f t="shared" si="102"/>
        <v/>
      </c>
      <c r="GL28" s="580"/>
      <c r="GM28" s="580"/>
      <c r="GN28" s="580"/>
      <c r="GO28" s="580"/>
      <c r="GP28" s="223">
        <f t="shared" si="103"/>
        <v>0</v>
      </c>
      <c r="GQ28" s="289" t="e">
        <f t="shared" si="104"/>
        <v>#N/A</v>
      </c>
      <c r="GR28" s="576" t="e">
        <f>IF(GA28&gt;100,"",IF(GA28&gt;CU$1,"sangat baik dalam "&amp;GQ28,IF(GA28&gt;=CU$2,"baik dalam "&amp;GQ28,IF(GA28&gt;=CU$3,"cukup dalam "&amp;GQ28,IF(GA28&lt;CU$3,"dengan bimbingan dapat meningkatkan dalam "&amp;GQ28,IF(GA28&lt;1," ",””))))))</f>
        <v>#N/A</v>
      </c>
      <c r="GS28" s="223"/>
      <c r="GT28" s="223" t="str">
        <f t="shared" si="105"/>
        <v/>
      </c>
      <c r="GU28" s="223" t="str">
        <f t="shared" si="106"/>
        <v/>
      </c>
      <c r="GV28" s="223" t="str">
        <f t="shared" si="107"/>
        <v/>
      </c>
      <c r="GW28" s="223" t="str">
        <f t="shared" si="108"/>
        <v/>
      </c>
      <c r="GX28" s="223" t="str">
        <f t="shared" si="109"/>
        <v/>
      </c>
      <c r="GY28" s="223" t="str">
        <f t="shared" si="110"/>
        <v/>
      </c>
      <c r="GZ28" s="223" t="str">
        <f t="shared" si="111"/>
        <v/>
      </c>
      <c r="HA28" s="223"/>
      <c r="HB28" s="223"/>
      <c r="HC28" s="223"/>
      <c r="HD28" s="223"/>
      <c r="HE28" s="223" t="e">
        <f t="shared" si="112"/>
        <v>#N/A</v>
      </c>
      <c r="HF28" s="576" t="e">
        <f>IF(GB28&gt;100,"",IF(GB28&gt;CU$1,"sangat baik dalam "&amp;HE28,IF(GB28&gt;=CU$2,"baik dalam "&amp;HE28,IF(GB28&gt;=CU$3,"cukup dalam "&amp;HE28,IF(GB28&lt;CU$3,"dengan bimbingan dapat meningkatkan dalam "&amp;HE28,IF(GB28&lt;1," ",””))))))</f>
        <v>#N/A</v>
      </c>
      <c r="HG28" s="223" t="e">
        <f t="shared" si="113"/>
        <v>#N/A</v>
      </c>
    </row>
    <row r="29" spans="1:215">
      <c r="A29" s="39">
        <v>22</v>
      </c>
      <c r="B29" s="223">
        <f>SISWA!B27</f>
        <v>0</v>
      </c>
      <c r="C29" s="123"/>
      <c r="D29" s="123"/>
      <c r="E29" s="123"/>
      <c r="F29" s="123"/>
      <c r="G29" s="123"/>
      <c r="H29" s="123"/>
      <c r="I29" s="123"/>
      <c r="J29" s="255"/>
      <c r="K29" s="255"/>
      <c r="L29" s="255"/>
      <c r="M29" s="255"/>
      <c r="N29" s="255"/>
      <c r="O29" s="255"/>
      <c r="P29" s="255"/>
      <c r="Q29" s="256"/>
      <c r="R29" s="256"/>
      <c r="S29" s="256"/>
      <c r="T29" s="256"/>
      <c r="U29" s="256"/>
      <c r="V29" s="256"/>
      <c r="W29" s="256"/>
      <c r="X29" s="123"/>
      <c r="Y29" s="123"/>
      <c r="Z29" s="123"/>
      <c r="AA29" s="123"/>
      <c r="AB29" s="123"/>
      <c r="AC29" s="123"/>
      <c r="AD29" s="123"/>
      <c r="AE29" s="255"/>
      <c r="AF29" s="255"/>
      <c r="AG29" s="255"/>
      <c r="AH29" s="255"/>
      <c r="AI29" s="255"/>
      <c r="AJ29" s="255"/>
      <c r="AK29" s="255"/>
      <c r="AL29" s="256"/>
      <c r="AM29" s="256"/>
      <c r="AN29" s="256"/>
      <c r="AO29" s="256"/>
      <c r="AP29" s="256"/>
      <c r="AQ29" s="256"/>
      <c r="AR29" s="256"/>
      <c r="AS29" s="123"/>
      <c r="AT29" s="123"/>
      <c r="AU29" s="123"/>
      <c r="AV29" s="123"/>
      <c r="AW29" s="123"/>
      <c r="AX29" s="123"/>
      <c r="AY29" s="123"/>
      <c r="AZ29" s="255"/>
      <c r="BA29" s="255"/>
      <c r="BB29" s="255"/>
      <c r="BC29" s="255"/>
      <c r="BD29" s="255"/>
      <c r="BE29" s="255"/>
      <c r="BF29" s="255"/>
      <c r="BG29" s="256"/>
      <c r="BH29" s="256"/>
      <c r="BI29" s="256"/>
      <c r="BJ29" s="256"/>
      <c r="BK29" s="256"/>
      <c r="BL29" s="256"/>
      <c r="BM29" s="256"/>
      <c r="BN29" s="123"/>
      <c r="BO29" s="123"/>
      <c r="BP29" s="123"/>
      <c r="BQ29" s="123"/>
      <c r="BR29" s="123"/>
      <c r="BS29" s="123"/>
      <c r="BT29" s="123"/>
      <c r="BU29" s="255"/>
      <c r="BV29" s="255"/>
      <c r="BW29" s="255"/>
      <c r="BX29" s="255"/>
      <c r="BY29" s="255"/>
      <c r="BZ29" s="255"/>
      <c r="CA29" s="255"/>
      <c r="CB29" s="256"/>
      <c r="CC29" s="256"/>
      <c r="CD29" s="256"/>
      <c r="CE29" s="256"/>
      <c r="CF29" s="256"/>
      <c r="CG29" s="256"/>
      <c r="CH29" s="256"/>
      <c r="CI29" s="257" t="str">
        <f t="shared" si="10"/>
        <v/>
      </c>
      <c r="CJ29" s="257" t="str">
        <f t="shared" si="11"/>
        <v/>
      </c>
      <c r="CK29" s="257" t="str">
        <f t="shared" si="12"/>
        <v/>
      </c>
      <c r="CL29" s="257" t="str">
        <f t="shared" si="13"/>
        <v/>
      </c>
      <c r="CM29" s="257" t="str">
        <f t="shared" si="14"/>
        <v/>
      </c>
      <c r="CN29" s="257" t="str">
        <f t="shared" si="15"/>
        <v/>
      </c>
      <c r="CO29" s="257" t="str">
        <f t="shared" si="16"/>
        <v/>
      </c>
      <c r="CP29" s="756" t="str">
        <f t="shared" si="16"/>
        <v xml:space="preserve"> </v>
      </c>
      <c r="CQ29" s="291" t="str">
        <f t="shared" si="17"/>
        <v xml:space="preserve">  </v>
      </c>
      <c r="CR29" s="243" t="str">
        <f t="shared" si="18"/>
        <v xml:space="preserve"> </v>
      </c>
      <c r="CS29" s="39"/>
      <c r="CT29" s="39"/>
      <c r="CU29" s="257">
        <f t="shared" si="19"/>
        <v>0</v>
      </c>
      <c r="CV29" s="257">
        <f t="shared" si="20"/>
        <v>0</v>
      </c>
      <c r="CW29" s="257">
        <f t="shared" si="21"/>
        <v>0</v>
      </c>
      <c r="CX29" s="257">
        <f t="shared" si="22"/>
        <v>0</v>
      </c>
      <c r="CY29" s="257">
        <f t="shared" si="23"/>
        <v>0</v>
      </c>
      <c r="CZ29" s="257">
        <f t="shared" si="24"/>
        <v>0</v>
      </c>
      <c r="DA29" s="257">
        <f t="shared" si="25"/>
        <v>0</v>
      </c>
      <c r="DB29" s="257"/>
      <c r="DC29" s="257"/>
      <c r="DD29" s="257"/>
      <c r="DE29" s="289">
        <f t="shared" si="26"/>
        <v>0</v>
      </c>
      <c r="DF29" s="257">
        <f t="shared" si="27"/>
        <v>0</v>
      </c>
      <c r="DG29" s="257">
        <f t="shared" si="28"/>
        <v>0</v>
      </c>
      <c r="DH29" s="257">
        <f t="shared" si="29"/>
        <v>0</v>
      </c>
      <c r="DI29" s="257">
        <f t="shared" si="30"/>
        <v>0</v>
      </c>
      <c r="DJ29" s="257">
        <f t="shared" si="31"/>
        <v>0</v>
      </c>
      <c r="DK29" s="257">
        <f t="shared" si="32"/>
        <v>0</v>
      </c>
      <c r="DL29" s="257">
        <f t="shared" si="33"/>
        <v>0</v>
      </c>
      <c r="DM29" s="223"/>
      <c r="DN29" s="223"/>
      <c r="DO29" s="223"/>
      <c r="DP29" s="289">
        <f t="shared" si="34"/>
        <v>0</v>
      </c>
      <c r="DQ29" s="257">
        <f t="shared" si="35"/>
        <v>0</v>
      </c>
      <c r="DR29" s="257">
        <f t="shared" si="36"/>
        <v>0</v>
      </c>
      <c r="DS29" s="257">
        <f t="shared" si="37"/>
        <v>0</v>
      </c>
      <c r="DT29" s="257">
        <f t="shared" si="38"/>
        <v>0</v>
      </c>
      <c r="DU29" s="257">
        <f t="shared" si="39"/>
        <v>0</v>
      </c>
      <c r="DV29" s="257">
        <f t="shared" si="40"/>
        <v>0</v>
      </c>
      <c r="DW29" s="257">
        <f t="shared" si="41"/>
        <v>0</v>
      </c>
      <c r="DX29" s="223"/>
      <c r="DY29" s="223"/>
      <c r="DZ29" s="223"/>
      <c r="EA29" s="289">
        <f t="shared" si="42"/>
        <v>0</v>
      </c>
      <c r="EB29" s="257">
        <f t="shared" si="43"/>
        <v>0</v>
      </c>
      <c r="EC29" s="257">
        <f t="shared" si="44"/>
        <v>0</v>
      </c>
      <c r="ED29" s="257">
        <f t="shared" si="45"/>
        <v>0</v>
      </c>
      <c r="EE29" s="575">
        <f t="shared" si="46"/>
        <v>3</v>
      </c>
      <c r="EF29" s="506">
        <f t="shared" si="47"/>
        <v>0</v>
      </c>
      <c r="EG29" s="39" t="str">
        <f t="shared" si="48"/>
        <v/>
      </c>
      <c r="EH29" s="257">
        <f t="shared" si="49"/>
        <v>0</v>
      </c>
      <c r="EI29" s="257">
        <f t="shared" si="50"/>
        <v>0</v>
      </c>
      <c r="EJ29" s="257">
        <f t="shared" si="51"/>
        <v>0</v>
      </c>
      <c r="EK29" s="575">
        <f t="shared" si="52"/>
        <v>3</v>
      </c>
      <c r="EL29" s="506">
        <f t="shared" si="53"/>
        <v>0</v>
      </c>
      <c r="EM29" s="39" t="str">
        <f t="shared" si="54"/>
        <v/>
      </c>
      <c r="EN29" s="257">
        <f t="shared" si="55"/>
        <v>0</v>
      </c>
      <c r="EO29" s="257">
        <f t="shared" si="56"/>
        <v>0</v>
      </c>
      <c r="EP29" s="257">
        <f t="shared" si="57"/>
        <v>0</v>
      </c>
      <c r="EQ29" s="575">
        <f t="shared" si="58"/>
        <v>3</v>
      </c>
      <c r="ER29" s="506">
        <f t="shared" si="59"/>
        <v>0</v>
      </c>
      <c r="ES29" s="39" t="str">
        <f t="shared" si="60"/>
        <v/>
      </c>
      <c r="ET29" s="257">
        <f t="shared" si="61"/>
        <v>0</v>
      </c>
      <c r="EU29" s="257">
        <f t="shared" si="62"/>
        <v>0</v>
      </c>
      <c r="EV29" s="257">
        <f t="shared" si="63"/>
        <v>0</v>
      </c>
      <c r="EW29" s="575">
        <f t="shared" si="64"/>
        <v>3</v>
      </c>
      <c r="EX29" s="506">
        <f t="shared" si="65"/>
        <v>0</v>
      </c>
      <c r="EY29" s="39" t="str">
        <f t="shared" si="66"/>
        <v/>
      </c>
      <c r="EZ29" s="257">
        <f t="shared" si="67"/>
        <v>0</v>
      </c>
      <c r="FA29" s="257">
        <f t="shared" si="68"/>
        <v>0</v>
      </c>
      <c r="FB29" s="257">
        <f t="shared" si="69"/>
        <v>0</v>
      </c>
      <c r="FC29" s="575">
        <f t="shared" si="70"/>
        <v>3</v>
      </c>
      <c r="FD29" s="506">
        <f t="shared" si="71"/>
        <v>0</v>
      </c>
      <c r="FE29" s="39" t="str">
        <f t="shared" si="72"/>
        <v/>
      </c>
      <c r="FF29" s="257">
        <f t="shared" si="73"/>
        <v>0</v>
      </c>
      <c r="FG29" s="257">
        <f t="shared" si="74"/>
        <v>0</v>
      </c>
      <c r="FH29" s="257">
        <f t="shared" si="75"/>
        <v>0</v>
      </c>
      <c r="FI29" s="575">
        <f t="shared" si="76"/>
        <v>3</v>
      </c>
      <c r="FJ29" s="506">
        <f t="shared" si="77"/>
        <v>0</v>
      </c>
      <c r="FK29" s="39" t="str">
        <f t="shared" si="78"/>
        <v/>
      </c>
      <c r="FL29" s="257">
        <f t="shared" si="79"/>
        <v>0</v>
      </c>
      <c r="FM29" s="257">
        <f t="shared" si="80"/>
        <v>0</v>
      </c>
      <c r="FN29" s="257">
        <f t="shared" si="81"/>
        <v>0</v>
      </c>
      <c r="FO29" s="575">
        <f t="shared" si="82"/>
        <v>3</v>
      </c>
      <c r="FP29" s="506">
        <f t="shared" si="83"/>
        <v>0</v>
      </c>
      <c r="FQ29" s="39" t="str">
        <f t="shared" si="84"/>
        <v/>
      </c>
      <c r="FR29" s="39"/>
      <c r="FS29" s="39" t="str">
        <f t="shared" si="85"/>
        <v/>
      </c>
      <c r="FT29" s="39" t="str">
        <f t="shared" si="86"/>
        <v/>
      </c>
      <c r="FU29" s="39" t="str">
        <f t="shared" si="87"/>
        <v/>
      </c>
      <c r="FV29" s="39" t="str">
        <f t="shared" si="88"/>
        <v/>
      </c>
      <c r="FW29" s="39" t="str">
        <f t="shared" si="89"/>
        <v/>
      </c>
      <c r="FX29" s="39" t="str">
        <f t="shared" si="90"/>
        <v/>
      </c>
      <c r="FY29" s="257" t="str">
        <f t="shared" si="91"/>
        <v/>
      </c>
      <c r="FZ29" s="569" t="str">
        <f t="shared" si="92"/>
        <v xml:space="preserve"> </v>
      </c>
      <c r="GA29" s="289">
        <f t="shared" si="93"/>
        <v>0</v>
      </c>
      <c r="GB29" s="289">
        <f t="shared" si="94"/>
        <v>0</v>
      </c>
      <c r="GC29" s="289">
        <f>SISWA!E27</f>
        <v>0</v>
      </c>
      <c r="GD29" s="223" t="str">
        <f t="shared" si="95"/>
        <v/>
      </c>
      <c r="GE29" s="580" t="str">
        <f t="shared" si="96"/>
        <v/>
      </c>
      <c r="GF29" s="580" t="str">
        <f t="shared" si="97"/>
        <v/>
      </c>
      <c r="GG29" s="580" t="str">
        <f t="shared" si="98"/>
        <v/>
      </c>
      <c r="GH29" s="580" t="str">
        <f t="shared" si="99"/>
        <v/>
      </c>
      <c r="GI29" s="580" t="str">
        <f t="shared" si="100"/>
        <v/>
      </c>
      <c r="GJ29" s="580" t="str">
        <f t="shared" si="101"/>
        <v/>
      </c>
      <c r="GK29" s="580" t="str">
        <f t="shared" si="102"/>
        <v/>
      </c>
      <c r="GL29" s="580"/>
      <c r="GM29" s="580"/>
      <c r="GN29" s="580"/>
      <c r="GO29" s="580"/>
      <c r="GP29" s="223">
        <f t="shared" si="103"/>
        <v>0</v>
      </c>
      <c r="GQ29" s="289" t="e">
        <f t="shared" si="104"/>
        <v>#N/A</v>
      </c>
      <c r="GR29" s="576" t="e">
        <f>IF(GA29&gt;100,"",IF(GA29&gt;CU$1,"sangat baik dalam "&amp;GQ29,IF(GA29&gt;=CU$2,"baik dalam "&amp;GQ29,IF(GA29&gt;=CU$3,"cukup dalam "&amp;GQ29,IF(GA29&lt;CU$3,"dengan bimbingan dapat meningkatkan dalam "&amp;GQ29,IF(GA29&lt;1," ",””))))))</f>
        <v>#N/A</v>
      </c>
      <c r="GS29" s="223"/>
      <c r="GT29" s="223" t="str">
        <f t="shared" si="105"/>
        <v/>
      </c>
      <c r="GU29" s="223" t="str">
        <f t="shared" si="106"/>
        <v/>
      </c>
      <c r="GV29" s="223" t="str">
        <f t="shared" si="107"/>
        <v/>
      </c>
      <c r="GW29" s="223" t="str">
        <f t="shared" si="108"/>
        <v/>
      </c>
      <c r="GX29" s="223" t="str">
        <f t="shared" si="109"/>
        <v/>
      </c>
      <c r="GY29" s="223" t="str">
        <f t="shared" si="110"/>
        <v/>
      </c>
      <c r="GZ29" s="223" t="str">
        <f t="shared" si="111"/>
        <v/>
      </c>
      <c r="HA29" s="223"/>
      <c r="HB29" s="223"/>
      <c r="HC29" s="223"/>
      <c r="HD29" s="223"/>
      <c r="HE29" s="223" t="e">
        <f t="shared" si="112"/>
        <v>#N/A</v>
      </c>
      <c r="HF29" s="576" t="e">
        <f>IF(GB29&gt;100,"",IF(GB29&gt;CU$1,"sangat baik dalam "&amp;HE29,IF(GB29&gt;=CU$2,"baik dalam "&amp;HE29,IF(GB29&gt;=CU$3,"cukup dalam "&amp;HE29,IF(GB29&lt;CU$3,"dengan bimbingan dapat meningkatkan dalam "&amp;HE29,IF(GB29&lt;1," ",””))))))</f>
        <v>#N/A</v>
      </c>
      <c r="HG29" s="223" t="e">
        <f t="shared" si="113"/>
        <v>#N/A</v>
      </c>
    </row>
    <row r="30" spans="1:215">
      <c r="A30" s="39">
        <v>23</v>
      </c>
      <c r="B30" s="223">
        <f>SISWA!B28</f>
        <v>0</v>
      </c>
      <c r="C30" s="123"/>
      <c r="D30" s="123"/>
      <c r="E30" s="123"/>
      <c r="F30" s="123"/>
      <c r="G30" s="123"/>
      <c r="H30" s="123"/>
      <c r="I30" s="123"/>
      <c r="J30" s="255"/>
      <c r="K30" s="255"/>
      <c r="L30" s="255"/>
      <c r="M30" s="255"/>
      <c r="N30" s="255"/>
      <c r="O30" s="255"/>
      <c r="P30" s="255"/>
      <c r="Q30" s="256"/>
      <c r="R30" s="256"/>
      <c r="S30" s="256"/>
      <c r="T30" s="256"/>
      <c r="U30" s="256"/>
      <c r="V30" s="256"/>
      <c r="W30" s="256"/>
      <c r="X30" s="123"/>
      <c r="Y30" s="123"/>
      <c r="Z30" s="123"/>
      <c r="AA30" s="123"/>
      <c r="AB30" s="123"/>
      <c r="AC30" s="123"/>
      <c r="AD30" s="123"/>
      <c r="AE30" s="255"/>
      <c r="AF30" s="255"/>
      <c r="AG30" s="255"/>
      <c r="AH30" s="255"/>
      <c r="AI30" s="255"/>
      <c r="AJ30" s="255"/>
      <c r="AK30" s="255"/>
      <c r="AL30" s="256"/>
      <c r="AM30" s="256"/>
      <c r="AN30" s="256"/>
      <c r="AO30" s="256"/>
      <c r="AP30" s="256"/>
      <c r="AQ30" s="256"/>
      <c r="AR30" s="256"/>
      <c r="AS30" s="123"/>
      <c r="AT30" s="123"/>
      <c r="AU30" s="123"/>
      <c r="AV30" s="123"/>
      <c r="AW30" s="123"/>
      <c r="AX30" s="123"/>
      <c r="AY30" s="123"/>
      <c r="AZ30" s="255"/>
      <c r="BA30" s="255"/>
      <c r="BB30" s="255"/>
      <c r="BC30" s="255"/>
      <c r="BD30" s="255"/>
      <c r="BE30" s="255"/>
      <c r="BF30" s="255"/>
      <c r="BG30" s="256"/>
      <c r="BH30" s="256"/>
      <c r="BI30" s="256"/>
      <c r="BJ30" s="256"/>
      <c r="BK30" s="256"/>
      <c r="BL30" s="256"/>
      <c r="BM30" s="256"/>
      <c r="BN30" s="123"/>
      <c r="BO30" s="123"/>
      <c r="BP30" s="123"/>
      <c r="BQ30" s="123"/>
      <c r="BR30" s="123"/>
      <c r="BS30" s="123"/>
      <c r="BT30" s="123"/>
      <c r="BU30" s="255"/>
      <c r="BV30" s="255"/>
      <c r="BW30" s="255"/>
      <c r="BX30" s="255"/>
      <c r="BY30" s="255"/>
      <c r="BZ30" s="255"/>
      <c r="CA30" s="255"/>
      <c r="CB30" s="256"/>
      <c r="CC30" s="256"/>
      <c r="CD30" s="256"/>
      <c r="CE30" s="256"/>
      <c r="CF30" s="256"/>
      <c r="CG30" s="256"/>
      <c r="CH30" s="256"/>
      <c r="CI30" s="257" t="str">
        <f t="shared" si="10"/>
        <v/>
      </c>
      <c r="CJ30" s="257" t="str">
        <f t="shared" si="11"/>
        <v/>
      </c>
      <c r="CK30" s="257" t="str">
        <f t="shared" si="12"/>
        <v/>
      </c>
      <c r="CL30" s="257" t="str">
        <f t="shared" si="13"/>
        <v/>
      </c>
      <c r="CM30" s="257" t="str">
        <f t="shared" si="14"/>
        <v/>
      </c>
      <c r="CN30" s="257" t="str">
        <f t="shared" si="15"/>
        <v/>
      </c>
      <c r="CO30" s="257" t="str">
        <f t="shared" si="16"/>
        <v/>
      </c>
      <c r="CP30" s="756" t="str">
        <f t="shared" si="16"/>
        <v xml:space="preserve"> </v>
      </c>
      <c r="CQ30" s="291" t="str">
        <f t="shared" si="17"/>
        <v xml:space="preserve">  </v>
      </c>
      <c r="CR30" s="243" t="str">
        <f t="shared" si="18"/>
        <v xml:space="preserve"> </v>
      </c>
      <c r="CS30" s="39"/>
      <c r="CT30" s="39"/>
      <c r="CU30" s="257">
        <f t="shared" si="19"/>
        <v>0</v>
      </c>
      <c r="CV30" s="257">
        <f t="shared" si="20"/>
        <v>0</v>
      </c>
      <c r="CW30" s="257">
        <f t="shared" si="21"/>
        <v>0</v>
      </c>
      <c r="CX30" s="257">
        <f t="shared" si="22"/>
        <v>0</v>
      </c>
      <c r="CY30" s="257">
        <f t="shared" si="23"/>
        <v>0</v>
      </c>
      <c r="CZ30" s="257">
        <f t="shared" si="24"/>
        <v>0</v>
      </c>
      <c r="DA30" s="257">
        <f t="shared" si="25"/>
        <v>0</v>
      </c>
      <c r="DB30" s="257"/>
      <c r="DC30" s="257"/>
      <c r="DD30" s="257"/>
      <c r="DE30" s="289">
        <f t="shared" si="26"/>
        <v>0</v>
      </c>
      <c r="DF30" s="257">
        <f t="shared" si="27"/>
        <v>0</v>
      </c>
      <c r="DG30" s="257">
        <f t="shared" si="28"/>
        <v>0</v>
      </c>
      <c r="DH30" s="257">
        <f t="shared" si="29"/>
        <v>0</v>
      </c>
      <c r="DI30" s="257">
        <f t="shared" si="30"/>
        <v>0</v>
      </c>
      <c r="DJ30" s="257">
        <f t="shared" si="31"/>
        <v>0</v>
      </c>
      <c r="DK30" s="257">
        <f t="shared" si="32"/>
        <v>0</v>
      </c>
      <c r="DL30" s="257">
        <f t="shared" si="33"/>
        <v>0</v>
      </c>
      <c r="DM30" s="223"/>
      <c r="DN30" s="223"/>
      <c r="DO30" s="223"/>
      <c r="DP30" s="289">
        <f t="shared" si="34"/>
        <v>0</v>
      </c>
      <c r="DQ30" s="257">
        <f t="shared" si="35"/>
        <v>0</v>
      </c>
      <c r="DR30" s="257">
        <f t="shared" si="36"/>
        <v>0</v>
      </c>
      <c r="DS30" s="257">
        <f t="shared" si="37"/>
        <v>0</v>
      </c>
      <c r="DT30" s="257">
        <f t="shared" si="38"/>
        <v>0</v>
      </c>
      <c r="DU30" s="257">
        <f t="shared" si="39"/>
        <v>0</v>
      </c>
      <c r="DV30" s="257">
        <f t="shared" si="40"/>
        <v>0</v>
      </c>
      <c r="DW30" s="257">
        <f t="shared" si="41"/>
        <v>0</v>
      </c>
      <c r="DX30" s="223"/>
      <c r="DY30" s="223"/>
      <c r="DZ30" s="223"/>
      <c r="EA30" s="289">
        <f t="shared" si="42"/>
        <v>0</v>
      </c>
      <c r="EB30" s="257">
        <f t="shared" si="43"/>
        <v>0</v>
      </c>
      <c r="EC30" s="257">
        <f t="shared" si="44"/>
        <v>0</v>
      </c>
      <c r="ED30" s="257">
        <f t="shared" si="45"/>
        <v>0</v>
      </c>
      <c r="EE30" s="575">
        <f t="shared" si="46"/>
        <v>3</v>
      </c>
      <c r="EF30" s="506">
        <f t="shared" si="47"/>
        <v>0</v>
      </c>
      <c r="EG30" s="39" t="str">
        <f t="shared" si="48"/>
        <v/>
      </c>
      <c r="EH30" s="257">
        <f t="shared" si="49"/>
        <v>0</v>
      </c>
      <c r="EI30" s="257">
        <f t="shared" si="50"/>
        <v>0</v>
      </c>
      <c r="EJ30" s="257">
        <f t="shared" si="51"/>
        <v>0</v>
      </c>
      <c r="EK30" s="575">
        <f t="shared" si="52"/>
        <v>3</v>
      </c>
      <c r="EL30" s="506">
        <f t="shared" si="53"/>
        <v>0</v>
      </c>
      <c r="EM30" s="39" t="str">
        <f t="shared" si="54"/>
        <v/>
      </c>
      <c r="EN30" s="257">
        <f t="shared" si="55"/>
        <v>0</v>
      </c>
      <c r="EO30" s="257">
        <f t="shared" si="56"/>
        <v>0</v>
      </c>
      <c r="EP30" s="257">
        <f t="shared" si="57"/>
        <v>0</v>
      </c>
      <c r="EQ30" s="575">
        <f t="shared" si="58"/>
        <v>3</v>
      </c>
      <c r="ER30" s="506">
        <f t="shared" si="59"/>
        <v>0</v>
      </c>
      <c r="ES30" s="39" t="str">
        <f t="shared" si="60"/>
        <v/>
      </c>
      <c r="ET30" s="257">
        <f t="shared" si="61"/>
        <v>0</v>
      </c>
      <c r="EU30" s="257">
        <f t="shared" si="62"/>
        <v>0</v>
      </c>
      <c r="EV30" s="257">
        <f t="shared" si="63"/>
        <v>0</v>
      </c>
      <c r="EW30" s="575">
        <f t="shared" si="64"/>
        <v>3</v>
      </c>
      <c r="EX30" s="506">
        <f t="shared" si="65"/>
        <v>0</v>
      </c>
      <c r="EY30" s="39" t="str">
        <f t="shared" si="66"/>
        <v/>
      </c>
      <c r="EZ30" s="257">
        <f t="shared" si="67"/>
        <v>0</v>
      </c>
      <c r="FA30" s="257">
        <f t="shared" si="68"/>
        <v>0</v>
      </c>
      <c r="FB30" s="257">
        <f t="shared" si="69"/>
        <v>0</v>
      </c>
      <c r="FC30" s="575">
        <f t="shared" si="70"/>
        <v>3</v>
      </c>
      <c r="FD30" s="506">
        <f t="shared" si="71"/>
        <v>0</v>
      </c>
      <c r="FE30" s="39" t="str">
        <f t="shared" si="72"/>
        <v/>
      </c>
      <c r="FF30" s="257">
        <f t="shared" si="73"/>
        <v>0</v>
      </c>
      <c r="FG30" s="257">
        <f t="shared" si="74"/>
        <v>0</v>
      </c>
      <c r="FH30" s="257">
        <f t="shared" si="75"/>
        <v>0</v>
      </c>
      <c r="FI30" s="575">
        <f t="shared" si="76"/>
        <v>3</v>
      </c>
      <c r="FJ30" s="506">
        <f t="shared" si="77"/>
        <v>0</v>
      </c>
      <c r="FK30" s="39" t="str">
        <f t="shared" si="78"/>
        <v/>
      </c>
      <c r="FL30" s="257">
        <f t="shared" si="79"/>
        <v>0</v>
      </c>
      <c r="FM30" s="257">
        <f t="shared" si="80"/>
        <v>0</v>
      </c>
      <c r="FN30" s="257">
        <f t="shared" si="81"/>
        <v>0</v>
      </c>
      <c r="FO30" s="575">
        <f t="shared" si="82"/>
        <v>3</v>
      </c>
      <c r="FP30" s="506">
        <f t="shared" si="83"/>
        <v>0</v>
      </c>
      <c r="FQ30" s="39" t="str">
        <f t="shared" si="84"/>
        <v/>
      </c>
      <c r="FR30" s="39"/>
      <c r="FS30" s="39" t="str">
        <f t="shared" si="85"/>
        <v/>
      </c>
      <c r="FT30" s="39" t="str">
        <f t="shared" si="86"/>
        <v/>
      </c>
      <c r="FU30" s="39" t="str">
        <f t="shared" si="87"/>
        <v/>
      </c>
      <c r="FV30" s="39" t="str">
        <f t="shared" si="88"/>
        <v/>
      </c>
      <c r="FW30" s="39" t="str">
        <f t="shared" si="89"/>
        <v/>
      </c>
      <c r="FX30" s="39" t="str">
        <f t="shared" si="90"/>
        <v/>
      </c>
      <c r="FY30" s="257" t="str">
        <f t="shared" si="91"/>
        <v/>
      </c>
      <c r="FZ30" s="569" t="str">
        <f t="shared" si="92"/>
        <v xml:space="preserve"> </v>
      </c>
      <c r="GA30" s="289">
        <f t="shared" si="93"/>
        <v>0</v>
      </c>
      <c r="GB30" s="289">
        <f t="shared" si="94"/>
        <v>0</v>
      </c>
      <c r="GC30" s="289">
        <f>SISWA!E28</f>
        <v>0</v>
      </c>
      <c r="GD30" s="223" t="str">
        <f t="shared" si="95"/>
        <v/>
      </c>
      <c r="GE30" s="580" t="str">
        <f t="shared" si="96"/>
        <v/>
      </c>
      <c r="GF30" s="580" t="str">
        <f t="shared" si="97"/>
        <v/>
      </c>
      <c r="GG30" s="580" t="str">
        <f t="shared" si="98"/>
        <v/>
      </c>
      <c r="GH30" s="580" t="str">
        <f t="shared" si="99"/>
        <v/>
      </c>
      <c r="GI30" s="580" t="str">
        <f t="shared" si="100"/>
        <v/>
      </c>
      <c r="GJ30" s="580" t="str">
        <f t="shared" si="101"/>
        <v/>
      </c>
      <c r="GK30" s="580" t="str">
        <f t="shared" si="102"/>
        <v/>
      </c>
      <c r="GL30" s="580"/>
      <c r="GM30" s="580"/>
      <c r="GN30" s="580"/>
      <c r="GO30" s="580"/>
      <c r="GP30" s="223">
        <f t="shared" si="103"/>
        <v>0</v>
      </c>
      <c r="GQ30" s="289" t="e">
        <f t="shared" si="104"/>
        <v>#N/A</v>
      </c>
      <c r="GR30" s="576" t="e">
        <f>IF(GA30&gt;100,"",IF(GA30&gt;CU$1,"sangat baik dalam "&amp;GQ30,IF(GA30&gt;=CU$2,"baik dalam "&amp;GQ30,IF(GA30&gt;=CU$3,"cukup dalam "&amp;GQ30,IF(GA30&lt;CU$3,"dengan bimbingan dapat meningkatkan dalam "&amp;GQ30,IF(GA30&lt;1," ",””))))))</f>
        <v>#N/A</v>
      </c>
      <c r="GS30" s="223"/>
      <c r="GT30" s="223" t="str">
        <f t="shared" si="105"/>
        <v/>
      </c>
      <c r="GU30" s="223" t="str">
        <f t="shared" si="106"/>
        <v/>
      </c>
      <c r="GV30" s="223" t="str">
        <f t="shared" si="107"/>
        <v/>
      </c>
      <c r="GW30" s="223" t="str">
        <f t="shared" si="108"/>
        <v/>
      </c>
      <c r="GX30" s="223" t="str">
        <f t="shared" si="109"/>
        <v/>
      </c>
      <c r="GY30" s="223" t="str">
        <f t="shared" si="110"/>
        <v/>
      </c>
      <c r="GZ30" s="223" t="str">
        <f t="shared" si="111"/>
        <v/>
      </c>
      <c r="HA30" s="223"/>
      <c r="HB30" s="223"/>
      <c r="HC30" s="223"/>
      <c r="HD30" s="223"/>
      <c r="HE30" s="223" t="e">
        <f t="shared" si="112"/>
        <v>#N/A</v>
      </c>
      <c r="HF30" s="576" t="e">
        <f>IF(GB30&gt;100,"",IF(GB30&gt;CU$1,"sangat baik dalam "&amp;HE30,IF(GB30&gt;=CU$2,"baik dalam "&amp;HE30,IF(GB30&gt;=CU$3,"cukup dalam "&amp;HE30,IF(GB30&lt;CU$3,"dengan bimbingan dapat meningkatkan dalam "&amp;HE30,IF(GB30&lt;1," ",””))))))</f>
        <v>#N/A</v>
      </c>
      <c r="HG30" s="223" t="e">
        <f t="shared" si="113"/>
        <v>#N/A</v>
      </c>
    </row>
    <row r="31" spans="1:215">
      <c r="A31" s="39">
        <v>24</v>
      </c>
      <c r="B31" s="223">
        <f>SISWA!B29</f>
        <v>0</v>
      </c>
      <c r="C31" s="123"/>
      <c r="D31" s="123"/>
      <c r="E31" s="123"/>
      <c r="F31" s="123"/>
      <c r="G31" s="123"/>
      <c r="H31" s="123"/>
      <c r="I31" s="123"/>
      <c r="J31" s="255"/>
      <c r="K31" s="255"/>
      <c r="L31" s="255"/>
      <c r="M31" s="255"/>
      <c r="N31" s="255"/>
      <c r="O31" s="255"/>
      <c r="P31" s="255"/>
      <c r="Q31" s="256"/>
      <c r="R31" s="256"/>
      <c r="S31" s="256"/>
      <c r="T31" s="256"/>
      <c r="U31" s="256"/>
      <c r="V31" s="256"/>
      <c r="W31" s="256"/>
      <c r="X31" s="123"/>
      <c r="Y31" s="123"/>
      <c r="Z31" s="123"/>
      <c r="AA31" s="123"/>
      <c r="AB31" s="123"/>
      <c r="AC31" s="123"/>
      <c r="AD31" s="123"/>
      <c r="AE31" s="255"/>
      <c r="AF31" s="255"/>
      <c r="AG31" s="255"/>
      <c r="AH31" s="255"/>
      <c r="AI31" s="255"/>
      <c r="AJ31" s="255"/>
      <c r="AK31" s="255"/>
      <c r="AL31" s="256"/>
      <c r="AM31" s="256"/>
      <c r="AN31" s="256"/>
      <c r="AO31" s="256"/>
      <c r="AP31" s="256"/>
      <c r="AQ31" s="256"/>
      <c r="AR31" s="256"/>
      <c r="AS31" s="123"/>
      <c r="AT31" s="123"/>
      <c r="AU31" s="123"/>
      <c r="AV31" s="123"/>
      <c r="AW31" s="123"/>
      <c r="AX31" s="123"/>
      <c r="AY31" s="123"/>
      <c r="AZ31" s="255"/>
      <c r="BA31" s="255"/>
      <c r="BB31" s="255"/>
      <c r="BC31" s="255"/>
      <c r="BD31" s="255"/>
      <c r="BE31" s="255"/>
      <c r="BF31" s="255"/>
      <c r="BG31" s="256"/>
      <c r="BH31" s="256"/>
      <c r="BI31" s="256"/>
      <c r="BJ31" s="256"/>
      <c r="BK31" s="256"/>
      <c r="BL31" s="256"/>
      <c r="BM31" s="256"/>
      <c r="BN31" s="123"/>
      <c r="BO31" s="123"/>
      <c r="BP31" s="123"/>
      <c r="BQ31" s="123"/>
      <c r="BR31" s="123"/>
      <c r="BS31" s="123"/>
      <c r="BT31" s="123"/>
      <c r="BU31" s="255"/>
      <c r="BV31" s="255"/>
      <c r="BW31" s="255"/>
      <c r="BX31" s="255"/>
      <c r="BY31" s="255"/>
      <c r="BZ31" s="255"/>
      <c r="CA31" s="255"/>
      <c r="CB31" s="256"/>
      <c r="CC31" s="256"/>
      <c r="CD31" s="256"/>
      <c r="CE31" s="256"/>
      <c r="CF31" s="256"/>
      <c r="CG31" s="256"/>
      <c r="CH31" s="256"/>
      <c r="CI31" s="257" t="str">
        <f t="shared" si="10"/>
        <v/>
      </c>
      <c r="CJ31" s="257" t="str">
        <f t="shared" si="11"/>
        <v/>
      </c>
      <c r="CK31" s="257" t="str">
        <f t="shared" si="12"/>
        <v/>
      </c>
      <c r="CL31" s="257" t="str">
        <f t="shared" si="13"/>
        <v/>
      </c>
      <c r="CM31" s="257" t="str">
        <f t="shared" si="14"/>
        <v/>
      </c>
      <c r="CN31" s="257" t="str">
        <f t="shared" si="15"/>
        <v/>
      </c>
      <c r="CO31" s="257" t="str">
        <f t="shared" si="16"/>
        <v/>
      </c>
      <c r="CP31" s="756" t="str">
        <f t="shared" si="16"/>
        <v xml:space="preserve"> </v>
      </c>
      <c r="CQ31" s="291" t="str">
        <f t="shared" si="17"/>
        <v xml:space="preserve">  </v>
      </c>
      <c r="CR31" s="243" t="str">
        <f t="shared" si="18"/>
        <v xml:space="preserve"> </v>
      </c>
      <c r="CS31" s="39"/>
      <c r="CT31" s="39"/>
      <c r="CU31" s="257">
        <f t="shared" si="19"/>
        <v>0</v>
      </c>
      <c r="CV31" s="257">
        <f t="shared" si="20"/>
        <v>0</v>
      </c>
      <c r="CW31" s="257">
        <f t="shared" si="21"/>
        <v>0</v>
      </c>
      <c r="CX31" s="257">
        <f t="shared" si="22"/>
        <v>0</v>
      </c>
      <c r="CY31" s="257">
        <f t="shared" si="23"/>
        <v>0</v>
      </c>
      <c r="CZ31" s="257">
        <f t="shared" si="24"/>
        <v>0</v>
      </c>
      <c r="DA31" s="257">
        <f t="shared" si="25"/>
        <v>0</v>
      </c>
      <c r="DB31" s="257"/>
      <c r="DC31" s="257"/>
      <c r="DD31" s="257"/>
      <c r="DE31" s="289">
        <f t="shared" si="26"/>
        <v>0</v>
      </c>
      <c r="DF31" s="257">
        <f t="shared" si="27"/>
        <v>0</v>
      </c>
      <c r="DG31" s="257">
        <f t="shared" si="28"/>
        <v>0</v>
      </c>
      <c r="DH31" s="257">
        <f t="shared" si="29"/>
        <v>0</v>
      </c>
      <c r="DI31" s="257">
        <f t="shared" si="30"/>
        <v>0</v>
      </c>
      <c r="DJ31" s="257">
        <f t="shared" si="31"/>
        <v>0</v>
      </c>
      <c r="DK31" s="257">
        <f t="shared" si="32"/>
        <v>0</v>
      </c>
      <c r="DL31" s="257">
        <f t="shared" si="33"/>
        <v>0</v>
      </c>
      <c r="DM31" s="223"/>
      <c r="DN31" s="223"/>
      <c r="DO31" s="223"/>
      <c r="DP31" s="289">
        <f t="shared" si="34"/>
        <v>0</v>
      </c>
      <c r="DQ31" s="257">
        <f t="shared" si="35"/>
        <v>0</v>
      </c>
      <c r="DR31" s="257">
        <f t="shared" si="36"/>
        <v>0</v>
      </c>
      <c r="DS31" s="257">
        <f t="shared" si="37"/>
        <v>0</v>
      </c>
      <c r="DT31" s="257">
        <f t="shared" si="38"/>
        <v>0</v>
      </c>
      <c r="DU31" s="257">
        <f t="shared" si="39"/>
        <v>0</v>
      </c>
      <c r="DV31" s="257">
        <f t="shared" si="40"/>
        <v>0</v>
      </c>
      <c r="DW31" s="257">
        <f t="shared" si="41"/>
        <v>0</v>
      </c>
      <c r="DX31" s="223"/>
      <c r="DY31" s="223"/>
      <c r="DZ31" s="223"/>
      <c r="EA31" s="289">
        <f t="shared" si="42"/>
        <v>0</v>
      </c>
      <c r="EB31" s="257">
        <f t="shared" si="43"/>
        <v>0</v>
      </c>
      <c r="EC31" s="257">
        <f t="shared" si="44"/>
        <v>0</v>
      </c>
      <c r="ED31" s="257">
        <f t="shared" si="45"/>
        <v>0</v>
      </c>
      <c r="EE31" s="575">
        <f t="shared" si="46"/>
        <v>3</v>
      </c>
      <c r="EF31" s="506">
        <f t="shared" si="47"/>
        <v>0</v>
      </c>
      <c r="EG31" s="39" t="str">
        <f t="shared" si="48"/>
        <v/>
      </c>
      <c r="EH31" s="257">
        <f t="shared" si="49"/>
        <v>0</v>
      </c>
      <c r="EI31" s="257">
        <f t="shared" si="50"/>
        <v>0</v>
      </c>
      <c r="EJ31" s="257">
        <f t="shared" si="51"/>
        <v>0</v>
      </c>
      <c r="EK31" s="575">
        <f t="shared" si="52"/>
        <v>3</v>
      </c>
      <c r="EL31" s="506">
        <f t="shared" si="53"/>
        <v>0</v>
      </c>
      <c r="EM31" s="39" t="str">
        <f t="shared" si="54"/>
        <v/>
      </c>
      <c r="EN31" s="257">
        <f t="shared" si="55"/>
        <v>0</v>
      </c>
      <c r="EO31" s="257">
        <f t="shared" si="56"/>
        <v>0</v>
      </c>
      <c r="EP31" s="257">
        <f t="shared" si="57"/>
        <v>0</v>
      </c>
      <c r="EQ31" s="575">
        <f t="shared" si="58"/>
        <v>3</v>
      </c>
      <c r="ER31" s="506">
        <f t="shared" si="59"/>
        <v>0</v>
      </c>
      <c r="ES31" s="39" t="str">
        <f t="shared" si="60"/>
        <v/>
      </c>
      <c r="ET31" s="257">
        <f t="shared" si="61"/>
        <v>0</v>
      </c>
      <c r="EU31" s="257">
        <f t="shared" si="62"/>
        <v>0</v>
      </c>
      <c r="EV31" s="257">
        <f t="shared" si="63"/>
        <v>0</v>
      </c>
      <c r="EW31" s="575">
        <f t="shared" si="64"/>
        <v>3</v>
      </c>
      <c r="EX31" s="506">
        <f t="shared" si="65"/>
        <v>0</v>
      </c>
      <c r="EY31" s="39" t="str">
        <f t="shared" si="66"/>
        <v/>
      </c>
      <c r="EZ31" s="257">
        <f t="shared" si="67"/>
        <v>0</v>
      </c>
      <c r="FA31" s="257">
        <f t="shared" si="68"/>
        <v>0</v>
      </c>
      <c r="FB31" s="257">
        <f t="shared" si="69"/>
        <v>0</v>
      </c>
      <c r="FC31" s="575">
        <f t="shared" si="70"/>
        <v>3</v>
      </c>
      <c r="FD31" s="506">
        <f t="shared" si="71"/>
        <v>0</v>
      </c>
      <c r="FE31" s="39" t="str">
        <f t="shared" si="72"/>
        <v/>
      </c>
      <c r="FF31" s="257">
        <f t="shared" si="73"/>
        <v>0</v>
      </c>
      <c r="FG31" s="257">
        <f t="shared" si="74"/>
        <v>0</v>
      </c>
      <c r="FH31" s="257">
        <f t="shared" si="75"/>
        <v>0</v>
      </c>
      <c r="FI31" s="575">
        <f t="shared" si="76"/>
        <v>3</v>
      </c>
      <c r="FJ31" s="506">
        <f t="shared" si="77"/>
        <v>0</v>
      </c>
      <c r="FK31" s="39" t="str">
        <f t="shared" si="78"/>
        <v/>
      </c>
      <c r="FL31" s="257">
        <f t="shared" si="79"/>
        <v>0</v>
      </c>
      <c r="FM31" s="257">
        <f t="shared" si="80"/>
        <v>0</v>
      </c>
      <c r="FN31" s="257">
        <f t="shared" si="81"/>
        <v>0</v>
      </c>
      <c r="FO31" s="575">
        <f t="shared" si="82"/>
        <v>3</v>
      </c>
      <c r="FP31" s="506">
        <f t="shared" si="83"/>
        <v>0</v>
      </c>
      <c r="FQ31" s="39" t="str">
        <f t="shared" si="84"/>
        <v/>
      </c>
      <c r="FR31" s="39"/>
      <c r="FS31" s="39" t="str">
        <f t="shared" si="85"/>
        <v/>
      </c>
      <c r="FT31" s="39" t="str">
        <f t="shared" si="86"/>
        <v/>
      </c>
      <c r="FU31" s="39" t="str">
        <f t="shared" si="87"/>
        <v/>
      </c>
      <c r="FV31" s="39" t="str">
        <f t="shared" si="88"/>
        <v/>
      </c>
      <c r="FW31" s="39" t="str">
        <f t="shared" si="89"/>
        <v/>
      </c>
      <c r="FX31" s="39" t="str">
        <f t="shared" si="90"/>
        <v/>
      </c>
      <c r="FY31" s="257" t="str">
        <f t="shared" si="91"/>
        <v/>
      </c>
      <c r="FZ31" s="569" t="str">
        <f t="shared" si="92"/>
        <v xml:space="preserve"> </v>
      </c>
      <c r="GA31" s="289">
        <f t="shared" si="93"/>
        <v>0</v>
      </c>
      <c r="GB31" s="289">
        <f t="shared" si="94"/>
        <v>0</v>
      </c>
      <c r="GC31" s="289">
        <f>SISWA!E29</f>
        <v>0</v>
      </c>
      <c r="GD31" s="223" t="str">
        <f t="shared" si="95"/>
        <v/>
      </c>
      <c r="GE31" s="580" t="str">
        <f t="shared" si="96"/>
        <v/>
      </c>
      <c r="GF31" s="580" t="str">
        <f t="shared" si="97"/>
        <v/>
      </c>
      <c r="GG31" s="580" t="str">
        <f t="shared" si="98"/>
        <v/>
      </c>
      <c r="GH31" s="580" t="str">
        <f t="shared" si="99"/>
        <v/>
      </c>
      <c r="GI31" s="580" t="str">
        <f t="shared" si="100"/>
        <v/>
      </c>
      <c r="GJ31" s="580" t="str">
        <f t="shared" si="101"/>
        <v/>
      </c>
      <c r="GK31" s="580" t="str">
        <f t="shared" si="102"/>
        <v/>
      </c>
      <c r="GL31" s="580"/>
      <c r="GM31" s="580"/>
      <c r="GN31" s="580"/>
      <c r="GO31" s="580"/>
      <c r="GP31" s="223">
        <f t="shared" si="103"/>
        <v>0</v>
      </c>
      <c r="GQ31" s="289" t="e">
        <f t="shared" si="104"/>
        <v>#N/A</v>
      </c>
      <c r="GR31" s="576" t="e">
        <f>IF(GA31&gt;100,"",IF(GA31&gt;CU$1,"sangat baik dalam "&amp;GQ31,IF(GA31&gt;=CU$2,"baik dalam "&amp;GQ31,IF(GA31&gt;=CU$3,"cukup dalam "&amp;GQ31,IF(GA31&lt;CU$3,"dengan bimbingan dapat meningkatkan dalam "&amp;GQ31,IF(GA31&lt;1," ",””))))))</f>
        <v>#N/A</v>
      </c>
      <c r="GS31" s="223"/>
      <c r="GT31" s="223" t="str">
        <f t="shared" si="105"/>
        <v/>
      </c>
      <c r="GU31" s="223" t="str">
        <f t="shared" si="106"/>
        <v/>
      </c>
      <c r="GV31" s="223" t="str">
        <f t="shared" si="107"/>
        <v/>
      </c>
      <c r="GW31" s="223" t="str">
        <f t="shared" si="108"/>
        <v/>
      </c>
      <c r="GX31" s="223" t="str">
        <f t="shared" si="109"/>
        <v/>
      </c>
      <c r="GY31" s="223" t="str">
        <f t="shared" si="110"/>
        <v/>
      </c>
      <c r="GZ31" s="223" t="str">
        <f t="shared" si="111"/>
        <v/>
      </c>
      <c r="HA31" s="223"/>
      <c r="HB31" s="223"/>
      <c r="HC31" s="223"/>
      <c r="HD31" s="223"/>
      <c r="HE31" s="223" t="e">
        <f t="shared" si="112"/>
        <v>#N/A</v>
      </c>
      <c r="HF31" s="576" t="e">
        <f>IF(GB31&gt;100,"",IF(GB31&gt;CU$1,"sangat baik dalam "&amp;HE31,IF(GB31&gt;=CU$2,"baik dalam "&amp;HE31,IF(GB31&gt;=CU$3,"cukup dalam "&amp;HE31,IF(GB31&lt;CU$3,"dengan bimbingan dapat meningkatkan dalam "&amp;HE31,IF(GB31&lt;1," ",””))))))</f>
        <v>#N/A</v>
      </c>
      <c r="HG31" s="223" t="e">
        <f t="shared" si="113"/>
        <v>#N/A</v>
      </c>
    </row>
    <row r="32" spans="1:215">
      <c r="A32" s="39">
        <v>25</v>
      </c>
      <c r="B32" s="223">
        <f>SISWA!B30</f>
        <v>0</v>
      </c>
      <c r="C32" s="123"/>
      <c r="D32" s="123"/>
      <c r="E32" s="123"/>
      <c r="F32" s="123"/>
      <c r="G32" s="123"/>
      <c r="H32" s="123"/>
      <c r="I32" s="123"/>
      <c r="J32" s="255"/>
      <c r="K32" s="255"/>
      <c r="L32" s="255"/>
      <c r="M32" s="255"/>
      <c r="N32" s="255"/>
      <c r="O32" s="255"/>
      <c r="P32" s="255"/>
      <c r="Q32" s="256"/>
      <c r="R32" s="256"/>
      <c r="S32" s="256"/>
      <c r="T32" s="256"/>
      <c r="U32" s="256"/>
      <c r="V32" s="256"/>
      <c r="W32" s="256"/>
      <c r="X32" s="123"/>
      <c r="Y32" s="123"/>
      <c r="Z32" s="123"/>
      <c r="AA32" s="123"/>
      <c r="AB32" s="123"/>
      <c r="AC32" s="123"/>
      <c r="AD32" s="123"/>
      <c r="AE32" s="255"/>
      <c r="AF32" s="255"/>
      <c r="AG32" s="255"/>
      <c r="AH32" s="255"/>
      <c r="AI32" s="255"/>
      <c r="AJ32" s="255"/>
      <c r="AK32" s="255"/>
      <c r="AL32" s="256"/>
      <c r="AM32" s="256"/>
      <c r="AN32" s="256"/>
      <c r="AO32" s="256"/>
      <c r="AP32" s="256"/>
      <c r="AQ32" s="256"/>
      <c r="AR32" s="256"/>
      <c r="AS32" s="123"/>
      <c r="AT32" s="123"/>
      <c r="AU32" s="123"/>
      <c r="AV32" s="123"/>
      <c r="AW32" s="123"/>
      <c r="AX32" s="123"/>
      <c r="AY32" s="123"/>
      <c r="AZ32" s="255"/>
      <c r="BA32" s="255"/>
      <c r="BB32" s="255"/>
      <c r="BC32" s="255"/>
      <c r="BD32" s="255"/>
      <c r="BE32" s="255"/>
      <c r="BF32" s="255"/>
      <c r="BG32" s="256"/>
      <c r="BH32" s="256"/>
      <c r="BI32" s="256"/>
      <c r="BJ32" s="256"/>
      <c r="BK32" s="256"/>
      <c r="BL32" s="256"/>
      <c r="BM32" s="256"/>
      <c r="BN32" s="123"/>
      <c r="BO32" s="123"/>
      <c r="BP32" s="123"/>
      <c r="BQ32" s="123"/>
      <c r="BR32" s="123"/>
      <c r="BS32" s="123"/>
      <c r="BT32" s="123"/>
      <c r="BU32" s="255"/>
      <c r="BV32" s="255"/>
      <c r="BW32" s="255"/>
      <c r="BX32" s="255"/>
      <c r="BY32" s="255"/>
      <c r="BZ32" s="255"/>
      <c r="CA32" s="255"/>
      <c r="CB32" s="256"/>
      <c r="CC32" s="256"/>
      <c r="CD32" s="256"/>
      <c r="CE32" s="256"/>
      <c r="CF32" s="256"/>
      <c r="CG32" s="256"/>
      <c r="CH32" s="256"/>
      <c r="CI32" s="257" t="str">
        <f t="shared" si="10"/>
        <v/>
      </c>
      <c r="CJ32" s="257" t="str">
        <f t="shared" si="11"/>
        <v/>
      </c>
      <c r="CK32" s="257" t="str">
        <f t="shared" si="12"/>
        <v/>
      </c>
      <c r="CL32" s="257" t="str">
        <f t="shared" si="13"/>
        <v/>
      </c>
      <c r="CM32" s="257" t="str">
        <f t="shared" si="14"/>
        <v/>
      </c>
      <c r="CN32" s="257" t="str">
        <f t="shared" si="15"/>
        <v/>
      </c>
      <c r="CO32" s="257" t="str">
        <f t="shared" si="16"/>
        <v/>
      </c>
      <c r="CP32" s="756" t="str">
        <f t="shared" si="16"/>
        <v xml:space="preserve"> </v>
      </c>
      <c r="CQ32" s="291" t="str">
        <f t="shared" si="17"/>
        <v xml:space="preserve">  </v>
      </c>
      <c r="CR32" s="243" t="str">
        <f t="shared" si="18"/>
        <v xml:space="preserve"> </v>
      </c>
      <c r="CS32" s="39"/>
      <c r="CT32" s="39"/>
      <c r="CU32" s="257">
        <f t="shared" si="19"/>
        <v>0</v>
      </c>
      <c r="CV32" s="257">
        <f t="shared" si="20"/>
        <v>0</v>
      </c>
      <c r="CW32" s="257">
        <f t="shared" si="21"/>
        <v>0</v>
      </c>
      <c r="CX32" s="257">
        <f t="shared" si="22"/>
        <v>0</v>
      </c>
      <c r="CY32" s="257">
        <f t="shared" si="23"/>
        <v>0</v>
      </c>
      <c r="CZ32" s="257">
        <f t="shared" si="24"/>
        <v>0</v>
      </c>
      <c r="DA32" s="257">
        <f t="shared" si="25"/>
        <v>0</v>
      </c>
      <c r="DB32" s="257"/>
      <c r="DC32" s="257"/>
      <c r="DD32" s="257"/>
      <c r="DE32" s="289">
        <f t="shared" si="26"/>
        <v>0</v>
      </c>
      <c r="DF32" s="257">
        <f t="shared" si="27"/>
        <v>0</v>
      </c>
      <c r="DG32" s="257">
        <f t="shared" si="28"/>
        <v>0</v>
      </c>
      <c r="DH32" s="257">
        <f t="shared" si="29"/>
        <v>0</v>
      </c>
      <c r="DI32" s="257">
        <f t="shared" si="30"/>
        <v>0</v>
      </c>
      <c r="DJ32" s="257">
        <f t="shared" si="31"/>
        <v>0</v>
      </c>
      <c r="DK32" s="257">
        <f t="shared" si="32"/>
        <v>0</v>
      </c>
      <c r="DL32" s="257">
        <f t="shared" si="33"/>
        <v>0</v>
      </c>
      <c r="DM32" s="223"/>
      <c r="DN32" s="223"/>
      <c r="DO32" s="223"/>
      <c r="DP32" s="289">
        <f t="shared" si="34"/>
        <v>0</v>
      </c>
      <c r="DQ32" s="257">
        <f t="shared" si="35"/>
        <v>0</v>
      </c>
      <c r="DR32" s="257">
        <f t="shared" si="36"/>
        <v>0</v>
      </c>
      <c r="DS32" s="257">
        <f t="shared" si="37"/>
        <v>0</v>
      </c>
      <c r="DT32" s="257">
        <f t="shared" si="38"/>
        <v>0</v>
      </c>
      <c r="DU32" s="257">
        <f t="shared" si="39"/>
        <v>0</v>
      </c>
      <c r="DV32" s="257">
        <f t="shared" si="40"/>
        <v>0</v>
      </c>
      <c r="DW32" s="257">
        <f t="shared" si="41"/>
        <v>0</v>
      </c>
      <c r="DX32" s="223"/>
      <c r="DY32" s="223"/>
      <c r="DZ32" s="223"/>
      <c r="EA32" s="289">
        <f t="shared" si="42"/>
        <v>0</v>
      </c>
      <c r="EB32" s="257">
        <f t="shared" si="43"/>
        <v>0</v>
      </c>
      <c r="EC32" s="257">
        <f t="shared" si="44"/>
        <v>0</v>
      </c>
      <c r="ED32" s="257">
        <f t="shared" si="45"/>
        <v>0</v>
      </c>
      <c r="EE32" s="575">
        <f t="shared" si="46"/>
        <v>3</v>
      </c>
      <c r="EF32" s="506">
        <f t="shared" si="47"/>
        <v>0</v>
      </c>
      <c r="EG32" s="39" t="str">
        <f t="shared" si="48"/>
        <v/>
      </c>
      <c r="EH32" s="257">
        <f t="shared" si="49"/>
        <v>0</v>
      </c>
      <c r="EI32" s="257">
        <f t="shared" si="50"/>
        <v>0</v>
      </c>
      <c r="EJ32" s="257">
        <f t="shared" si="51"/>
        <v>0</v>
      </c>
      <c r="EK32" s="575">
        <f t="shared" si="52"/>
        <v>3</v>
      </c>
      <c r="EL32" s="506">
        <f t="shared" si="53"/>
        <v>0</v>
      </c>
      <c r="EM32" s="39" t="str">
        <f t="shared" si="54"/>
        <v/>
      </c>
      <c r="EN32" s="257">
        <f t="shared" si="55"/>
        <v>0</v>
      </c>
      <c r="EO32" s="257">
        <f t="shared" si="56"/>
        <v>0</v>
      </c>
      <c r="EP32" s="257">
        <f t="shared" si="57"/>
        <v>0</v>
      </c>
      <c r="EQ32" s="575">
        <f t="shared" si="58"/>
        <v>3</v>
      </c>
      <c r="ER32" s="506">
        <f t="shared" si="59"/>
        <v>0</v>
      </c>
      <c r="ES32" s="39" t="str">
        <f t="shared" si="60"/>
        <v/>
      </c>
      <c r="ET32" s="257">
        <f t="shared" si="61"/>
        <v>0</v>
      </c>
      <c r="EU32" s="257">
        <f t="shared" si="62"/>
        <v>0</v>
      </c>
      <c r="EV32" s="257">
        <f t="shared" si="63"/>
        <v>0</v>
      </c>
      <c r="EW32" s="575">
        <f t="shared" si="64"/>
        <v>3</v>
      </c>
      <c r="EX32" s="506">
        <f t="shared" si="65"/>
        <v>0</v>
      </c>
      <c r="EY32" s="39" t="str">
        <f t="shared" si="66"/>
        <v/>
      </c>
      <c r="EZ32" s="257">
        <f t="shared" si="67"/>
        <v>0</v>
      </c>
      <c r="FA32" s="257">
        <f t="shared" si="68"/>
        <v>0</v>
      </c>
      <c r="FB32" s="257">
        <f t="shared" si="69"/>
        <v>0</v>
      </c>
      <c r="FC32" s="575">
        <f t="shared" si="70"/>
        <v>3</v>
      </c>
      <c r="FD32" s="506">
        <f t="shared" si="71"/>
        <v>0</v>
      </c>
      <c r="FE32" s="39" t="str">
        <f t="shared" si="72"/>
        <v/>
      </c>
      <c r="FF32" s="257">
        <f t="shared" si="73"/>
        <v>0</v>
      </c>
      <c r="FG32" s="257">
        <f t="shared" si="74"/>
        <v>0</v>
      </c>
      <c r="FH32" s="257">
        <f t="shared" si="75"/>
        <v>0</v>
      </c>
      <c r="FI32" s="575">
        <f t="shared" si="76"/>
        <v>3</v>
      </c>
      <c r="FJ32" s="506">
        <f t="shared" si="77"/>
        <v>0</v>
      </c>
      <c r="FK32" s="39" t="str">
        <f t="shared" si="78"/>
        <v/>
      </c>
      <c r="FL32" s="257">
        <f t="shared" si="79"/>
        <v>0</v>
      </c>
      <c r="FM32" s="257">
        <f t="shared" si="80"/>
        <v>0</v>
      </c>
      <c r="FN32" s="257">
        <f t="shared" si="81"/>
        <v>0</v>
      </c>
      <c r="FO32" s="575">
        <f t="shared" si="82"/>
        <v>3</v>
      </c>
      <c r="FP32" s="506">
        <f t="shared" si="83"/>
        <v>0</v>
      </c>
      <c r="FQ32" s="39" t="str">
        <f t="shared" si="84"/>
        <v/>
      </c>
      <c r="FR32" s="39"/>
      <c r="FS32" s="39" t="str">
        <f t="shared" si="85"/>
        <v/>
      </c>
      <c r="FT32" s="39" t="str">
        <f t="shared" si="86"/>
        <v/>
      </c>
      <c r="FU32" s="39" t="str">
        <f t="shared" si="87"/>
        <v/>
      </c>
      <c r="FV32" s="39" t="str">
        <f t="shared" si="88"/>
        <v/>
      </c>
      <c r="FW32" s="39" t="str">
        <f t="shared" si="89"/>
        <v/>
      </c>
      <c r="FX32" s="39" t="str">
        <f t="shared" si="90"/>
        <v/>
      </c>
      <c r="FY32" s="257" t="str">
        <f t="shared" si="91"/>
        <v/>
      </c>
      <c r="FZ32" s="569" t="str">
        <f t="shared" si="92"/>
        <v xml:space="preserve"> </v>
      </c>
      <c r="GA32" s="289">
        <f t="shared" si="93"/>
        <v>0</v>
      </c>
      <c r="GB32" s="289">
        <f t="shared" si="94"/>
        <v>0</v>
      </c>
      <c r="GC32" s="289">
        <f>SISWA!E30</f>
        <v>0</v>
      </c>
      <c r="GD32" s="223" t="str">
        <f t="shared" si="95"/>
        <v/>
      </c>
      <c r="GE32" s="580" t="str">
        <f t="shared" si="96"/>
        <v/>
      </c>
      <c r="GF32" s="580" t="str">
        <f t="shared" si="97"/>
        <v/>
      </c>
      <c r="GG32" s="580" t="str">
        <f t="shared" si="98"/>
        <v/>
      </c>
      <c r="GH32" s="580" t="str">
        <f t="shared" si="99"/>
        <v/>
      </c>
      <c r="GI32" s="580" t="str">
        <f t="shared" si="100"/>
        <v/>
      </c>
      <c r="GJ32" s="580" t="str">
        <f t="shared" si="101"/>
        <v/>
      </c>
      <c r="GK32" s="580" t="str">
        <f t="shared" si="102"/>
        <v/>
      </c>
      <c r="GL32" s="580"/>
      <c r="GM32" s="580"/>
      <c r="GN32" s="580"/>
      <c r="GO32" s="580"/>
      <c r="GP32" s="223">
        <f t="shared" si="103"/>
        <v>0</v>
      </c>
      <c r="GQ32" s="289" t="e">
        <f t="shared" si="104"/>
        <v>#N/A</v>
      </c>
      <c r="GR32" s="576" t="e">
        <f>IF(GA32&gt;100,"",IF(GA32&gt;CU$1,"sangat baik dalam "&amp;GQ32,IF(GA32&gt;=CU$2,"baik dalam "&amp;GQ32,IF(GA32&gt;=CU$3,"cukup dalam "&amp;GQ32,IF(GA32&lt;CU$3,"dengan bimbingan dapat meningkatkan dalam "&amp;GQ32,IF(GA32&lt;1," ",””))))))</f>
        <v>#N/A</v>
      </c>
      <c r="GS32" s="223"/>
      <c r="GT32" s="223" t="str">
        <f t="shared" si="105"/>
        <v/>
      </c>
      <c r="GU32" s="223" t="str">
        <f t="shared" si="106"/>
        <v/>
      </c>
      <c r="GV32" s="223" t="str">
        <f t="shared" si="107"/>
        <v/>
      </c>
      <c r="GW32" s="223" t="str">
        <f t="shared" si="108"/>
        <v/>
      </c>
      <c r="GX32" s="223" t="str">
        <f t="shared" si="109"/>
        <v/>
      </c>
      <c r="GY32" s="223" t="str">
        <f t="shared" si="110"/>
        <v/>
      </c>
      <c r="GZ32" s="223" t="str">
        <f t="shared" si="111"/>
        <v/>
      </c>
      <c r="HA32" s="223"/>
      <c r="HB32" s="223"/>
      <c r="HC32" s="223"/>
      <c r="HD32" s="223"/>
      <c r="HE32" s="223" t="e">
        <f t="shared" si="112"/>
        <v>#N/A</v>
      </c>
      <c r="HF32" s="576" t="e">
        <f>IF(GB32&gt;100,"",IF(GB32&gt;CU$1,"sangat baik dalam "&amp;HE32,IF(GB32&gt;=CU$2,"baik dalam "&amp;HE32,IF(GB32&gt;=CU$3,"cukup dalam "&amp;HE32,IF(GB32&lt;CU$3,"dengan bimbingan dapat meningkatkan dalam "&amp;HE32,IF(GB32&lt;1," ",””))))))</f>
        <v>#N/A</v>
      </c>
      <c r="HG32" s="223" t="e">
        <f t="shared" si="113"/>
        <v>#N/A</v>
      </c>
    </row>
    <row r="33" spans="1:215">
      <c r="A33" s="39">
        <v>26</v>
      </c>
      <c r="B33" s="223">
        <f>SISWA!B31</f>
        <v>0</v>
      </c>
      <c r="C33" s="123"/>
      <c r="D33" s="123"/>
      <c r="E33" s="123"/>
      <c r="F33" s="123"/>
      <c r="G33" s="123"/>
      <c r="H33" s="123"/>
      <c r="I33" s="123"/>
      <c r="J33" s="255"/>
      <c r="K33" s="255"/>
      <c r="L33" s="255"/>
      <c r="M33" s="255"/>
      <c r="N33" s="255"/>
      <c r="O33" s="255"/>
      <c r="P33" s="255"/>
      <c r="Q33" s="256"/>
      <c r="R33" s="256"/>
      <c r="S33" s="256"/>
      <c r="T33" s="256"/>
      <c r="U33" s="256"/>
      <c r="V33" s="256"/>
      <c r="W33" s="256"/>
      <c r="X33" s="123"/>
      <c r="Y33" s="123"/>
      <c r="Z33" s="123"/>
      <c r="AA33" s="123"/>
      <c r="AB33" s="123"/>
      <c r="AC33" s="123"/>
      <c r="AD33" s="123"/>
      <c r="AE33" s="255"/>
      <c r="AF33" s="255"/>
      <c r="AG33" s="255"/>
      <c r="AH33" s="255"/>
      <c r="AI33" s="255"/>
      <c r="AJ33" s="255"/>
      <c r="AK33" s="255"/>
      <c r="AL33" s="256"/>
      <c r="AM33" s="256"/>
      <c r="AN33" s="256"/>
      <c r="AO33" s="256"/>
      <c r="AP33" s="256"/>
      <c r="AQ33" s="256"/>
      <c r="AR33" s="256"/>
      <c r="AS33" s="123"/>
      <c r="AT33" s="123"/>
      <c r="AU33" s="123"/>
      <c r="AV33" s="123"/>
      <c r="AW33" s="123"/>
      <c r="AX33" s="123"/>
      <c r="AY33" s="123"/>
      <c r="AZ33" s="255"/>
      <c r="BA33" s="255"/>
      <c r="BB33" s="255"/>
      <c r="BC33" s="255"/>
      <c r="BD33" s="255"/>
      <c r="BE33" s="255"/>
      <c r="BF33" s="255"/>
      <c r="BG33" s="256"/>
      <c r="BH33" s="256"/>
      <c r="BI33" s="256"/>
      <c r="BJ33" s="256"/>
      <c r="BK33" s="256"/>
      <c r="BL33" s="256"/>
      <c r="BM33" s="256"/>
      <c r="BN33" s="123"/>
      <c r="BO33" s="123"/>
      <c r="BP33" s="123"/>
      <c r="BQ33" s="123"/>
      <c r="BR33" s="123"/>
      <c r="BS33" s="123"/>
      <c r="BT33" s="123"/>
      <c r="BU33" s="255"/>
      <c r="BV33" s="255"/>
      <c r="BW33" s="255"/>
      <c r="BX33" s="255"/>
      <c r="BY33" s="255"/>
      <c r="BZ33" s="255"/>
      <c r="CA33" s="255"/>
      <c r="CB33" s="256"/>
      <c r="CC33" s="256"/>
      <c r="CD33" s="256"/>
      <c r="CE33" s="256"/>
      <c r="CF33" s="256"/>
      <c r="CG33" s="256"/>
      <c r="CH33" s="256"/>
      <c r="CI33" s="257" t="str">
        <f t="shared" si="10"/>
        <v/>
      </c>
      <c r="CJ33" s="257" t="str">
        <f t="shared" si="11"/>
        <v/>
      </c>
      <c r="CK33" s="257" t="str">
        <f t="shared" si="12"/>
        <v/>
      </c>
      <c r="CL33" s="257" t="str">
        <f t="shared" si="13"/>
        <v/>
      </c>
      <c r="CM33" s="257" t="str">
        <f t="shared" si="14"/>
        <v/>
      </c>
      <c r="CN33" s="257" t="str">
        <f t="shared" si="15"/>
        <v/>
      </c>
      <c r="CO33" s="257" t="str">
        <f t="shared" si="16"/>
        <v/>
      </c>
      <c r="CP33" s="756" t="str">
        <f t="shared" si="16"/>
        <v xml:space="preserve"> </v>
      </c>
      <c r="CQ33" s="291" t="str">
        <f t="shared" si="17"/>
        <v xml:space="preserve">  </v>
      </c>
      <c r="CR33" s="243" t="str">
        <f t="shared" si="18"/>
        <v xml:space="preserve"> </v>
      </c>
      <c r="CS33" s="39"/>
      <c r="CT33" s="39"/>
      <c r="CU33" s="257">
        <f t="shared" si="19"/>
        <v>0</v>
      </c>
      <c r="CV33" s="257">
        <f t="shared" si="20"/>
        <v>0</v>
      </c>
      <c r="CW33" s="257">
        <f t="shared" si="21"/>
        <v>0</v>
      </c>
      <c r="CX33" s="257">
        <f t="shared" si="22"/>
        <v>0</v>
      </c>
      <c r="CY33" s="257">
        <f t="shared" si="23"/>
        <v>0</v>
      </c>
      <c r="CZ33" s="257">
        <f t="shared" si="24"/>
        <v>0</v>
      </c>
      <c r="DA33" s="257">
        <f t="shared" si="25"/>
        <v>0</v>
      </c>
      <c r="DB33" s="257"/>
      <c r="DC33" s="257"/>
      <c r="DD33" s="257"/>
      <c r="DE33" s="289">
        <f t="shared" si="26"/>
        <v>0</v>
      </c>
      <c r="DF33" s="257">
        <f t="shared" si="27"/>
        <v>0</v>
      </c>
      <c r="DG33" s="257">
        <f t="shared" si="28"/>
        <v>0</v>
      </c>
      <c r="DH33" s="257">
        <f t="shared" si="29"/>
        <v>0</v>
      </c>
      <c r="DI33" s="257">
        <f t="shared" si="30"/>
        <v>0</v>
      </c>
      <c r="DJ33" s="257">
        <f t="shared" si="31"/>
        <v>0</v>
      </c>
      <c r="DK33" s="257">
        <f t="shared" si="32"/>
        <v>0</v>
      </c>
      <c r="DL33" s="257">
        <f t="shared" si="33"/>
        <v>0</v>
      </c>
      <c r="DM33" s="223"/>
      <c r="DN33" s="223"/>
      <c r="DO33" s="223"/>
      <c r="DP33" s="289">
        <f t="shared" si="34"/>
        <v>0</v>
      </c>
      <c r="DQ33" s="257">
        <f t="shared" si="35"/>
        <v>0</v>
      </c>
      <c r="DR33" s="257">
        <f t="shared" si="36"/>
        <v>0</v>
      </c>
      <c r="DS33" s="257">
        <f t="shared" si="37"/>
        <v>0</v>
      </c>
      <c r="DT33" s="257">
        <f t="shared" si="38"/>
        <v>0</v>
      </c>
      <c r="DU33" s="257">
        <f t="shared" si="39"/>
        <v>0</v>
      </c>
      <c r="DV33" s="257">
        <f t="shared" si="40"/>
        <v>0</v>
      </c>
      <c r="DW33" s="257">
        <f t="shared" si="41"/>
        <v>0</v>
      </c>
      <c r="DX33" s="223"/>
      <c r="DY33" s="223"/>
      <c r="DZ33" s="223"/>
      <c r="EA33" s="289">
        <f t="shared" si="42"/>
        <v>0</v>
      </c>
      <c r="EB33" s="257">
        <f t="shared" si="43"/>
        <v>0</v>
      </c>
      <c r="EC33" s="257">
        <f t="shared" si="44"/>
        <v>0</v>
      </c>
      <c r="ED33" s="257">
        <f t="shared" si="45"/>
        <v>0</v>
      </c>
      <c r="EE33" s="575">
        <f t="shared" si="46"/>
        <v>3</v>
      </c>
      <c r="EF33" s="506">
        <f t="shared" si="47"/>
        <v>0</v>
      </c>
      <c r="EG33" s="39" t="str">
        <f t="shared" si="48"/>
        <v/>
      </c>
      <c r="EH33" s="257">
        <f t="shared" si="49"/>
        <v>0</v>
      </c>
      <c r="EI33" s="257">
        <f t="shared" si="50"/>
        <v>0</v>
      </c>
      <c r="EJ33" s="257">
        <f t="shared" si="51"/>
        <v>0</v>
      </c>
      <c r="EK33" s="575">
        <f t="shared" si="52"/>
        <v>3</v>
      </c>
      <c r="EL33" s="506">
        <f t="shared" si="53"/>
        <v>0</v>
      </c>
      <c r="EM33" s="39" t="str">
        <f t="shared" si="54"/>
        <v/>
      </c>
      <c r="EN33" s="257">
        <f t="shared" si="55"/>
        <v>0</v>
      </c>
      <c r="EO33" s="257">
        <f t="shared" si="56"/>
        <v>0</v>
      </c>
      <c r="EP33" s="257">
        <f t="shared" si="57"/>
        <v>0</v>
      </c>
      <c r="EQ33" s="575">
        <f t="shared" si="58"/>
        <v>3</v>
      </c>
      <c r="ER33" s="506">
        <f t="shared" si="59"/>
        <v>0</v>
      </c>
      <c r="ES33" s="39" t="str">
        <f t="shared" si="60"/>
        <v/>
      </c>
      <c r="ET33" s="257">
        <f t="shared" si="61"/>
        <v>0</v>
      </c>
      <c r="EU33" s="257">
        <f t="shared" si="62"/>
        <v>0</v>
      </c>
      <c r="EV33" s="257">
        <f t="shared" si="63"/>
        <v>0</v>
      </c>
      <c r="EW33" s="575">
        <f t="shared" si="64"/>
        <v>3</v>
      </c>
      <c r="EX33" s="506">
        <f t="shared" si="65"/>
        <v>0</v>
      </c>
      <c r="EY33" s="39" t="str">
        <f t="shared" si="66"/>
        <v/>
      </c>
      <c r="EZ33" s="257">
        <f t="shared" si="67"/>
        <v>0</v>
      </c>
      <c r="FA33" s="257">
        <f t="shared" si="68"/>
        <v>0</v>
      </c>
      <c r="FB33" s="257">
        <f t="shared" si="69"/>
        <v>0</v>
      </c>
      <c r="FC33" s="575">
        <f t="shared" si="70"/>
        <v>3</v>
      </c>
      <c r="FD33" s="506">
        <f t="shared" si="71"/>
        <v>0</v>
      </c>
      <c r="FE33" s="39" t="str">
        <f t="shared" si="72"/>
        <v/>
      </c>
      <c r="FF33" s="257">
        <f t="shared" si="73"/>
        <v>0</v>
      </c>
      <c r="FG33" s="257">
        <f t="shared" si="74"/>
        <v>0</v>
      </c>
      <c r="FH33" s="257">
        <f t="shared" si="75"/>
        <v>0</v>
      </c>
      <c r="FI33" s="575">
        <f t="shared" si="76"/>
        <v>3</v>
      </c>
      <c r="FJ33" s="506">
        <f t="shared" si="77"/>
        <v>0</v>
      </c>
      <c r="FK33" s="39" t="str">
        <f t="shared" si="78"/>
        <v/>
      </c>
      <c r="FL33" s="257">
        <f t="shared" si="79"/>
        <v>0</v>
      </c>
      <c r="FM33" s="257">
        <f t="shared" si="80"/>
        <v>0</v>
      </c>
      <c r="FN33" s="257">
        <f t="shared" si="81"/>
        <v>0</v>
      </c>
      <c r="FO33" s="575">
        <f t="shared" si="82"/>
        <v>3</v>
      </c>
      <c r="FP33" s="506">
        <f t="shared" si="83"/>
        <v>0</v>
      </c>
      <c r="FQ33" s="39" t="str">
        <f t="shared" si="84"/>
        <v/>
      </c>
      <c r="FR33" s="39"/>
      <c r="FS33" s="39" t="str">
        <f t="shared" si="85"/>
        <v/>
      </c>
      <c r="FT33" s="39" t="str">
        <f t="shared" si="86"/>
        <v/>
      </c>
      <c r="FU33" s="39" t="str">
        <f t="shared" si="87"/>
        <v/>
      </c>
      <c r="FV33" s="39" t="str">
        <f t="shared" si="88"/>
        <v/>
      </c>
      <c r="FW33" s="39" t="str">
        <f t="shared" si="89"/>
        <v/>
      </c>
      <c r="FX33" s="39" t="str">
        <f t="shared" si="90"/>
        <v/>
      </c>
      <c r="FY33" s="257" t="str">
        <f t="shared" si="91"/>
        <v/>
      </c>
      <c r="FZ33" s="569" t="str">
        <f t="shared" si="92"/>
        <v xml:space="preserve"> </v>
      </c>
      <c r="GA33" s="289">
        <f t="shared" si="93"/>
        <v>0</v>
      </c>
      <c r="GB33" s="289">
        <f t="shared" si="94"/>
        <v>0</v>
      </c>
      <c r="GC33" s="289">
        <f>SISWA!E31</f>
        <v>0</v>
      </c>
      <c r="GD33" s="223" t="str">
        <f t="shared" si="95"/>
        <v/>
      </c>
      <c r="GE33" s="580" t="str">
        <f t="shared" si="96"/>
        <v/>
      </c>
      <c r="GF33" s="580" t="str">
        <f t="shared" si="97"/>
        <v/>
      </c>
      <c r="GG33" s="580" t="str">
        <f t="shared" si="98"/>
        <v/>
      </c>
      <c r="GH33" s="580" t="str">
        <f t="shared" si="99"/>
        <v/>
      </c>
      <c r="GI33" s="580" t="str">
        <f t="shared" si="100"/>
        <v/>
      </c>
      <c r="GJ33" s="580" t="str">
        <f t="shared" si="101"/>
        <v/>
      </c>
      <c r="GK33" s="580" t="str">
        <f t="shared" si="102"/>
        <v/>
      </c>
      <c r="GL33" s="580"/>
      <c r="GM33" s="580"/>
      <c r="GN33" s="580"/>
      <c r="GO33" s="580"/>
      <c r="GP33" s="223">
        <f t="shared" si="103"/>
        <v>0</v>
      </c>
      <c r="GQ33" s="289" t="e">
        <f t="shared" si="104"/>
        <v>#N/A</v>
      </c>
      <c r="GR33" s="576" t="e">
        <f>IF(GA33&gt;100,"",IF(GA33&gt;CU$1,"sangat baik dalam "&amp;GQ33,IF(GA33&gt;=CU$2,"baik dalam "&amp;GQ33,IF(GA33&gt;=CU$3,"cukup dalam "&amp;GQ33,IF(GA33&lt;CU$3,"dengan bimbingan dapat meningkatkan dalam "&amp;GQ33,IF(GA33&lt;1," ",””))))))</f>
        <v>#N/A</v>
      </c>
      <c r="GS33" s="223"/>
      <c r="GT33" s="223" t="str">
        <f t="shared" si="105"/>
        <v/>
      </c>
      <c r="GU33" s="223" t="str">
        <f t="shared" si="106"/>
        <v/>
      </c>
      <c r="GV33" s="223" t="str">
        <f t="shared" si="107"/>
        <v/>
      </c>
      <c r="GW33" s="223" t="str">
        <f t="shared" si="108"/>
        <v/>
      </c>
      <c r="GX33" s="223" t="str">
        <f t="shared" si="109"/>
        <v/>
      </c>
      <c r="GY33" s="223" t="str">
        <f t="shared" si="110"/>
        <v/>
      </c>
      <c r="GZ33" s="223" t="str">
        <f t="shared" si="111"/>
        <v/>
      </c>
      <c r="HA33" s="223"/>
      <c r="HB33" s="223"/>
      <c r="HC33" s="223"/>
      <c r="HD33" s="223"/>
      <c r="HE33" s="223" t="e">
        <f t="shared" si="112"/>
        <v>#N/A</v>
      </c>
      <c r="HF33" s="576" t="e">
        <f>IF(GB33&gt;100,"",IF(GB33&gt;CU$1,"sangat baik dalam "&amp;HE33,IF(GB33&gt;=CU$2,"baik dalam "&amp;HE33,IF(GB33&gt;=CU$3,"cukup dalam "&amp;HE33,IF(GB33&lt;CU$3,"dengan bimbingan dapat meningkatkan dalam "&amp;HE33,IF(GB33&lt;1," ",””))))))</f>
        <v>#N/A</v>
      </c>
      <c r="HG33" s="223" t="e">
        <f t="shared" si="113"/>
        <v>#N/A</v>
      </c>
    </row>
    <row r="34" spans="1:215">
      <c r="A34" s="39">
        <v>27</v>
      </c>
      <c r="B34" s="223">
        <f>SISWA!B32</f>
        <v>0</v>
      </c>
      <c r="C34" s="123"/>
      <c r="D34" s="123"/>
      <c r="E34" s="123"/>
      <c r="F34" s="123"/>
      <c r="G34" s="123"/>
      <c r="H34" s="123"/>
      <c r="I34" s="123"/>
      <c r="J34" s="255"/>
      <c r="K34" s="255"/>
      <c r="L34" s="255"/>
      <c r="M34" s="255"/>
      <c r="N34" s="255"/>
      <c r="O34" s="255"/>
      <c r="P34" s="255"/>
      <c r="Q34" s="256"/>
      <c r="R34" s="256"/>
      <c r="S34" s="256"/>
      <c r="T34" s="256"/>
      <c r="U34" s="256"/>
      <c r="V34" s="256"/>
      <c r="W34" s="256"/>
      <c r="X34" s="123"/>
      <c r="Y34" s="123"/>
      <c r="Z34" s="123"/>
      <c r="AA34" s="123"/>
      <c r="AB34" s="123"/>
      <c r="AC34" s="123"/>
      <c r="AD34" s="123"/>
      <c r="AE34" s="255"/>
      <c r="AF34" s="255"/>
      <c r="AG34" s="255"/>
      <c r="AH34" s="255"/>
      <c r="AI34" s="255"/>
      <c r="AJ34" s="255"/>
      <c r="AK34" s="255"/>
      <c r="AL34" s="256"/>
      <c r="AM34" s="256"/>
      <c r="AN34" s="256"/>
      <c r="AO34" s="256"/>
      <c r="AP34" s="256"/>
      <c r="AQ34" s="256"/>
      <c r="AR34" s="256"/>
      <c r="AS34" s="123"/>
      <c r="AT34" s="123"/>
      <c r="AU34" s="123"/>
      <c r="AV34" s="123"/>
      <c r="AW34" s="123"/>
      <c r="AX34" s="123"/>
      <c r="AY34" s="123"/>
      <c r="AZ34" s="255"/>
      <c r="BA34" s="255"/>
      <c r="BB34" s="255"/>
      <c r="BC34" s="255"/>
      <c r="BD34" s="255"/>
      <c r="BE34" s="255"/>
      <c r="BF34" s="255"/>
      <c r="BG34" s="256"/>
      <c r="BH34" s="256"/>
      <c r="BI34" s="256"/>
      <c r="BJ34" s="256"/>
      <c r="BK34" s="256"/>
      <c r="BL34" s="256"/>
      <c r="BM34" s="256"/>
      <c r="BN34" s="123"/>
      <c r="BO34" s="123"/>
      <c r="BP34" s="123"/>
      <c r="BQ34" s="123"/>
      <c r="BR34" s="123"/>
      <c r="BS34" s="123"/>
      <c r="BT34" s="123"/>
      <c r="BU34" s="255"/>
      <c r="BV34" s="255"/>
      <c r="BW34" s="255"/>
      <c r="BX34" s="255"/>
      <c r="BY34" s="255"/>
      <c r="BZ34" s="255"/>
      <c r="CA34" s="255"/>
      <c r="CB34" s="256"/>
      <c r="CC34" s="256"/>
      <c r="CD34" s="256"/>
      <c r="CE34" s="256"/>
      <c r="CF34" s="256"/>
      <c r="CG34" s="256"/>
      <c r="CH34" s="256"/>
      <c r="CI34" s="257" t="str">
        <f t="shared" si="10"/>
        <v/>
      </c>
      <c r="CJ34" s="257" t="str">
        <f t="shared" si="11"/>
        <v/>
      </c>
      <c r="CK34" s="257" t="str">
        <f t="shared" si="12"/>
        <v/>
      </c>
      <c r="CL34" s="257" t="str">
        <f t="shared" si="13"/>
        <v/>
      </c>
      <c r="CM34" s="257" t="str">
        <f t="shared" si="14"/>
        <v/>
      </c>
      <c r="CN34" s="257" t="str">
        <f t="shared" si="15"/>
        <v/>
      </c>
      <c r="CO34" s="257" t="str">
        <f t="shared" si="16"/>
        <v/>
      </c>
      <c r="CP34" s="756" t="str">
        <f t="shared" si="16"/>
        <v xml:space="preserve"> </v>
      </c>
      <c r="CQ34" s="291" t="str">
        <f t="shared" si="17"/>
        <v xml:space="preserve">  </v>
      </c>
      <c r="CR34" s="243" t="str">
        <f t="shared" si="18"/>
        <v xml:space="preserve"> </v>
      </c>
      <c r="CS34" s="39"/>
      <c r="CT34" s="39"/>
      <c r="CU34" s="257">
        <f t="shared" si="19"/>
        <v>0</v>
      </c>
      <c r="CV34" s="257">
        <f t="shared" si="20"/>
        <v>0</v>
      </c>
      <c r="CW34" s="257">
        <f t="shared" si="21"/>
        <v>0</v>
      </c>
      <c r="CX34" s="257">
        <f t="shared" si="22"/>
        <v>0</v>
      </c>
      <c r="CY34" s="257">
        <f t="shared" si="23"/>
        <v>0</v>
      </c>
      <c r="CZ34" s="257">
        <f t="shared" si="24"/>
        <v>0</v>
      </c>
      <c r="DA34" s="257">
        <f t="shared" si="25"/>
        <v>0</v>
      </c>
      <c r="DB34" s="257"/>
      <c r="DC34" s="257"/>
      <c r="DD34" s="257"/>
      <c r="DE34" s="289">
        <f t="shared" si="26"/>
        <v>0</v>
      </c>
      <c r="DF34" s="257">
        <f t="shared" si="27"/>
        <v>0</v>
      </c>
      <c r="DG34" s="257">
        <f t="shared" si="28"/>
        <v>0</v>
      </c>
      <c r="DH34" s="257">
        <f t="shared" si="29"/>
        <v>0</v>
      </c>
      <c r="DI34" s="257">
        <f t="shared" si="30"/>
        <v>0</v>
      </c>
      <c r="DJ34" s="257">
        <f t="shared" si="31"/>
        <v>0</v>
      </c>
      <c r="DK34" s="257">
        <f t="shared" si="32"/>
        <v>0</v>
      </c>
      <c r="DL34" s="257">
        <f t="shared" si="33"/>
        <v>0</v>
      </c>
      <c r="DM34" s="223"/>
      <c r="DN34" s="223"/>
      <c r="DO34" s="223"/>
      <c r="DP34" s="289">
        <f t="shared" si="34"/>
        <v>0</v>
      </c>
      <c r="DQ34" s="257">
        <f t="shared" si="35"/>
        <v>0</v>
      </c>
      <c r="DR34" s="257">
        <f t="shared" si="36"/>
        <v>0</v>
      </c>
      <c r="DS34" s="257">
        <f t="shared" si="37"/>
        <v>0</v>
      </c>
      <c r="DT34" s="257">
        <f t="shared" si="38"/>
        <v>0</v>
      </c>
      <c r="DU34" s="257">
        <f t="shared" si="39"/>
        <v>0</v>
      </c>
      <c r="DV34" s="257">
        <f t="shared" si="40"/>
        <v>0</v>
      </c>
      <c r="DW34" s="257">
        <f t="shared" si="41"/>
        <v>0</v>
      </c>
      <c r="DX34" s="223"/>
      <c r="DY34" s="223"/>
      <c r="DZ34" s="223"/>
      <c r="EA34" s="289">
        <f t="shared" si="42"/>
        <v>0</v>
      </c>
      <c r="EB34" s="257">
        <f t="shared" si="43"/>
        <v>0</v>
      </c>
      <c r="EC34" s="257">
        <f t="shared" si="44"/>
        <v>0</v>
      </c>
      <c r="ED34" s="257">
        <f t="shared" si="45"/>
        <v>0</v>
      </c>
      <c r="EE34" s="575">
        <f t="shared" si="46"/>
        <v>3</v>
      </c>
      <c r="EF34" s="506">
        <f t="shared" si="47"/>
        <v>0</v>
      </c>
      <c r="EG34" s="39" t="str">
        <f t="shared" si="48"/>
        <v/>
      </c>
      <c r="EH34" s="257">
        <f t="shared" si="49"/>
        <v>0</v>
      </c>
      <c r="EI34" s="257">
        <f t="shared" si="50"/>
        <v>0</v>
      </c>
      <c r="EJ34" s="257">
        <f t="shared" si="51"/>
        <v>0</v>
      </c>
      <c r="EK34" s="575">
        <f t="shared" si="52"/>
        <v>3</v>
      </c>
      <c r="EL34" s="506">
        <f t="shared" si="53"/>
        <v>0</v>
      </c>
      <c r="EM34" s="39" t="str">
        <f t="shared" si="54"/>
        <v/>
      </c>
      <c r="EN34" s="257">
        <f t="shared" si="55"/>
        <v>0</v>
      </c>
      <c r="EO34" s="257">
        <f t="shared" si="56"/>
        <v>0</v>
      </c>
      <c r="EP34" s="257">
        <f t="shared" si="57"/>
        <v>0</v>
      </c>
      <c r="EQ34" s="575">
        <f t="shared" si="58"/>
        <v>3</v>
      </c>
      <c r="ER34" s="506">
        <f t="shared" si="59"/>
        <v>0</v>
      </c>
      <c r="ES34" s="39" t="str">
        <f t="shared" si="60"/>
        <v/>
      </c>
      <c r="ET34" s="257">
        <f t="shared" si="61"/>
        <v>0</v>
      </c>
      <c r="EU34" s="257">
        <f t="shared" si="62"/>
        <v>0</v>
      </c>
      <c r="EV34" s="257">
        <f t="shared" si="63"/>
        <v>0</v>
      </c>
      <c r="EW34" s="575">
        <f t="shared" si="64"/>
        <v>3</v>
      </c>
      <c r="EX34" s="506">
        <f t="shared" si="65"/>
        <v>0</v>
      </c>
      <c r="EY34" s="39" t="str">
        <f t="shared" si="66"/>
        <v/>
      </c>
      <c r="EZ34" s="257">
        <f t="shared" si="67"/>
        <v>0</v>
      </c>
      <c r="FA34" s="257">
        <f t="shared" si="68"/>
        <v>0</v>
      </c>
      <c r="FB34" s="257">
        <f t="shared" si="69"/>
        <v>0</v>
      </c>
      <c r="FC34" s="575">
        <f t="shared" si="70"/>
        <v>3</v>
      </c>
      <c r="FD34" s="506">
        <f t="shared" si="71"/>
        <v>0</v>
      </c>
      <c r="FE34" s="39" t="str">
        <f t="shared" si="72"/>
        <v/>
      </c>
      <c r="FF34" s="257">
        <f t="shared" si="73"/>
        <v>0</v>
      </c>
      <c r="FG34" s="257">
        <f t="shared" si="74"/>
        <v>0</v>
      </c>
      <c r="FH34" s="257">
        <f t="shared" si="75"/>
        <v>0</v>
      </c>
      <c r="FI34" s="575">
        <f t="shared" si="76"/>
        <v>3</v>
      </c>
      <c r="FJ34" s="506">
        <f t="shared" si="77"/>
        <v>0</v>
      </c>
      <c r="FK34" s="39" t="str">
        <f t="shared" si="78"/>
        <v/>
      </c>
      <c r="FL34" s="257">
        <f t="shared" si="79"/>
        <v>0</v>
      </c>
      <c r="FM34" s="257">
        <f t="shared" si="80"/>
        <v>0</v>
      </c>
      <c r="FN34" s="257">
        <f t="shared" si="81"/>
        <v>0</v>
      </c>
      <c r="FO34" s="575">
        <f t="shared" si="82"/>
        <v>3</v>
      </c>
      <c r="FP34" s="506">
        <f t="shared" si="83"/>
        <v>0</v>
      </c>
      <c r="FQ34" s="39" t="str">
        <f t="shared" si="84"/>
        <v/>
      </c>
      <c r="FR34" s="39"/>
      <c r="FS34" s="39" t="str">
        <f t="shared" si="85"/>
        <v/>
      </c>
      <c r="FT34" s="39" t="str">
        <f t="shared" si="86"/>
        <v/>
      </c>
      <c r="FU34" s="39" t="str">
        <f t="shared" si="87"/>
        <v/>
      </c>
      <c r="FV34" s="39" t="str">
        <f t="shared" si="88"/>
        <v/>
      </c>
      <c r="FW34" s="39" t="str">
        <f t="shared" si="89"/>
        <v/>
      </c>
      <c r="FX34" s="39" t="str">
        <f t="shared" si="90"/>
        <v/>
      </c>
      <c r="FY34" s="257" t="str">
        <f t="shared" si="91"/>
        <v/>
      </c>
      <c r="FZ34" s="569" t="str">
        <f t="shared" si="92"/>
        <v xml:space="preserve"> </v>
      </c>
      <c r="GA34" s="289">
        <f t="shared" si="93"/>
        <v>0</v>
      </c>
      <c r="GB34" s="289">
        <f t="shared" si="94"/>
        <v>0</v>
      </c>
      <c r="GC34" s="289">
        <f>SISWA!E32</f>
        <v>0</v>
      </c>
      <c r="GD34" s="223" t="str">
        <f t="shared" si="95"/>
        <v/>
      </c>
      <c r="GE34" s="580" t="str">
        <f t="shared" si="96"/>
        <v/>
      </c>
      <c r="GF34" s="580" t="str">
        <f t="shared" si="97"/>
        <v/>
      </c>
      <c r="GG34" s="580" t="str">
        <f t="shared" si="98"/>
        <v/>
      </c>
      <c r="GH34" s="580" t="str">
        <f t="shared" si="99"/>
        <v/>
      </c>
      <c r="GI34" s="580" t="str">
        <f t="shared" si="100"/>
        <v/>
      </c>
      <c r="GJ34" s="580" t="str">
        <f t="shared" si="101"/>
        <v/>
      </c>
      <c r="GK34" s="580" t="str">
        <f t="shared" si="102"/>
        <v/>
      </c>
      <c r="GL34" s="580"/>
      <c r="GM34" s="580"/>
      <c r="GN34" s="580"/>
      <c r="GO34" s="580"/>
      <c r="GP34" s="223">
        <f t="shared" si="103"/>
        <v>0</v>
      </c>
      <c r="GQ34" s="289" t="e">
        <f t="shared" si="104"/>
        <v>#N/A</v>
      </c>
      <c r="GR34" s="576" t="e">
        <f>IF(GA34&gt;100,"",IF(GA34&gt;CU$1,"sangat baik dalam "&amp;GQ34,IF(GA34&gt;=CU$2,"baik dalam "&amp;GQ34,IF(GA34&gt;=CU$3,"cukup dalam "&amp;GQ34,IF(GA34&lt;CU$3,"dengan bimbingan dapat meningkatkan dalam "&amp;GQ34,IF(GA34&lt;1," ",””))))))</f>
        <v>#N/A</v>
      </c>
      <c r="GS34" s="223"/>
      <c r="GT34" s="223" t="str">
        <f t="shared" si="105"/>
        <v/>
      </c>
      <c r="GU34" s="223" t="str">
        <f t="shared" si="106"/>
        <v/>
      </c>
      <c r="GV34" s="223" t="str">
        <f t="shared" si="107"/>
        <v/>
      </c>
      <c r="GW34" s="223" t="str">
        <f t="shared" si="108"/>
        <v/>
      </c>
      <c r="GX34" s="223" t="str">
        <f t="shared" si="109"/>
        <v/>
      </c>
      <c r="GY34" s="223" t="str">
        <f t="shared" si="110"/>
        <v/>
      </c>
      <c r="GZ34" s="223" t="str">
        <f t="shared" si="111"/>
        <v/>
      </c>
      <c r="HA34" s="223"/>
      <c r="HB34" s="223"/>
      <c r="HC34" s="223"/>
      <c r="HD34" s="223"/>
      <c r="HE34" s="223" t="e">
        <f t="shared" si="112"/>
        <v>#N/A</v>
      </c>
      <c r="HF34" s="576" t="e">
        <f>IF(GB34&gt;100,"",IF(GB34&gt;CU$1,"sangat baik dalam "&amp;HE34,IF(GB34&gt;=CU$2,"baik dalam "&amp;HE34,IF(GB34&gt;=CU$3,"cukup dalam "&amp;HE34,IF(GB34&lt;CU$3,"dengan bimbingan dapat meningkatkan dalam "&amp;HE34,IF(GB34&lt;1," ",””))))))</f>
        <v>#N/A</v>
      </c>
      <c r="HG34" s="223" t="e">
        <f t="shared" si="113"/>
        <v>#N/A</v>
      </c>
    </row>
    <row r="35" spans="1:215">
      <c r="A35" s="39">
        <v>28</v>
      </c>
      <c r="B35" s="223">
        <f>SISWA!B33</f>
        <v>0</v>
      </c>
      <c r="C35" s="123"/>
      <c r="D35" s="123"/>
      <c r="E35" s="123"/>
      <c r="F35" s="123"/>
      <c r="G35" s="123"/>
      <c r="H35" s="123"/>
      <c r="I35" s="123"/>
      <c r="J35" s="255"/>
      <c r="K35" s="255"/>
      <c r="L35" s="255"/>
      <c r="M35" s="255"/>
      <c r="N35" s="255"/>
      <c r="O35" s="255"/>
      <c r="P35" s="255"/>
      <c r="Q35" s="256"/>
      <c r="R35" s="256"/>
      <c r="S35" s="256"/>
      <c r="T35" s="256"/>
      <c r="U35" s="256"/>
      <c r="V35" s="256"/>
      <c r="W35" s="256"/>
      <c r="X35" s="123"/>
      <c r="Y35" s="123"/>
      <c r="Z35" s="123"/>
      <c r="AA35" s="123"/>
      <c r="AB35" s="123"/>
      <c r="AC35" s="123"/>
      <c r="AD35" s="123"/>
      <c r="AE35" s="255"/>
      <c r="AF35" s="255"/>
      <c r="AG35" s="255"/>
      <c r="AH35" s="255"/>
      <c r="AI35" s="255"/>
      <c r="AJ35" s="255"/>
      <c r="AK35" s="255"/>
      <c r="AL35" s="256"/>
      <c r="AM35" s="256"/>
      <c r="AN35" s="256"/>
      <c r="AO35" s="256"/>
      <c r="AP35" s="256"/>
      <c r="AQ35" s="256"/>
      <c r="AR35" s="256"/>
      <c r="AS35" s="123"/>
      <c r="AT35" s="123"/>
      <c r="AU35" s="123"/>
      <c r="AV35" s="123"/>
      <c r="AW35" s="123"/>
      <c r="AX35" s="123"/>
      <c r="AY35" s="123"/>
      <c r="AZ35" s="255"/>
      <c r="BA35" s="255"/>
      <c r="BB35" s="255"/>
      <c r="BC35" s="255"/>
      <c r="BD35" s="255"/>
      <c r="BE35" s="255"/>
      <c r="BF35" s="255"/>
      <c r="BG35" s="256"/>
      <c r="BH35" s="256"/>
      <c r="BI35" s="256"/>
      <c r="BJ35" s="256"/>
      <c r="BK35" s="256"/>
      <c r="BL35" s="256"/>
      <c r="BM35" s="256"/>
      <c r="BN35" s="123"/>
      <c r="BO35" s="123"/>
      <c r="BP35" s="123"/>
      <c r="BQ35" s="123"/>
      <c r="BR35" s="123"/>
      <c r="BS35" s="123"/>
      <c r="BT35" s="123"/>
      <c r="BU35" s="255"/>
      <c r="BV35" s="255"/>
      <c r="BW35" s="255"/>
      <c r="BX35" s="255"/>
      <c r="BY35" s="255"/>
      <c r="BZ35" s="255"/>
      <c r="CA35" s="255"/>
      <c r="CB35" s="256"/>
      <c r="CC35" s="256"/>
      <c r="CD35" s="256"/>
      <c r="CE35" s="256"/>
      <c r="CF35" s="256"/>
      <c r="CG35" s="256"/>
      <c r="CH35" s="256"/>
      <c r="CI35" s="257" t="str">
        <f t="shared" si="10"/>
        <v/>
      </c>
      <c r="CJ35" s="257" t="str">
        <f t="shared" si="11"/>
        <v/>
      </c>
      <c r="CK35" s="257" t="str">
        <f t="shared" si="12"/>
        <v/>
      </c>
      <c r="CL35" s="257" t="str">
        <f t="shared" si="13"/>
        <v/>
      </c>
      <c r="CM35" s="257" t="str">
        <f t="shared" si="14"/>
        <v/>
      </c>
      <c r="CN35" s="257" t="str">
        <f t="shared" si="15"/>
        <v/>
      </c>
      <c r="CO35" s="257" t="str">
        <f t="shared" si="16"/>
        <v/>
      </c>
      <c r="CP35" s="756" t="str">
        <f t="shared" si="16"/>
        <v xml:space="preserve"> </v>
      </c>
      <c r="CQ35" s="291" t="str">
        <f t="shared" si="17"/>
        <v xml:space="preserve">  </v>
      </c>
      <c r="CR35" s="243" t="str">
        <f t="shared" si="18"/>
        <v xml:space="preserve"> </v>
      </c>
      <c r="CS35" s="39"/>
      <c r="CT35" s="39"/>
      <c r="CU35" s="257">
        <f t="shared" si="19"/>
        <v>0</v>
      </c>
      <c r="CV35" s="257">
        <f t="shared" si="20"/>
        <v>0</v>
      </c>
      <c r="CW35" s="257">
        <f t="shared" si="21"/>
        <v>0</v>
      </c>
      <c r="CX35" s="257">
        <f t="shared" si="22"/>
        <v>0</v>
      </c>
      <c r="CY35" s="257">
        <f t="shared" si="23"/>
        <v>0</v>
      </c>
      <c r="CZ35" s="257">
        <f t="shared" si="24"/>
        <v>0</v>
      </c>
      <c r="DA35" s="257">
        <f t="shared" si="25"/>
        <v>0</v>
      </c>
      <c r="DB35" s="257"/>
      <c r="DC35" s="257"/>
      <c r="DD35" s="257"/>
      <c r="DE35" s="289">
        <f t="shared" si="26"/>
        <v>0</v>
      </c>
      <c r="DF35" s="257">
        <f t="shared" si="27"/>
        <v>0</v>
      </c>
      <c r="DG35" s="257">
        <f t="shared" si="28"/>
        <v>0</v>
      </c>
      <c r="DH35" s="257">
        <f t="shared" si="29"/>
        <v>0</v>
      </c>
      <c r="DI35" s="257">
        <f t="shared" si="30"/>
        <v>0</v>
      </c>
      <c r="DJ35" s="257">
        <f t="shared" si="31"/>
        <v>0</v>
      </c>
      <c r="DK35" s="257">
        <f t="shared" si="32"/>
        <v>0</v>
      </c>
      <c r="DL35" s="257">
        <f t="shared" si="33"/>
        <v>0</v>
      </c>
      <c r="DM35" s="223"/>
      <c r="DN35" s="223"/>
      <c r="DO35" s="223"/>
      <c r="DP35" s="289">
        <f t="shared" si="34"/>
        <v>0</v>
      </c>
      <c r="DQ35" s="257">
        <f t="shared" si="35"/>
        <v>0</v>
      </c>
      <c r="DR35" s="257">
        <f t="shared" si="36"/>
        <v>0</v>
      </c>
      <c r="DS35" s="257">
        <f t="shared" si="37"/>
        <v>0</v>
      </c>
      <c r="DT35" s="257">
        <f t="shared" si="38"/>
        <v>0</v>
      </c>
      <c r="DU35" s="257">
        <f t="shared" si="39"/>
        <v>0</v>
      </c>
      <c r="DV35" s="257">
        <f t="shared" si="40"/>
        <v>0</v>
      </c>
      <c r="DW35" s="257">
        <f t="shared" si="41"/>
        <v>0</v>
      </c>
      <c r="DX35" s="223"/>
      <c r="DY35" s="223"/>
      <c r="DZ35" s="223"/>
      <c r="EA35" s="289">
        <f t="shared" si="42"/>
        <v>0</v>
      </c>
      <c r="EB35" s="257">
        <f t="shared" si="43"/>
        <v>0</v>
      </c>
      <c r="EC35" s="257">
        <f t="shared" si="44"/>
        <v>0</v>
      </c>
      <c r="ED35" s="257">
        <f t="shared" si="45"/>
        <v>0</v>
      </c>
      <c r="EE35" s="575">
        <f t="shared" si="46"/>
        <v>3</v>
      </c>
      <c r="EF35" s="506">
        <f t="shared" si="47"/>
        <v>0</v>
      </c>
      <c r="EG35" s="39" t="str">
        <f t="shared" si="48"/>
        <v/>
      </c>
      <c r="EH35" s="257">
        <f t="shared" si="49"/>
        <v>0</v>
      </c>
      <c r="EI35" s="257">
        <f t="shared" si="50"/>
        <v>0</v>
      </c>
      <c r="EJ35" s="257">
        <f t="shared" si="51"/>
        <v>0</v>
      </c>
      <c r="EK35" s="575">
        <f t="shared" si="52"/>
        <v>3</v>
      </c>
      <c r="EL35" s="506">
        <f t="shared" si="53"/>
        <v>0</v>
      </c>
      <c r="EM35" s="39" t="str">
        <f t="shared" si="54"/>
        <v/>
      </c>
      <c r="EN35" s="257">
        <f t="shared" si="55"/>
        <v>0</v>
      </c>
      <c r="EO35" s="257">
        <f t="shared" si="56"/>
        <v>0</v>
      </c>
      <c r="EP35" s="257">
        <f t="shared" si="57"/>
        <v>0</v>
      </c>
      <c r="EQ35" s="575">
        <f t="shared" si="58"/>
        <v>3</v>
      </c>
      <c r="ER35" s="506">
        <f t="shared" si="59"/>
        <v>0</v>
      </c>
      <c r="ES35" s="39" t="str">
        <f t="shared" si="60"/>
        <v/>
      </c>
      <c r="ET35" s="257">
        <f t="shared" si="61"/>
        <v>0</v>
      </c>
      <c r="EU35" s="257">
        <f t="shared" si="62"/>
        <v>0</v>
      </c>
      <c r="EV35" s="257">
        <f t="shared" si="63"/>
        <v>0</v>
      </c>
      <c r="EW35" s="575">
        <f t="shared" si="64"/>
        <v>3</v>
      </c>
      <c r="EX35" s="506">
        <f t="shared" si="65"/>
        <v>0</v>
      </c>
      <c r="EY35" s="39" t="str">
        <f t="shared" si="66"/>
        <v/>
      </c>
      <c r="EZ35" s="257">
        <f t="shared" si="67"/>
        <v>0</v>
      </c>
      <c r="FA35" s="257">
        <f t="shared" si="68"/>
        <v>0</v>
      </c>
      <c r="FB35" s="257">
        <f t="shared" si="69"/>
        <v>0</v>
      </c>
      <c r="FC35" s="575">
        <f t="shared" si="70"/>
        <v>3</v>
      </c>
      <c r="FD35" s="506">
        <f t="shared" si="71"/>
        <v>0</v>
      </c>
      <c r="FE35" s="39" t="str">
        <f t="shared" si="72"/>
        <v/>
      </c>
      <c r="FF35" s="257">
        <f t="shared" si="73"/>
        <v>0</v>
      </c>
      <c r="FG35" s="257">
        <f t="shared" si="74"/>
        <v>0</v>
      </c>
      <c r="FH35" s="257">
        <f t="shared" si="75"/>
        <v>0</v>
      </c>
      <c r="FI35" s="575">
        <f t="shared" si="76"/>
        <v>3</v>
      </c>
      <c r="FJ35" s="506">
        <f t="shared" si="77"/>
        <v>0</v>
      </c>
      <c r="FK35" s="39" t="str">
        <f t="shared" si="78"/>
        <v/>
      </c>
      <c r="FL35" s="257">
        <f t="shared" si="79"/>
        <v>0</v>
      </c>
      <c r="FM35" s="257">
        <f t="shared" si="80"/>
        <v>0</v>
      </c>
      <c r="FN35" s="257">
        <f t="shared" si="81"/>
        <v>0</v>
      </c>
      <c r="FO35" s="575">
        <f t="shared" si="82"/>
        <v>3</v>
      </c>
      <c r="FP35" s="506">
        <f t="shared" si="83"/>
        <v>0</v>
      </c>
      <c r="FQ35" s="39" t="str">
        <f t="shared" si="84"/>
        <v/>
      </c>
      <c r="FR35" s="39"/>
      <c r="FS35" s="39" t="str">
        <f t="shared" si="85"/>
        <v/>
      </c>
      <c r="FT35" s="39" t="str">
        <f t="shared" si="86"/>
        <v/>
      </c>
      <c r="FU35" s="39" t="str">
        <f t="shared" si="87"/>
        <v/>
      </c>
      <c r="FV35" s="39" t="str">
        <f t="shared" si="88"/>
        <v/>
      </c>
      <c r="FW35" s="39" t="str">
        <f t="shared" si="89"/>
        <v/>
      </c>
      <c r="FX35" s="39" t="str">
        <f t="shared" si="90"/>
        <v/>
      </c>
      <c r="FY35" s="257" t="str">
        <f t="shared" si="91"/>
        <v/>
      </c>
      <c r="FZ35" s="569" t="str">
        <f t="shared" si="92"/>
        <v xml:space="preserve"> </v>
      </c>
      <c r="GA35" s="289">
        <f t="shared" si="93"/>
        <v>0</v>
      </c>
      <c r="GB35" s="289">
        <f t="shared" si="94"/>
        <v>0</v>
      </c>
      <c r="GC35" s="289">
        <f>SISWA!E33</f>
        <v>0</v>
      </c>
      <c r="GD35" s="223" t="str">
        <f t="shared" si="95"/>
        <v/>
      </c>
      <c r="GE35" s="580" t="str">
        <f t="shared" si="96"/>
        <v/>
      </c>
      <c r="GF35" s="580" t="str">
        <f t="shared" si="97"/>
        <v/>
      </c>
      <c r="GG35" s="580" t="str">
        <f t="shared" si="98"/>
        <v/>
      </c>
      <c r="GH35" s="580" t="str">
        <f t="shared" si="99"/>
        <v/>
      </c>
      <c r="GI35" s="580" t="str">
        <f t="shared" si="100"/>
        <v/>
      </c>
      <c r="GJ35" s="580" t="str">
        <f t="shared" si="101"/>
        <v/>
      </c>
      <c r="GK35" s="580" t="str">
        <f t="shared" si="102"/>
        <v/>
      </c>
      <c r="GL35" s="580"/>
      <c r="GM35" s="580"/>
      <c r="GN35" s="580"/>
      <c r="GO35" s="580"/>
      <c r="GP35" s="223">
        <f t="shared" si="103"/>
        <v>0</v>
      </c>
      <c r="GQ35" s="289" t="e">
        <f t="shared" si="104"/>
        <v>#N/A</v>
      </c>
      <c r="GR35" s="576" t="e">
        <f>IF(GA35&gt;100,"",IF(GA35&gt;CU$1,"sangat baik dalam "&amp;GQ35,IF(GA35&gt;=CU$2,"baik dalam "&amp;GQ35,IF(GA35&gt;=CU$3,"cukup dalam "&amp;GQ35,IF(GA35&lt;CU$3,"dengan bimbingan dapat meningkatkan dalam "&amp;GQ35,IF(GA35&lt;1," ",””))))))</f>
        <v>#N/A</v>
      </c>
      <c r="GS35" s="223"/>
      <c r="GT35" s="223" t="str">
        <f t="shared" si="105"/>
        <v/>
      </c>
      <c r="GU35" s="223" t="str">
        <f t="shared" si="106"/>
        <v/>
      </c>
      <c r="GV35" s="223" t="str">
        <f t="shared" si="107"/>
        <v/>
      </c>
      <c r="GW35" s="223" t="str">
        <f t="shared" si="108"/>
        <v/>
      </c>
      <c r="GX35" s="223" t="str">
        <f t="shared" si="109"/>
        <v/>
      </c>
      <c r="GY35" s="223" t="str">
        <f t="shared" si="110"/>
        <v/>
      </c>
      <c r="GZ35" s="223" t="str">
        <f t="shared" si="111"/>
        <v/>
      </c>
      <c r="HA35" s="223"/>
      <c r="HB35" s="223"/>
      <c r="HC35" s="223"/>
      <c r="HD35" s="223"/>
      <c r="HE35" s="223" t="e">
        <f t="shared" si="112"/>
        <v>#N/A</v>
      </c>
      <c r="HF35" s="576" t="e">
        <f>IF(GB35&gt;100,"",IF(GB35&gt;CU$1,"sangat baik dalam "&amp;HE35,IF(GB35&gt;=CU$2,"baik dalam "&amp;HE35,IF(GB35&gt;=CU$3,"cukup dalam "&amp;HE35,IF(GB35&lt;CU$3,"dengan bimbingan dapat meningkatkan dalam "&amp;HE35,IF(GB35&lt;1," ",””))))))</f>
        <v>#N/A</v>
      </c>
      <c r="HG35" s="223" t="e">
        <f t="shared" si="113"/>
        <v>#N/A</v>
      </c>
    </row>
    <row r="36" spans="1:215">
      <c r="A36" s="39">
        <v>29</v>
      </c>
      <c r="B36" s="223">
        <f>SISWA!B34</f>
        <v>0</v>
      </c>
      <c r="C36" s="123"/>
      <c r="D36" s="123"/>
      <c r="E36" s="123"/>
      <c r="F36" s="123"/>
      <c r="G36" s="123"/>
      <c r="H36" s="123"/>
      <c r="I36" s="123"/>
      <c r="J36" s="255"/>
      <c r="K36" s="255"/>
      <c r="L36" s="255"/>
      <c r="M36" s="255"/>
      <c r="N36" s="255"/>
      <c r="O36" s="255"/>
      <c r="P36" s="255"/>
      <c r="Q36" s="256"/>
      <c r="R36" s="256"/>
      <c r="S36" s="256"/>
      <c r="T36" s="256"/>
      <c r="U36" s="256"/>
      <c r="V36" s="256"/>
      <c r="W36" s="256"/>
      <c r="X36" s="123"/>
      <c r="Y36" s="123"/>
      <c r="Z36" s="123"/>
      <c r="AA36" s="123"/>
      <c r="AB36" s="123"/>
      <c r="AC36" s="123"/>
      <c r="AD36" s="123"/>
      <c r="AE36" s="255"/>
      <c r="AF36" s="255"/>
      <c r="AG36" s="255"/>
      <c r="AH36" s="255"/>
      <c r="AI36" s="255"/>
      <c r="AJ36" s="255"/>
      <c r="AK36" s="255"/>
      <c r="AL36" s="256"/>
      <c r="AM36" s="256"/>
      <c r="AN36" s="256"/>
      <c r="AO36" s="256"/>
      <c r="AP36" s="256"/>
      <c r="AQ36" s="256"/>
      <c r="AR36" s="256"/>
      <c r="AS36" s="123"/>
      <c r="AT36" s="123"/>
      <c r="AU36" s="123"/>
      <c r="AV36" s="123"/>
      <c r="AW36" s="123"/>
      <c r="AX36" s="123"/>
      <c r="AY36" s="123"/>
      <c r="AZ36" s="255"/>
      <c r="BA36" s="255"/>
      <c r="BB36" s="255"/>
      <c r="BC36" s="255"/>
      <c r="BD36" s="255"/>
      <c r="BE36" s="255"/>
      <c r="BF36" s="255"/>
      <c r="BG36" s="256"/>
      <c r="BH36" s="256"/>
      <c r="BI36" s="256"/>
      <c r="BJ36" s="256"/>
      <c r="BK36" s="256"/>
      <c r="BL36" s="256"/>
      <c r="BM36" s="256"/>
      <c r="BN36" s="123"/>
      <c r="BO36" s="123"/>
      <c r="BP36" s="123"/>
      <c r="BQ36" s="123"/>
      <c r="BR36" s="123"/>
      <c r="BS36" s="123"/>
      <c r="BT36" s="123"/>
      <c r="BU36" s="255"/>
      <c r="BV36" s="255"/>
      <c r="BW36" s="255"/>
      <c r="BX36" s="255"/>
      <c r="BY36" s="255"/>
      <c r="BZ36" s="255"/>
      <c r="CA36" s="255"/>
      <c r="CB36" s="256"/>
      <c r="CC36" s="256"/>
      <c r="CD36" s="256"/>
      <c r="CE36" s="256"/>
      <c r="CF36" s="256"/>
      <c r="CG36" s="256"/>
      <c r="CH36" s="256"/>
      <c r="CI36" s="257" t="str">
        <f t="shared" si="10"/>
        <v/>
      </c>
      <c r="CJ36" s="257" t="str">
        <f t="shared" si="11"/>
        <v/>
      </c>
      <c r="CK36" s="257" t="str">
        <f t="shared" si="12"/>
        <v/>
      </c>
      <c r="CL36" s="257" t="str">
        <f t="shared" si="13"/>
        <v/>
      </c>
      <c r="CM36" s="257" t="str">
        <f t="shared" si="14"/>
        <v/>
      </c>
      <c r="CN36" s="257" t="str">
        <f t="shared" si="15"/>
        <v/>
      </c>
      <c r="CO36" s="257" t="str">
        <f t="shared" si="16"/>
        <v/>
      </c>
      <c r="CP36" s="756" t="str">
        <f t="shared" si="16"/>
        <v xml:space="preserve"> </v>
      </c>
      <c r="CQ36" s="291" t="str">
        <f t="shared" si="17"/>
        <v xml:space="preserve">  </v>
      </c>
      <c r="CR36" s="243" t="str">
        <f t="shared" si="18"/>
        <v xml:space="preserve"> </v>
      </c>
      <c r="CS36" s="39"/>
      <c r="CT36" s="39"/>
      <c r="CU36" s="257">
        <f t="shared" si="19"/>
        <v>0</v>
      </c>
      <c r="CV36" s="257">
        <f t="shared" si="20"/>
        <v>0</v>
      </c>
      <c r="CW36" s="257">
        <f t="shared" si="21"/>
        <v>0</v>
      </c>
      <c r="CX36" s="257">
        <f t="shared" si="22"/>
        <v>0</v>
      </c>
      <c r="CY36" s="257">
        <f t="shared" si="23"/>
        <v>0</v>
      </c>
      <c r="CZ36" s="257">
        <f t="shared" si="24"/>
        <v>0</v>
      </c>
      <c r="DA36" s="257">
        <f t="shared" si="25"/>
        <v>0</v>
      </c>
      <c r="DB36" s="257"/>
      <c r="DC36" s="257"/>
      <c r="DD36" s="257"/>
      <c r="DE36" s="289">
        <f t="shared" si="26"/>
        <v>0</v>
      </c>
      <c r="DF36" s="257">
        <f t="shared" si="27"/>
        <v>0</v>
      </c>
      <c r="DG36" s="257">
        <f t="shared" si="28"/>
        <v>0</v>
      </c>
      <c r="DH36" s="257">
        <f t="shared" si="29"/>
        <v>0</v>
      </c>
      <c r="DI36" s="257">
        <f t="shared" si="30"/>
        <v>0</v>
      </c>
      <c r="DJ36" s="257">
        <f t="shared" si="31"/>
        <v>0</v>
      </c>
      <c r="DK36" s="257">
        <f t="shared" si="32"/>
        <v>0</v>
      </c>
      <c r="DL36" s="257">
        <f t="shared" si="33"/>
        <v>0</v>
      </c>
      <c r="DM36" s="223"/>
      <c r="DN36" s="223"/>
      <c r="DO36" s="223"/>
      <c r="DP36" s="289">
        <f t="shared" si="34"/>
        <v>0</v>
      </c>
      <c r="DQ36" s="257">
        <f t="shared" si="35"/>
        <v>0</v>
      </c>
      <c r="DR36" s="257">
        <f t="shared" si="36"/>
        <v>0</v>
      </c>
      <c r="DS36" s="257">
        <f t="shared" si="37"/>
        <v>0</v>
      </c>
      <c r="DT36" s="257">
        <f t="shared" si="38"/>
        <v>0</v>
      </c>
      <c r="DU36" s="257">
        <f t="shared" si="39"/>
        <v>0</v>
      </c>
      <c r="DV36" s="257">
        <f t="shared" si="40"/>
        <v>0</v>
      </c>
      <c r="DW36" s="257">
        <f t="shared" si="41"/>
        <v>0</v>
      </c>
      <c r="DX36" s="223"/>
      <c r="DY36" s="223"/>
      <c r="DZ36" s="223"/>
      <c r="EA36" s="289">
        <f t="shared" si="42"/>
        <v>0</v>
      </c>
      <c r="EB36" s="257">
        <f t="shared" si="43"/>
        <v>0</v>
      </c>
      <c r="EC36" s="257">
        <f t="shared" si="44"/>
        <v>0</v>
      </c>
      <c r="ED36" s="257">
        <f t="shared" si="45"/>
        <v>0</v>
      </c>
      <c r="EE36" s="575">
        <f t="shared" si="46"/>
        <v>3</v>
      </c>
      <c r="EF36" s="506">
        <f t="shared" si="47"/>
        <v>0</v>
      </c>
      <c r="EG36" s="39" t="str">
        <f t="shared" si="48"/>
        <v/>
      </c>
      <c r="EH36" s="257">
        <f t="shared" si="49"/>
        <v>0</v>
      </c>
      <c r="EI36" s="257">
        <f t="shared" si="50"/>
        <v>0</v>
      </c>
      <c r="EJ36" s="257">
        <f t="shared" si="51"/>
        <v>0</v>
      </c>
      <c r="EK36" s="575">
        <f t="shared" si="52"/>
        <v>3</v>
      </c>
      <c r="EL36" s="506">
        <f t="shared" si="53"/>
        <v>0</v>
      </c>
      <c r="EM36" s="39" t="str">
        <f t="shared" si="54"/>
        <v/>
      </c>
      <c r="EN36" s="257">
        <f t="shared" si="55"/>
        <v>0</v>
      </c>
      <c r="EO36" s="257">
        <f t="shared" si="56"/>
        <v>0</v>
      </c>
      <c r="EP36" s="257">
        <f t="shared" si="57"/>
        <v>0</v>
      </c>
      <c r="EQ36" s="575">
        <f t="shared" si="58"/>
        <v>3</v>
      </c>
      <c r="ER36" s="506">
        <f t="shared" si="59"/>
        <v>0</v>
      </c>
      <c r="ES36" s="39" t="str">
        <f t="shared" si="60"/>
        <v/>
      </c>
      <c r="ET36" s="257">
        <f t="shared" si="61"/>
        <v>0</v>
      </c>
      <c r="EU36" s="257">
        <f t="shared" si="62"/>
        <v>0</v>
      </c>
      <c r="EV36" s="257">
        <f t="shared" si="63"/>
        <v>0</v>
      </c>
      <c r="EW36" s="575">
        <f t="shared" si="64"/>
        <v>3</v>
      </c>
      <c r="EX36" s="506">
        <f t="shared" si="65"/>
        <v>0</v>
      </c>
      <c r="EY36" s="39" t="str">
        <f t="shared" si="66"/>
        <v/>
      </c>
      <c r="EZ36" s="257">
        <f t="shared" si="67"/>
        <v>0</v>
      </c>
      <c r="FA36" s="257">
        <f t="shared" si="68"/>
        <v>0</v>
      </c>
      <c r="FB36" s="257">
        <f t="shared" si="69"/>
        <v>0</v>
      </c>
      <c r="FC36" s="575">
        <f t="shared" si="70"/>
        <v>3</v>
      </c>
      <c r="FD36" s="506">
        <f t="shared" si="71"/>
        <v>0</v>
      </c>
      <c r="FE36" s="39" t="str">
        <f t="shared" si="72"/>
        <v/>
      </c>
      <c r="FF36" s="257">
        <f t="shared" si="73"/>
        <v>0</v>
      </c>
      <c r="FG36" s="257">
        <f t="shared" si="74"/>
        <v>0</v>
      </c>
      <c r="FH36" s="257">
        <f t="shared" si="75"/>
        <v>0</v>
      </c>
      <c r="FI36" s="575">
        <f t="shared" si="76"/>
        <v>3</v>
      </c>
      <c r="FJ36" s="506">
        <f t="shared" si="77"/>
        <v>0</v>
      </c>
      <c r="FK36" s="39" t="str">
        <f t="shared" si="78"/>
        <v/>
      </c>
      <c r="FL36" s="257">
        <f t="shared" si="79"/>
        <v>0</v>
      </c>
      <c r="FM36" s="257">
        <f t="shared" si="80"/>
        <v>0</v>
      </c>
      <c r="FN36" s="257">
        <f t="shared" si="81"/>
        <v>0</v>
      </c>
      <c r="FO36" s="575">
        <f t="shared" si="82"/>
        <v>3</v>
      </c>
      <c r="FP36" s="506">
        <f t="shared" si="83"/>
        <v>0</v>
      </c>
      <c r="FQ36" s="39" t="str">
        <f t="shared" si="84"/>
        <v/>
      </c>
      <c r="FR36" s="39"/>
      <c r="FS36" s="39" t="str">
        <f t="shared" si="85"/>
        <v/>
      </c>
      <c r="FT36" s="39" t="str">
        <f t="shared" si="86"/>
        <v/>
      </c>
      <c r="FU36" s="39" t="str">
        <f t="shared" si="87"/>
        <v/>
      </c>
      <c r="FV36" s="39" t="str">
        <f t="shared" si="88"/>
        <v/>
      </c>
      <c r="FW36" s="39" t="str">
        <f t="shared" si="89"/>
        <v/>
      </c>
      <c r="FX36" s="39" t="str">
        <f t="shared" si="90"/>
        <v/>
      </c>
      <c r="FY36" s="257" t="str">
        <f t="shared" si="91"/>
        <v/>
      </c>
      <c r="FZ36" s="569" t="str">
        <f t="shared" si="92"/>
        <v xml:space="preserve"> </v>
      </c>
      <c r="GA36" s="289">
        <f t="shared" si="93"/>
        <v>0</v>
      </c>
      <c r="GB36" s="289">
        <f t="shared" si="94"/>
        <v>0</v>
      </c>
      <c r="GC36" s="289">
        <f>SISWA!E34</f>
        <v>0</v>
      </c>
      <c r="GD36" s="223" t="str">
        <f t="shared" si="95"/>
        <v/>
      </c>
      <c r="GE36" s="580" t="str">
        <f t="shared" si="96"/>
        <v/>
      </c>
      <c r="GF36" s="580" t="str">
        <f t="shared" si="97"/>
        <v/>
      </c>
      <c r="GG36" s="580" t="str">
        <f t="shared" si="98"/>
        <v/>
      </c>
      <c r="GH36" s="580" t="str">
        <f t="shared" si="99"/>
        <v/>
      </c>
      <c r="GI36" s="580" t="str">
        <f t="shared" si="100"/>
        <v/>
      </c>
      <c r="GJ36" s="580" t="str">
        <f t="shared" si="101"/>
        <v/>
      </c>
      <c r="GK36" s="580" t="str">
        <f t="shared" si="102"/>
        <v/>
      </c>
      <c r="GL36" s="580"/>
      <c r="GM36" s="580"/>
      <c r="GN36" s="580"/>
      <c r="GO36" s="580"/>
      <c r="GP36" s="223">
        <f t="shared" si="103"/>
        <v>0</v>
      </c>
      <c r="GQ36" s="289" t="e">
        <f t="shared" si="104"/>
        <v>#N/A</v>
      </c>
      <c r="GR36" s="576" t="e">
        <f>IF(GA36&gt;100,"",IF(GA36&gt;CU$1,"sangat baik dalam "&amp;GQ36,IF(GA36&gt;=CU$2,"baik dalam "&amp;GQ36,IF(GA36&gt;=CU$3,"cukup dalam "&amp;GQ36,IF(GA36&lt;CU$3,"dengan bimbingan dapat meningkatkan dalam "&amp;GQ36,IF(GA36&lt;1," ",””))))))</f>
        <v>#N/A</v>
      </c>
      <c r="GS36" s="223"/>
      <c r="GT36" s="223" t="str">
        <f t="shared" si="105"/>
        <v/>
      </c>
      <c r="GU36" s="223" t="str">
        <f t="shared" si="106"/>
        <v/>
      </c>
      <c r="GV36" s="223" t="str">
        <f t="shared" si="107"/>
        <v/>
      </c>
      <c r="GW36" s="223" t="str">
        <f t="shared" si="108"/>
        <v/>
      </c>
      <c r="GX36" s="223" t="str">
        <f t="shared" si="109"/>
        <v/>
      </c>
      <c r="GY36" s="223" t="str">
        <f t="shared" si="110"/>
        <v/>
      </c>
      <c r="GZ36" s="223" t="str">
        <f t="shared" si="111"/>
        <v/>
      </c>
      <c r="HA36" s="223"/>
      <c r="HB36" s="223"/>
      <c r="HC36" s="223"/>
      <c r="HD36" s="223"/>
      <c r="HE36" s="223" t="e">
        <f t="shared" si="112"/>
        <v>#N/A</v>
      </c>
      <c r="HF36" s="576" t="e">
        <f>IF(GB36&gt;100,"",IF(GB36&gt;CU$1,"sangat baik dalam "&amp;HE36,IF(GB36&gt;=CU$2,"baik dalam "&amp;HE36,IF(GB36&gt;=CU$3,"cukup dalam "&amp;HE36,IF(GB36&lt;CU$3,"dengan bimbingan dapat meningkatkan dalam "&amp;HE36,IF(GB36&lt;1," ",””))))))</f>
        <v>#N/A</v>
      </c>
      <c r="HG36" s="223" t="e">
        <f t="shared" si="113"/>
        <v>#N/A</v>
      </c>
    </row>
    <row r="37" spans="1:215">
      <c r="A37" s="39">
        <v>30</v>
      </c>
      <c r="B37" s="223">
        <f>SISWA!B35</f>
        <v>0</v>
      </c>
      <c r="C37" s="123"/>
      <c r="D37" s="123"/>
      <c r="E37" s="123"/>
      <c r="F37" s="123"/>
      <c r="G37" s="123"/>
      <c r="H37" s="123"/>
      <c r="I37" s="123"/>
      <c r="J37" s="255"/>
      <c r="K37" s="255"/>
      <c r="L37" s="255"/>
      <c r="M37" s="255"/>
      <c r="N37" s="255"/>
      <c r="O37" s="255"/>
      <c r="P37" s="255"/>
      <c r="Q37" s="256"/>
      <c r="R37" s="256"/>
      <c r="S37" s="256"/>
      <c r="T37" s="256"/>
      <c r="U37" s="256"/>
      <c r="V37" s="256"/>
      <c r="W37" s="256"/>
      <c r="X37" s="123"/>
      <c r="Y37" s="123"/>
      <c r="Z37" s="123"/>
      <c r="AA37" s="123"/>
      <c r="AB37" s="123"/>
      <c r="AC37" s="123"/>
      <c r="AD37" s="123"/>
      <c r="AE37" s="255"/>
      <c r="AF37" s="255"/>
      <c r="AG37" s="255"/>
      <c r="AH37" s="255"/>
      <c r="AI37" s="255"/>
      <c r="AJ37" s="255"/>
      <c r="AK37" s="255"/>
      <c r="AL37" s="256"/>
      <c r="AM37" s="256"/>
      <c r="AN37" s="256"/>
      <c r="AO37" s="256"/>
      <c r="AP37" s="256"/>
      <c r="AQ37" s="256"/>
      <c r="AR37" s="256"/>
      <c r="AS37" s="123"/>
      <c r="AT37" s="123"/>
      <c r="AU37" s="123"/>
      <c r="AV37" s="123"/>
      <c r="AW37" s="123"/>
      <c r="AX37" s="123"/>
      <c r="AY37" s="123"/>
      <c r="AZ37" s="255"/>
      <c r="BA37" s="255"/>
      <c r="BB37" s="255"/>
      <c r="BC37" s="255"/>
      <c r="BD37" s="255"/>
      <c r="BE37" s="255"/>
      <c r="BF37" s="255"/>
      <c r="BG37" s="256"/>
      <c r="BH37" s="256"/>
      <c r="BI37" s="256"/>
      <c r="BJ37" s="256"/>
      <c r="BK37" s="256"/>
      <c r="BL37" s="256"/>
      <c r="BM37" s="256"/>
      <c r="BN37" s="123"/>
      <c r="BO37" s="123"/>
      <c r="BP37" s="123"/>
      <c r="BQ37" s="123"/>
      <c r="BR37" s="123"/>
      <c r="BS37" s="123"/>
      <c r="BT37" s="123"/>
      <c r="BU37" s="255"/>
      <c r="BV37" s="255"/>
      <c r="BW37" s="255"/>
      <c r="BX37" s="255"/>
      <c r="BY37" s="255"/>
      <c r="BZ37" s="255"/>
      <c r="CA37" s="255"/>
      <c r="CB37" s="256"/>
      <c r="CC37" s="256"/>
      <c r="CD37" s="256"/>
      <c r="CE37" s="256"/>
      <c r="CF37" s="256"/>
      <c r="CG37" s="256"/>
      <c r="CH37" s="256"/>
      <c r="CI37" s="257" t="str">
        <f t="shared" si="10"/>
        <v/>
      </c>
      <c r="CJ37" s="257" t="str">
        <f t="shared" si="11"/>
        <v/>
      </c>
      <c r="CK37" s="257" t="str">
        <f t="shared" si="12"/>
        <v/>
      </c>
      <c r="CL37" s="257" t="str">
        <f t="shared" si="13"/>
        <v/>
      </c>
      <c r="CM37" s="257" t="str">
        <f t="shared" si="14"/>
        <v/>
      </c>
      <c r="CN37" s="257" t="str">
        <f t="shared" si="15"/>
        <v/>
      </c>
      <c r="CO37" s="257" t="str">
        <f t="shared" si="16"/>
        <v/>
      </c>
      <c r="CP37" s="756" t="str">
        <f t="shared" si="16"/>
        <v xml:space="preserve"> </v>
      </c>
      <c r="CQ37" s="291" t="str">
        <f t="shared" si="17"/>
        <v xml:space="preserve">  </v>
      </c>
      <c r="CR37" s="243" t="str">
        <f t="shared" si="18"/>
        <v xml:space="preserve"> </v>
      </c>
      <c r="CS37" s="39"/>
      <c r="CT37" s="39"/>
      <c r="CU37" s="257">
        <f t="shared" si="19"/>
        <v>0</v>
      </c>
      <c r="CV37" s="257">
        <f t="shared" si="20"/>
        <v>0</v>
      </c>
      <c r="CW37" s="257">
        <f t="shared" si="21"/>
        <v>0</v>
      </c>
      <c r="CX37" s="257">
        <f t="shared" si="22"/>
        <v>0</v>
      </c>
      <c r="CY37" s="257">
        <f t="shared" si="23"/>
        <v>0</v>
      </c>
      <c r="CZ37" s="257">
        <f t="shared" si="24"/>
        <v>0</v>
      </c>
      <c r="DA37" s="257">
        <f t="shared" si="25"/>
        <v>0</v>
      </c>
      <c r="DB37" s="257"/>
      <c r="DC37" s="257"/>
      <c r="DD37" s="257"/>
      <c r="DE37" s="289">
        <f t="shared" si="26"/>
        <v>0</v>
      </c>
      <c r="DF37" s="257">
        <f t="shared" si="27"/>
        <v>0</v>
      </c>
      <c r="DG37" s="257">
        <f t="shared" si="28"/>
        <v>0</v>
      </c>
      <c r="DH37" s="257">
        <f t="shared" si="29"/>
        <v>0</v>
      </c>
      <c r="DI37" s="257">
        <f t="shared" si="30"/>
        <v>0</v>
      </c>
      <c r="DJ37" s="257">
        <f t="shared" si="31"/>
        <v>0</v>
      </c>
      <c r="DK37" s="257">
        <f t="shared" si="32"/>
        <v>0</v>
      </c>
      <c r="DL37" s="257">
        <f t="shared" si="33"/>
        <v>0</v>
      </c>
      <c r="DM37" s="223"/>
      <c r="DN37" s="223"/>
      <c r="DO37" s="223"/>
      <c r="DP37" s="289">
        <f t="shared" si="34"/>
        <v>0</v>
      </c>
      <c r="DQ37" s="257">
        <f t="shared" si="35"/>
        <v>0</v>
      </c>
      <c r="DR37" s="257">
        <f t="shared" si="36"/>
        <v>0</v>
      </c>
      <c r="DS37" s="257">
        <f t="shared" si="37"/>
        <v>0</v>
      </c>
      <c r="DT37" s="257">
        <f t="shared" si="38"/>
        <v>0</v>
      </c>
      <c r="DU37" s="257">
        <f t="shared" si="39"/>
        <v>0</v>
      </c>
      <c r="DV37" s="257">
        <f t="shared" si="40"/>
        <v>0</v>
      </c>
      <c r="DW37" s="257">
        <f t="shared" si="41"/>
        <v>0</v>
      </c>
      <c r="DX37" s="223"/>
      <c r="DY37" s="223"/>
      <c r="DZ37" s="223"/>
      <c r="EA37" s="289">
        <f t="shared" si="42"/>
        <v>0</v>
      </c>
      <c r="EB37" s="257">
        <f t="shared" si="43"/>
        <v>0</v>
      </c>
      <c r="EC37" s="257">
        <f t="shared" si="44"/>
        <v>0</v>
      </c>
      <c r="ED37" s="257">
        <f t="shared" si="45"/>
        <v>0</v>
      </c>
      <c r="EE37" s="575">
        <f t="shared" si="46"/>
        <v>3</v>
      </c>
      <c r="EF37" s="506">
        <f t="shared" si="47"/>
        <v>0</v>
      </c>
      <c r="EG37" s="39" t="str">
        <f t="shared" si="48"/>
        <v/>
      </c>
      <c r="EH37" s="257">
        <f t="shared" si="49"/>
        <v>0</v>
      </c>
      <c r="EI37" s="257">
        <f t="shared" si="50"/>
        <v>0</v>
      </c>
      <c r="EJ37" s="257">
        <f t="shared" si="51"/>
        <v>0</v>
      </c>
      <c r="EK37" s="575">
        <f t="shared" si="52"/>
        <v>3</v>
      </c>
      <c r="EL37" s="506">
        <f t="shared" si="53"/>
        <v>0</v>
      </c>
      <c r="EM37" s="39" t="str">
        <f t="shared" si="54"/>
        <v/>
      </c>
      <c r="EN37" s="257">
        <f t="shared" si="55"/>
        <v>0</v>
      </c>
      <c r="EO37" s="257">
        <f t="shared" si="56"/>
        <v>0</v>
      </c>
      <c r="EP37" s="257">
        <f t="shared" si="57"/>
        <v>0</v>
      </c>
      <c r="EQ37" s="575">
        <f t="shared" si="58"/>
        <v>3</v>
      </c>
      <c r="ER37" s="506">
        <f t="shared" si="59"/>
        <v>0</v>
      </c>
      <c r="ES37" s="39" t="str">
        <f t="shared" si="60"/>
        <v/>
      </c>
      <c r="ET37" s="257">
        <f t="shared" si="61"/>
        <v>0</v>
      </c>
      <c r="EU37" s="257">
        <f t="shared" si="62"/>
        <v>0</v>
      </c>
      <c r="EV37" s="257">
        <f t="shared" si="63"/>
        <v>0</v>
      </c>
      <c r="EW37" s="575">
        <f t="shared" si="64"/>
        <v>3</v>
      </c>
      <c r="EX37" s="506">
        <f t="shared" si="65"/>
        <v>0</v>
      </c>
      <c r="EY37" s="39" t="str">
        <f t="shared" si="66"/>
        <v/>
      </c>
      <c r="EZ37" s="257">
        <f t="shared" si="67"/>
        <v>0</v>
      </c>
      <c r="FA37" s="257">
        <f t="shared" si="68"/>
        <v>0</v>
      </c>
      <c r="FB37" s="257">
        <f t="shared" si="69"/>
        <v>0</v>
      </c>
      <c r="FC37" s="575">
        <f t="shared" si="70"/>
        <v>3</v>
      </c>
      <c r="FD37" s="506">
        <f t="shared" si="71"/>
        <v>0</v>
      </c>
      <c r="FE37" s="39" t="str">
        <f t="shared" si="72"/>
        <v/>
      </c>
      <c r="FF37" s="257">
        <f t="shared" si="73"/>
        <v>0</v>
      </c>
      <c r="FG37" s="257">
        <f t="shared" si="74"/>
        <v>0</v>
      </c>
      <c r="FH37" s="257">
        <f t="shared" si="75"/>
        <v>0</v>
      </c>
      <c r="FI37" s="575">
        <f t="shared" si="76"/>
        <v>3</v>
      </c>
      <c r="FJ37" s="506">
        <f t="shared" si="77"/>
        <v>0</v>
      </c>
      <c r="FK37" s="39" t="str">
        <f t="shared" si="78"/>
        <v/>
      </c>
      <c r="FL37" s="257">
        <f t="shared" si="79"/>
        <v>0</v>
      </c>
      <c r="FM37" s="257">
        <f t="shared" si="80"/>
        <v>0</v>
      </c>
      <c r="FN37" s="257">
        <f t="shared" si="81"/>
        <v>0</v>
      </c>
      <c r="FO37" s="575">
        <f t="shared" si="82"/>
        <v>3</v>
      </c>
      <c r="FP37" s="506">
        <f t="shared" si="83"/>
        <v>0</v>
      </c>
      <c r="FQ37" s="39" t="str">
        <f t="shared" si="84"/>
        <v/>
      </c>
      <c r="FR37" s="39"/>
      <c r="FS37" s="39" t="str">
        <f t="shared" si="85"/>
        <v/>
      </c>
      <c r="FT37" s="39" t="str">
        <f t="shared" si="86"/>
        <v/>
      </c>
      <c r="FU37" s="39" t="str">
        <f t="shared" si="87"/>
        <v/>
      </c>
      <c r="FV37" s="39" t="str">
        <f t="shared" si="88"/>
        <v/>
      </c>
      <c r="FW37" s="39" t="str">
        <f t="shared" si="89"/>
        <v/>
      </c>
      <c r="FX37" s="39" t="str">
        <f t="shared" si="90"/>
        <v/>
      </c>
      <c r="FY37" s="257" t="str">
        <f t="shared" si="91"/>
        <v/>
      </c>
      <c r="FZ37" s="569" t="str">
        <f t="shared" si="92"/>
        <v xml:space="preserve"> </v>
      </c>
      <c r="GA37" s="289">
        <f t="shared" si="93"/>
        <v>0</v>
      </c>
      <c r="GB37" s="289">
        <f t="shared" si="94"/>
        <v>0</v>
      </c>
      <c r="GC37" s="289">
        <f>SISWA!E35</f>
        <v>0</v>
      </c>
      <c r="GD37" s="223" t="str">
        <f t="shared" si="95"/>
        <v/>
      </c>
      <c r="GE37" s="580" t="str">
        <f t="shared" si="96"/>
        <v/>
      </c>
      <c r="GF37" s="580" t="str">
        <f t="shared" si="97"/>
        <v/>
      </c>
      <c r="GG37" s="580" t="str">
        <f t="shared" si="98"/>
        <v/>
      </c>
      <c r="GH37" s="580" t="str">
        <f t="shared" si="99"/>
        <v/>
      </c>
      <c r="GI37" s="580" t="str">
        <f t="shared" si="100"/>
        <v/>
      </c>
      <c r="GJ37" s="580" t="str">
        <f t="shared" si="101"/>
        <v/>
      </c>
      <c r="GK37" s="580" t="str">
        <f t="shared" si="102"/>
        <v/>
      </c>
      <c r="GL37" s="580"/>
      <c r="GM37" s="580"/>
      <c r="GN37" s="580"/>
      <c r="GO37" s="580"/>
      <c r="GP37" s="223">
        <f t="shared" si="103"/>
        <v>0</v>
      </c>
      <c r="GQ37" s="289" t="e">
        <f t="shared" si="104"/>
        <v>#N/A</v>
      </c>
      <c r="GR37" s="576" t="e">
        <f>IF(GA37&gt;100,"",IF(GA37&gt;CU$1,"sangat baik dalam "&amp;GQ37,IF(GA37&gt;=CU$2,"baik dalam "&amp;GQ37,IF(GA37&gt;=CU$3,"cukup dalam "&amp;GQ37,IF(GA37&lt;CU$3,"dengan bimbingan dapat meningkatkan dalam "&amp;GQ37,IF(GA37&lt;1," ",””))))))</f>
        <v>#N/A</v>
      </c>
      <c r="GS37" s="223"/>
      <c r="GT37" s="223" t="str">
        <f t="shared" si="105"/>
        <v/>
      </c>
      <c r="GU37" s="223" t="str">
        <f t="shared" si="106"/>
        <v/>
      </c>
      <c r="GV37" s="223" t="str">
        <f t="shared" si="107"/>
        <v/>
      </c>
      <c r="GW37" s="223" t="str">
        <f t="shared" si="108"/>
        <v/>
      </c>
      <c r="GX37" s="223" t="str">
        <f t="shared" si="109"/>
        <v/>
      </c>
      <c r="GY37" s="223" t="str">
        <f t="shared" si="110"/>
        <v/>
      </c>
      <c r="GZ37" s="223" t="str">
        <f t="shared" si="111"/>
        <v/>
      </c>
      <c r="HA37" s="223"/>
      <c r="HB37" s="223"/>
      <c r="HC37" s="223"/>
      <c r="HD37" s="223"/>
      <c r="HE37" s="223" t="e">
        <f t="shared" si="112"/>
        <v>#N/A</v>
      </c>
      <c r="HF37" s="576" t="e">
        <f>IF(GB37&gt;100,"",IF(GB37&gt;CU$1,"sangat baik dalam "&amp;HE37,IF(GB37&gt;=CU$2,"baik dalam "&amp;HE37,IF(GB37&gt;=CU$3,"cukup dalam "&amp;HE37,IF(GB37&lt;CU$3,"dengan bimbingan dapat meningkatkan dalam "&amp;HE37,IF(GB37&lt;1," ",””))))))</f>
        <v>#N/A</v>
      </c>
      <c r="HG37" s="223" t="e">
        <f t="shared" si="113"/>
        <v>#N/A</v>
      </c>
    </row>
    <row r="38" spans="1:215">
      <c r="A38" s="39">
        <v>31</v>
      </c>
      <c r="B38" s="223">
        <f>SISWA!B36</f>
        <v>0</v>
      </c>
      <c r="C38" s="123"/>
      <c r="D38" s="123"/>
      <c r="E38" s="123"/>
      <c r="F38" s="123"/>
      <c r="G38" s="123"/>
      <c r="H38" s="123"/>
      <c r="I38" s="123"/>
      <c r="J38" s="255"/>
      <c r="K38" s="255"/>
      <c r="L38" s="255"/>
      <c r="M38" s="255"/>
      <c r="N38" s="255"/>
      <c r="O38" s="255"/>
      <c r="P38" s="255"/>
      <c r="Q38" s="256"/>
      <c r="R38" s="256"/>
      <c r="S38" s="256"/>
      <c r="T38" s="256"/>
      <c r="U38" s="256"/>
      <c r="V38" s="256"/>
      <c r="W38" s="256"/>
      <c r="X38" s="123"/>
      <c r="Y38" s="123"/>
      <c r="Z38" s="123"/>
      <c r="AA38" s="123"/>
      <c r="AB38" s="123"/>
      <c r="AC38" s="123"/>
      <c r="AD38" s="123"/>
      <c r="AE38" s="255"/>
      <c r="AF38" s="255"/>
      <c r="AG38" s="255"/>
      <c r="AH38" s="255"/>
      <c r="AI38" s="255"/>
      <c r="AJ38" s="255"/>
      <c r="AK38" s="255"/>
      <c r="AL38" s="256"/>
      <c r="AM38" s="256"/>
      <c r="AN38" s="256"/>
      <c r="AO38" s="256"/>
      <c r="AP38" s="256"/>
      <c r="AQ38" s="256"/>
      <c r="AR38" s="256"/>
      <c r="AS38" s="123"/>
      <c r="AT38" s="123"/>
      <c r="AU38" s="123"/>
      <c r="AV38" s="123"/>
      <c r="AW38" s="123"/>
      <c r="AX38" s="123"/>
      <c r="AY38" s="123"/>
      <c r="AZ38" s="255"/>
      <c r="BA38" s="255"/>
      <c r="BB38" s="255"/>
      <c r="BC38" s="255"/>
      <c r="BD38" s="255"/>
      <c r="BE38" s="255"/>
      <c r="BF38" s="255"/>
      <c r="BG38" s="256"/>
      <c r="BH38" s="256"/>
      <c r="BI38" s="256"/>
      <c r="BJ38" s="256"/>
      <c r="BK38" s="256"/>
      <c r="BL38" s="256"/>
      <c r="BM38" s="256"/>
      <c r="BN38" s="123"/>
      <c r="BO38" s="123"/>
      <c r="BP38" s="123"/>
      <c r="BQ38" s="123"/>
      <c r="BR38" s="123"/>
      <c r="BS38" s="123"/>
      <c r="BT38" s="123"/>
      <c r="BU38" s="255"/>
      <c r="BV38" s="255"/>
      <c r="BW38" s="255"/>
      <c r="BX38" s="255"/>
      <c r="BY38" s="255"/>
      <c r="BZ38" s="255"/>
      <c r="CA38" s="255"/>
      <c r="CB38" s="256"/>
      <c r="CC38" s="256"/>
      <c r="CD38" s="256"/>
      <c r="CE38" s="256"/>
      <c r="CF38" s="256"/>
      <c r="CG38" s="256"/>
      <c r="CH38" s="256"/>
      <c r="CI38" s="257" t="str">
        <f t="shared" si="10"/>
        <v/>
      </c>
      <c r="CJ38" s="257" t="str">
        <f t="shared" si="11"/>
        <v/>
      </c>
      <c r="CK38" s="257" t="str">
        <f t="shared" si="12"/>
        <v/>
      </c>
      <c r="CL38" s="257" t="str">
        <f t="shared" si="13"/>
        <v/>
      </c>
      <c r="CM38" s="257" t="str">
        <f t="shared" si="14"/>
        <v/>
      </c>
      <c r="CN38" s="257" t="str">
        <f t="shared" si="15"/>
        <v/>
      </c>
      <c r="CO38" s="257" t="str">
        <f t="shared" si="16"/>
        <v/>
      </c>
      <c r="CP38" s="756" t="str">
        <f t="shared" si="16"/>
        <v xml:space="preserve"> </v>
      </c>
      <c r="CQ38" s="291" t="str">
        <f t="shared" si="17"/>
        <v xml:space="preserve">  </v>
      </c>
      <c r="CR38" s="243" t="str">
        <f t="shared" si="18"/>
        <v xml:space="preserve"> </v>
      </c>
      <c r="CS38" s="39"/>
      <c r="CT38" s="39"/>
      <c r="CU38" s="257">
        <f t="shared" si="19"/>
        <v>0</v>
      </c>
      <c r="CV38" s="257">
        <f t="shared" si="20"/>
        <v>0</v>
      </c>
      <c r="CW38" s="257">
        <f t="shared" si="21"/>
        <v>0</v>
      </c>
      <c r="CX38" s="257">
        <f t="shared" si="22"/>
        <v>0</v>
      </c>
      <c r="CY38" s="257">
        <f t="shared" si="23"/>
        <v>0</v>
      </c>
      <c r="CZ38" s="257">
        <f t="shared" si="24"/>
        <v>0</v>
      </c>
      <c r="DA38" s="257">
        <f t="shared" si="25"/>
        <v>0</v>
      </c>
      <c r="DB38" s="257"/>
      <c r="DC38" s="257"/>
      <c r="DD38" s="257"/>
      <c r="DE38" s="289">
        <f t="shared" si="26"/>
        <v>0</v>
      </c>
      <c r="DF38" s="257">
        <f t="shared" si="27"/>
        <v>0</v>
      </c>
      <c r="DG38" s="257">
        <f t="shared" si="28"/>
        <v>0</v>
      </c>
      <c r="DH38" s="257">
        <f t="shared" si="29"/>
        <v>0</v>
      </c>
      <c r="DI38" s="257">
        <f t="shared" si="30"/>
        <v>0</v>
      </c>
      <c r="DJ38" s="257">
        <f t="shared" si="31"/>
        <v>0</v>
      </c>
      <c r="DK38" s="257">
        <f t="shared" si="32"/>
        <v>0</v>
      </c>
      <c r="DL38" s="257">
        <f t="shared" si="33"/>
        <v>0</v>
      </c>
      <c r="DM38" s="223"/>
      <c r="DN38" s="223"/>
      <c r="DO38" s="223"/>
      <c r="DP38" s="289">
        <f t="shared" si="34"/>
        <v>0</v>
      </c>
      <c r="DQ38" s="257">
        <f t="shared" si="35"/>
        <v>0</v>
      </c>
      <c r="DR38" s="257">
        <f t="shared" si="36"/>
        <v>0</v>
      </c>
      <c r="DS38" s="257">
        <f t="shared" si="37"/>
        <v>0</v>
      </c>
      <c r="DT38" s="257">
        <f t="shared" si="38"/>
        <v>0</v>
      </c>
      <c r="DU38" s="257">
        <f t="shared" si="39"/>
        <v>0</v>
      </c>
      <c r="DV38" s="257">
        <f t="shared" si="40"/>
        <v>0</v>
      </c>
      <c r="DW38" s="257">
        <f t="shared" si="41"/>
        <v>0</v>
      </c>
      <c r="DX38" s="223"/>
      <c r="DY38" s="223"/>
      <c r="DZ38" s="223"/>
      <c r="EA38" s="289">
        <f t="shared" si="42"/>
        <v>0</v>
      </c>
      <c r="EB38" s="257">
        <f t="shared" si="43"/>
        <v>0</v>
      </c>
      <c r="EC38" s="257">
        <f t="shared" si="44"/>
        <v>0</v>
      </c>
      <c r="ED38" s="257">
        <f t="shared" si="45"/>
        <v>0</v>
      </c>
      <c r="EE38" s="575">
        <f t="shared" si="46"/>
        <v>3</v>
      </c>
      <c r="EF38" s="506">
        <f t="shared" si="47"/>
        <v>0</v>
      </c>
      <c r="EG38" s="39" t="str">
        <f t="shared" si="48"/>
        <v/>
      </c>
      <c r="EH38" s="257">
        <f t="shared" si="49"/>
        <v>0</v>
      </c>
      <c r="EI38" s="257">
        <f t="shared" si="50"/>
        <v>0</v>
      </c>
      <c r="EJ38" s="257">
        <f t="shared" si="51"/>
        <v>0</v>
      </c>
      <c r="EK38" s="575">
        <f t="shared" si="52"/>
        <v>3</v>
      </c>
      <c r="EL38" s="506">
        <f t="shared" si="53"/>
        <v>0</v>
      </c>
      <c r="EM38" s="39" t="str">
        <f t="shared" si="54"/>
        <v/>
      </c>
      <c r="EN38" s="257">
        <f t="shared" si="55"/>
        <v>0</v>
      </c>
      <c r="EO38" s="257">
        <f t="shared" si="56"/>
        <v>0</v>
      </c>
      <c r="EP38" s="257">
        <f t="shared" si="57"/>
        <v>0</v>
      </c>
      <c r="EQ38" s="575">
        <f t="shared" si="58"/>
        <v>3</v>
      </c>
      <c r="ER38" s="506">
        <f t="shared" si="59"/>
        <v>0</v>
      </c>
      <c r="ES38" s="39" t="str">
        <f t="shared" si="60"/>
        <v/>
      </c>
      <c r="ET38" s="257">
        <f t="shared" si="61"/>
        <v>0</v>
      </c>
      <c r="EU38" s="257">
        <f t="shared" si="62"/>
        <v>0</v>
      </c>
      <c r="EV38" s="257">
        <f t="shared" si="63"/>
        <v>0</v>
      </c>
      <c r="EW38" s="575">
        <f t="shared" si="64"/>
        <v>3</v>
      </c>
      <c r="EX38" s="506">
        <f t="shared" si="65"/>
        <v>0</v>
      </c>
      <c r="EY38" s="39" t="str">
        <f t="shared" si="66"/>
        <v/>
      </c>
      <c r="EZ38" s="257">
        <f t="shared" si="67"/>
        <v>0</v>
      </c>
      <c r="FA38" s="257">
        <f t="shared" si="68"/>
        <v>0</v>
      </c>
      <c r="FB38" s="257">
        <f t="shared" si="69"/>
        <v>0</v>
      </c>
      <c r="FC38" s="575">
        <f t="shared" si="70"/>
        <v>3</v>
      </c>
      <c r="FD38" s="506">
        <f t="shared" si="71"/>
        <v>0</v>
      </c>
      <c r="FE38" s="39" t="str">
        <f t="shared" si="72"/>
        <v/>
      </c>
      <c r="FF38" s="257">
        <f t="shared" si="73"/>
        <v>0</v>
      </c>
      <c r="FG38" s="257">
        <f t="shared" si="74"/>
        <v>0</v>
      </c>
      <c r="FH38" s="257">
        <f t="shared" si="75"/>
        <v>0</v>
      </c>
      <c r="FI38" s="575">
        <f t="shared" si="76"/>
        <v>3</v>
      </c>
      <c r="FJ38" s="506">
        <f t="shared" si="77"/>
        <v>0</v>
      </c>
      <c r="FK38" s="39" t="str">
        <f t="shared" si="78"/>
        <v/>
      </c>
      <c r="FL38" s="257">
        <f t="shared" si="79"/>
        <v>0</v>
      </c>
      <c r="FM38" s="257">
        <f t="shared" si="80"/>
        <v>0</v>
      </c>
      <c r="FN38" s="257">
        <f t="shared" si="81"/>
        <v>0</v>
      </c>
      <c r="FO38" s="575">
        <f t="shared" si="82"/>
        <v>3</v>
      </c>
      <c r="FP38" s="506">
        <f t="shared" si="83"/>
        <v>0</v>
      </c>
      <c r="FQ38" s="39" t="str">
        <f t="shared" si="84"/>
        <v/>
      </c>
      <c r="FR38" s="39"/>
      <c r="FS38" s="39" t="str">
        <f t="shared" si="85"/>
        <v/>
      </c>
      <c r="FT38" s="39" t="str">
        <f t="shared" si="86"/>
        <v/>
      </c>
      <c r="FU38" s="39" t="str">
        <f t="shared" si="87"/>
        <v/>
      </c>
      <c r="FV38" s="39" t="str">
        <f t="shared" si="88"/>
        <v/>
      </c>
      <c r="FW38" s="39" t="str">
        <f t="shared" si="89"/>
        <v/>
      </c>
      <c r="FX38" s="39" t="str">
        <f t="shared" si="90"/>
        <v/>
      </c>
      <c r="FY38" s="257" t="str">
        <f t="shared" si="91"/>
        <v/>
      </c>
      <c r="FZ38" s="569" t="str">
        <f t="shared" si="92"/>
        <v xml:space="preserve"> </v>
      </c>
      <c r="GA38" s="289">
        <f t="shared" si="93"/>
        <v>0</v>
      </c>
      <c r="GB38" s="289">
        <f t="shared" si="94"/>
        <v>0</v>
      </c>
      <c r="GC38" s="289">
        <f>SISWA!E36</f>
        <v>0</v>
      </c>
      <c r="GD38" s="223" t="str">
        <f t="shared" si="95"/>
        <v/>
      </c>
      <c r="GE38" s="580" t="str">
        <f t="shared" si="96"/>
        <v/>
      </c>
      <c r="GF38" s="580" t="str">
        <f t="shared" si="97"/>
        <v/>
      </c>
      <c r="GG38" s="580" t="str">
        <f t="shared" si="98"/>
        <v/>
      </c>
      <c r="GH38" s="580" t="str">
        <f t="shared" si="99"/>
        <v/>
      </c>
      <c r="GI38" s="580" t="str">
        <f t="shared" si="100"/>
        <v/>
      </c>
      <c r="GJ38" s="580" t="str">
        <f t="shared" si="101"/>
        <v/>
      </c>
      <c r="GK38" s="580" t="str">
        <f t="shared" si="102"/>
        <v/>
      </c>
      <c r="GL38" s="580"/>
      <c r="GM38" s="580"/>
      <c r="GN38" s="580"/>
      <c r="GO38" s="580"/>
      <c r="GP38" s="223">
        <f t="shared" si="103"/>
        <v>0</v>
      </c>
      <c r="GQ38" s="289" t="e">
        <f t="shared" si="104"/>
        <v>#N/A</v>
      </c>
      <c r="GR38" s="576" t="e">
        <f>IF(GA38&gt;100,"",IF(GA38&gt;CU$1,"sangat baik dalam "&amp;GQ38,IF(GA38&gt;=CU$2,"baik dalam "&amp;GQ38,IF(GA38&gt;=CU$3,"cukup dalam "&amp;GQ38,IF(GA38&lt;CU$3,"dengan bimbingan dapat meningkatkan dalam "&amp;GQ38,IF(GA38&lt;1," ",””))))))</f>
        <v>#N/A</v>
      </c>
      <c r="GS38" s="223"/>
      <c r="GT38" s="223" t="str">
        <f t="shared" si="105"/>
        <v/>
      </c>
      <c r="GU38" s="223" t="str">
        <f t="shared" si="106"/>
        <v/>
      </c>
      <c r="GV38" s="223" t="str">
        <f t="shared" si="107"/>
        <v/>
      </c>
      <c r="GW38" s="223" t="str">
        <f t="shared" si="108"/>
        <v/>
      </c>
      <c r="GX38" s="223" t="str">
        <f t="shared" si="109"/>
        <v/>
      </c>
      <c r="GY38" s="223" t="str">
        <f t="shared" si="110"/>
        <v/>
      </c>
      <c r="GZ38" s="223" t="str">
        <f t="shared" si="111"/>
        <v/>
      </c>
      <c r="HA38" s="223"/>
      <c r="HB38" s="223"/>
      <c r="HC38" s="223"/>
      <c r="HD38" s="223"/>
      <c r="HE38" s="223" t="e">
        <f t="shared" si="112"/>
        <v>#N/A</v>
      </c>
      <c r="HF38" s="576" t="e">
        <f>IF(GB38&gt;100,"",IF(GB38&gt;CU$1,"sangat baik dalam "&amp;HE38,IF(GB38&gt;=CU$2,"baik dalam "&amp;HE38,IF(GB38&gt;=CU$3,"cukup dalam "&amp;HE38,IF(GB38&lt;CU$3,"dengan bimbingan dapat meningkatkan dalam "&amp;HE38,IF(GB38&lt;1," ",””))))))</f>
        <v>#N/A</v>
      </c>
      <c r="HG38" s="223" t="e">
        <f t="shared" si="113"/>
        <v>#N/A</v>
      </c>
    </row>
    <row r="39" spans="1:215">
      <c r="A39" s="39">
        <v>32</v>
      </c>
      <c r="B39" s="223">
        <f>SISWA!B37</f>
        <v>0</v>
      </c>
      <c r="C39" s="123"/>
      <c r="D39" s="123"/>
      <c r="E39" s="123"/>
      <c r="F39" s="123"/>
      <c r="G39" s="123"/>
      <c r="H39" s="123"/>
      <c r="I39" s="123"/>
      <c r="J39" s="255"/>
      <c r="K39" s="255"/>
      <c r="L39" s="255"/>
      <c r="M39" s="255"/>
      <c r="N39" s="255"/>
      <c r="O39" s="255"/>
      <c r="P39" s="255"/>
      <c r="Q39" s="256"/>
      <c r="R39" s="256"/>
      <c r="S39" s="256"/>
      <c r="T39" s="256"/>
      <c r="U39" s="256"/>
      <c r="V39" s="256"/>
      <c r="W39" s="256"/>
      <c r="X39" s="123"/>
      <c r="Y39" s="123"/>
      <c r="Z39" s="123"/>
      <c r="AA39" s="123"/>
      <c r="AB39" s="123"/>
      <c r="AC39" s="123"/>
      <c r="AD39" s="123"/>
      <c r="AE39" s="255"/>
      <c r="AF39" s="255"/>
      <c r="AG39" s="255"/>
      <c r="AH39" s="255"/>
      <c r="AI39" s="255"/>
      <c r="AJ39" s="255"/>
      <c r="AK39" s="255"/>
      <c r="AL39" s="256"/>
      <c r="AM39" s="256"/>
      <c r="AN39" s="256"/>
      <c r="AO39" s="256"/>
      <c r="AP39" s="256"/>
      <c r="AQ39" s="256"/>
      <c r="AR39" s="256"/>
      <c r="AS39" s="123"/>
      <c r="AT39" s="123"/>
      <c r="AU39" s="123"/>
      <c r="AV39" s="123"/>
      <c r="AW39" s="123"/>
      <c r="AX39" s="123"/>
      <c r="AY39" s="123"/>
      <c r="AZ39" s="255"/>
      <c r="BA39" s="255"/>
      <c r="BB39" s="255"/>
      <c r="BC39" s="255"/>
      <c r="BD39" s="255"/>
      <c r="BE39" s="255"/>
      <c r="BF39" s="255"/>
      <c r="BG39" s="256"/>
      <c r="BH39" s="256"/>
      <c r="BI39" s="256"/>
      <c r="BJ39" s="256"/>
      <c r="BK39" s="256"/>
      <c r="BL39" s="256"/>
      <c r="BM39" s="256"/>
      <c r="BN39" s="123"/>
      <c r="BO39" s="123"/>
      <c r="BP39" s="123"/>
      <c r="BQ39" s="123"/>
      <c r="BR39" s="123"/>
      <c r="BS39" s="123"/>
      <c r="BT39" s="123"/>
      <c r="BU39" s="255"/>
      <c r="BV39" s="255"/>
      <c r="BW39" s="255"/>
      <c r="BX39" s="255"/>
      <c r="BY39" s="255"/>
      <c r="BZ39" s="255"/>
      <c r="CA39" s="255"/>
      <c r="CB39" s="256"/>
      <c r="CC39" s="256"/>
      <c r="CD39" s="256"/>
      <c r="CE39" s="256"/>
      <c r="CF39" s="256"/>
      <c r="CG39" s="256"/>
      <c r="CH39" s="256"/>
      <c r="CI39" s="257" t="str">
        <f t="shared" si="10"/>
        <v/>
      </c>
      <c r="CJ39" s="257" t="str">
        <f t="shared" si="11"/>
        <v/>
      </c>
      <c r="CK39" s="257" t="str">
        <f t="shared" si="12"/>
        <v/>
      </c>
      <c r="CL39" s="257" t="str">
        <f t="shared" si="13"/>
        <v/>
      </c>
      <c r="CM39" s="257" t="str">
        <f t="shared" si="14"/>
        <v/>
      </c>
      <c r="CN39" s="257" t="str">
        <f t="shared" si="15"/>
        <v/>
      </c>
      <c r="CO39" s="257" t="str">
        <f t="shared" si="16"/>
        <v/>
      </c>
      <c r="CP39" s="756" t="str">
        <f t="shared" si="16"/>
        <v xml:space="preserve"> </v>
      </c>
      <c r="CQ39" s="291" t="str">
        <f t="shared" si="17"/>
        <v xml:space="preserve">  </v>
      </c>
      <c r="CR39" s="243" t="str">
        <f t="shared" si="18"/>
        <v xml:space="preserve"> </v>
      </c>
      <c r="CS39" s="39"/>
      <c r="CT39" s="39"/>
      <c r="CU39" s="257">
        <f t="shared" si="19"/>
        <v>0</v>
      </c>
      <c r="CV39" s="257">
        <f t="shared" si="20"/>
        <v>0</v>
      </c>
      <c r="CW39" s="257">
        <f t="shared" si="21"/>
        <v>0</v>
      </c>
      <c r="CX39" s="257">
        <f t="shared" si="22"/>
        <v>0</v>
      </c>
      <c r="CY39" s="257">
        <f t="shared" si="23"/>
        <v>0</v>
      </c>
      <c r="CZ39" s="257">
        <f t="shared" si="24"/>
        <v>0</v>
      </c>
      <c r="DA39" s="257">
        <f t="shared" si="25"/>
        <v>0</v>
      </c>
      <c r="DB39" s="257"/>
      <c r="DC39" s="257"/>
      <c r="DD39" s="257"/>
      <c r="DE39" s="289">
        <f t="shared" si="26"/>
        <v>0</v>
      </c>
      <c r="DF39" s="257">
        <f t="shared" si="27"/>
        <v>0</v>
      </c>
      <c r="DG39" s="257">
        <f t="shared" si="28"/>
        <v>0</v>
      </c>
      <c r="DH39" s="257">
        <f t="shared" si="29"/>
        <v>0</v>
      </c>
      <c r="DI39" s="257">
        <f t="shared" si="30"/>
        <v>0</v>
      </c>
      <c r="DJ39" s="257">
        <f t="shared" si="31"/>
        <v>0</v>
      </c>
      <c r="DK39" s="257">
        <f t="shared" si="32"/>
        <v>0</v>
      </c>
      <c r="DL39" s="257">
        <f t="shared" si="33"/>
        <v>0</v>
      </c>
      <c r="DM39" s="223"/>
      <c r="DN39" s="223"/>
      <c r="DO39" s="223"/>
      <c r="DP39" s="289">
        <f t="shared" si="34"/>
        <v>0</v>
      </c>
      <c r="DQ39" s="257">
        <f t="shared" si="35"/>
        <v>0</v>
      </c>
      <c r="DR39" s="257">
        <f t="shared" si="36"/>
        <v>0</v>
      </c>
      <c r="DS39" s="257">
        <f t="shared" si="37"/>
        <v>0</v>
      </c>
      <c r="DT39" s="257">
        <f t="shared" si="38"/>
        <v>0</v>
      </c>
      <c r="DU39" s="257">
        <f t="shared" si="39"/>
        <v>0</v>
      </c>
      <c r="DV39" s="257">
        <f t="shared" si="40"/>
        <v>0</v>
      </c>
      <c r="DW39" s="257">
        <f t="shared" si="41"/>
        <v>0</v>
      </c>
      <c r="DX39" s="223"/>
      <c r="DY39" s="223"/>
      <c r="DZ39" s="223"/>
      <c r="EA39" s="289">
        <f t="shared" si="42"/>
        <v>0</v>
      </c>
      <c r="EB39" s="257">
        <f t="shared" si="43"/>
        <v>0</v>
      </c>
      <c r="EC39" s="257">
        <f t="shared" si="44"/>
        <v>0</v>
      </c>
      <c r="ED39" s="257">
        <f t="shared" si="45"/>
        <v>0</v>
      </c>
      <c r="EE39" s="575">
        <f t="shared" si="46"/>
        <v>3</v>
      </c>
      <c r="EF39" s="506">
        <f t="shared" si="47"/>
        <v>0</v>
      </c>
      <c r="EG39" s="39" t="str">
        <f t="shared" si="48"/>
        <v/>
      </c>
      <c r="EH39" s="257">
        <f t="shared" si="49"/>
        <v>0</v>
      </c>
      <c r="EI39" s="257">
        <f t="shared" si="50"/>
        <v>0</v>
      </c>
      <c r="EJ39" s="257">
        <f t="shared" si="51"/>
        <v>0</v>
      </c>
      <c r="EK39" s="575">
        <f t="shared" si="52"/>
        <v>3</v>
      </c>
      <c r="EL39" s="506">
        <f t="shared" si="53"/>
        <v>0</v>
      </c>
      <c r="EM39" s="39" t="str">
        <f t="shared" si="54"/>
        <v/>
      </c>
      <c r="EN39" s="257">
        <f t="shared" si="55"/>
        <v>0</v>
      </c>
      <c r="EO39" s="257">
        <f t="shared" si="56"/>
        <v>0</v>
      </c>
      <c r="EP39" s="257">
        <f t="shared" si="57"/>
        <v>0</v>
      </c>
      <c r="EQ39" s="575">
        <f t="shared" si="58"/>
        <v>3</v>
      </c>
      <c r="ER39" s="506">
        <f t="shared" si="59"/>
        <v>0</v>
      </c>
      <c r="ES39" s="39" t="str">
        <f t="shared" si="60"/>
        <v/>
      </c>
      <c r="ET39" s="257">
        <f t="shared" si="61"/>
        <v>0</v>
      </c>
      <c r="EU39" s="257">
        <f t="shared" si="62"/>
        <v>0</v>
      </c>
      <c r="EV39" s="257">
        <f t="shared" si="63"/>
        <v>0</v>
      </c>
      <c r="EW39" s="575">
        <f t="shared" si="64"/>
        <v>3</v>
      </c>
      <c r="EX39" s="506">
        <f t="shared" si="65"/>
        <v>0</v>
      </c>
      <c r="EY39" s="39" t="str">
        <f t="shared" si="66"/>
        <v/>
      </c>
      <c r="EZ39" s="257">
        <f t="shared" si="67"/>
        <v>0</v>
      </c>
      <c r="FA39" s="257">
        <f t="shared" si="68"/>
        <v>0</v>
      </c>
      <c r="FB39" s="257">
        <f t="shared" si="69"/>
        <v>0</v>
      </c>
      <c r="FC39" s="575">
        <f t="shared" si="70"/>
        <v>3</v>
      </c>
      <c r="FD39" s="506">
        <f t="shared" si="71"/>
        <v>0</v>
      </c>
      <c r="FE39" s="39" t="str">
        <f t="shared" si="72"/>
        <v/>
      </c>
      <c r="FF39" s="257">
        <f t="shared" si="73"/>
        <v>0</v>
      </c>
      <c r="FG39" s="257">
        <f t="shared" si="74"/>
        <v>0</v>
      </c>
      <c r="FH39" s="257">
        <f t="shared" si="75"/>
        <v>0</v>
      </c>
      <c r="FI39" s="575">
        <f t="shared" si="76"/>
        <v>3</v>
      </c>
      <c r="FJ39" s="506">
        <f t="shared" si="77"/>
        <v>0</v>
      </c>
      <c r="FK39" s="39" t="str">
        <f t="shared" si="78"/>
        <v/>
      </c>
      <c r="FL39" s="257">
        <f t="shared" si="79"/>
        <v>0</v>
      </c>
      <c r="FM39" s="257">
        <f t="shared" si="80"/>
        <v>0</v>
      </c>
      <c r="FN39" s="257">
        <f t="shared" si="81"/>
        <v>0</v>
      </c>
      <c r="FO39" s="575">
        <f t="shared" si="82"/>
        <v>3</v>
      </c>
      <c r="FP39" s="506">
        <f t="shared" si="83"/>
        <v>0</v>
      </c>
      <c r="FQ39" s="39" t="str">
        <f t="shared" si="84"/>
        <v/>
      </c>
      <c r="FR39" s="39"/>
      <c r="FS39" s="39" t="str">
        <f t="shared" si="85"/>
        <v/>
      </c>
      <c r="FT39" s="39" t="str">
        <f t="shared" si="86"/>
        <v/>
      </c>
      <c r="FU39" s="39" t="str">
        <f t="shared" si="87"/>
        <v/>
      </c>
      <c r="FV39" s="39" t="str">
        <f t="shared" si="88"/>
        <v/>
      </c>
      <c r="FW39" s="39" t="str">
        <f t="shared" si="89"/>
        <v/>
      </c>
      <c r="FX39" s="39" t="str">
        <f t="shared" si="90"/>
        <v/>
      </c>
      <c r="FY39" s="257" t="str">
        <f t="shared" si="91"/>
        <v/>
      </c>
      <c r="FZ39" s="569" t="str">
        <f t="shared" si="92"/>
        <v xml:space="preserve"> </v>
      </c>
      <c r="GA39" s="289">
        <f t="shared" si="93"/>
        <v>0</v>
      </c>
      <c r="GB39" s="289">
        <f t="shared" si="94"/>
        <v>0</v>
      </c>
      <c r="GC39" s="289">
        <f>SISWA!E37</f>
        <v>0</v>
      </c>
      <c r="GD39" s="223" t="str">
        <f t="shared" si="95"/>
        <v/>
      </c>
      <c r="GE39" s="580" t="str">
        <f t="shared" si="96"/>
        <v/>
      </c>
      <c r="GF39" s="580" t="str">
        <f t="shared" si="97"/>
        <v/>
      </c>
      <c r="GG39" s="580" t="str">
        <f t="shared" si="98"/>
        <v/>
      </c>
      <c r="GH39" s="580" t="str">
        <f t="shared" si="99"/>
        <v/>
      </c>
      <c r="GI39" s="580" t="str">
        <f t="shared" si="100"/>
        <v/>
      </c>
      <c r="GJ39" s="580" t="str">
        <f t="shared" si="101"/>
        <v/>
      </c>
      <c r="GK39" s="580" t="str">
        <f t="shared" si="102"/>
        <v/>
      </c>
      <c r="GL39" s="580"/>
      <c r="GM39" s="580"/>
      <c r="GN39" s="580"/>
      <c r="GO39" s="580"/>
      <c r="GP39" s="223">
        <f t="shared" si="103"/>
        <v>0</v>
      </c>
      <c r="GQ39" s="289" t="e">
        <f t="shared" si="104"/>
        <v>#N/A</v>
      </c>
      <c r="GR39" s="576" t="e">
        <f>IF(GA39&gt;100,"",IF(GA39&gt;CU$1,"sangat baik dalam "&amp;GQ39,IF(GA39&gt;=CU$2,"baik dalam "&amp;GQ39,IF(GA39&gt;=CU$3,"cukup dalam "&amp;GQ39,IF(GA39&lt;CU$3,"dengan bimbingan dapat meningkatkan dalam "&amp;GQ39,IF(GA39&lt;1," ",””))))))</f>
        <v>#N/A</v>
      </c>
      <c r="GS39" s="223"/>
      <c r="GT39" s="223" t="str">
        <f t="shared" si="105"/>
        <v/>
      </c>
      <c r="GU39" s="223" t="str">
        <f t="shared" si="106"/>
        <v/>
      </c>
      <c r="GV39" s="223" t="str">
        <f t="shared" si="107"/>
        <v/>
      </c>
      <c r="GW39" s="223" t="str">
        <f t="shared" si="108"/>
        <v/>
      </c>
      <c r="GX39" s="223" t="str">
        <f t="shared" si="109"/>
        <v/>
      </c>
      <c r="GY39" s="223" t="str">
        <f t="shared" si="110"/>
        <v/>
      </c>
      <c r="GZ39" s="223" t="str">
        <f t="shared" si="111"/>
        <v/>
      </c>
      <c r="HA39" s="223"/>
      <c r="HB39" s="223"/>
      <c r="HC39" s="223"/>
      <c r="HD39" s="223"/>
      <c r="HE39" s="223" t="e">
        <f t="shared" si="112"/>
        <v>#N/A</v>
      </c>
      <c r="HF39" s="576" t="e">
        <f>IF(GB39&gt;100,"",IF(GB39&gt;CU$1,"sangat baik dalam "&amp;HE39,IF(GB39&gt;=CU$2,"baik dalam "&amp;HE39,IF(GB39&gt;=CU$3,"cukup dalam "&amp;HE39,IF(GB39&lt;CU$3,"dengan bimbingan dapat meningkatkan dalam "&amp;HE39,IF(GB39&lt;1," ",””))))))</f>
        <v>#N/A</v>
      </c>
      <c r="HG39" s="223" t="e">
        <f t="shared" si="113"/>
        <v>#N/A</v>
      </c>
    </row>
    <row r="40" spans="1:215">
      <c r="A40" s="39">
        <v>33</v>
      </c>
      <c r="B40" s="223">
        <f>SISWA!B38</f>
        <v>0</v>
      </c>
      <c r="C40" s="123"/>
      <c r="D40" s="123"/>
      <c r="E40" s="123"/>
      <c r="F40" s="123"/>
      <c r="G40" s="123"/>
      <c r="H40" s="123"/>
      <c r="I40" s="123"/>
      <c r="J40" s="255"/>
      <c r="K40" s="255"/>
      <c r="L40" s="255"/>
      <c r="M40" s="255"/>
      <c r="N40" s="255"/>
      <c r="O40" s="255"/>
      <c r="P40" s="255"/>
      <c r="Q40" s="256"/>
      <c r="R40" s="256"/>
      <c r="S40" s="256"/>
      <c r="T40" s="256"/>
      <c r="U40" s="256"/>
      <c r="V40" s="256"/>
      <c r="W40" s="256"/>
      <c r="X40" s="123"/>
      <c r="Y40" s="123"/>
      <c r="Z40" s="123"/>
      <c r="AA40" s="123"/>
      <c r="AB40" s="123"/>
      <c r="AC40" s="123"/>
      <c r="AD40" s="123"/>
      <c r="AE40" s="255"/>
      <c r="AF40" s="255"/>
      <c r="AG40" s="255"/>
      <c r="AH40" s="255"/>
      <c r="AI40" s="255"/>
      <c r="AJ40" s="255"/>
      <c r="AK40" s="255"/>
      <c r="AL40" s="256"/>
      <c r="AM40" s="256"/>
      <c r="AN40" s="256"/>
      <c r="AO40" s="256"/>
      <c r="AP40" s="256"/>
      <c r="AQ40" s="256"/>
      <c r="AR40" s="256"/>
      <c r="AS40" s="123"/>
      <c r="AT40" s="123"/>
      <c r="AU40" s="123"/>
      <c r="AV40" s="123"/>
      <c r="AW40" s="123"/>
      <c r="AX40" s="123"/>
      <c r="AY40" s="123"/>
      <c r="AZ40" s="255"/>
      <c r="BA40" s="255"/>
      <c r="BB40" s="255"/>
      <c r="BC40" s="255"/>
      <c r="BD40" s="255"/>
      <c r="BE40" s="255"/>
      <c r="BF40" s="255"/>
      <c r="BG40" s="256"/>
      <c r="BH40" s="256"/>
      <c r="BI40" s="256"/>
      <c r="BJ40" s="256"/>
      <c r="BK40" s="256"/>
      <c r="BL40" s="256"/>
      <c r="BM40" s="256"/>
      <c r="BN40" s="123"/>
      <c r="BO40" s="123"/>
      <c r="BP40" s="123"/>
      <c r="BQ40" s="123"/>
      <c r="BR40" s="123"/>
      <c r="BS40" s="123"/>
      <c r="BT40" s="123"/>
      <c r="BU40" s="255"/>
      <c r="BV40" s="255"/>
      <c r="BW40" s="255"/>
      <c r="BX40" s="255"/>
      <c r="BY40" s="255"/>
      <c r="BZ40" s="255"/>
      <c r="CA40" s="255"/>
      <c r="CB40" s="256"/>
      <c r="CC40" s="256"/>
      <c r="CD40" s="256"/>
      <c r="CE40" s="256"/>
      <c r="CF40" s="256"/>
      <c r="CG40" s="256"/>
      <c r="CH40" s="256"/>
      <c r="CI40" s="257" t="str">
        <f t="shared" si="10"/>
        <v/>
      </c>
      <c r="CJ40" s="257" t="str">
        <f t="shared" si="11"/>
        <v/>
      </c>
      <c r="CK40" s="257" t="str">
        <f t="shared" si="12"/>
        <v/>
      </c>
      <c r="CL40" s="257" t="str">
        <f t="shared" si="13"/>
        <v/>
      </c>
      <c r="CM40" s="257" t="str">
        <f t="shared" si="14"/>
        <v/>
      </c>
      <c r="CN40" s="257" t="str">
        <f t="shared" si="15"/>
        <v/>
      </c>
      <c r="CO40" s="257" t="str">
        <f t="shared" si="16"/>
        <v/>
      </c>
      <c r="CP40" s="756" t="str">
        <f t="shared" si="16"/>
        <v xml:space="preserve"> </v>
      </c>
      <c r="CQ40" s="291" t="str">
        <f t="shared" si="17"/>
        <v xml:space="preserve">  </v>
      </c>
      <c r="CR40" s="243" t="str">
        <f t="shared" si="18"/>
        <v xml:space="preserve"> </v>
      </c>
      <c r="CS40" s="39"/>
      <c r="CT40" s="39"/>
      <c r="CU40" s="257">
        <f t="shared" si="19"/>
        <v>0</v>
      </c>
      <c r="CV40" s="257">
        <f t="shared" si="20"/>
        <v>0</v>
      </c>
      <c r="CW40" s="257">
        <f t="shared" si="21"/>
        <v>0</v>
      </c>
      <c r="CX40" s="257">
        <f t="shared" si="22"/>
        <v>0</v>
      </c>
      <c r="CY40" s="257">
        <f t="shared" si="23"/>
        <v>0</v>
      </c>
      <c r="CZ40" s="257">
        <f t="shared" si="24"/>
        <v>0</v>
      </c>
      <c r="DA40" s="257">
        <f t="shared" si="25"/>
        <v>0</v>
      </c>
      <c r="DB40" s="257"/>
      <c r="DC40" s="257"/>
      <c r="DD40" s="257"/>
      <c r="DE40" s="289">
        <f t="shared" si="26"/>
        <v>0</v>
      </c>
      <c r="DF40" s="257">
        <f t="shared" si="27"/>
        <v>0</v>
      </c>
      <c r="DG40" s="257">
        <f t="shared" si="28"/>
        <v>0</v>
      </c>
      <c r="DH40" s="257">
        <f t="shared" si="29"/>
        <v>0</v>
      </c>
      <c r="DI40" s="257">
        <f t="shared" si="30"/>
        <v>0</v>
      </c>
      <c r="DJ40" s="257">
        <f t="shared" si="31"/>
        <v>0</v>
      </c>
      <c r="DK40" s="257">
        <f t="shared" si="32"/>
        <v>0</v>
      </c>
      <c r="DL40" s="257">
        <f t="shared" si="33"/>
        <v>0</v>
      </c>
      <c r="DM40" s="223"/>
      <c r="DN40" s="223"/>
      <c r="DO40" s="223"/>
      <c r="DP40" s="289">
        <f t="shared" si="34"/>
        <v>0</v>
      </c>
      <c r="DQ40" s="257">
        <f t="shared" si="35"/>
        <v>0</v>
      </c>
      <c r="DR40" s="257">
        <f t="shared" si="36"/>
        <v>0</v>
      </c>
      <c r="DS40" s="257">
        <f t="shared" si="37"/>
        <v>0</v>
      </c>
      <c r="DT40" s="257">
        <f t="shared" si="38"/>
        <v>0</v>
      </c>
      <c r="DU40" s="257">
        <f t="shared" si="39"/>
        <v>0</v>
      </c>
      <c r="DV40" s="257">
        <f t="shared" si="40"/>
        <v>0</v>
      </c>
      <c r="DW40" s="257">
        <f t="shared" si="41"/>
        <v>0</v>
      </c>
      <c r="DX40" s="223"/>
      <c r="DY40" s="223"/>
      <c r="DZ40" s="223"/>
      <c r="EA40" s="289">
        <f t="shared" si="42"/>
        <v>0</v>
      </c>
      <c r="EB40" s="257">
        <f t="shared" si="43"/>
        <v>0</v>
      </c>
      <c r="EC40" s="257">
        <f t="shared" si="44"/>
        <v>0</v>
      </c>
      <c r="ED40" s="257">
        <f t="shared" si="45"/>
        <v>0</v>
      </c>
      <c r="EE40" s="575">
        <f t="shared" si="46"/>
        <v>3</v>
      </c>
      <c r="EF40" s="506">
        <f t="shared" si="47"/>
        <v>0</v>
      </c>
      <c r="EG40" s="39" t="str">
        <f t="shared" si="48"/>
        <v/>
      </c>
      <c r="EH40" s="257">
        <f t="shared" si="49"/>
        <v>0</v>
      </c>
      <c r="EI40" s="257">
        <f t="shared" si="50"/>
        <v>0</v>
      </c>
      <c r="EJ40" s="257">
        <f t="shared" si="51"/>
        <v>0</v>
      </c>
      <c r="EK40" s="575">
        <f t="shared" si="52"/>
        <v>3</v>
      </c>
      <c r="EL40" s="506">
        <f t="shared" si="53"/>
        <v>0</v>
      </c>
      <c r="EM40" s="39" t="str">
        <f t="shared" si="54"/>
        <v/>
      </c>
      <c r="EN40" s="257">
        <f t="shared" si="55"/>
        <v>0</v>
      </c>
      <c r="EO40" s="257">
        <f t="shared" si="56"/>
        <v>0</v>
      </c>
      <c r="EP40" s="257">
        <f t="shared" si="57"/>
        <v>0</v>
      </c>
      <c r="EQ40" s="575">
        <f t="shared" si="58"/>
        <v>3</v>
      </c>
      <c r="ER40" s="506">
        <f t="shared" si="59"/>
        <v>0</v>
      </c>
      <c r="ES40" s="39" t="str">
        <f t="shared" si="60"/>
        <v/>
      </c>
      <c r="ET40" s="257">
        <f t="shared" si="61"/>
        <v>0</v>
      </c>
      <c r="EU40" s="257">
        <f t="shared" si="62"/>
        <v>0</v>
      </c>
      <c r="EV40" s="257">
        <f t="shared" si="63"/>
        <v>0</v>
      </c>
      <c r="EW40" s="575">
        <f t="shared" si="64"/>
        <v>3</v>
      </c>
      <c r="EX40" s="506">
        <f t="shared" si="65"/>
        <v>0</v>
      </c>
      <c r="EY40" s="39" t="str">
        <f t="shared" si="66"/>
        <v/>
      </c>
      <c r="EZ40" s="257">
        <f t="shared" si="67"/>
        <v>0</v>
      </c>
      <c r="FA40" s="257">
        <f t="shared" si="68"/>
        <v>0</v>
      </c>
      <c r="FB40" s="257">
        <f t="shared" si="69"/>
        <v>0</v>
      </c>
      <c r="FC40" s="575">
        <f t="shared" si="70"/>
        <v>3</v>
      </c>
      <c r="FD40" s="506">
        <f t="shared" si="71"/>
        <v>0</v>
      </c>
      <c r="FE40" s="39" t="str">
        <f t="shared" si="72"/>
        <v/>
      </c>
      <c r="FF40" s="257">
        <f t="shared" si="73"/>
        <v>0</v>
      </c>
      <c r="FG40" s="257">
        <f t="shared" si="74"/>
        <v>0</v>
      </c>
      <c r="FH40" s="257">
        <f t="shared" si="75"/>
        <v>0</v>
      </c>
      <c r="FI40" s="575">
        <f t="shared" si="76"/>
        <v>3</v>
      </c>
      <c r="FJ40" s="506">
        <f t="shared" si="77"/>
        <v>0</v>
      </c>
      <c r="FK40" s="39" t="str">
        <f t="shared" si="78"/>
        <v/>
      </c>
      <c r="FL40" s="257">
        <f t="shared" si="79"/>
        <v>0</v>
      </c>
      <c r="FM40" s="257">
        <f t="shared" si="80"/>
        <v>0</v>
      </c>
      <c r="FN40" s="257">
        <f t="shared" si="81"/>
        <v>0</v>
      </c>
      <c r="FO40" s="575">
        <f t="shared" si="82"/>
        <v>3</v>
      </c>
      <c r="FP40" s="506">
        <f t="shared" si="83"/>
        <v>0</v>
      </c>
      <c r="FQ40" s="39" t="str">
        <f t="shared" si="84"/>
        <v/>
      </c>
      <c r="FR40" s="39"/>
      <c r="FS40" s="39" t="str">
        <f t="shared" si="85"/>
        <v/>
      </c>
      <c r="FT40" s="39" t="str">
        <f t="shared" si="86"/>
        <v/>
      </c>
      <c r="FU40" s="39" t="str">
        <f t="shared" si="87"/>
        <v/>
      </c>
      <c r="FV40" s="39" t="str">
        <f t="shared" si="88"/>
        <v/>
      </c>
      <c r="FW40" s="39" t="str">
        <f t="shared" si="89"/>
        <v/>
      </c>
      <c r="FX40" s="39" t="str">
        <f t="shared" si="90"/>
        <v/>
      </c>
      <c r="FY40" s="257" t="str">
        <f t="shared" si="91"/>
        <v/>
      </c>
      <c r="FZ40" s="569" t="str">
        <f t="shared" si="92"/>
        <v xml:space="preserve"> </v>
      </c>
      <c r="GA40" s="289">
        <f t="shared" si="93"/>
        <v>0</v>
      </c>
      <c r="GB40" s="289">
        <f t="shared" si="94"/>
        <v>0</v>
      </c>
      <c r="GC40" s="289">
        <f>SISWA!E38</f>
        <v>0</v>
      </c>
      <c r="GD40" s="223" t="str">
        <f t="shared" si="95"/>
        <v/>
      </c>
      <c r="GE40" s="580" t="str">
        <f t="shared" si="96"/>
        <v/>
      </c>
      <c r="GF40" s="580" t="str">
        <f t="shared" si="97"/>
        <v/>
      </c>
      <c r="GG40" s="580" t="str">
        <f t="shared" si="98"/>
        <v/>
      </c>
      <c r="GH40" s="580" t="str">
        <f t="shared" si="99"/>
        <v/>
      </c>
      <c r="GI40" s="580" t="str">
        <f t="shared" si="100"/>
        <v/>
      </c>
      <c r="GJ40" s="580" t="str">
        <f t="shared" si="101"/>
        <v/>
      </c>
      <c r="GK40" s="580" t="str">
        <f t="shared" si="102"/>
        <v/>
      </c>
      <c r="GL40" s="580"/>
      <c r="GM40" s="580"/>
      <c r="GN40" s="580"/>
      <c r="GO40" s="580"/>
      <c r="GP40" s="223">
        <f t="shared" si="103"/>
        <v>0</v>
      </c>
      <c r="GQ40" s="289" t="e">
        <f t="shared" si="104"/>
        <v>#N/A</v>
      </c>
      <c r="GR40" s="576" t="e">
        <f>IF(GA40&gt;100,"",IF(GA40&gt;CU$1,"sangat baik dalam "&amp;GQ40,IF(GA40&gt;=CU$2,"baik dalam "&amp;GQ40,IF(GA40&gt;=CU$3,"cukup dalam "&amp;GQ40,IF(GA40&lt;CU$3,"dengan bimbingan dapat meningkatkan dalam "&amp;GQ40,IF(GA40&lt;1," ",””))))))</f>
        <v>#N/A</v>
      </c>
      <c r="GS40" s="223"/>
      <c r="GT40" s="223" t="str">
        <f t="shared" si="105"/>
        <v/>
      </c>
      <c r="GU40" s="223" t="str">
        <f t="shared" si="106"/>
        <v/>
      </c>
      <c r="GV40" s="223" t="str">
        <f t="shared" si="107"/>
        <v/>
      </c>
      <c r="GW40" s="223" t="str">
        <f t="shared" si="108"/>
        <v/>
      </c>
      <c r="GX40" s="223" t="str">
        <f t="shared" si="109"/>
        <v/>
      </c>
      <c r="GY40" s="223" t="str">
        <f t="shared" si="110"/>
        <v/>
      </c>
      <c r="GZ40" s="223" t="str">
        <f t="shared" si="111"/>
        <v/>
      </c>
      <c r="HA40" s="223"/>
      <c r="HB40" s="223"/>
      <c r="HC40" s="223"/>
      <c r="HD40" s="223"/>
      <c r="HE40" s="223" t="e">
        <f t="shared" si="112"/>
        <v>#N/A</v>
      </c>
      <c r="HF40" s="576" t="e">
        <f>IF(GB40&gt;100,"",IF(GB40&gt;CU$1,"sangat baik dalam "&amp;HE40,IF(GB40&gt;=CU$2,"baik dalam "&amp;HE40,IF(GB40&gt;=CU$3,"cukup dalam "&amp;HE40,IF(GB40&lt;CU$3,"dengan bimbingan dapat meningkatkan dalam "&amp;HE40,IF(GB40&lt;1," ",””))))))</f>
        <v>#N/A</v>
      </c>
      <c r="HG40" s="223" t="e">
        <f t="shared" si="113"/>
        <v>#N/A</v>
      </c>
    </row>
    <row r="41" spans="1:215">
      <c r="A41" s="39">
        <v>34</v>
      </c>
      <c r="B41" s="223">
        <f>SISWA!B39</f>
        <v>0</v>
      </c>
      <c r="C41" s="123"/>
      <c r="D41" s="123"/>
      <c r="E41" s="123"/>
      <c r="F41" s="123"/>
      <c r="G41" s="123"/>
      <c r="H41" s="123"/>
      <c r="I41" s="123"/>
      <c r="J41" s="255"/>
      <c r="K41" s="255"/>
      <c r="L41" s="255"/>
      <c r="M41" s="255"/>
      <c r="N41" s="255"/>
      <c r="O41" s="255"/>
      <c r="P41" s="255"/>
      <c r="Q41" s="256"/>
      <c r="R41" s="256"/>
      <c r="S41" s="256"/>
      <c r="T41" s="256"/>
      <c r="U41" s="256"/>
      <c r="V41" s="256"/>
      <c r="W41" s="256"/>
      <c r="X41" s="123"/>
      <c r="Y41" s="123"/>
      <c r="Z41" s="123"/>
      <c r="AA41" s="123"/>
      <c r="AB41" s="123"/>
      <c r="AC41" s="123"/>
      <c r="AD41" s="123"/>
      <c r="AE41" s="255"/>
      <c r="AF41" s="255"/>
      <c r="AG41" s="255"/>
      <c r="AH41" s="255"/>
      <c r="AI41" s="255"/>
      <c r="AJ41" s="255"/>
      <c r="AK41" s="255"/>
      <c r="AL41" s="256"/>
      <c r="AM41" s="256"/>
      <c r="AN41" s="256"/>
      <c r="AO41" s="256"/>
      <c r="AP41" s="256"/>
      <c r="AQ41" s="256"/>
      <c r="AR41" s="256"/>
      <c r="AS41" s="123"/>
      <c r="AT41" s="123"/>
      <c r="AU41" s="123"/>
      <c r="AV41" s="123"/>
      <c r="AW41" s="123"/>
      <c r="AX41" s="123"/>
      <c r="AY41" s="123"/>
      <c r="AZ41" s="255"/>
      <c r="BA41" s="255"/>
      <c r="BB41" s="255"/>
      <c r="BC41" s="255"/>
      <c r="BD41" s="255"/>
      <c r="BE41" s="255"/>
      <c r="BF41" s="255"/>
      <c r="BG41" s="256"/>
      <c r="BH41" s="256"/>
      <c r="BI41" s="256"/>
      <c r="BJ41" s="256"/>
      <c r="BK41" s="256"/>
      <c r="BL41" s="256"/>
      <c r="BM41" s="256"/>
      <c r="BN41" s="123"/>
      <c r="BO41" s="123"/>
      <c r="BP41" s="123"/>
      <c r="BQ41" s="123"/>
      <c r="BR41" s="123"/>
      <c r="BS41" s="123"/>
      <c r="BT41" s="123"/>
      <c r="BU41" s="255"/>
      <c r="BV41" s="255"/>
      <c r="BW41" s="255"/>
      <c r="BX41" s="255"/>
      <c r="BY41" s="255"/>
      <c r="BZ41" s="255"/>
      <c r="CA41" s="255"/>
      <c r="CB41" s="256"/>
      <c r="CC41" s="256"/>
      <c r="CD41" s="256"/>
      <c r="CE41" s="256"/>
      <c r="CF41" s="256"/>
      <c r="CG41" s="256"/>
      <c r="CH41" s="256"/>
      <c r="CI41" s="257" t="str">
        <f t="shared" si="10"/>
        <v/>
      </c>
      <c r="CJ41" s="257" t="str">
        <f t="shared" si="11"/>
        <v/>
      </c>
      <c r="CK41" s="257" t="str">
        <f t="shared" si="12"/>
        <v/>
      </c>
      <c r="CL41" s="257" t="str">
        <f t="shared" si="13"/>
        <v/>
      </c>
      <c r="CM41" s="257" t="str">
        <f t="shared" si="14"/>
        <v/>
      </c>
      <c r="CN41" s="257" t="str">
        <f t="shared" si="15"/>
        <v/>
      </c>
      <c r="CO41" s="257" t="str">
        <f t="shared" si="16"/>
        <v/>
      </c>
      <c r="CP41" s="756" t="str">
        <f t="shared" si="16"/>
        <v xml:space="preserve"> </v>
      </c>
      <c r="CQ41" s="291" t="str">
        <f t="shared" si="17"/>
        <v xml:space="preserve">  </v>
      </c>
      <c r="CR41" s="243" t="str">
        <f t="shared" si="18"/>
        <v xml:space="preserve"> </v>
      </c>
      <c r="CS41" s="39"/>
      <c r="CT41" s="39"/>
      <c r="CU41" s="257">
        <f t="shared" si="19"/>
        <v>0</v>
      </c>
      <c r="CV41" s="257">
        <f t="shared" si="20"/>
        <v>0</v>
      </c>
      <c r="CW41" s="257">
        <f t="shared" si="21"/>
        <v>0</v>
      </c>
      <c r="CX41" s="257">
        <f t="shared" si="22"/>
        <v>0</v>
      </c>
      <c r="CY41" s="257">
        <f t="shared" si="23"/>
        <v>0</v>
      </c>
      <c r="CZ41" s="257">
        <f t="shared" si="24"/>
        <v>0</v>
      </c>
      <c r="DA41" s="257">
        <f t="shared" si="25"/>
        <v>0</v>
      </c>
      <c r="DB41" s="257"/>
      <c r="DC41" s="257"/>
      <c r="DD41" s="257"/>
      <c r="DE41" s="289">
        <f t="shared" si="26"/>
        <v>0</v>
      </c>
      <c r="DF41" s="257">
        <f t="shared" si="27"/>
        <v>0</v>
      </c>
      <c r="DG41" s="257">
        <f t="shared" si="28"/>
        <v>0</v>
      </c>
      <c r="DH41" s="257">
        <f t="shared" si="29"/>
        <v>0</v>
      </c>
      <c r="DI41" s="257">
        <f t="shared" si="30"/>
        <v>0</v>
      </c>
      <c r="DJ41" s="257">
        <f t="shared" si="31"/>
        <v>0</v>
      </c>
      <c r="DK41" s="257">
        <f t="shared" si="32"/>
        <v>0</v>
      </c>
      <c r="DL41" s="257">
        <f t="shared" si="33"/>
        <v>0</v>
      </c>
      <c r="DM41" s="223"/>
      <c r="DN41" s="223"/>
      <c r="DO41" s="223"/>
      <c r="DP41" s="289">
        <f t="shared" si="34"/>
        <v>0</v>
      </c>
      <c r="DQ41" s="257">
        <f t="shared" si="35"/>
        <v>0</v>
      </c>
      <c r="DR41" s="257">
        <f t="shared" si="36"/>
        <v>0</v>
      </c>
      <c r="DS41" s="257">
        <f t="shared" si="37"/>
        <v>0</v>
      </c>
      <c r="DT41" s="257">
        <f t="shared" si="38"/>
        <v>0</v>
      </c>
      <c r="DU41" s="257">
        <f t="shared" si="39"/>
        <v>0</v>
      </c>
      <c r="DV41" s="257">
        <f t="shared" si="40"/>
        <v>0</v>
      </c>
      <c r="DW41" s="257">
        <f t="shared" si="41"/>
        <v>0</v>
      </c>
      <c r="DX41" s="223"/>
      <c r="DY41" s="223"/>
      <c r="DZ41" s="223"/>
      <c r="EA41" s="289">
        <f t="shared" si="42"/>
        <v>0</v>
      </c>
      <c r="EB41" s="257">
        <f t="shared" si="43"/>
        <v>0</v>
      </c>
      <c r="EC41" s="257">
        <f t="shared" si="44"/>
        <v>0</v>
      </c>
      <c r="ED41" s="257">
        <f t="shared" si="45"/>
        <v>0</v>
      </c>
      <c r="EE41" s="575">
        <f t="shared" si="46"/>
        <v>3</v>
      </c>
      <c r="EF41" s="506">
        <f t="shared" si="47"/>
        <v>0</v>
      </c>
      <c r="EG41" s="39" t="str">
        <f t="shared" si="48"/>
        <v/>
      </c>
      <c r="EH41" s="257">
        <f t="shared" si="49"/>
        <v>0</v>
      </c>
      <c r="EI41" s="257">
        <f t="shared" si="50"/>
        <v>0</v>
      </c>
      <c r="EJ41" s="257">
        <f t="shared" si="51"/>
        <v>0</v>
      </c>
      <c r="EK41" s="575">
        <f t="shared" si="52"/>
        <v>3</v>
      </c>
      <c r="EL41" s="506">
        <f t="shared" si="53"/>
        <v>0</v>
      </c>
      <c r="EM41" s="39" t="str">
        <f t="shared" si="54"/>
        <v/>
      </c>
      <c r="EN41" s="257">
        <f t="shared" si="55"/>
        <v>0</v>
      </c>
      <c r="EO41" s="257">
        <f t="shared" si="56"/>
        <v>0</v>
      </c>
      <c r="EP41" s="257">
        <f t="shared" si="57"/>
        <v>0</v>
      </c>
      <c r="EQ41" s="575">
        <f t="shared" si="58"/>
        <v>3</v>
      </c>
      <c r="ER41" s="506">
        <f t="shared" si="59"/>
        <v>0</v>
      </c>
      <c r="ES41" s="39" t="str">
        <f t="shared" si="60"/>
        <v/>
      </c>
      <c r="ET41" s="257">
        <f t="shared" si="61"/>
        <v>0</v>
      </c>
      <c r="EU41" s="257">
        <f t="shared" si="62"/>
        <v>0</v>
      </c>
      <c r="EV41" s="257">
        <f t="shared" si="63"/>
        <v>0</v>
      </c>
      <c r="EW41" s="575">
        <f t="shared" si="64"/>
        <v>3</v>
      </c>
      <c r="EX41" s="506">
        <f t="shared" si="65"/>
        <v>0</v>
      </c>
      <c r="EY41" s="39" t="str">
        <f t="shared" si="66"/>
        <v/>
      </c>
      <c r="EZ41" s="257">
        <f t="shared" si="67"/>
        <v>0</v>
      </c>
      <c r="FA41" s="257">
        <f t="shared" si="68"/>
        <v>0</v>
      </c>
      <c r="FB41" s="257">
        <f t="shared" si="69"/>
        <v>0</v>
      </c>
      <c r="FC41" s="575">
        <f t="shared" si="70"/>
        <v>3</v>
      </c>
      <c r="FD41" s="506">
        <f t="shared" si="71"/>
        <v>0</v>
      </c>
      <c r="FE41" s="39" t="str">
        <f t="shared" si="72"/>
        <v/>
      </c>
      <c r="FF41" s="257">
        <f t="shared" si="73"/>
        <v>0</v>
      </c>
      <c r="FG41" s="257">
        <f t="shared" si="74"/>
        <v>0</v>
      </c>
      <c r="FH41" s="257">
        <f t="shared" si="75"/>
        <v>0</v>
      </c>
      <c r="FI41" s="575">
        <f t="shared" si="76"/>
        <v>3</v>
      </c>
      <c r="FJ41" s="506">
        <f t="shared" si="77"/>
        <v>0</v>
      </c>
      <c r="FK41" s="39" t="str">
        <f t="shared" si="78"/>
        <v/>
      </c>
      <c r="FL41" s="257">
        <f t="shared" si="79"/>
        <v>0</v>
      </c>
      <c r="FM41" s="257">
        <f t="shared" si="80"/>
        <v>0</v>
      </c>
      <c r="FN41" s="257">
        <f t="shared" si="81"/>
        <v>0</v>
      </c>
      <c r="FO41" s="575">
        <f t="shared" si="82"/>
        <v>3</v>
      </c>
      <c r="FP41" s="506">
        <f t="shared" si="83"/>
        <v>0</v>
      </c>
      <c r="FQ41" s="39" t="str">
        <f t="shared" si="84"/>
        <v/>
      </c>
      <c r="FR41" s="39"/>
      <c r="FS41" s="39" t="str">
        <f t="shared" si="85"/>
        <v/>
      </c>
      <c r="FT41" s="39" t="str">
        <f t="shared" si="86"/>
        <v/>
      </c>
      <c r="FU41" s="39" t="str">
        <f t="shared" si="87"/>
        <v/>
      </c>
      <c r="FV41" s="39" t="str">
        <f t="shared" si="88"/>
        <v/>
      </c>
      <c r="FW41" s="39" t="str">
        <f t="shared" si="89"/>
        <v/>
      </c>
      <c r="FX41" s="39" t="str">
        <f t="shared" si="90"/>
        <v/>
      </c>
      <c r="FY41" s="257" t="str">
        <f t="shared" si="91"/>
        <v/>
      </c>
      <c r="FZ41" s="569" t="str">
        <f t="shared" si="92"/>
        <v xml:space="preserve"> </v>
      </c>
      <c r="GA41" s="289">
        <f t="shared" si="93"/>
        <v>0</v>
      </c>
      <c r="GB41" s="289">
        <f t="shared" si="94"/>
        <v>0</v>
      </c>
      <c r="GC41" s="289">
        <f>SISWA!E39</f>
        <v>0</v>
      </c>
      <c r="GD41" s="223" t="str">
        <f t="shared" si="95"/>
        <v/>
      </c>
      <c r="GE41" s="580" t="str">
        <f t="shared" si="96"/>
        <v/>
      </c>
      <c r="GF41" s="580" t="str">
        <f t="shared" si="97"/>
        <v/>
      </c>
      <c r="GG41" s="580" t="str">
        <f t="shared" si="98"/>
        <v/>
      </c>
      <c r="GH41" s="580" t="str">
        <f t="shared" si="99"/>
        <v/>
      </c>
      <c r="GI41" s="580" t="str">
        <f t="shared" si="100"/>
        <v/>
      </c>
      <c r="GJ41" s="580" t="str">
        <f t="shared" si="101"/>
        <v/>
      </c>
      <c r="GK41" s="580" t="str">
        <f t="shared" si="102"/>
        <v/>
      </c>
      <c r="GL41" s="580"/>
      <c r="GM41" s="580"/>
      <c r="GN41" s="580"/>
      <c r="GO41" s="580"/>
      <c r="GP41" s="223">
        <f t="shared" si="103"/>
        <v>0</v>
      </c>
      <c r="GQ41" s="289" t="e">
        <f t="shared" si="104"/>
        <v>#N/A</v>
      </c>
      <c r="GR41" s="576" t="e">
        <f>IF(GA41&gt;100,"",IF(GA41&gt;CU$1,"sangat baik dalam "&amp;GQ41,IF(GA41&gt;=CU$2,"baik dalam "&amp;GQ41,IF(GA41&gt;=CU$3,"cukup dalam "&amp;GQ41,IF(GA41&lt;CU$3,"dengan bimbingan dapat meningkatkan dalam "&amp;GQ41,IF(GA41&lt;1," ",””))))))</f>
        <v>#N/A</v>
      </c>
      <c r="GS41" s="223"/>
      <c r="GT41" s="223" t="str">
        <f t="shared" si="105"/>
        <v/>
      </c>
      <c r="GU41" s="223" t="str">
        <f t="shared" si="106"/>
        <v/>
      </c>
      <c r="GV41" s="223" t="str">
        <f t="shared" si="107"/>
        <v/>
      </c>
      <c r="GW41" s="223" t="str">
        <f t="shared" si="108"/>
        <v/>
      </c>
      <c r="GX41" s="223" t="str">
        <f t="shared" si="109"/>
        <v/>
      </c>
      <c r="GY41" s="223" t="str">
        <f t="shared" si="110"/>
        <v/>
      </c>
      <c r="GZ41" s="223" t="str">
        <f t="shared" si="111"/>
        <v/>
      </c>
      <c r="HA41" s="223"/>
      <c r="HB41" s="223"/>
      <c r="HC41" s="223"/>
      <c r="HD41" s="223"/>
      <c r="HE41" s="223" t="e">
        <f t="shared" si="112"/>
        <v>#N/A</v>
      </c>
      <c r="HF41" s="576" t="e">
        <f>IF(GB41&gt;100,"",IF(GB41&gt;CU$1,"sangat baik dalam "&amp;HE41,IF(GB41&gt;=CU$2,"baik dalam "&amp;HE41,IF(GB41&gt;=CU$3,"cukup dalam "&amp;HE41,IF(GB41&lt;CU$3,"dengan bimbingan dapat meningkatkan dalam "&amp;HE41,IF(GB41&lt;1," ",””))))))</f>
        <v>#N/A</v>
      </c>
      <c r="HG41" s="223" t="e">
        <f t="shared" si="113"/>
        <v>#N/A</v>
      </c>
    </row>
    <row r="42" spans="1:215">
      <c r="A42" s="39">
        <v>35</v>
      </c>
      <c r="B42" s="223">
        <f>SISWA!B40</f>
        <v>0</v>
      </c>
      <c r="C42" s="123"/>
      <c r="D42" s="123"/>
      <c r="E42" s="123"/>
      <c r="F42" s="123"/>
      <c r="G42" s="123"/>
      <c r="H42" s="123"/>
      <c r="I42" s="123"/>
      <c r="J42" s="255"/>
      <c r="K42" s="255"/>
      <c r="L42" s="255"/>
      <c r="M42" s="255"/>
      <c r="N42" s="255"/>
      <c r="O42" s="255"/>
      <c r="P42" s="255"/>
      <c r="Q42" s="256"/>
      <c r="R42" s="256"/>
      <c r="S42" s="256"/>
      <c r="T42" s="256"/>
      <c r="U42" s="256"/>
      <c r="V42" s="256"/>
      <c r="W42" s="256"/>
      <c r="X42" s="123"/>
      <c r="Y42" s="123"/>
      <c r="Z42" s="123"/>
      <c r="AA42" s="123"/>
      <c r="AB42" s="123"/>
      <c r="AC42" s="123"/>
      <c r="AD42" s="123"/>
      <c r="AE42" s="255"/>
      <c r="AF42" s="255"/>
      <c r="AG42" s="255"/>
      <c r="AH42" s="255"/>
      <c r="AI42" s="255"/>
      <c r="AJ42" s="255"/>
      <c r="AK42" s="255"/>
      <c r="AL42" s="256"/>
      <c r="AM42" s="256"/>
      <c r="AN42" s="256"/>
      <c r="AO42" s="256"/>
      <c r="AP42" s="256"/>
      <c r="AQ42" s="256"/>
      <c r="AR42" s="256"/>
      <c r="AS42" s="123"/>
      <c r="AT42" s="123"/>
      <c r="AU42" s="123"/>
      <c r="AV42" s="123"/>
      <c r="AW42" s="123"/>
      <c r="AX42" s="123"/>
      <c r="AY42" s="123"/>
      <c r="AZ42" s="255"/>
      <c r="BA42" s="255"/>
      <c r="BB42" s="255"/>
      <c r="BC42" s="255"/>
      <c r="BD42" s="255"/>
      <c r="BE42" s="255"/>
      <c r="BF42" s="255"/>
      <c r="BG42" s="256"/>
      <c r="BH42" s="256"/>
      <c r="BI42" s="256"/>
      <c r="BJ42" s="256"/>
      <c r="BK42" s="256"/>
      <c r="BL42" s="256"/>
      <c r="BM42" s="256"/>
      <c r="BN42" s="123"/>
      <c r="BO42" s="123"/>
      <c r="BP42" s="123"/>
      <c r="BQ42" s="123"/>
      <c r="BR42" s="123"/>
      <c r="BS42" s="123"/>
      <c r="BT42" s="123"/>
      <c r="BU42" s="255"/>
      <c r="BV42" s="255"/>
      <c r="BW42" s="255"/>
      <c r="BX42" s="255"/>
      <c r="BY42" s="255"/>
      <c r="BZ42" s="255"/>
      <c r="CA42" s="255"/>
      <c r="CB42" s="256"/>
      <c r="CC42" s="256"/>
      <c r="CD42" s="256"/>
      <c r="CE42" s="256"/>
      <c r="CF42" s="256"/>
      <c r="CG42" s="256"/>
      <c r="CH42" s="256"/>
      <c r="CI42" s="257" t="str">
        <f t="shared" si="10"/>
        <v/>
      </c>
      <c r="CJ42" s="257" t="str">
        <f t="shared" si="11"/>
        <v/>
      </c>
      <c r="CK42" s="257" t="str">
        <f t="shared" si="12"/>
        <v/>
      </c>
      <c r="CL42" s="257" t="str">
        <f t="shared" si="13"/>
        <v/>
      </c>
      <c r="CM42" s="257" t="str">
        <f t="shared" si="14"/>
        <v/>
      </c>
      <c r="CN42" s="257" t="str">
        <f t="shared" si="15"/>
        <v/>
      </c>
      <c r="CO42" s="257" t="str">
        <f t="shared" si="16"/>
        <v/>
      </c>
      <c r="CP42" s="756" t="str">
        <f t="shared" si="16"/>
        <v xml:space="preserve"> </v>
      </c>
      <c r="CQ42" s="291" t="str">
        <f t="shared" si="17"/>
        <v xml:space="preserve">  </v>
      </c>
      <c r="CR42" s="243" t="str">
        <f t="shared" si="18"/>
        <v xml:space="preserve"> </v>
      </c>
      <c r="CS42" s="39"/>
      <c r="CT42" s="39"/>
      <c r="CU42" s="257">
        <f t="shared" si="19"/>
        <v>0</v>
      </c>
      <c r="CV42" s="257">
        <f t="shared" si="20"/>
        <v>0</v>
      </c>
      <c r="CW42" s="257">
        <f t="shared" si="21"/>
        <v>0</v>
      </c>
      <c r="CX42" s="257">
        <f t="shared" si="22"/>
        <v>0</v>
      </c>
      <c r="CY42" s="257">
        <f t="shared" si="23"/>
        <v>0</v>
      </c>
      <c r="CZ42" s="257">
        <f t="shared" si="24"/>
        <v>0</v>
      </c>
      <c r="DA42" s="257">
        <f t="shared" si="25"/>
        <v>0</v>
      </c>
      <c r="DB42" s="257"/>
      <c r="DC42" s="257"/>
      <c r="DD42" s="257"/>
      <c r="DE42" s="289">
        <f t="shared" si="26"/>
        <v>0</v>
      </c>
      <c r="DF42" s="257">
        <f t="shared" si="27"/>
        <v>0</v>
      </c>
      <c r="DG42" s="257">
        <f t="shared" si="28"/>
        <v>0</v>
      </c>
      <c r="DH42" s="257">
        <f t="shared" si="29"/>
        <v>0</v>
      </c>
      <c r="DI42" s="257">
        <f t="shared" si="30"/>
        <v>0</v>
      </c>
      <c r="DJ42" s="257">
        <f t="shared" si="31"/>
        <v>0</v>
      </c>
      <c r="DK42" s="257">
        <f t="shared" si="32"/>
        <v>0</v>
      </c>
      <c r="DL42" s="257">
        <f t="shared" si="33"/>
        <v>0</v>
      </c>
      <c r="DM42" s="223"/>
      <c r="DN42" s="223"/>
      <c r="DO42" s="223"/>
      <c r="DP42" s="289">
        <f t="shared" si="34"/>
        <v>0</v>
      </c>
      <c r="DQ42" s="257">
        <f t="shared" si="35"/>
        <v>0</v>
      </c>
      <c r="DR42" s="257">
        <f t="shared" si="36"/>
        <v>0</v>
      </c>
      <c r="DS42" s="257">
        <f t="shared" si="37"/>
        <v>0</v>
      </c>
      <c r="DT42" s="257">
        <f t="shared" si="38"/>
        <v>0</v>
      </c>
      <c r="DU42" s="257">
        <f t="shared" si="39"/>
        <v>0</v>
      </c>
      <c r="DV42" s="257">
        <f t="shared" si="40"/>
        <v>0</v>
      </c>
      <c r="DW42" s="257">
        <f t="shared" si="41"/>
        <v>0</v>
      </c>
      <c r="DX42" s="223"/>
      <c r="DY42" s="223"/>
      <c r="DZ42" s="223"/>
      <c r="EA42" s="289">
        <f t="shared" si="42"/>
        <v>0</v>
      </c>
      <c r="EB42" s="257">
        <f t="shared" si="43"/>
        <v>0</v>
      </c>
      <c r="EC42" s="257">
        <f t="shared" si="44"/>
        <v>0</v>
      </c>
      <c r="ED42" s="257">
        <f t="shared" si="45"/>
        <v>0</v>
      </c>
      <c r="EE42" s="575">
        <f t="shared" si="46"/>
        <v>3</v>
      </c>
      <c r="EF42" s="506">
        <f t="shared" si="47"/>
        <v>0</v>
      </c>
      <c r="EG42" s="39" t="str">
        <f t="shared" si="48"/>
        <v/>
      </c>
      <c r="EH42" s="257">
        <f t="shared" si="49"/>
        <v>0</v>
      </c>
      <c r="EI42" s="257">
        <f t="shared" si="50"/>
        <v>0</v>
      </c>
      <c r="EJ42" s="257">
        <f t="shared" si="51"/>
        <v>0</v>
      </c>
      <c r="EK42" s="575">
        <f t="shared" si="52"/>
        <v>3</v>
      </c>
      <c r="EL42" s="506">
        <f t="shared" si="53"/>
        <v>0</v>
      </c>
      <c r="EM42" s="39" t="str">
        <f t="shared" si="54"/>
        <v/>
      </c>
      <c r="EN42" s="257">
        <f t="shared" si="55"/>
        <v>0</v>
      </c>
      <c r="EO42" s="257">
        <f t="shared" si="56"/>
        <v>0</v>
      </c>
      <c r="EP42" s="257">
        <f t="shared" si="57"/>
        <v>0</v>
      </c>
      <c r="EQ42" s="575">
        <f t="shared" si="58"/>
        <v>3</v>
      </c>
      <c r="ER42" s="506">
        <f t="shared" si="59"/>
        <v>0</v>
      </c>
      <c r="ES42" s="39" t="str">
        <f t="shared" si="60"/>
        <v/>
      </c>
      <c r="ET42" s="257">
        <f t="shared" si="61"/>
        <v>0</v>
      </c>
      <c r="EU42" s="257">
        <f t="shared" si="62"/>
        <v>0</v>
      </c>
      <c r="EV42" s="257">
        <f t="shared" si="63"/>
        <v>0</v>
      </c>
      <c r="EW42" s="575">
        <f t="shared" si="64"/>
        <v>3</v>
      </c>
      <c r="EX42" s="506">
        <f t="shared" si="65"/>
        <v>0</v>
      </c>
      <c r="EY42" s="39" t="str">
        <f t="shared" si="66"/>
        <v/>
      </c>
      <c r="EZ42" s="257">
        <f t="shared" si="67"/>
        <v>0</v>
      </c>
      <c r="FA42" s="257">
        <f t="shared" si="68"/>
        <v>0</v>
      </c>
      <c r="FB42" s="257">
        <f t="shared" si="69"/>
        <v>0</v>
      </c>
      <c r="FC42" s="575">
        <f t="shared" si="70"/>
        <v>3</v>
      </c>
      <c r="FD42" s="506">
        <f t="shared" si="71"/>
        <v>0</v>
      </c>
      <c r="FE42" s="39" t="str">
        <f t="shared" si="72"/>
        <v/>
      </c>
      <c r="FF42" s="257">
        <f t="shared" si="73"/>
        <v>0</v>
      </c>
      <c r="FG42" s="257">
        <f t="shared" si="74"/>
        <v>0</v>
      </c>
      <c r="FH42" s="257">
        <f t="shared" si="75"/>
        <v>0</v>
      </c>
      <c r="FI42" s="575">
        <f t="shared" si="76"/>
        <v>3</v>
      </c>
      <c r="FJ42" s="506">
        <f t="shared" si="77"/>
        <v>0</v>
      </c>
      <c r="FK42" s="39" t="str">
        <f t="shared" si="78"/>
        <v/>
      </c>
      <c r="FL42" s="257">
        <f t="shared" si="79"/>
        <v>0</v>
      </c>
      <c r="FM42" s="257">
        <f t="shared" si="80"/>
        <v>0</v>
      </c>
      <c r="FN42" s="257">
        <f t="shared" si="81"/>
        <v>0</v>
      </c>
      <c r="FO42" s="575">
        <f t="shared" si="82"/>
        <v>3</v>
      </c>
      <c r="FP42" s="506">
        <f t="shared" si="83"/>
        <v>0</v>
      </c>
      <c r="FQ42" s="39" t="str">
        <f t="shared" si="84"/>
        <v/>
      </c>
      <c r="FR42" s="39"/>
      <c r="FS42" s="39" t="str">
        <f t="shared" si="85"/>
        <v/>
      </c>
      <c r="FT42" s="39" t="str">
        <f t="shared" si="86"/>
        <v/>
      </c>
      <c r="FU42" s="39" t="str">
        <f t="shared" si="87"/>
        <v/>
      </c>
      <c r="FV42" s="39" t="str">
        <f t="shared" si="88"/>
        <v/>
      </c>
      <c r="FW42" s="39" t="str">
        <f t="shared" si="89"/>
        <v/>
      </c>
      <c r="FX42" s="39" t="str">
        <f t="shared" si="90"/>
        <v/>
      </c>
      <c r="FY42" s="257" t="str">
        <f t="shared" si="91"/>
        <v/>
      </c>
      <c r="FZ42" s="569" t="str">
        <f t="shared" si="92"/>
        <v xml:space="preserve"> </v>
      </c>
      <c r="GA42" s="289">
        <f t="shared" si="93"/>
        <v>0</v>
      </c>
      <c r="GB42" s="289">
        <f t="shared" si="94"/>
        <v>0</v>
      </c>
      <c r="GC42" s="289">
        <f>SISWA!E40</f>
        <v>0</v>
      </c>
      <c r="GD42" s="223" t="str">
        <f t="shared" si="95"/>
        <v/>
      </c>
      <c r="GE42" s="580" t="str">
        <f t="shared" si="96"/>
        <v/>
      </c>
      <c r="GF42" s="580" t="str">
        <f t="shared" si="97"/>
        <v/>
      </c>
      <c r="GG42" s="580" t="str">
        <f t="shared" si="98"/>
        <v/>
      </c>
      <c r="GH42" s="580" t="str">
        <f t="shared" si="99"/>
        <v/>
      </c>
      <c r="GI42" s="580" t="str">
        <f t="shared" si="100"/>
        <v/>
      </c>
      <c r="GJ42" s="580" t="str">
        <f t="shared" si="101"/>
        <v/>
      </c>
      <c r="GK42" s="580" t="str">
        <f t="shared" si="102"/>
        <v/>
      </c>
      <c r="GL42" s="580"/>
      <c r="GM42" s="580"/>
      <c r="GN42" s="580"/>
      <c r="GO42" s="580"/>
      <c r="GP42" s="223">
        <f t="shared" si="103"/>
        <v>0</v>
      </c>
      <c r="GQ42" s="289" t="e">
        <f t="shared" si="104"/>
        <v>#N/A</v>
      </c>
      <c r="GR42" s="576" t="e">
        <f>IF(GA42&gt;100,"",IF(GA42&gt;CU$1,"sangat baik dalam "&amp;GQ42,IF(GA42&gt;=CU$2,"baik dalam "&amp;GQ42,IF(GA42&gt;=CU$3,"cukup dalam "&amp;GQ42,IF(GA42&lt;CU$3,"dengan bimbingan dapat meningkatkan dalam "&amp;GQ42,IF(GA42&lt;1," ",””))))))</f>
        <v>#N/A</v>
      </c>
      <c r="GS42" s="223"/>
      <c r="GT42" s="223" t="str">
        <f t="shared" si="105"/>
        <v/>
      </c>
      <c r="GU42" s="223" t="str">
        <f t="shared" si="106"/>
        <v/>
      </c>
      <c r="GV42" s="223" t="str">
        <f t="shared" si="107"/>
        <v/>
      </c>
      <c r="GW42" s="223" t="str">
        <f t="shared" si="108"/>
        <v/>
      </c>
      <c r="GX42" s="223" t="str">
        <f t="shared" si="109"/>
        <v/>
      </c>
      <c r="GY42" s="223" t="str">
        <f t="shared" si="110"/>
        <v/>
      </c>
      <c r="GZ42" s="223" t="str">
        <f t="shared" si="111"/>
        <v/>
      </c>
      <c r="HA42" s="223"/>
      <c r="HB42" s="223"/>
      <c r="HC42" s="223"/>
      <c r="HD42" s="223"/>
      <c r="HE42" s="223" t="e">
        <f t="shared" si="112"/>
        <v>#N/A</v>
      </c>
      <c r="HF42" s="576" t="e">
        <f>IF(GB42&gt;100,"",IF(GB42&gt;CU$1,"sangat baik dalam "&amp;HE42,IF(GB42&gt;=CU$2,"baik dalam "&amp;HE42,IF(GB42&gt;=CU$3,"cukup dalam "&amp;HE42,IF(GB42&lt;CU$3,"dengan bimbingan dapat meningkatkan dalam "&amp;HE42,IF(GB42&lt;1," ",””))))))</f>
        <v>#N/A</v>
      </c>
      <c r="HG42" s="223" t="e">
        <f t="shared" si="113"/>
        <v>#N/A</v>
      </c>
    </row>
    <row r="43" spans="1:215"/>
    <row r="44" spans="1:215">
      <c r="B44" s="244" t="str">
        <f>"Kompetensi Dasar "&amp;C2&amp;" :"</f>
        <v>Kompetensi Dasar BAHASA JAWA :</v>
      </c>
    </row>
    <row r="45" spans="1:215">
      <c r="A45" s="245" t="str">
        <f>'KDKI-4'!A82</f>
        <v>4.1</v>
      </c>
      <c r="B45" s="334" t="str">
        <f>'KDKI-4'!B82</f>
        <v>menyampaikan teks deskriptif tentang peristiwa alam dan adat istiadat.</v>
      </c>
      <c r="C45" s="246"/>
      <c r="D45" s="246"/>
      <c r="E45" s="246"/>
      <c r="F45" s="246"/>
      <c r="G45" s="246"/>
      <c r="H45" s="246"/>
      <c r="I45" s="246"/>
      <c r="J45" s="246"/>
      <c r="K45" s="246"/>
      <c r="L45" s="246"/>
      <c r="M45" s="246"/>
      <c r="N45" s="246"/>
      <c r="O45" s="246"/>
      <c r="P45" s="246"/>
      <c r="Q45" s="246"/>
      <c r="R45" s="246"/>
      <c r="S45" s="246"/>
      <c r="T45" s="246"/>
      <c r="U45" s="246"/>
      <c r="V45" s="246"/>
      <c r="W45" s="246"/>
      <c r="X45" s="246"/>
      <c r="Y45" s="246"/>
      <c r="Z45" s="246"/>
      <c r="AA45" s="246"/>
      <c r="AB45" s="246"/>
      <c r="AC45" s="246"/>
      <c r="AD45" s="246"/>
      <c r="AE45" s="246"/>
      <c r="AF45" s="246"/>
      <c r="AG45" s="246"/>
      <c r="AH45" s="246"/>
      <c r="AI45" s="246"/>
      <c r="AJ45" s="246"/>
      <c r="AK45" s="247"/>
    </row>
    <row r="46" spans="1:215">
      <c r="A46" s="245" t="str">
        <f>'KDKI-4'!A83</f>
        <v>4.2</v>
      </c>
      <c r="B46" s="334" t="str">
        <f>'KDKI-4'!B83</f>
        <v>melantunkan tembang macapat Kinanthi, dan menjelaskan  geguritan.</v>
      </c>
      <c r="C46" s="248"/>
      <c r="D46" s="248"/>
      <c r="E46" s="248"/>
      <c r="F46" s="248"/>
      <c r="G46" s="248"/>
      <c r="H46" s="248"/>
      <c r="I46" s="248"/>
      <c r="J46" s="248"/>
      <c r="K46" s="248"/>
      <c r="L46" s="248"/>
      <c r="M46" s="248"/>
      <c r="N46" s="248"/>
      <c r="O46" s="248"/>
      <c r="P46" s="248"/>
      <c r="Q46" s="248"/>
      <c r="R46" s="248"/>
      <c r="S46" s="248"/>
      <c r="T46" s="248"/>
      <c r="U46" s="248"/>
      <c r="V46" s="248"/>
      <c r="W46" s="248"/>
      <c r="X46" s="248"/>
      <c r="Y46" s="248"/>
      <c r="Z46" s="248"/>
      <c r="AA46" s="248"/>
      <c r="AB46" s="248"/>
      <c r="AC46" s="248"/>
      <c r="AD46" s="248"/>
      <c r="AE46" s="248"/>
      <c r="AF46" s="248"/>
      <c r="AG46" s="248"/>
      <c r="AH46" s="248"/>
      <c r="AI46" s="248"/>
      <c r="AJ46" s="248"/>
      <c r="AK46" s="249"/>
    </row>
    <row r="47" spans="1:215">
      <c r="A47" s="245" t="str">
        <f>'KDKI-4'!A84</f>
        <v>4.3</v>
      </c>
      <c r="B47" s="334" t="str">
        <f>'KDKI-4'!B84</f>
        <v>menceritakan wayang (Ramayana), pakaian tradisional, dan gamelan.</v>
      </c>
      <c r="C47" s="250"/>
      <c r="D47" s="250"/>
      <c r="E47" s="250"/>
      <c r="F47" s="250"/>
      <c r="G47" s="250"/>
      <c r="H47" s="250"/>
      <c r="I47" s="250"/>
      <c r="J47" s="250"/>
      <c r="K47" s="250"/>
      <c r="L47" s="250"/>
      <c r="M47" s="250"/>
      <c r="N47" s="250"/>
      <c r="O47" s="250"/>
      <c r="P47" s="250"/>
      <c r="Q47" s="250"/>
      <c r="R47" s="250"/>
      <c r="S47" s="250"/>
      <c r="T47" s="250"/>
      <c r="U47" s="250"/>
      <c r="V47" s="250"/>
      <c r="W47" s="250"/>
      <c r="X47" s="250"/>
      <c r="Y47" s="250"/>
      <c r="Z47" s="250"/>
      <c r="AA47" s="250"/>
      <c r="AB47" s="250"/>
      <c r="AC47" s="250"/>
      <c r="AD47" s="250"/>
      <c r="AE47" s="250"/>
      <c r="AF47" s="250"/>
      <c r="AG47" s="250"/>
      <c r="AH47" s="250"/>
      <c r="AI47" s="250"/>
      <c r="AJ47" s="250"/>
      <c r="AK47" s="251"/>
    </row>
    <row r="48" spans="1:215">
      <c r="A48" s="245" t="str">
        <f>'KDKI-4'!A85</f>
        <v>4.4</v>
      </c>
      <c r="B48" s="334" t="str">
        <f>'KDKI-4'!B85</f>
        <v>menggunakan unggah-ungguh basa untuk tanya jawab dan menyampaikan ajakan kepada orang lain.</v>
      </c>
      <c r="C48" s="248"/>
      <c r="D48" s="248"/>
      <c r="E48" s="248"/>
      <c r="F48" s="248"/>
      <c r="G48" s="248"/>
      <c r="H48" s="248"/>
      <c r="I48" s="248"/>
      <c r="J48" s="248"/>
      <c r="K48" s="248"/>
      <c r="L48" s="248"/>
      <c r="M48" s="248"/>
      <c r="N48" s="248"/>
      <c r="O48" s="248"/>
      <c r="P48" s="248"/>
      <c r="Q48" s="248"/>
      <c r="R48" s="248"/>
      <c r="S48" s="248"/>
      <c r="T48" s="248"/>
      <c r="U48" s="248"/>
      <c r="V48" s="248"/>
      <c r="W48" s="248"/>
      <c r="X48" s="248"/>
      <c r="Y48" s="248"/>
      <c r="Z48" s="248"/>
      <c r="AA48" s="248"/>
      <c r="AB48" s="248"/>
      <c r="AC48" s="248"/>
      <c r="AD48" s="248"/>
      <c r="AE48" s="248"/>
      <c r="AF48" s="248"/>
      <c r="AG48" s="248"/>
      <c r="AH48" s="248"/>
      <c r="AI48" s="248"/>
      <c r="AJ48" s="248"/>
      <c r="AK48" s="249"/>
    </row>
    <row r="49" spans="1:37">
      <c r="A49" s="245" t="str">
        <f>'KDKI-4'!A86</f>
        <v>4.5</v>
      </c>
      <c r="B49" s="334" t="str">
        <f>'KDKI-4'!B86</f>
        <v>menulis kata dan kalimat beraksara Jawa yang mengandung  pasangan.</v>
      </c>
      <c r="C49" s="250"/>
      <c r="D49" s="250"/>
      <c r="E49" s="250"/>
      <c r="F49" s="250"/>
      <c r="G49" s="250"/>
      <c r="H49" s="250"/>
      <c r="I49" s="250"/>
      <c r="J49" s="250"/>
      <c r="K49" s="250"/>
      <c r="L49" s="250"/>
      <c r="M49" s="250"/>
      <c r="N49" s="250"/>
      <c r="O49" s="250"/>
      <c r="P49" s="250"/>
      <c r="Q49" s="250"/>
      <c r="R49" s="250"/>
      <c r="S49" s="250"/>
      <c r="T49" s="250"/>
      <c r="U49" s="250"/>
      <c r="V49" s="250"/>
      <c r="W49" s="250"/>
      <c r="X49" s="250"/>
      <c r="Y49" s="250"/>
      <c r="Z49" s="250"/>
      <c r="AA49" s="250"/>
      <c r="AB49" s="250"/>
      <c r="AC49" s="250"/>
      <c r="AD49" s="250"/>
      <c r="AE49" s="250"/>
      <c r="AF49" s="250"/>
      <c r="AG49" s="250"/>
      <c r="AH49" s="250"/>
      <c r="AI49" s="250"/>
      <c r="AJ49" s="250"/>
      <c r="AK49" s="251"/>
    </row>
    <row r="50" spans="1:37">
      <c r="A50" s="245">
        <f>'KDKI-4'!A87</f>
        <v>0</v>
      </c>
      <c r="B50" s="334">
        <f>'KDKI-4'!B87</f>
        <v>0</v>
      </c>
      <c r="C50" s="248"/>
      <c r="D50" s="248"/>
      <c r="E50" s="248"/>
      <c r="F50" s="248"/>
      <c r="G50" s="248"/>
      <c r="H50" s="248"/>
      <c r="I50" s="248"/>
      <c r="J50" s="248"/>
      <c r="K50" s="248"/>
      <c r="L50" s="248"/>
      <c r="M50" s="248"/>
      <c r="N50" s="248"/>
      <c r="O50" s="248"/>
      <c r="P50" s="248"/>
      <c r="Q50" s="248"/>
      <c r="R50" s="248"/>
      <c r="S50" s="248"/>
      <c r="T50" s="248"/>
      <c r="U50" s="248"/>
      <c r="V50" s="248"/>
      <c r="W50" s="248"/>
      <c r="X50" s="248"/>
      <c r="Y50" s="248"/>
      <c r="Z50" s="248"/>
      <c r="AA50" s="248"/>
      <c r="AB50" s="248"/>
      <c r="AC50" s="248"/>
      <c r="AD50" s="248"/>
      <c r="AE50" s="248"/>
      <c r="AF50" s="248"/>
      <c r="AG50" s="248"/>
      <c r="AH50" s="248"/>
      <c r="AI50" s="248"/>
      <c r="AJ50" s="248"/>
      <c r="AK50" s="249"/>
    </row>
    <row r="51" spans="1:37">
      <c r="A51" s="245">
        <f>'KDKI-4'!A88</f>
        <v>0</v>
      </c>
      <c r="B51" s="334">
        <f>'KDKI-4'!B88</f>
        <v>0</v>
      </c>
      <c r="C51" s="250"/>
      <c r="D51" s="250"/>
      <c r="E51" s="250"/>
      <c r="F51" s="250"/>
      <c r="G51" s="250"/>
      <c r="H51" s="250"/>
      <c r="I51" s="250"/>
      <c r="J51" s="250"/>
      <c r="K51" s="250"/>
      <c r="L51" s="250"/>
      <c r="M51" s="250"/>
      <c r="N51" s="250"/>
      <c r="O51" s="250"/>
      <c r="P51" s="250"/>
      <c r="Q51" s="250"/>
      <c r="R51" s="250"/>
      <c r="S51" s="250"/>
      <c r="T51" s="250"/>
      <c r="U51" s="250"/>
      <c r="V51" s="250"/>
      <c r="W51" s="250"/>
      <c r="X51" s="250"/>
      <c r="Y51" s="250"/>
      <c r="Z51" s="250"/>
      <c r="AA51" s="250"/>
      <c r="AB51" s="250"/>
      <c r="AC51" s="250"/>
      <c r="AD51" s="250"/>
      <c r="AE51" s="250"/>
      <c r="AF51" s="250"/>
      <c r="AG51" s="250"/>
      <c r="AH51" s="250"/>
      <c r="AI51" s="250"/>
      <c r="AJ51" s="250"/>
      <c r="AK51" s="251"/>
    </row>
    <row r="52" spans="1:37">
      <c r="A52" s="252"/>
      <c r="B52" s="335"/>
      <c r="C52" s="248"/>
      <c r="D52" s="248"/>
      <c r="E52" s="248"/>
      <c r="F52" s="248"/>
      <c r="G52" s="248"/>
      <c r="H52" s="248"/>
      <c r="I52" s="248"/>
      <c r="J52" s="248"/>
      <c r="K52" s="248"/>
      <c r="L52" s="248"/>
      <c r="M52" s="248"/>
      <c r="N52" s="248"/>
      <c r="O52" s="248"/>
      <c r="P52" s="248"/>
      <c r="Q52" s="248"/>
      <c r="R52" s="248"/>
      <c r="S52" s="248"/>
      <c r="T52" s="248"/>
      <c r="U52" s="248"/>
      <c r="V52" s="248"/>
      <c r="W52" s="248"/>
      <c r="X52" s="248"/>
      <c r="Y52" s="248"/>
      <c r="Z52" s="248"/>
      <c r="AA52" s="248"/>
      <c r="AB52" s="248"/>
      <c r="AC52" s="248"/>
      <c r="AD52" s="248"/>
      <c r="AE52" s="248"/>
      <c r="AF52" s="248"/>
      <c r="AG52" s="248"/>
      <c r="AH52" s="248"/>
      <c r="AI52" s="248"/>
      <c r="AJ52" s="248"/>
      <c r="AK52" s="249"/>
    </row>
    <row r="53" spans="1:37">
      <c r="A53" s="252"/>
      <c r="B53" s="336"/>
      <c r="C53" s="250"/>
      <c r="D53" s="250"/>
      <c r="E53" s="250"/>
      <c r="F53" s="250"/>
      <c r="G53" s="250"/>
      <c r="H53" s="250"/>
      <c r="I53" s="250"/>
      <c r="J53" s="250"/>
      <c r="K53" s="250"/>
      <c r="L53" s="250"/>
      <c r="M53" s="250"/>
      <c r="N53" s="250"/>
      <c r="O53" s="250"/>
      <c r="P53" s="250"/>
      <c r="Q53" s="250"/>
      <c r="R53" s="250"/>
      <c r="S53" s="250"/>
      <c r="T53" s="250"/>
      <c r="U53" s="250"/>
      <c r="V53" s="250"/>
      <c r="W53" s="250"/>
      <c r="X53" s="250"/>
      <c r="Y53" s="250"/>
      <c r="Z53" s="250"/>
      <c r="AA53" s="250"/>
      <c r="AB53" s="250"/>
      <c r="AC53" s="250"/>
      <c r="AD53" s="250"/>
      <c r="AE53" s="250"/>
      <c r="AF53" s="250"/>
      <c r="AG53" s="250"/>
      <c r="AH53" s="250"/>
      <c r="AI53" s="250"/>
      <c r="AJ53" s="250"/>
      <c r="AK53" s="251"/>
    </row>
    <row r="54" spans="1:37">
      <c r="A54" s="252"/>
      <c r="B54" s="335"/>
      <c r="C54" s="248"/>
      <c r="D54" s="248"/>
      <c r="E54" s="248"/>
      <c r="F54" s="248"/>
      <c r="G54" s="248"/>
      <c r="H54" s="248"/>
      <c r="I54" s="248"/>
      <c r="J54" s="248"/>
      <c r="K54" s="248"/>
      <c r="L54" s="248"/>
      <c r="M54" s="248"/>
      <c r="N54" s="248"/>
      <c r="O54" s="248"/>
      <c r="P54" s="248"/>
      <c r="Q54" s="248"/>
      <c r="R54" s="248"/>
      <c r="S54" s="248"/>
      <c r="T54" s="248"/>
      <c r="U54" s="248"/>
      <c r="V54" s="248"/>
      <c r="W54" s="248"/>
      <c r="X54" s="248"/>
      <c r="Y54" s="248"/>
      <c r="Z54" s="248"/>
      <c r="AA54" s="248"/>
      <c r="AB54" s="248"/>
      <c r="AC54" s="248"/>
      <c r="AD54" s="248"/>
      <c r="AE54" s="248"/>
      <c r="AF54" s="248"/>
      <c r="AG54" s="248"/>
      <c r="AH54" s="248"/>
      <c r="AI54" s="248"/>
      <c r="AJ54" s="248"/>
      <c r="AK54" s="249"/>
    </row>
    <row r="55" spans="1:37">
      <c r="A55" s="252"/>
      <c r="B55" s="337"/>
      <c r="C55" s="253"/>
      <c r="D55" s="253"/>
      <c r="E55" s="253"/>
      <c r="F55" s="253"/>
      <c r="G55" s="253"/>
      <c r="H55" s="253"/>
      <c r="I55" s="253"/>
      <c r="J55" s="253"/>
      <c r="K55" s="253"/>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4"/>
    </row>
    <row r="56" spans="1:37"/>
    <row r="57" spans="1:37"/>
    <row r="58" spans="1:37"/>
    <row r="59" spans="1:37"/>
    <row r="60" spans="1:37"/>
    <row r="61" spans="1:37"/>
  </sheetData>
  <sheetProtection password="CA9C" sheet="1" objects="1" scenarios="1" formatCells="0" formatRows="0"/>
  <mergeCells count="85">
    <mergeCell ref="HG6:HG7"/>
    <mergeCell ref="GZ6:GZ7"/>
    <mergeCell ref="HA6:HA7"/>
    <mergeCell ref="HB6:HB7"/>
    <mergeCell ref="HC6:HC7"/>
    <mergeCell ref="HE6:HE7"/>
    <mergeCell ref="GU6:GU7"/>
    <mergeCell ref="GV6:GV7"/>
    <mergeCell ref="GW6:GW7"/>
    <mergeCell ref="GX6:GX7"/>
    <mergeCell ref="GY6:GY7"/>
    <mergeCell ref="GO6:GO7"/>
    <mergeCell ref="GP6:GP7"/>
    <mergeCell ref="GQ6:GQ7"/>
    <mergeCell ref="GR6:GR7"/>
    <mergeCell ref="GT6:GT7"/>
    <mergeCell ref="GJ6:GJ7"/>
    <mergeCell ref="GK6:GK7"/>
    <mergeCell ref="GL6:GL7"/>
    <mergeCell ref="GM6:GM7"/>
    <mergeCell ref="GN6:GN7"/>
    <mergeCell ref="GE6:GE7"/>
    <mergeCell ref="GF6:GF7"/>
    <mergeCell ref="GG6:GG7"/>
    <mergeCell ref="GH6:GH7"/>
    <mergeCell ref="GI6:GI7"/>
    <mergeCell ref="FL6:FN7"/>
    <mergeCell ref="FO6:FO7"/>
    <mergeCell ref="FP6:FP7"/>
    <mergeCell ref="FQ6:FQ7"/>
    <mergeCell ref="GD6:GD7"/>
    <mergeCell ref="FE6:FE7"/>
    <mergeCell ref="FF6:FH7"/>
    <mergeCell ref="FI6:FI7"/>
    <mergeCell ref="FJ6:FJ7"/>
    <mergeCell ref="FK6:FK7"/>
    <mergeCell ref="EX6:EX7"/>
    <mergeCell ref="EY6:EY7"/>
    <mergeCell ref="EZ6:FB7"/>
    <mergeCell ref="FC6:FC7"/>
    <mergeCell ref="FD6:FD7"/>
    <mergeCell ref="EQ6:EQ7"/>
    <mergeCell ref="ER6:ER7"/>
    <mergeCell ref="ES6:ES7"/>
    <mergeCell ref="ET6:EV7"/>
    <mergeCell ref="EW6:EW7"/>
    <mergeCell ref="EH6:EJ7"/>
    <mergeCell ref="EK6:EK7"/>
    <mergeCell ref="EL6:EL7"/>
    <mergeCell ref="EM6:EM7"/>
    <mergeCell ref="EN6:EP7"/>
    <mergeCell ref="EA6:EA7"/>
    <mergeCell ref="EB6:ED7"/>
    <mergeCell ref="EE6:EE7"/>
    <mergeCell ref="EF6:EF7"/>
    <mergeCell ref="EG6:EG7"/>
    <mergeCell ref="DP6:DP7"/>
    <mergeCell ref="DQ6:DZ6"/>
    <mergeCell ref="DE6:DE7"/>
    <mergeCell ref="CU6:DD6"/>
    <mergeCell ref="DF6:DO6"/>
    <mergeCell ref="B1:AN1"/>
    <mergeCell ref="C2:Q2"/>
    <mergeCell ref="CR5:CR7"/>
    <mergeCell ref="C6:I6"/>
    <mergeCell ref="J6:P6"/>
    <mergeCell ref="Q6:W6"/>
    <mergeCell ref="X6:AD6"/>
    <mergeCell ref="AE6:AK6"/>
    <mergeCell ref="AL6:AR6"/>
    <mergeCell ref="AS6:AY6"/>
    <mergeCell ref="AZ6:BF6"/>
    <mergeCell ref="BG6:BM6"/>
    <mergeCell ref="AS5:BM5"/>
    <mergeCell ref="BN5:CH5"/>
    <mergeCell ref="CI5:CO5"/>
    <mergeCell ref="A5:A7"/>
    <mergeCell ref="B5:B7"/>
    <mergeCell ref="C5:W5"/>
    <mergeCell ref="X5:AR5"/>
    <mergeCell ref="CQ5:CQ7"/>
    <mergeCell ref="BN6:BT6"/>
    <mergeCell ref="BU6:CA6"/>
    <mergeCell ref="CB6:CH6"/>
    <mergeCell ref="CP5:CP7"/>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92D050"/>
  </sheetPr>
  <dimension ref="A1:G49"/>
  <sheetViews>
    <sheetView showZeros="0" workbookViewId="0">
      <pane xSplit="2" ySplit="7" topLeftCell="C11" activePane="bottomRight" state="frozen"/>
      <selection pane="topRight" activeCell="C1" sqref="C1"/>
      <selection pane="bottomLeft" activeCell="A8" sqref="A8"/>
      <selection pane="bottomRight" activeCell="E23" sqref="E23"/>
    </sheetView>
  </sheetViews>
  <sheetFormatPr defaultColWidth="0" defaultRowHeight="15" zeroHeight="1"/>
  <cols>
    <col min="1" max="1" width="4.7109375" customWidth="1"/>
    <col min="2" max="2" width="31" customWidth="1"/>
    <col min="3" max="3" width="7.140625" style="554" customWidth="1"/>
    <col min="4" max="4" width="9.140625" style="554" customWidth="1"/>
    <col min="5" max="5" width="80.7109375" customWidth="1"/>
    <col min="6" max="6" width="9.140625" customWidth="1"/>
    <col min="7" max="7" width="0" hidden="1" customWidth="1"/>
    <col min="8" max="16384" width="9.140625" hidden="1"/>
  </cols>
  <sheetData>
    <row r="1" spans="1:5">
      <c r="B1" s="997" t="s">
        <v>193</v>
      </c>
      <c r="C1" s="997"/>
      <c r="D1" s="997"/>
    </row>
    <row r="2" spans="1:5"/>
    <row r="3" spans="1:5">
      <c r="B3" s="121" t="s">
        <v>27</v>
      </c>
      <c r="C3" s="220" t="str">
        <f>MENU!N20</f>
        <v>V ( Lima )</v>
      </c>
    </row>
    <row r="4" spans="1:5">
      <c r="B4" s="121" t="s">
        <v>158</v>
      </c>
      <c r="C4" s="220" t="str">
        <f>MENU!N21</f>
        <v>1 ( satu )</v>
      </c>
    </row>
    <row r="5" spans="1:5">
      <c r="B5" s="121" t="s">
        <v>28</v>
      </c>
      <c r="C5" s="220" t="str">
        <f>MENU!N22</f>
        <v>2019/2020</v>
      </c>
    </row>
    <row r="6" spans="1:5">
      <c r="B6" s="121"/>
    </row>
    <row r="7" spans="1:5">
      <c r="A7" s="418" t="s">
        <v>9</v>
      </c>
      <c r="B7" s="418" t="s">
        <v>10</v>
      </c>
      <c r="C7" s="288" t="s">
        <v>14</v>
      </c>
      <c r="D7" s="267" t="s">
        <v>15</v>
      </c>
      <c r="E7" s="393" t="s">
        <v>125</v>
      </c>
    </row>
    <row r="8" spans="1:5">
      <c r="A8" s="66">
        <v>1</v>
      </c>
      <c r="B8" s="235" t="str">
        <f>SISWA!B6</f>
        <v>Afif Rafiudin</v>
      </c>
      <c r="C8" s="233">
        <v>84</v>
      </c>
      <c r="D8" s="233" t="s">
        <v>2</v>
      </c>
      <c r="E8" s="64" t="s">
        <v>861</v>
      </c>
    </row>
    <row r="9" spans="1:5">
      <c r="A9" s="66">
        <v>2</v>
      </c>
      <c r="B9" s="235" t="str">
        <f>SISWA!B7</f>
        <v>Ahmad Faiq Athaya</v>
      </c>
      <c r="C9" s="233">
        <v>84</v>
      </c>
      <c r="D9" s="233" t="s">
        <v>2</v>
      </c>
      <c r="E9" s="64" t="s">
        <v>862</v>
      </c>
    </row>
    <row r="10" spans="1:5">
      <c r="A10" s="66">
        <v>3</v>
      </c>
      <c r="B10" s="235" t="str">
        <f>SISWA!B8</f>
        <v>Amira Zerlinda</v>
      </c>
      <c r="C10" s="233">
        <v>84</v>
      </c>
      <c r="D10" s="233" t="s">
        <v>2</v>
      </c>
      <c r="E10" s="64" t="s">
        <v>863</v>
      </c>
    </row>
    <row r="11" spans="1:5">
      <c r="A11" s="66">
        <v>4</v>
      </c>
      <c r="B11" s="235" t="str">
        <f>SISWA!B9</f>
        <v>Andrian Putra Pangestu</v>
      </c>
      <c r="C11" s="233">
        <v>84</v>
      </c>
      <c r="D11" s="233" t="s">
        <v>2</v>
      </c>
      <c r="E11" s="64" t="s">
        <v>864</v>
      </c>
    </row>
    <row r="12" spans="1:5">
      <c r="A12" s="66">
        <v>5</v>
      </c>
      <c r="B12" s="235" t="str">
        <f>SISWA!B10</f>
        <v>Gresiya Suma Safitri</v>
      </c>
      <c r="C12" s="233">
        <v>84</v>
      </c>
      <c r="D12" s="233" t="s">
        <v>2</v>
      </c>
      <c r="E12" s="64" t="s">
        <v>865</v>
      </c>
    </row>
    <row r="13" spans="1:5">
      <c r="A13" s="66">
        <v>6</v>
      </c>
      <c r="B13" s="235" t="str">
        <f>SISWA!B11</f>
        <v>Hasna Fathitya Sabrina</v>
      </c>
      <c r="C13" s="233">
        <v>84</v>
      </c>
      <c r="D13" s="233" t="s">
        <v>2</v>
      </c>
      <c r="E13" s="64" t="s">
        <v>866</v>
      </c>
    </row>
    <row r="14" spans="1:5">
      <c r="A14" s="66">
        <v>7</v>
      </c>
      <c r="B14" s="235" t="str">
        <f>SISWA!B12</f>
        <v>Indah Fitria Ningrum</v>
      </c>
      <c r="C14" s="233">
        <v>84</v>
      </c>
      <c r="D14" s="233" t="s">
        <v>2</v>
      </c>
      <c r="E14" s="64" t="s">
        <v>867</v>
      </c>
    </row>
    <row r="15" spans="1:5">
      <c r="A15" s="66">
        <v>8</v>
      </c>
      <c r="B15" s="235" t="str">
        <f>SISWA!B13</f>
        <v>Muhammad Ilham Sarifuddin</v>
      </c>
      <c r="C15" s="233">
        <v>84</v>
      </c>
      <c r="D15" s="233" t="s">
        <v>2</v>
      </c>
      <c r="E15" s="64" t="s">
        <v>868</v>
      </c>
    </row>
    <row r="16" spans="1:5">
      <c r="A16" s="66">
        <v>9</v>
      </c>
      <c r="B16" s="235" t="str">
        <f>SISWA!B14</f>
        <v>Muhammad Raditya Ainul Yaqin</v>
      </c>
      <c r="C16" s="233">
        <v>84</v>
      </c>
      <c r="D16" s="233" t="s">
        <v>2</v>
      </c>
      <c r="E16" s="64" t="s">
        <v>869</v>
      </c>
    </row>
    <row r="17" spans="1:5">
      <c r="A17" s="66">
        <v>10</v>
      </c>
      <c r="B17" s="235" t="str">
        <f>SISWA!B15</f>
        <v>Muhammad Shulhan Al-farisi</v>
      </c>
      <c r="C17" s="233">
        <v>84</v>
      </c>
      <c r="D17" s="233" t="s">
        <v>2</v>
      </c>
      <c r="E17" s="64" t="s">
        <v>870</v>
      </c>
    </row>
    <row r="18" spans="1:5">
      <c r="A18" s="66">
        <v>11</v>
      </c>
      <c r="B18" s="235" t="str">
        <f>SISWA!B16</f>
        <v>Novaris Dwi Firmansyah</v>
      </c>
      <c r="C18" s="233">
        <v>84</v>
      </c>
      <c r="D18" s="233" t="s">
        <v>2</v>
      </c>
      <c r="E18" s="64" t="s">
        <v>871</v>
      </c>
    </row>
    <row r="19" spans="1:5">
      <c r="A19" s="66">
        <v>12</v>
      </c>
      <c r="B19" s="235" t="str">
        <f>SISWA!B17</f>
        <v>Oktafiya Duwi Safitri</v>
      </c>
      <c r="C19" s="233">
        <v>83</v>
      </c>
      <c r="D19" s="233" t="s">
        <v>2</v>
      </c>
      <c r="E19" s="64" t="s">
        <v>872</v>
      </c>
    </row>
    <row r="20" spans="1:5">
      <c r="A20" s="66">
        <v>13</v>
      </c>
      <c r="B20" s="235" t="str">
        <f>SISWA!B18</f>
        <v>Prastika Guntur Firmansyah</v>
      </c>
      <c r="C20" s="233">
        <v>84</v>
      </c>
      <c r="D20" s="233" t="s">
        <v>2</v>
      </c>
      <c r="E20" s="64" t="s">
        <v>873</v>
      </c>
    </row>
    <row r="21" spans="1:5">
      <c r="A21" s="66">
        <v>14</v>
      </c>
      <c r="B21" s="235" t="str">
        <f>SISWA!B19</f>
        <v>Siti Musyafiani</v>
      </c>
      <c r="C21" s="233">
        <v>83</v>
      </c>
      <c r="D21" s="233" t="s">
        <v>2</v>
      </c>
      <c r="E21" s="64" t="s">
        <v>874</v>
      </c>
    </row>
    <row r="22" spans="1:5">
      <c r="A22" s="66">
        <v>15</v>
      </c>
      <c r="B22" s="235" t="str">
        <f>SISWA!B20</f>
        <v>Tegar Arya Pangestu</v>
      </c>
      <c r="C22" s="233">
        <v>83</v>
      </c>
      <c r="D22" s="233" t="s">
        <v>2</v>
      </c>
      <c r="E22" s="64" t="s">
        <v>875</v>
      </c>
    </row>
    <row r="23" spans="1:5">
      <c r="A23" s="66">
        <v>16</v>
      </c>
      <c r="B23" s="235">
        <f>SISWA!B21</f>
        <v>0</v>
      </c>
      <c r="C23" s="233"/>
      <c r="D23" s="233"/>
      <c r="E23" s="64"/>
    </row>
    <row r="24" spans="1:5">
      <c r="A24" s="66">
        <v>17</v>
      </c>
      <c r="B24" s="235">
        <f>SISWA!B22</f>
        <v>0</v>
      </c>
      <c r="C24" s="233"/>
      <c r="D24" s="233"/>
      <c r="E24" s="64"/>
    </row>
    <row r="25" spans="1:5">
      <c r="A25" s="66">
        <v>18</v>
      </c>
      <c r="B25" s="235">
        <f>SISWA!B23</f>
        <v>0</v>
      </c>
      <c r="C25" s="233"/>
      <c r="D25" s="233"/>
      <c r="E25" s="64"/>
    </row>
    <row r="26" spans="1:5">
      <c r="A26" s="66">
        <v>19</v>
      </c>
      <c r="B26" s="235">
        <f>SISWA!B24</f>
        <v>0</v>
      </c>
      <c r="C26" s="233"/>
      <c r="D26" s="233"/>
      <c r="E26" s="64"/>
    </row>
    <row r="27" spans="1:5">
      <c r="A27" s="66">
        <v>20</v>
      </c>
      <c r="B27" s="235">
        <f>SISWA!B25</f>
        <v>0</v>
      </c>
      <c r="C27" s="233"/>
      <c r="D27" s="233"/>
      <c r="E27" s="64"/>
    </row>
    <row r="28" spans="1:5">
      <c r="A28" s="66">
        <v>21</v>
      </c>
      <c r="B28" s="235">
        <f>SISWA!B26</f>
        <v>0</v>
      </c>
      <c r="C28" s="233"/>
      <c r="D28" s="233"/>
      <c r="E28" s="64"/>
    </row>
    <row r="29" spans="1:5">
      <c r="A29" s="66">
        <v>22</v>
      </c>
      <c r="B29" s="235">
        <f>SISWA!B27</f>
        <v>0</v>
      </c>
      <c r="C29" s="233"/>
      <c r="D29" s="233"/>
      <c r="E29" s="64"/>
    </row>
    <row r="30" spans="1:5">
      <c r="A30" s="66">
        <v>23</v>
      </c>
      <c r="B30" s="235">
        <f>SISWA!B28</f>
        <v>0</v>
      </c>
      <c r="C30" s="233"/>
      <c r="D30" s="233"/>
      <c r="E30" s="64"/>
    </row>
    <row r="31" spans="1:5">
      <c r="A31" s="66">
        <v>24</v>
      </c>
      <c r="B31" s="235">
        <f>SISWA!B29</f>
        <v>0</v>
      </c>
      <c r="C31" s="233"/>
      <c r="D31" s="233"/>
      <c r="E31" s="64"/>
    </row>
    <row r="32" spans="1:5">
      <c r="A32" s="66">
        <v>25</v>
      </c>
      <c r="B32" s="235">
        <f>SISWA!B30</f>
        <v>0</v>
      </c>
      <c r="C32" s="233"/>
      <c r="D32" s="233"/>
      <c r="E32" s="64"/>
    </row>
    <row r="33" spans="1:5">
      <c r="A33" s="66">
        <v>26</v>
      </c>
      <c r="B33" s="235">
        <f>SISWA!B31</f>
        <v>0</v>
      </c>
      <c r="C33" s="233"/>
      <c r="D33" s="233"/>
      <c r="E33" s="64"/>
    </row>
    <row r="34" spans="1:5">
      <c r="A34" s="66">
        <v>27</v>
      </c>
      <c r="B34" s="235">
        <f>SISWA!B32</f>
        <v>0</v>
      </c>
      <c r="C34" s="233"/>
      <c r="D34" s="233"/>
      <c r="E34" s="64"/>
    </row>
    <row r="35" spans="1:5">
      <c r="A35" s="66">
        <v>28</v>
      </c>
      <c r="B35" s="235">
        <f>SISWA!B33</f>
        <v>0</v>
      </c>
      <c r="C35" s="233"/>
      <c r="D35" s="233"/>
      <c r="E35" s="64"/>
    </row>
    <row r="36" spans="1:5">
      <c r="A36" s="66">
        <v>29</v>
      </c>
      <c r="B36" s="235">
        <f>SISWA!B34</f>
        <v>0</v>
      </c>
      <c r="C36" s="233"/>
      <c r="D36" s="233"/>
      <c r="E36" s="64"/>
    </row>
    <row r="37" spans="1:5">
      <c r="A37" s="66">
        <v>30</v>
      </c>
      <c r="B37" s="235">
        <f>SISWA!B35</f>
        <v>0</v>
      </c>
      <c r="C37" s="233"/>
      <c r="D37" s="233"/>
      <c r="E37" s="64"/>
    </row>
    <row r="38" spans="1:5">
      <c r="A38" s="66">
        <v>31</v>
      </c>
      <c r="B38" s="235">
        <f>SISWA!B36</f>
        <v>0</v>
      </c>
      <c r="C38" s="233"/>
      <c r="D38" s="233"/>
      <c r="E38" s="64"/>
    </row>
    <row r="39" spans="1:5">
      <c r="A39" s="66">
        <v>32</v>
      </c>
      <c r="B39" s="235">
        <f>SISWA!B37</f>
        <v>0</v>
      </c>
      <c r="C39" s="233"/>
      <c r="D39" s="233"/>
      <c r="E39" s="64"/>
    </row>
    <row r="40" spans="1:5">
      <c r="A40" s="66">
        <v>33</v>
      </c>
      <c r="B40" s="235">
        <f>SISWA!B38</f>
        <v>0</v>
      </c>
      <c r="C40" s="233"/>
      <c r="D40" s="233"/>
      <c r="E40" s="64"/>
    </row>
    <row r="41" spans="1:5">
      <c r="A41" s="66">
        <v>34</v>
      </c>
      <c r="B41" s="235">
        <f>SISWA!B39</f>
        <v>0</v>
      </c>
      <c r="C41" s="233"/>
      <c r="D41" s="233"/>
      <c r="E41" s="64"/>
    </row>
    <row r="42" spans="1:5">
      <c r="A42" s="66">
        <v>35</v>
      </c>
      <c r="B42" s="235">
        <f>SISWA!B40</f>
        <v>0</v>
      </c>
      <c r="C42" s="233"/>
      <c r="D42" s="233"/>
      <c r="E42" s="64"/>
    </row>
    <row r="43" spans="1:5">
      <c r="A43" s="66">
        <v>36</v>
      </c>
      <c r="B43" s="235" t="e">
        <f>SISWA!#REF!</f>
        <v>#REF!</v>
      </c>
      <c r="C43" s="233"/>
      <c r="D43" s="233"/>
      <c r="E43" s="64"/>
    </row>
    <row r="44" spans="1:5">
      <c r="A44" s="66">
        <v>37</v>
      </c>
      <c r="B44" s="235" t="e">
        <f>SISWA!#REF!</f>
        <v>#REF!</v>
      </c>
      <c r="C44" s="233"/>
      <c r="D44" s="233"/>
      <c r="E44" s="64"/>
    </row>
    <row r="45" spans="1:5">
      <c r="A45" s="66">
        <v>38</v>
      </c>
      <c r="B45" s="235" t="e">
        <f>SISWA!#REF!</f>
        <v>#REF!</v>
      </c>
      <c r="C45" s="233"/>
      <c r="D45" s="233"/>
      <c r="E45" s="64"/>
    </row>
    <row r="46" spans="1:5">
      <c r="A46" s="66">
        <v>39</v>
      </c>
      <c r="B46" s="235" t="e">
        <f>SISWA!#REF!</f>
        <v>#REF!</v>
      </c>
      <c r="C46" s="233"/>
      <c r="D46" s="233"/>
      <c r="E46" s="64"/>
    </row>
    <row r="47" spans="1:5">
      <c r="A47" s="66">
        <v>40</v>
      </c>
      <c r="B47" s="235" t="e">
        <f>SISWA!#REF!</f>
        <v>#REF!</v>
      </c>
      <c r="C47" s="233"/>
      <c r="D47" s="233"/>
      <c r="E47" s="64"/>
    </row>
    <row r="48" spans="1:5"/>
    <row r="49"/>
  </sheetData>
  <sheetProtection sheet="1" objects="1" scenarios="1" formatCells="0" formatColumns="0" formatRows="0"/>
  <mergeCells count="1">
    <mergeCell ref="B1:D1"/>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AD92"/>
  <sheetViews>
    <sheetView workbookViewId="0">
      <pane xSplit="6" ySplit="3" topLeftCell="G4" activePane="bottomRight" state="frozen"/>
      <selection pane="topRight" activeCell="G1" sqref="G1"/>
      <selection pane="bottomLeft" activeCell="A4" sqref="A4"/>
      <selection pane="bottomRight" activeCell="A82" sqref="A82:B86"/>
    </sheetView>
  </sheetViews>
  <sheetFormatPr defaultColWidth="0" defaultRowHeight="15" zeroHeight="1"/>
  <cols>
    <col min="1" max="1" width="5.5703125" style="487" customWidth="1"/>
    <col min="2" max="2" width="9.140625" style="342" customWidth="1"/>
    <col min="3" max="4" width="9.140625" style="220" customWidth="1"/>
    <col min="5" max="30" width="9.140625" customWidth="1"/>
    <col min="31" max="16384" width="9.140625" hidden="1"/>
  </cols>
  <sheetData>
    <row r="1" spans="1:10" ht="18.75">
      <c r="A1" s="482"/>
      <c r="B1" s="438"/>
      <c r="C1" s="439" t="str">
        <f>"KD pada KI-4 kelas "&amp;MENU!N20</f>
        <v>KD pada KI-4 kelas V ( Lima )</v>
      </c>
      <c r="D1" s="440"/>
      <c r="E1" s="124"/>
      <c r="F1" s="124"/>
      <c r="G1" s="124"/>
      <c r="H1" s="124"/>
      <c r="I1" s="124"/>
      <c r="J1" s="124"/>
    </row>
    <row r="2" spans="1:10">
      <c r="A2" s="1234"/>
      <c r="B2" s="1234"/>
      <c r="C2" s="1234"/>
      <c r="D2" s="1234"/>
      <c r="E2" s="1234"/>
      <c r="F2" s="1234"/>
      <c r="G2" s="1234"/>
      <c r="H2" s="124"/>
      <c r="I2" s="124"/>
      <c r="J2" s="124"/>
    </row>
    <row r="3" spans="1:10">
      <c r="A3" s="471"/>
      <c r="B3" s="441"/>
      <c r="C3" s="441"/>
      <c r="D3" s="441"/>
      <c r="E3" s="441"/>
      <c r="F3" s="441"/>
      <c r="G3" s="441"/>
      <c r="H3" s="124"/>
      <c r="I3" s="124"/>
      <c r="J3" s="124"/>
    </row>
    <row r="4" spans="1:10">
      <c r="A4" s="483"/>
      <c r="B4" s="442" t="s">
        <v>119</v>
      </c>
      <c r="C4" s="443"/>
      <c r="D4" s="444"/>
      <c r="E4" s="440"/>
      <c r="F4" s="440"/>
      <c r="G4" s="440"/>
      <c r="H4" s="124"/>
      <c r="I4" s="124"/>
      <c r="J4" s="124"/>
    </row>
    <row r="5" spans="1:10" s="431" customFormat="1" ht="15" customHeight="1">
      <c r="A5" s="770" t="s">
        <v>264</v>
      </c>
      <c r="B5" s="770" t="s">
        <v>589</v>
      </c>
      <c r="C5" s="433"/>
      <c r="D5" s="433"/>
      <c r="E5" s="433"/>
      <c r="F5" s="433"/>
      <c r="G5" s="433"/>
    </row>
    <row r="6" spans="1:10" s="431" customFormat="1">
      <c r="A6" s="770" t="s">
        <v>265</v>
      </c>
      <c r="B6" s="770" t="s">
        <v>590</v>
      </c>
      <c r="C6" s="433"/>
      <c r="D6" s="433"/>
      <c r="E6" s="433"/>
      <c r="F6" s="433"/>
      <c r="G6" s="433"/>
    </row>
    <row r="7" spans="1:10" s="431" customFormat="1">
      <c r="A7" s="770" t="s">
        <v>266</v>
      </c>
      <c r="B7" s="770" t="s">
        <v>591</v>
      </c>
      <c r="C7" s="434"/>
      <c r="D7" s="433"/>
      <c r="E7" s="433"/>
      <c r="F7" s="433"/>
      <c r="G7" s="433"/>
    </row>
    <row r="8" spans="1:10" s="431" customFormat="1">
      <c r="A8" s="733" t="s">
        <v>267</v>
      </c>
      <c r="B8" s="773" t="s">
        <v>592</v>
      </c>
      <c r="C8" s="433"/>
      <c r="D8" s="433"/>
      <c r="E8" s="433"/>
      <c r="F8" s="433"/>
      <c r="G8" s="433"/>
    </row>
    <row r="9" spans="1:10" s="431" customFormat="1">
      <c r="A9" s="470"/>
      <c r="B9" s="478"/>
      <c r="C9" s="433"/>
      <c r="D9" s="433"/>
      <c r="E9" s="433"/>
      <c r="F9" s="433"/>
      <c r="G9" s="433"/>
    </row>
    <row r="10" spans="1:10" s="431" customFormat="1">
      <c r="A10" s="484"/>
      <c r="B10" s="345"/>
      <c r="C10" s="433"/>
      <c r="D10" s="433"/>
      <c r="E10" s="433"/>
      <c r="F10" s="433"/>
      <c r="G10" s="433"/>
    </row>
    <row r="11" spans="1:10">
      <c r="A11" s="18"/>
      <c r="B11" s="343"/>
      <c r="E11" s="220"/>
      <c r="F11" s="220"/>
      <c r="G11" s="220"/>
    </row>
    <row r="12" spans="1:10">
      <c r="A12" s="485"/>
      <c r="B12" s="375" t="s">
        <v>199</v>
      </c>
      <c r="C12" s="373"/>
      <c r="D12" s="374"/>
      <c r="E12" s="220"/>
      <c r="F12" s="220"/>
      <c r="G12" s="220"/>
    </row>
    <row r="13" spans="1:10" s="431" customFormat="1" ht="15" customHeight="1">
      <c r="A13" s="770" t="s">
        <v>264</v>
      </c>
      <c r="B13" s="769" t="s">
        <v>593</v>
      </c>
      <c r="C13" s="433"/>
      <c r="D13" s="433"/>
      <c r="E13" s="433"/>
      <c r="F13" s="433"/>
      <c r="G13" s="433"/>
    </row>
    <row r="14" spans="1:10" s="431" customFormat="1">
      <c r="A14" s="770" t="s">
        <v>265</v>
      </c>
      <c r="B14" s="769" t="s">
        <v>594</v>
      </c>
      <c r="C14" s="433"/>
      <c r="D14" s="433"/>
      <c r="E14" s="433"/>
      <c r="F14" s="433"/>
      <c r="G14" s="433"/>
    </row>
    <row r="15" spans="1:10" s="431" customFormat="1">
      <c r="A15" s="770" t="s">
        <v>266</v>
      </c>
      <c r="B15" s="769" t="s">
        <v>595</v>
      </c>
      <c r="C15" s="433"/>
      <c r="D15" s="433"/>
      <c r="E15" s="433"/>
      <c r="F15" s="433"/>
      <c r="G15" s="433"/>
    </row>
    <row r="16" spans="1:10" s="431" customFormat="1">
      <c r="A16" s="770" t="s">
        <v>267</v>
      </c>
      <c r="B16" s="769" t="s">
        <v>596</v>
      </c>
      <c r="C16" s="433"/>
      <c r="D16" s="433"/>
      <c r="E16" s="433"/>
      <c r="F16" s="433"/>
      <c r="G16" s="433"/>
    </row>
    <row r="17" spans="1:16" s="431" customFormat="1">
      <c r="A17" s="770" t="s">
        <v>268</v>
      </c>
      <c r="B17" s="769" t="s">
        <v>597</v>
      </c>
      <c r="C17" s="433"/>
      <c r="D17" s="433"/>
      <c r="E17" s="433"/>
      <c r="F17" s="433"/>
      <c r="G17" s="433"/>
    </row>
    <row r="18" spans="1:16" s="431" customFormat="1">
      <c r="A18" s="770" t="s">
        <v>406</v>
      </c>
      <c r="B18" s="769" t="s">
        <v>598</v>
      </c>
      <c r="C18" s="433"/>
      <c r="D18" s="433"/>
      <c r="E18" s="433"/>
      <c r="F18" s="433"/>
      <c r="G18" s="433"/>
    </row>
    <row r="19" spans="1:16">
      <c r="A19" s="770" t="s">
        <v>403</v>
      </c>
      <c r="B19" s="769" t="s">
        <v>599</v>
      </c>
      <c r="C19" s="772"/>
      <c r="E19" s="220"/>
      <c r="F19" s="220"/>
      <c r="G19" s="220"/>
      <c r="N19" s="328"/>
      <c r="P19" s="328"/>
    </row>
    <row r="20" spans="1:16">
      <c r="A20" s="582" t="s">
        <v>404</v>
      </c>
      <c r="B20" s="582" t="s">
        <v>600</v>
      </c>
      <c r="E20" s="220"/>
      <c r="F20" s="220"/>
      <c r="G20" s="220"/>
      <c r="N20" s="328"/>
      <c r="P20" s="328"/>
    </row>
    <row r="21" spans="1:16">
      <c r="A21" s="487" t="s">
        <v>405</v>
      </c>
      <c r="B21" s="343" t="s">
        <v>601</v>
      </c>
      <c r="E21" s="220"/>
      <c r="F21" s="220"/>
      <c r="G21" s="220"/>
      <c r="N21" s="328"/>
      <c r="P21" s="328"/>
    </row>
    <row r="22" spans="1:16">
      <c r="A22" s="485"/>
      <c r="B22" s="375" t="s">
        <v>191</v>
      </c>
      <c r="C22" s="373"/>
      <c r="D22" s="374"/>
      <c r="E22" s="220"/>
      <c r="F22" s="220"/>
      <c r="G22" s="220"/>
      <c r="N22" s="328"/>
      <c r="P22" s="328"/>
    </row>
    <row r="23" spans="1:16" s="431" customFormat="1" ht="15" customHeight="1">
      <c r="A23" s="770" t="s">
        <v>264</v>
      </c>
      <c r="B23" s="769" t="s">
        <v>602</v>
      </c>
      <c r="C23" s="433"/>
      <c r="D23" s="433"/>
      <c r="E23" s="433"/>
      <c r="G23" s="433"/>
      <c r="N23" s="445"/>
      <c r="P23" s="445"/>
    </row>
    <row r="24" spans="1:16" s="431" customFormat="1">
      <c r="A24" s="770" t="s">
        <v>265</v>
      </c>
      <c r="B24" s="769" t="s">
        <v>603</v>
      </c>
      <c r="C24" s="433"/>
      <c r="D24" s="433"/>
      <c r="E24" s="433"/>
      <c r="G24" s="433"/>
    </row>
    <row r="25" spans="1:16" s="431" customFormat="1">
      <c r="A25" s="770" t="s">
        <v>266</v>
      </c>
      <c r="B25" s="769" t="s">
        <v>604</v>
      </c>
      <c r="C25" s="433"/>
      <c r="D25" s="433"/>
      <c r="E25" s="433"/>
      <c r="G25" s="433"/>
    </row>
    <row r="26" spans="1:16" s="431" customFormat="1">
      <c r="A26" s="770" t="s">
        <v>267</v>
      </c>
      <c r="B26" s="769" t="s">
        <v>605</v>
      </c>
      <c r="C26" s="433"/>
      <c r="D26" s="433"/>
      <c r="E26" s="433"/>
      <c r="G26" s="433"/>
    </row>
    <row r="27" spans="1:16" s="431" customFormat="1">
      <c r="A27" s="770" t="s">
        <v>268</v>
      </c>
      <c r="B27" s="769" t="s">
        <v>606</v>
      </c>
      <c r="C27" s="433"/>
      <c r="D27" s="433"/>
      <c r="E27" s="433"/>
      <c r="G27" s="433"/>
      <c r="N27" s="445"/>
    </row>
    <row r="28" spans="1:16" s="431" customFormat="1">
      <c r="A28" s="770" t="s">
        <v>406</v>
      </c>
      <c r="B28" s="769" t="s">
        <v>607</v>
      </c>
      <c r="C28" s="433"/>
      <c r="D28" s="433"/>
      <c r="E28" s="433"/>
      <c r="G28" s="433"/>
    </row>
    <row r="29" spans="1:16" s="431" customFormat="1">
      <c r="A29" s="770" t="s">
        <v>403</v>
      </c>
      <c r="B29" s="769" t="s">
        <v>608</v>
      </c>
      <c r="C29" s="433"/>
      <c r="D29" s="433"/>
      <c r="E29" s="433"/>
      <c r="G29" s="433"/>
      <c r="N29" s="445"/>
    </row>
    <row r="30" spans="1:16" s="431" customFormat="1">
      <c r="A30" s="733" t="s">
        <v>404</v>
      </c>
      <c r="B30" s="478" t="s">
        <v>609</v>
      </c>
      <c r="C30" s="433"/>
      <c r="D30" s="433"/>
      <c r="E30" s="433"/>
      <c r="G30" s="433"/>
      <c r="N30" s="445"/>
    </row>
    <row r="31" spans="1:16" s="431" customFormat="1">
      <c r="A31" s="733"/>
      <c r="B31" s="478"/>
      <c r="C31" s="433"/>
      <c r="D31" s="433"/>
      <c r="E31" s="433"/>
      <c r="G31" s="433"/>
    </row>
    <row r="32" spans="1:16" s="431" customFormat="1">
      <c r="A32" s="768"/>
      <c r="B32" s="432"/>
      <c r="C32" s="433"/>
      <c r="D32" s="433"/>
      <c r="E32" s="433"/>
      <c r="G32" s="433"/>
    </row>
    <row r="33" spans="1:16" s="431" customFormat="1">
      <c r="A33" s="771"/>
      <c r="B33" s="432"/>
      <c r="C33" s="433"/>
      <c r="D33" s="433"/>
      <c r="E33" s="433"/>
      <c r="G33" s="433"/>
    </row>
    <row r="34" spans="1:16" s="27" customFormat="1">
      <c r="A34" s="771"/>
      <c r="B34" s="345"/>
      <c r="C34" s="433"/>
      <c r="D34" s="433"/>
      <c r="E34" s="433"/>
      <c r="F34" s="433"/>
      <c r="G34" s="433"/>
      <c r="H34" s="431"/>
      <c r="I34" s="431"/>
      <c r="P34" s="331"/>
    </row>
    <row r="35" spans="1:16">
      <c r="B35" s="343"/>
      <c r="E35" s="220"/>
      <c r="F35" s="220"/>
      <c r="G35" s="220"/>
      <c r="P35" s="328"/>
    </row>
    <row r="36" spans="1:16">
      <c r="A36" s="485"/>
      <c r="B36" s="373" t="s">
        <v>203</v>
      </c>
      <c r="C36" s="373"/>
      <c r="D36" s="374"/>
      <c r="E36" s="220"/>
      <c r="F36" s="220"/>
      <c r="G36" s="220"/>
      <c r="P36" s="328"/>
    </row>
    <row r="37" spans="1:16" s="431" customFormat="1">
      <c r="A37" s="770" t="s">
        <v>264</v>
      </c>
      <c r="B37" s="770" t="s">
        <v>610</v>
      </c>
      <c r="C37" s="788"/>
      <c r="D37" s="433"/>
      <c r="E37" s="433"/>
      <c r="F37" s="433"/>
      <c r="G37" s="433"/>
      <c r="P37" s="445"/>
    </row>
    <row r="38" spans="1:16" s="431" customFormat="1">
      <c r="A38" s="770" t="s">
        <v>265</v>
      </c>
      <c r="B38" s="770" t="s">
        <v>611</v>
      </c>
      <c r="C38" s="788"/>
      <c r="D38" s="433"/>
      <c r="E38" s="433"/>
      <c r="F38" s="433"/>
      <c r="G38" s="433"/>
      <c r="P38" s="445"/>
    </row>
    <row r="39" spans="1:16" s="431" customFormat="1">
      <c r="A39" s="770" t="s">
        <v>266</v>
      </c>
      <c r="B39" s="770" t="s">
        <v>612</v>
      </c>
      <c r="C39" s="788"/>
      <c r="D39" s="433"/>
      <c r="E39" s="433"/>
      <c r="F39" s="433"/>
      <c r="G39" s="433"/>
      <c r="P39" s="445"/>
    </row>
    <row r="40" spans="1:16" s="431" customFormat="1">
      <c r="A40" s="770" t="s">
        <v>267</v>
      </c>
      <c r="B40" s="770" t="s">
        <v>613</v>
      </c>
      <c r="C40" s="788"/>
      <c r="D40" s="433"/>
      <c r="E40" s="433"/>
      <c r="F40" s="433"/>
      <c r="G40" s="433"/>
      <c r="P40" s="445"/>
    </row>
    <row r="41" spans="1:16" s="431" customFormat="1">
      <c r="A41" s="770" t="s">
        <v>268</v>
      </c>
      <c r="B41" s="770" t="s">
        <v>614</v>
      </c>
      <c r="C41" s="788"/>
      <c r="D41" s="433"/>
      <c r="E41" s="433"/>
      <c r="F41" s="433"/>
      <c r="G41" s="433"/>
      <c r="P41" s="445"/>
    </row>
    <row r="42" spans="1:16" s="431" customFormat="1">
      <c r="A42" s="781" t="s">
        <v>406</v>
      </c>
      <c r="B42" s="773" t="s">
        <v>615</v>
      </c>
      <c r="C42" s="788"/>
      <c r="D42" s="433"/>
      <c r="E42" s="433"/>
      <c r="F42" s="433"/>
      <c r="G42" s="433"/>
      <c r="P42" s="445"/>
    </row>
    <row r="43" spans="1:16" s="27" customFormat="1">
      <c r="A43" s="484" t="s">
        <v>403</v>
      </c>
      <c r="B43" s="773" t="s">
        <v>616</v>
      </c>
      <c r="C43" s="788"/>
      <c r="D43" s="333"/>
      <c r="E43" s="333"/>
      <c r="F43" s="333"/>
      <c r="G43" s="333"/>
      <c r="P43" s="331"/>
    </row>
    <row r="44" spans="1:16">
      <c r="A44" s="789" t="s">
        <v>404</v>
      </c>
      <c r="B44" s="790" t="s">
        <v>617</v>
      </c>
      <c r="C44" s="791"/>
      <c r="E44" s="220"/>
      <c r="F44" s="220"/>
      <c r="G44" s="220"/>
      <c r="P44" s="328"/>
    </row>
    <row r="45" spans="1:16">
      <c r="A45" s="789" t="s">
        <v>405</v>
      </c>
      <c r="B45" s="790" t="s">
        <v>618</v>
      </c>
      <c r="C45" s="791"/>
      <c r="E45" s="220"/>
      <c r="F45" s="220"/>
      <c r="G45" s="220"/>
      <c r="P45" s="328"/>
    </row>
    <row r="46" spans="1:16">
      <c r="A46" s="485"/>
      <c r="B46" s="373" t="s">
        <v>204</v>
      </c>
      <c r="C46" s="373"/>
      <c r="D46" s="374"/>
      <c r="E46" s="220"/>
      <c r="F46" s="220"/>
      <c r="G46" s="220"/>
      <c r="P46" s="328"/>
    </row>
    <row r="47" spans="1:16" s="431" customFormat="1">
      <c r="A47" s="770" t="s">
        <v>264</v>
      </c>
      <c r="B47" s="770" t="s">
        <v>619</v>
      </c>
      <c r="C47" s="433"/>
      <c r="D47" s="433"/>
      <c r="E47" s="433"/>
      <c r="F47" s="433"/>
      <c r="G47" s="433"/>
      <c r="P47" s="445"/>
    </row>
    <row r="48" spans="1:16" s="431" customFormat="1">
      <c r="A48" s="770" t="s">
        <v>265</v>
      </c>
      <c r="B48" s="770" t="s">
        <v>620</v>
      </c>
      <c r="C48" s="433"/>
      <c r="D48" s="433"/>
      <c r="E48" s="433"/>
      <c r="F48" s="433"/>
      <c r="G48" s="433"/>
      <c r="P48" s="445"/>
    </row>
    <row r="49" spans="1:16" s="431" customFormat="1">
      <c r="A49" s="770" t="s">
        <v>266</v>
      </c>
      <c r="B49" s="770" t="s">
        <v>621</v>
      </c>
      <c r="C49" s="433"/>
      <c r="D49" s="433"/>
      <c r="E49" s="433"/>
      <c r="F49" s="433"/>
      <c r="G49" s="433"/>
      <c r="P49" s="445"/>
    </row>
    <row r="50" spans="1:16" s="431" customFormat="1">
      <c r="A50" s="770" t="s">
        <v>267</v>
      </c>
      <c r="B50" s="770" t="s">
        <v>622</v>
      </c>
      <c r="C50" s="433"/>
      <c r="D50" s="433"/>
      <c r="E50" s="433"/>
      <c r="F50" s="433"/>
      <c r="G50" s="433"/>
      <c r="P50" s="445"/>
    </row>
    <row r="51" spans="1:16" s="431" customFormat="1">
      <c r="A51" s="733"/>
      <c r="B51" s="773"/>
      <c r="C51" s="433"/>
      <c r="D51" s="433"/>
      <c r="E51" s="433"/>
      <c r="F51" s="433"/>
      <c r="G51" s="433"/>
      <c r="P51" s="445"/>
    </row>
    <row r="52" spans="1:16" s="431" customFormat="1">
      <c r="A52" s="486"/>
      <c r="B52" s="345"/>
      <c r="C52" s="433"/>
      <c r="D52" s="433"/>
      <c r="E52" s="433"/>
      <c r="F52" s="433"/>
      <c r="G52" s="433"/>
      <c r="P52" s="445"/>
    </row>
    <row r="53" spans="1:16">
      <c r="B53" s="343"/>
      <c r="E53" s="220"/>
      <c r="F53" s="220"/>
      <c r="G53" s="220"/>
      <c r="P53" s="328"/>
    </row>
    <row r="54" spans="1:16">
      <c r="A54" s="485"/>
      <c r="B54" s="375" t="s">
        <v>122</v>
      </c>
      <c r="C54" s="373"/>
      <c r="D54" s="374"/>
      <c r="E54" s="220"/>
      <c r="F54" s="220"/>
      <c r="G54" s="220"/>
      <c r="P54" s="328"/>
    </row>
    <row r="55" spans="1:16" s="431" customFormat="1" ht="15" customHeight="1">
      <c r="A55" s="770" t="s">
        <v>264</v>
      </c>
      <c r="B55" s="770" t="s">
        <v>623</v>
      </c>
      <c r="C55" s="433"/>
      <c r="D55" s="433"/>
      <c r="E55" s="433"/>
      <c r="F55" s="433"/>
      <c r="G55" s="433"/>
      <c r="P55" s="445"/>
    </row>
    <row r="56" spans="1:16" s="431" customFormat="1">
      <c r="A56" s="770" t="s">
        <v>265</v>
      </c>
      <c r="B56" s="770" t="s">
        <v>624</v>
      </c>
      <c r="C56" s="433"/>
      <c r="D56" s="433"/>
      <c r="E56" s="433"/>
      <c r="F56" s="433"/>
      <c r="G56" s="433"/>
      <c r="P56" s="446"/>
    </row>
    <row r="57" spans="1:16" s="431" customFormat="1">
      <c r="A57" s="770" t="s">
        <v>266</v>
      </c>
      <c r="B57" s="770" t="s">
        <v>625</v>
      </c>
      <c r="C57" s="433"/>
      <c r="D57" s="433"/>
      <c r="E57" s="433"/>
      <c r="F57" s="433"/>
      <c r="G57" s="433"/>
      <c r="P57" s="445"/>
    </row>
    <row r="58" spans="1:16" s="431" customFormat="1">
      <c r="A58" s="770" t="s">
        <v>267</v>
      </c>
      <c r="B58" s="770" t="s">
        <v>626</v>
      </c>
      <c r="C58" s="433"/>
      <c r="D58" s="433"/>
      <c r="E58" s="433"/>
      <c r="F58" s="433"/>
      <c r="G58" s="433"/>
      <c r="L58" s="445"/>
    </row>
    <row r="59" spans="1:16" s="431" customFormat="1">
      <c r="A59" s="733"/>
      <c r="B59" s="773"/>
      <c r="C59" s="433"/>
      <c r="D59" s="433"/>
      <c r="E59" s="433"/>
      <c r="F59" s="433"/>
      <c r="G59" s="433"/>
      <c r="L59" s="445"/>
    </row>
    <row r="60" spans="1:16" s="431" customFormat="1">
      <c r="A60" s="470"/>
      <c r="B60" s="455"/>
      <c r="C60" s="433"/>
      <c r="D60" s="433"/>
      <c r="E60" s="433"/>
      <c r="F60" s="433"/>
      <c r="G60" s="433"/>
      <c r="L60" s="446"/>
      <c r="P60" s="445"/>
    </row>
    <row r="61" spans="1:16" s="431" customFormat="1">
      <c r="A61" s="488"/>
      <c r="B61" s="478"/>
      <c r="C61" s="433"/>
      <c r="D61" s="433"/>
      <c r="E61" s="433"/>
      <c r="F61" s="433"/>
      <c r="G61" s="433"/>
      <c r="L61" s="446"/>
    </row>
    <row r="62" spans="1:16" s="431" customFormat="1">
      <c r="A62" s="488"/>
      <c r="B62" s="455"/>
      <c r="C62" s="433"/>
      <c r="D62" s="433"/>
      <c r="E62" s="433"/>
      <c r="F62" s="433"/>
      <c r="G62" s="433"/>
      <c r="L62" s="445"/>
    </row>
    <row r="63" spans="1:16" s="431" customFormat="1">
      <c r="A63" s="488"/>
      <c r="B63" s="455"/>
      <c r="C63" s="433"/>
      <c r="D63" s="433"/>
      <c r="E63" s="433"/>
      <c r="F63" s="433"/>
      <c r="G63" s="433"/>
      <c r="L63" s="445"/>
      <c r="P63" s="445"/>
    </row>
    <row r="64" spans="1:16" s="431" customFormat="1" ht="15.75">
      <c r="A64" s="489"/>
      <c r="B64" s="465"/>
      <c r="C64" s="433"/>
      <c r="D64" s="433"/>
      <c r="E64" s="433"/>
      <c r="F64" s="433"/>
      <c r="G64" s="433"/>
      <c r="L64" s="447"/>
    </row>
    <row r="65" spans="1:17" s="431" customFormat="1" ht="15.75">
      <c r="A65" s="489"/>
      <c r="B65" s="465"/>
      <c r="C65" s="433"/>
      <c r="D65" s="433"/>
      <c r="E65" s="433"/>
      <c r="F65" s="433"/>
      <c r="G65" s="433"/>
      <c r="L65" s="447"/>
    </row>
    <row r="66" spans="1:17" s="431" customFormat="1" ht="15.75">
      <c r="A66" s="489"/>
      <c r="B66" s="465"/>
      <c r="C66" s="433"/>
      <c r="D66" s="433"/>
      <c r="E66" s="433"/>
      <c r="F66" s="433"/>
      <c r="G66" s="433"/>
      <c r="L66" s="445"/>
    </row>
    <row r="67" spans="1:17" s="27" customFormat="1" ht="15.75">
      <c r="A67" s="489"/>
      <c r="B67" s="465"/>
      <c r="C67" s="333"/>
      <c r="D67" s="333"/>
      <c r="E67" s="333"/>
      <c r="F67" s="333"/>
      <c r="G67" s="333"/>
      <c r="L67" s="332"/>
    </row>
    <row r="68" spans="1:17" ht="15.75">
      <c r="A68" s="489"/>
      <c r="B68" s="465"/>
      <c r="E68" s="220"/>
      <c r="F68" s="220"/>
      <c r="G68" s="220"/>
      <c r="L68" s="329"/>
    </row>
    <row r="69" spans="1:17" ht="15.75">
      <c r="A69" s="489"/>
      <c r="B69" s="465"/>
      <c r="E69" s="220"/>
      <c r="F69" s="220"/>
      <c r="G69" s="220"/>
      <c r="L69" s="329"/>
    </row>
    <row r="70" spans="1:17">
      <c r="A70" s="485"/>
      <c r="B70" s="375" t="s">
        <v>123</v>
      </c>
      <c r="C70" s="373"/>
      <c r="D70" s="374"/>
      <c r="E70" s="220"/>
      <c r="F70" s="220"/>
      <c r="G70" s="220"/>
    </row>
    <row r="71" spans="1:17" s="431" customFormat="1" ht="15" customHeight="1">
      <c r="A71" s="770" t="s">
        <v>264</v>
      </c>
      <c r="B71" s="770" t="s">
        <v>627</v>
      </c>
      <c r="C71" s="433"/>
      <c r="D71" s="433"/>
      <c r="E71" s="433"/>
      <c r="F71" s="433"/>
      <c r="G71" s="433"/>
    </row>
    <row r="72" spans="1:17" s="431" customFormat="1">
      <c r="A72" s="770" t="s">
        <v>265</v>
      </c>
      <c r="B72" s="770" t="s">
        <v>628</v>
      </c>
      <c r="C72" s="433"/>
      <c r="D72" s="433"/>
      <c r="E72" s="433"/>
      <c r="F72" s="433"/>
      <c r="G72" s="433"/>
    </row>
    <row r="73" spans="1:17" s="431" customFormat="1">
      <c r="A73" s="770" t="s">
        <v>266</v>
      </c>
      <c r="B73" s="770" t="s">
        <v>629</v>
      </c>
      <c r="C73" s="433"/>
      <c r="D73" s="433"/>
      <c r="E73" s="433"/>
      <c r="F73" s="433"/>
      <c r="G73" s="433"/>
    </row>
    <row r="74" spans="1:17" s="431" customFormat="1">
      <c r="A74" s="770" t="s">
        <v>267</v>
      </c>
      <c r="B74" s="770" t="s">
        <v>630</v>
      </c>
      <c r="C74" s="433"/>
      <c r="D74" s="433"/>
      <c r="E74" s="433"/>
      <c r="F74" s="433"/>
      <c r="G74" s="433"/>
      <c r="Q74" s="446"/>
    </row>
    <row r="75" spans="1:17" s="431" customFormat="1">
      <c r="A75" s="770" t="s">
        <v>268</v>
      </c>
      <c r="B75" s="770" t="s">
        <v>631</v>
      </c>
      <c r="C75" s="433"/>
      <c r="D75" s="433"/>
      <c r="E75" s="433"/>
      <c r="F75" s="433"/>
      <c r="G75" s="433"/>
    </row>
    <row r="76" spans="1:17" s="431" customFormat="1">
      <c r="A76" s="771" t="s">
        <v>406</v>
      </c>
      <c r="B76" s="776" t="s">
        <v>632</v>
      </c>
      <c r="C76" s="433"/>
      <c r="D76" s="433"/>
      <c r="E76" s="433"/>
      <c r="F76" s="433"/>
      <c r="G76" s="433"/>
    </row>
    <row r="77" spans="1:17" s="431" customFormat="1">
      <c r="A77" s="771" t="s">
        <v>403</v>
      </c>
      <c r="B77" s="432" t="s">
        <v>633</v>
      </c>
      <c r="C77" s="433"/>
      <c r="D77" s="433"/>
      <c r="E77" s="433"/>
      <c r="F77" s="433"/>
      <c r="G77" s="433"/>
    </row>
    <row r="78" spans="1:17" s="431" customFormat="1">
      <c r="A78" s="771" t="s">
        <v>404</v>
      </c>
      <c r="B78" s="432" t="s">
        <v>634</v>
      </c>
      <c r="C78" s="433"/>
      <c r="D78" s="433"/>
      <c r="E78" s="433"/>
      <c r="F78" s="433"/>
      <c r="G78" s="433"/>
    </row>
    <row r="79" spans="1:17" s="431" customFormat="1">
      <c r="A79" s="771" t="s">
        <v>405</v>
      </c>
      <c r="B79" s="345" t="s">
        <v>635</v>
      </c>
      <c r="C79" s="433"/>
      <c r="D79" s="433"/>
      <c r="E79" s="433"/>
      <c r="F79" s="433"/>
      <c r="G79" s="433"/>
    </row>
    <row r="80" spans="1:17">
      <c r="A80" s="487" t="s">
        <v>286</v>
      </c>
      <c r="B80" s="342" t="s">
        <v>636</v>
      </c>
      <c r="E80" s="220"/>
      <c r="F80" s="220"/>
      <c r="G80" s="220"/>
    </row>
    <row r="81" spans="1:7">
      <c r="A81" s="485"/>
      <c r="B81" s="375" t="s">
        <v>192</v>
      </c>
      <c r="C81" s="373"/>
      <c r="D81" s="374"/>
      <c r="E81" s="220"/>
      <c r="F81" s="220"/>
      <c r="G81" s="220"/>
    </row>
    <row r="82" spans="1:7" s="431" customFormat="1" ht="15" customHeight="1">
      <c r="A82" s="771" t="s">
        <v>264</v>
      </c>
      <c r="B82" s="774" t="s">
        <v>637</v>
      </c>
      <c r="C82" s="433"/>
      <c r="D82" s="433"/>
      <c r="E82" s="433"/>
      <c r="F82" s="433"/>
      <c r="G82" s="433"/>
    </row>
    <row r="83" spans="1:7" s="431" customFormat="1">
      <c r="A83" s="771" t="s">
        <v>265</v>
      </c>
      <c r="B83" s="775" t="s">
        <v>638</v>
      </c>
      <c r="C83" s="433"/>
      <c r="D83" s="433"/>
      <c r="E83" s="433"/>
      <c r="F83" s="433"/>
      <c r="G83" s="433"/>
    </row>
    <row r="84" spans="1:7" s="431" customFormat="1" ht="16.5">
      <c r="A84" s="771" t="s">
        <v>266</v>
      </c>
      <c r="B84" s="774" t="s">
        <v>639</v>
      </c>
      <c r="C84" s="433"/>
      <c r="D84" s="433"/>
      <c r="E84" s="433"/>
      <c r="F84" s="433"/>
      <c r="G84" s="433"/>
    </row>
    <row r="85" spans="1:7" s="431" customFormat="1">
      <c r="A85" s="771" t="s">
        <v>267</v>
      </c>
      <c r="B85" s="775" t="s">
        <v>640</v>
      </c>
      <c r="C85" s="433"/>
      <c r="D85" s="433"/>
      <c r="E85" s="433"/>
      <c r="F85" s="433"/>
      <c r="G85" s="433"/>
    </row>
    <row r="86" spans="1:7" s="431" customFormat="1" ht="16.5">
      <c r="A86" s="771" t="s">
        <v>268</v>
      </c>
      <c r="B86" s="774" t="s">
        <v>641</v>
      </c>
      <c r="C86" s="433"/>
      <c r="D86" s="433"/>
      <c r="E86" s="433"/>
      <c r="F86" s="433"/>
      <c r="G86" s="433"/>
    </row>
    <row r="87" spans="1:7">
      <c r="E87" s="220"/>
      <c r="F87" s="220"/>
      <c r="G87" s="220"/>
    </row>
    <row r="88" spans="1:7">
      <c r="E88" s="220"/>
      <c r="F88" s="220"/>
      <c r="G88" s="220"/>
    </row>
    <row r="89" spans="1:7"/>
    <row r="90" spans="1:7"/>
    <row r="91" spans="1:7"/>
    <row r="92" spans="1:7"/>
  </sheetData>
  <sheetProtection formatCells="0" formatRows="0"/>
  <mergeCells count="1">
    <mergeCell ref="A2:G2"/>
  </mergeCells>
  <pageMargins left="0.7" right="0.7" top="0.75" bottom="0.75" header="0.3" footer="0.3"/>
  <pageSetup paperSize="256" orientation="portrait" horizontalDpi="4294967294" verticalDpi="4294967294"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AH85"/>
  <sheetViews>
    <sheetView workbookViewId="0">
      <pane xSplit="5" ySplit="3" topLeftCell="F4" activePane="bottomRight" state="frozen"/>
      <selection pane="topRight" activeCell="F1" sqref="F1"/>
      <selection pane="bottomLeft" activeCell="A4" sqref="A4"/>
      <selection pane="bottomRight" activeCell="E1" sqref="E1"/>
    </sheetView>
  </sheetViews>
  <sheetFormatPr defaultColWidth="0" defaultRowHeight="15" zeroHeight="1"/>
  <cols>
    <col min="1" max="1" width="5" style="342" customWidth="1"/>
    <col min="2" max="2" width="9.140625" style="342" customWidth="1"/>
    <col min="3" max="3" width="9.140625" style="220" customWidth="1"/>
    <col min="4" max="34" width="9.140625" customWidth="1"/>
    <col min="35" max="16384" width="9.140625" hidden="1"/>
  </cols>
  <sheetData>
    <row r="1" spans="1:6" ht="15.75">
      <c r="C1" s="420" t="str">
        <f>"KD pada KI-3 kelas "&amp;MENU!N20</f>
        <v>KD pada KI-3 kelas V ( Lima )</v>
      </c>
    </row>
    <row r="2" spans="1:6"/>
    <row r="3" spans="1:6" ht="15.75">
      <c r="C3" s="420"/>
      <c r="D3" s="421"/>
    </row>
    <row r="4" spans="1:6">
      <c r="A4" s="372"/>
      <c r="B4" s="426" t="s">
        <v>190</v>
      </c>
      <c r="C4" s="373"/>
      <c r="D4" s="422"/>
      <c r="E4" s="423"/>
    </row>
    <row r="5" spans="1:6" s="27" customFormat="1">
      <c r="A5" s="582" t="s">
        <v>386</v>
      </c>
      <c r="B5" s="582" t="s">
        <v>538</v>
      </c>
      <c r="C5" s="433"/>
      <c r="D5" s="431"/>
      <c r="E5" s="431"/>
      <c r="F5" s="431"/>
    </row>
    <row r="6" spans="1:6" s="27" customFormat="1">
      <c r="A6" s="582" t="s">
        <v>387</v>
      </c>
      <c r="B6" s="582" t="s">
        <v>539</v>
      </c>
      <c r="C6" s="433"/>
      <c r="D6" s="431"/>
      <c r="E6" s="431"/>
      <c r="F6" s="431"/>
    </row>
    <row r="7" spans="1:6" s="27" customFormat="1">
      <c r="A7" s="582" t="s">
        <v>388</v>
      </c>
      <c r="B7" s="582" t="s">
        <v>540</v>
      </c>
      <c r="C7" s="433"/>
      <c r="D7" s="431"/>
      <c r="E7" s="431"/>
      <c r="F7" s="431"/>
    </row>
    <row r="8" spans="1:6" s="27" customFormat="1">
      <c r="A8" s="582" t="s">
        <v>389</v>
      </c>
      <c r="B8" s="582" t="s">
        <v>541</v>
      </c>
      <c r="C8" s="433"/>
      <c r="D8" s="431"/>
      <c r="E8" s="431"/>
      <c r="F8" s="431"/>
    </row>
    <row r="9" spans="1:6" s="27" customFormat="1">
      <c r="A9" s="582" t="s">
        <v>390</v>
      </c>
      <c r="B9" s="582" t="s">
        <v>542</v>
      </c>
      <c r="C9" s="433"/>
      <c r="D9" s="431"/>
      <c r="E9" s="431"/>
      <c r="F9" s="431"/>
    </row>
    <row r="10" spans="1:6" s="27" customFormat="1">
      <c r="A10" s="582" t="s">
        <v>522</v>
      </c>
      <c r="B10" s="582" t="s">
        <v>543</v>
      </c>
      <c r="C10" s="433"/>
      <c r="D10" s="431"/>
      <c r="E10" s="431"/>
      <c r="F10" s="431"/>
    </row>
    <row r="11" spans="1:6">
      <c r="A11" s="582" t="s">
        <v>391</v>
      </c>
      <c r="B11" s="582" t="s">
        <v>544</v>
      </c>
    </row>
    <row r="12" spans="1:6">
      <c r="A12" s="582" t="s">
        <v>392</v>
      </c>
      <c r="B12" s="582" t="s">
        <v>545</v>
      </c>
    </row>
    <row r="13" spans="1:6">
      <c r="A13" s="582" t="s">
        <v>523</v>
      </c>
      <c r="B13" s="582" t="s">
        <v>546</v>
      </c>
    </row>
    <row r="14" spans="1:6">
      <c r="A14" s="372"/>
      <c r="B14" s="426" t="s">
        <v>119</v>
      </c>
      <c r="C14" s="373"/>
      <c r="D14" s="422"/>
      <c r="E14" s="423"/>
    </row>
    <row r="15" spans="1:6" s="27" customFormat="1">
      <c r="A15" s="582" t="s">
        <v>386</v>
      </c>
      <c r="B15" s="582" t="s">
        <v>547</v>
      </c>
      <c r="C15" s="433"/>
      <c r="D15" s="431"/>
      <c r="E15" s="431"/>
      <c r="F15" s="431"/>
    </row>
    <row r="16" spans="1:6" s="27" customFormat="1">
      <c r="A16" s="582" t="s">
        <v>387</v>
      </c>
      <c r="B16" s="582" t="s">
        <v>548</v>
      </c>
      <c r="C16" s="433"/>
      <c r="D16" s="431"/>
      <c r="E16" s="431"/>
      <c r="F16" s="431"/>
    </row>
    <row r="17" spans="1:17" s="27" customFormat="1">
      <c r="A17" s="582" t="s">
        <v>388</v>
      </c>
      <c r="B17" s="582" t="s">
        <v>549</v>
      </c>
      <c r="C17" s="433"/>
      <c r="D17" s="431"/>
      <c r="E17" s="431"/>
      <c r="F17" s="431"/>
    </row>
    <row r="18" spans="1:17" s="27" customFormat="1" ht="16.5">
      <c r="A18" s="365" t="s">
        <v>389</v>
      </c>
      <c r="B18" s="472" t="s">
        <v>550</v>
      </c>
      <c r="C18" s="433"/>
      <c r="D18" s="431"/>
      <c r="E18" s="431"/>
      <c r="F18" s="431"/>
    </row>
    <row r="19" spans="1:17" s="27" customFormat="1">
      <c r="A19" s="365"/>
      <c r="B19" s="473"/>
      <c r="C19" s="433"/>
      <c r="D19" s="431"/>
      <c r="E19" s="431"/>
      <c r="F19" s="431"/>
    </row>
    <row r="20" spans="1:17" s="27" customFormat="1">
      <c r="A20" s="435"/>
      <c r="B20" s="436"/>
      <c r="C20" s="433"/>
      <c r="D20" s="431"/>
      <c r="E20" s="431"/>
      <c r="F20" s="431"/>
    </row>
    <row r="21" spans="1:17"/>
    <row r="22" spans="1:17">
      <c r="A22" s="372"/>
      <c r="B22" s="426" t="s">
        <v>191</v>
      </c>
      <c r="C22" s="373"/>
      <c r="D22" s="422"/>
      <c r="E22" s="423"/>
    </row>
    <row r="23" spans="1:17" s="27" customFormat="1">
      <c r="A23" s="582" t="s">
        <v>386</v>
      </c>
      <c r="B23" s="582" t="s">
        <v>551</v>
      </c>
      <c r="C23" s="433"/>
      <c r="D23" s="431"/>
      <c r="E23" s="431"/>
      <c r="F23" s="431"/>
      <c r="G23" s="86"/>
    </row>
    <row r="24" spans="1:17" s="27" customFormat="1">
      <c r="A24" s="582" t="s">
        <v>387</v>
      </c>
      <c r="B24" s="582" t="s">
        <v>552</v>
      </c>
      <c r="C24" s="433"/>
      <c r="D24" s="431"/>
      <c r="E24" s="431"/>
      <c r="F24" s="431"/>
      <c r="G24" s="86"/>
      <c r="Q24" s="331"/>
    </row>
    <row r="25" spans="1:17" s="27" customFormat="1">
      <c r="A25" s="582" t="s">
        <v>388</v>
      </c>
      <c r="B25" s="582" t="s">
        <v>553</v>
      </c>
      <c r="C25" s="433"/>
      <c r="D25" s="431"/>
      <c r="E25" s="431"/>
      <c r="F25" s="431"/>
      <c r="G25" s="86"/>
    </row>
    <row r="26" spans="1:17" s="27" customFormat="1">
      <c r="A26" s="582" t="s">
        <v>389</v>
      </c>
      <c r="B26" s="582" t="s">
        <v>554</v>
      </c>
      <c r="C26" s="433"/>
      <c r="D26" s="431"/>
      <c r="E26" s="431"/>
      <c r="F26" s="431"/>
      <c r="G26" s="86"/>
      <c r="O26" s="331"/>
    </row>
    <row r="27" spans="1:17" s="27" customFormat="1">
      <c r="A27" s="582" t="s">
        <v>390</v>
      </c>
      <c r="B27" s="582" t="s">
        <v>555</v>
      </c>
      <c r="C27" s="433"/>
      <c r="D27" s="431"/>
      <c r="E27" s="431"/>
      <c r="F27" s="431"/>
      <c r="G27" s="86"/>
      <c r="O27" s="331"/>
    </row>
    <row r="28" spans="1:17" s="27" customFormat="1">
      <c r="A28" s="582" t="s">
        <v>522</v>
      </c>
      <c r="B28" s="582" t="s">
        <v>556</v>
      </c>
      <c r="C28" s="433"/>
      <c r="D28" s="431"/>
      <c r="E28" s="431"/>
      <c r="F28" s="431"/>
      <c r="G28" s="86"/>
      <c r="O28" s="331"/>
    </row>
    <row r="29" spans="1:17" s="27" customFormat="1">
      <c r="A29" s="582" t="s">
        <v>391</v>
      </c>
      <c r="B29" s="582" t="s">
        <v>557</v>
      </c>
      <c r="C29" s="433"/>
      <c r="D29" s="431"/>
      <c r="E29" s="431"/>
      <c r="F29" s="431"/>
      <c r="O29" s="331"/>
    </row>
    <row r="30" spans="1:17" s="27" customFormat="1">
      <c r="A30" s="582" t="s">
        <v>392</v>
      </c>
      <c r="B30" s="474" t="s">
        <v>558</v>
      </c>
      <c r="C30" s="433"/>
      <c r="D30" s="431"/>
      <c r="E30" s="431"/>
      <c r="F30" s="431"/>
      <c r="O30" s="332"/>
    </row>
    <row r="31" spans="1:17" s="27" customFormat="1">
      <c r="A31" s="582"/>
      <c r="B31" s="475"/>
      <c r="C31" s="433"/>
      <c r="D31" s="431"/>
      <c r="E31" s="431"/>
      <c r="F31" s="431"/>
      <c r="O31" s="331"/>
    </row>
    <row r="32" spans="1:17" s="27" customFormat="1">
      <c r="A32" s="582"/>
      <c r="B32" s="474"/>
      <c r="C32" s="433"/>
      <c r="D32" s="431"/>
      <c r="E32" s="431"/>
      <c r="F32" s="431"/>
    </row>
    <row r="33" spans="1:6" s="27" customFormat="1">
      <c r="A33" s="582"/>
      <c r="B33" s="474"/>
      <c r="C33" s="433"/>
      <c r="D33" s="431"/>
      <c r="E33" s="431"/>
      <c r="F33" s="431"/>
    </row>
    <row r="34" spans="1:6" s="27" customFormat="1">
      <c r="A34" s="582"/>
      <c r="B34" s="474"/>
      <c r="C34" s="433"/>
      <c r="D34" s="431"/>
      <c r="E34" s="431"/>
      <c r="F34" s="431"/>
    </row>
    <row r="35" spans="1:6">
      <c r="A35" s="480"/>
      <c r="B35" s="474"/>
      <c r="C35" s="433"/>
      <c r="D35" s="431"/>
      <c r="E35" s="431"/>
      <c r="F35" s="431"/>
    </row>
    <row r="36" spans="1:6">
      <c r="B36" s="363"/>
    </row>
    <row r="37" spans="1:6">
      <c r="B37" s="363"/>
    </row>
    <row r="38" spans="1:6">
      <c r="A38" s="372"/>
      <c r="B38" s="430" t="s">
        <v>203</v>
      </c>
      <c r="C38" s="373"/>
      <c r="D38" s="422"/>
      <c r="E38" s="423"/>
    </row>
    <row r="39" spans="1:6">
      <c r="A39" s="582" t="s">
        <v>386</v>
      </c>
      <c r="B39" s="582" t="s">
        <v>559</v>
      </c>
      <c r="C39" s="433"/>
      <c r="D39" s="431"/>
      <c r="E39" s="431"/>
      <c r="F39" s="431"/>
    </row>
    <row r="40" spans="1:6">
      <c r="A40" s="582" t="s">
        <v>387</v>
      </c>
      <c r="B40" s="582" t="s">
        <v>560</v>
      </c>
      <c r="C40" s="433"/>
      <c r="D40" s="431"/>
      <c r="E40" s="431"/>
      <c r="F40" s="431"/>
    </row>
    <row r="41" spans="1:6">
      <c r="A41" s="582" t="s">
        <v>388</v>
      </c>
      <c r="B41" s="582" t="s">
        <v>561</v>
      </c>
      <c r="C41" s="433"/>
      <c r="D41" s="431"/>
      <c r="E41" s="431"/>
      <c r="F41" s="431"/>
    </row>
    <row r="42" spans="1:6">
      <c r="A42" s="582" t="s">
        <v>389</v>
      </c>
      <c r="B42" s="582" t="s">
        <v>562</v>
      </c>
      <c r="C42" s="433"/>
      <c r="D42" s="431"/>
      <c r="E42" s="431"/>
      <c r="F42" s="431"/>
    </row>
    <row r="43" spans="1:6">
      <c r="A43" s="582" t="s">
        <v>390</v>
      </c>
      <c r="B43" s="582" t="s">
        <v>563</v>
      </c>
      <c r="C43" s="433"/>
      <c r="D43" s="431"/>
      <c r="E43" s="431"/>
      <c r="F43" s="431"/>
    </row>
    <row r="44" spans="1:6">
      <c r="A44" t="s">
        <v>522</v>
      </c>
      <c r="B44" s="474" t="s">
        <v>564</v>
      </c>
      <c r="C44" s="433"/>
      <c r="D44" s="431"/>
      <c r="E44" s="431"/>
      <c r="F44" s="431"/>
    </row>
    <row r="45" spans="1:6">
      <c r="A45" t="s">
        <v>391</v>
      </c>
      <c r="B45" s="474" t="s">
        <v>565</v>
      </c>
      <c r="C45" s="433"/>
      <c r="D45" s="431"/>
      <c r="E45" s="431"/>
      <c r="F45" s="431"/>
    </row>
    <row r="46" spans="1:6">
      <c r="A46" s="342" t="s">
        <v>392</v>
      </c>
      <c r="B46" s="363" t="s">
        <v>566</v>
      </c>
    </row>
    <row r="47" spans="1:6">
      <c r="A47" s="342" t="s">
        <v>523</v>
      </c>
      <c r="B47" s="363" t="s">
        <v>567</v>
      </c>
    </row>
    <row r="48" spans="1:6">
      <c r="A48" s="372"/>
      <c r="B48" s="430" t="s">
        <v>204</v>
      </c>
      <c r="C48" s="373"/>
      <c r="D48" s="422"/>
      <c r="E48" s="423"/>
    </row>
    <row r="49" spans="1:6">
      <c r="A49" s="582" t="s">
        <v>386</v>
      </c>
      <c r="B49" s="582" t="s">
        <v>568</v>
      </c>
      <c r="C49" s="433"/>
      <c r="D49" s="431"/>
      <c r="E49" s="431"/>
      <c r="F49" s="431"/>
    </row>
    <row r="50" spans="1:6">
      <c r="A50" s="582" t="s">
        <v>387</v>
      </c>
      <c r="B50" s="582" t="s">
        <v>569</v>
      </c>
      <c r="C50" s="433"/>
      <c r="D50" s="431"/>
      <c r="E50" s="431"/>
      <c r="F50" s="431"/>
    </row>
    <row r="51" spans="1:6">
      <c r="A51" s="582" t="s">
        <v>388</v>
      </c>
      <c r="B51" s="582" t="s">
        <v>570</v>
      </c>
      <c r="C51" s="433"/>
      <c r="D51" s="431"/>
      <c r="E51" s="431"/>
      <c r="F51" s="431"/>
    </row>
    <row r="52" spans="1:6">
      <c r="A52" s="582" t="s">
        <v>389</v>
      </c>
      <c r="B52" s="582" t="s">
        <v>571</v>
      </c>
      <c r="C52" s="433"/>
      <c r="D52" s="431"/>
      <c r="E52" s="431"/>
      <c r="F52" s="431"/>
    </row>
    <row r="53" spans="1:6">
      <c r="A53" s="333"/>
      <c r="B53" s="454"/>
      <c r="C53" s="433"/>
      <c r="D53" s="431"/>
      <c r="E53" s="431"/>
      <c r="F53" s="431"/>
    </row>
    <row r="54" spans="1:6">
      <c r="A54" s="345"/>
      <c r="B54" s="437"/>
      <c r="C54" s="433"/>
      <c r="D54" s="431"/>
      <c r="E54" s="431"/>
      <c r="F54" s="431"/>
    </row>
    <row r="55" spans="1:6">
      <c r="A55" s="345"/>
      <c r="B55" s="437"/>
      <c r="C55" s="433"/>
      <c r="D55" s="431"/>
      <c r="E55" s="431"/>
      <c r="F55" s="431"/>
    </row>
    <row r="56" spans="1:6">
      <c r="B56" s="363"/>
    </row>
    <row r="57" spans="1:6">
      <c r="B57" s="363"/>
    </row>
    <row r="58" spans="1:6">
      <c r="A58" s="372"/>
      <c r="B58" s="429" t="s">
        <v>122</v>
      </c>
      <c r="C58" s="373"/>
      <c r="D58" s="422"/>
      <c r="E58" s="423"/>
    </row>
    <row r="59" spans="1:6" s="27" customFormat="1">
      <c r="A59" s="582" t="s">
        <v>386</v>
      </c>
      <c r="B59" s="582" t="s">
        <v>572</v>
      </c>
      <c r="C59" s="433"/>
      <c r="D59" s="431"/>
      <c r="E59" s="431"/>
      <c r="F59" s="431"/>
    </row>
    <row r="60" spans="1:6" s="27" customFormat="1">
      <c r="A60" s="582" t="s">
        <v>387</v>
      </c>
      <c r="B60" s="582" t="s">
        <v>573</v>
      </c>
      <c r="C60" s="433"/>
      <c r="D60" s="431"/>
      <c r="E60" s="431"/>
      <c r="F60" s="431"/>
    </row>
    <row r="61" spans="1:6" s="27" customFormat="1">
      <c r="A61" s="582" t="s">
        <v>388</v>
      </c>
      <c r="B61" s="582" t="s">
        <v>574</v>
      </c>
      <c r="C61" s="433"/>
      <c r="D61" s="431"/>
      <c r="E61" s="431"/>
      <c r="F61" s="431"/>
    </row>
    <row r="62" spans="1:6" s="27" customFormat="1">
      <c r="A62" s="582" t="s">
        <v>389</v>
      </c>
      <c r="B62" s="582" t="s">
        <v>575</v>
      </c>
      <c r="C62" s="433"/>
      <c r="D62" s="431"/>
      <c r="E62" s="431"/>
      <c r="F62" s="431"/>
    </row>
    <row r="63" spans="1:6" s="27" customFormat="1">
      <c r="A63"/>
      <c r="B63" s="474"/>
      <c r="C63" s="433"/>
      <c r="D63" s="431"/>
      <c r="E63" s="431"/>
      <c r="F63" s="431"/>
    </row>
    <row r="64" spans="1:6" s="27" customFormat="1">
      <c r="A64" s="431"/>
      <c r="B64" s="434"/>
      <c r="C64" s="433"/>
      <c r="D64" s="431"/>
      <c r="E64" s="431"/>
      <c r="F64" s="431"/>
    </row>
    <row r="65" spans="1:7">
      <c r="A65" s="19"/>
      <c r="B65" s="19"/>
    </row>
    <row r="66" spans="1:7">
      <c r="A66" s="424"/>
      <c r="B66" s="425" t="s">
        <v>123</v>
      </c>
      <c r="C66" s="426"/>
      <c r="D66" s="427"/>
      <c r="E66" s="428"/>
    </row>
    <row r="67" spans="1:7" s="27" customFormat="1">
      <c r="A67" s="582" t="s">
        <v>386</v>
      </c>
      <c r="B67" s="582" t="s">
        <v>576</v>
      </c>
      <c r="C67" s="433"/>
      <c r="D67" s="431"/>
      <c r="E67" s="431"/>
      <c r="F67" s="431"/>
      <c r="G67" s="431"/>
    </row>
    <row r="68" spans="1:7" s="27" customFormat="1">
      <c r="A68" s="582" t="s">
        <v>387</v>
      </c>
      <c r="B68" s="583" t="s">
        <v>577</v>
      </c>
      <c r="C68" s="433"/>
      <c r="D68" s="431"/>
      <c r="E68" s="431"/>
      <c r="F68" s="431"/>
      <c r="G68" s="431"/>
    </row>
    <row r="69" spans="1:7" s="27" customFormat="1">
      <c r="A69" s="582" t="s">
        <v>388</v>
      </c>
      <c r="B69" s="582" t="s">
        <v>578</v>
      </c>
      <c r="C69" s="433"/>
      <c r="D69" s="431"/>
      <c r="E69" s="431"/>
      <c r="F69" s="431"/>
      <c r="G69" s="431"/>
    </row>
    <row r="70" spans="1:7" s="27" customFormat="1">
      <c r="A70" s="582" t="s">
        <v>389</v>
      </c>
      <c r="B70" s="582" t="s">
        <v>579</v>
      </c>
      <c r="C70" s="433"/>
      <c r="D70" s="431"/>
      <c r="E70" s="431"/>
      <c r="F70" s="431"/>
      <c r="G70" s="431"/>
    </row>
    <row r="71" spans="1:7" s="27" customFormat="1">
      <c r="A71" s="582" t="s">
        <v>390</v>
      </c>
      <c r="B71" s="582" t="s">
        <v>580</v>
      </c>
      <c r="C71" s="433"/>
      <c r="D71" s="431"/>
      <c r="E71" s="431"/>
      <c r="F71" s="431"/>
      <c r="G71" s="431"/>
    </row>
    <row r="72" spans="1:7" s="27" customFormat="1">
      <c r="A72" s="344" t="s">
        <v>522</v>
      </c>
      <c r="B72" s="432" t="s">
        <v>581</v>
      </c>
      <c r="C72" s="433"/>
      <c r="D72" s="431"/>
      <c r="E72" s="431"/>
      <c r="F72" s="431"/>
      <c r="G72" s="431"/>
    </row>
    <row r="73" spans="1:7" s="27" customFormat="1">
      <c r="A73" s="344" t="s">
        <v>391</v>
      </c>
      <c r="B73" s="432" t="s">
        <v>582</v>
      </c>
      <c r="C73" s="433"/>
      <c r="D73" s="431"/>
      <c r="E73" s="431"/>
      <c r="F73" s="431"/>
      <c r="G73" s="431"/>
    </row>
    <row r="74" spans="1:7">
      <c r="A74" s="19" t="s">
        <v>392</v>
      </c>
      <c r="B74" s="19" t="s">
        <v>583</v>
      </c>
    </row>
    <row r="75" spans="1:7">
      <c r="A75" s="424"/>
      <c r="B75" s="429" t="s">
        <v>232</v>
      </c>
      <c r="C75" s="426"/>
      <c r="D75" s="427"/>
      <c r="E75" s="428"/>
    </row>
    <row r="76" spans="1:7" s="27" customFormat="1" ht="16.5">
      <c r="A76" t="s">
        <v>386</v>
      </c>
      <c r="B76" s="476" t="s">
        <v>584</v>
      </c>
      <c r="D76" s="431"/>
      <c r="E76" s="431"/>
      <c r="F76" s="431"/>
      <c r="G76" s="431"/>
    </row>
    <row r="77" spans="1:7" s="27" customFormat="1">
      <c r="A77" t="s">
        <v>387</v>
      </c>
      <c r="B77" s="477" t="s">
        <v>585</v>
      </c>
      <c r="D77" s="431"/>
      <c r="E77" s="431"/>
      <c r="F77" s="431"/>
      <c r="G77" s="431"/>
    </row>
    <row r="78" spans="1:7" s="27" customFormat="1" ht="16.5">
      <c r="A78" t="s">
        <v>388</v>
      </c>
      <c r="B78" s="476" t="s">
        <v>586</v>
      </c>
      <c r="D78" s="431"/>
      <c r="E78" s="431"/>
      <c r="F78" s="431"/>
      <c r="G78" s="431"/>
    </row>
    <row r="79" spans="1:7" s="27" customFormat="1">
      <c r="A79" t="s">
        <v>389</v>
      </c>
      <c r="B79" s="477" t="s">
        <v>587</v>
      </c>
      <c r="D79" s="431"/>
      <c r="E79" s="431"/>
      <c r="F79" s="431"/>
      <c r="G79" s="431"/>
    </row>
    <row r="80" spans="1:7" s="27" customFormat="1" ht="16.5">
      <c r="A80" t="s">
        <v>390</v>
      </c>
      <c r="B80" s="476" t="s">
        <v>588</v>
      </c>
      <c r="D80" s="431"/>
      <c r="E80" s="431"/>
      <c r="F80" s="431"/>
      <c r="G80" s="431"/>
    </row>
    <row r="81" spans="1:3" s="27" customFormat="1">
      <c r="A81" s="362"/>
      <c r="B81" s="362"/>
      <c r="C81" s="333"/>
    </row>
    <row r="82" spans="1:3"/>
    <row r="83" spans="1:3"/>
    <row r="84" spans="1:3"/>
    <row r="85" spans="1:3"/>
  </sheetData>
  <sheetProtection formatCells="0" formatRows="0"/>
  <pageMargins left="0.7" right="0.7" top="0.75" bottom="0.75" header="0.3" footer="0.3"/>
  <pageSetup paperSize="9" orientation="portrait" horizontalDpi="4294967294" verticalDpi="4294967294"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GN61"/>
  <sheetViews>
    <sheetView showRowColHeaders="0" showZeros="0" workbookViewId="0">
      <pane xSplit="2" ySplit="7" topLeftCell="DA20" activePane="bottomRight" state="frozen"/>
      <selection pane="topRight" activeCell="C1" sqref="C1"/>
      <selection pane="bottomLeft" activeCell="A8" sqref="A8"/>
      <selection pane="bottomRight" activeCell="DK22" sqref="DK22"/>
    </sheetView>
  </sheetViews>
  <sheetFormatPr defaultColWidth="0" defaultRowHeight="15" zeroHeight="1"/>
  <cols>
    <col min="1" max="1" width="4.7109375" customWidth="1"/>
    <col min="2" max="2" width="31" customWidth="1"/>
    <col min="3" max="102" width="3.7109375" customWidth="1"/>
    <col min="103" max="119" width="4.28515625" customWidth="1"/>
    <col min="120" max="121" width="6.7109375" customWidth="1"/>
    <col min="122" max="122" width="130.85546875" customWidth="1"/>
    <col min="123" max="123" width="3.7109375" customWidth="1"/>
    <col min="124" max="180" width="3.7109375" hidden="1" customWidth="1"/>
    <col min="181" max="190" width="5.7109375" hidden="1" customWidth="1"/>
    <col min="191" max="191" width="15.7109375" hidden="1" customWidth="1"/>
    <col min="192" max="194" width="5.7109375" hidden="1" customWidth="1"/>
    <col min="195" max="196" width="15.7109375" hidden="1" customWidth="1"/>
    <col min="197" max="16384" width="9.140625" hidden="1"/>
  </cols>
  <sheetData>
    <row r="1" spans="1:191" ht="15.75">
      <c r="A1" s="352"/>
      <c r="B1" s="894" t="s">
        <v>0</v>
      </c>
      <c r="C1" s="894"/>
      <c r="D1" s="894"/>
      <c r="E1" s="894"/>
      <c r="F1" s="894"/>
      <c r="G1" s="894"/>
      <c r="H1" s="894"/>
      <c r="I1" s="894"/>
      <c r="J1" s="894"/>
      <c r="K1" s="894"/>
      <c r="L1" s="894"/>
      <c r="M1" s="894"/>
      <c r="N1" s="894"/>
      <c r="O1" s="894"/>
      <c r="P1" s="894"/>
      <c r="Q1" s="894"/>
      <c r="R1" s="894"/>
      <c r="S1" s="894"/>
      <c r="T1" s="894"/>
      <c r="U1" s="894"/>
      <c r="V1" s="894"/>
      <c r="W1" s="894"/>
      <c r="X1" s="894"/>
      <c r="Y1" s="894"/>
      <c r="Z1" s="894"/>
      <c r="AA1" s="894"/>
      <c r="AB1" s="894"/>
      <c r="AC1" s="894"/>
      <c r="AD1" s="894"/>
      <c r="AE1" s="894"/>
      <c r="AF1" s="894"/>
      <c r="DP1" t="s">
        <v>1</v>
      </c>
      <c r="DQ1">
        <f>KKM!D29</f>
        <v>92</v>
      </c>
      <c r="DT1">
        <v>100</v>
      </c>
      <c r="EH1" s="2"/>
      <c r="EI1" s="2"/>
      <c r="EJ1" s="2"/>
      <c r="EK1" s="353"/>
      <c r="EP1" s="4"/>
      <c r="EQ1" s="2"/>
      <c r="ER1" s="2"/>
      <c r="ES1" s="2"/>
      <c r="ET1" s="353"/>
      <c r="EU1" s="354"/>
      <c r="EV1" s="354"/>
      <c r="EW1" s="354"/>
      <c r="EX1" s="354"/>
      <c r="EY1" s="354"/>
      <c r="EZ1" s="354"/>
      <c r="FA1" s="354"/>
      <c r="FB1" s="354"/>
      <c r="FC1" s="354"/>
      <c r="FD1" s="355"/>
      <c r="FE1" s="4"/>
      <c r="FF1" s="4"/>
      <c r="FG1" s="4"/>
      <c r="FH1" s="4"/>
      <c r="FI1" s="4"/>
      <c r="FJ1" s="4"/>
      <c r="FK1" s="4"/>
      <c r="FL1" s="4"/>
      <c r="FM1" s="4"/>
      <c r="FN1" s="4"/>
      <c r="FO1" s="4"/>
      <c r="FP1" s="4"/>
      <c r="FQ1" s="4"/>
      <c r="FR1" s="4"/>
      <c r="FS1" s="4"/>
      <c r="FT1" s="4"/>
      <c r="FU1" s="4"/>
      <c r="FV1" s="4"/>
      <c r="FW1" s="4"/>
      <c r="FX1" s="4"/>
      <c r="FY1" s="4"/>
      <c r="FZ1" s="4"/>
      <c r="GA1" s="4"/>
      <c r="GB1" s="4"/>
      <c r="GC1" s="4"/>
      <c r="GD1" s="4"/>
      <c r="GE1" s="4"/>
      <c r="GF1" s="4"/>
      <c r="GG1" s="4"/>
      <c r="GH1" s="4"/>
      <c r="GI1" s="4"/>
    </row>
    <row r="2" spans="1:191" ht="15.75">
      <c r="A2" s="352"/>
      <c r="B2" s="7" t="s">
        <v>3</v>
      </c>
      <c r="C2" s="1181" t="s">
        <v>203</v>
      </c>
      <c r="D2" s="996"/>
      <c r="E2" s="996"/>
      <c r="F2" s="996"/>
      <c r="G2" s="996"/>
      <c r="H2" s="996"/>
      <c r="I2" s="996"/>
      <c r="J2" s="996"/>
      <c r="K2" s="996"/>
      <c r="L2" s="996"/>
      <c r="M2" s="8"/>
      <c r="N2" s="9"/>
      <c r="O2" s="9"/>
      <c r="P2" s="9"/>
      <c r="Q2" s="9"/>
      <c r="R2" s="9"/>
      <c r="S2" s="9"/>
      <c r="T2" s="9"/>
      <c r="U2" s="9"/>
      <c r="V2" s="9"/>
      <c r="W2" s="10"/>
      <c r="X2" s="10"/>
      <c r="AD2" s="9"/>
      <c r="AE2" s="11"/>
      <c r="AF2" s="12"/>
      <c r="DP2" t="s">
        <v>2</v>
      </c>
      <c r="DQ2">
        <f>KKM!D30</f>
        <v>83</v>
      </c>
      <c r="DT2">
        <f>(DT1-DQ2)/2</f>
        <v>8.5</v>
      </c>
      <c r="EH2" s="2"/>
      <c r="EI2" s="2"/>
      <c r="EJ2" s="2"/>
      <c r="EK2" s="353"/>
      <c r="EP2" s="4"/>
      <c r="EQ2" s="2"/>
      <c r="ER2" s="2"/>
      <c r="ES2" s="2"/>
      <c r="ET2" s="13"/>
      <c r="EU2" s="13"/>
      <c r="EV2" s="13"/>
      <c r="EW2" s="13"/>
      <c r="EX2" s="13"/>
      <c r="EY2" s="13"/>
      <c r="EZ2" s="13"/>
      <c r="FA2" s="13"/>
      <c r="FB2" s="13"/>
      <c r="FC2" s="13"/>
      <c r="FD2" s="13"/>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row>
    <row r="3" spans="1:191" ht="15.75">
      <c r="A3" s="352"/>
      <c r="B3" s="14" t="s">
        <v>7</v>
      </c>
      <c r="C3" s="992" t="str">
        <f>MENU!N20</f>
        <v>V ( Lima )</v>
      </c>
      <c r="D3" s="992"/>
      <c r="E3" s="992"/>
      <c r="F3" s="992"/>
      <c r="G3" s="992"/>
      <c r="H3" s="992"/>
      <c r="I3" s="992"/>
      <c r="J3" s="992"/>
      <c r="K3" s="992"/>
      <c r="L3" s="992"/>
      <c r="M3" s="992"/>
      <c r="N3" s="992"/>
      <c r="O3" s="992"/>
      <c r="P3" s="992"/>
      <c r="Q3" s="992"/>
      <c r="R3" s="992"/>
      <c r="S3" s="992"/>
      <c r="T3" s="992"/>
      <c r="U3" s="992"/>
      <c r="V3" s="992"/>
      <c r="W3" s="992"/>
      <c r="X3" s="8"/>
      <c r="Y3" s="8"/>
      <c r="Z3" s="8"/>
      <c r="AA3" s="8"/>
      <c r="AB3" s="8"/>
      <c r="AC3" s="8"/>
      <c r="AD3" s="8"/>
      <c r="AE3" s="8"/>
      <c r="AG3" s="997"/>
      <c r="AH3" s="997"/>
      <c r="AI3" s="997"/>
      <c r="AJ3" s="997"/>
      <c r="AK3" s="997"/>
      <c r="AL3" s="997"/>
      <c r="AM3" s="997"/>
      <c r="AN3" s="997"/>
      <c r="AW3" s="23"/>
      <c r="DP3" t="s">
        <v>64</v>
      </c>
      <c r="DQ3">
        <f>KKM!D31</f>
        <v>75</v>
      </c>
      <c r="EH3" s="2"/>
      <c r="EI3" s="2"/>
      <c r="EJ3" s="2"/>
      <c r="EK3" s="353"/>
      <c r="EP3" s="4"/>
      <c r="EQ3" s="24"/>
      <c r="ER3" s="2"/>
      <c r="ES3" s="2"/>
      <c r="ET3" s="998"/>
      <c r="EU3" s="999"/>
      <c r="EV3" s="999"/>
      <c r="EW3" s="999"/>
      <c r="EX3" s="999"/>
      <c r="EY3" s="999"/>
      <c r="EZ3" s="999"/>
      <c r="FA3" s="999"/>
      <c r="FB3" s="999"/>
      <c r="FC3" s="999"/>
      <c r="FD3" s="1000"/>
      <c r="FE3" s="355"/>
      <c r="FF3" s="355"/>
      <c r="FG3" s="355"/>
      <c r="FH3" s="355"/>
      <c r="FI3" s="355"/>
      <c r="FJ3" s="355"/>
      <c r="FK3" s="355"/>
      <c r="FL3" s="355"/>
      <c r="FM3" s="355"/>
      <c r="FN3" s="355"/>
      <c r="FO3" s="355"/>
      <c r="FP3" s="355"/>
      <c r="FQ3" s="355"/>
      <c r="FR3" s="355"/>
      <c r="FS3" s="355"/>
      <c r="FT3" s="355"/>
      <c r="FU3" s="355"/>
      <c r="FV3" s="355"/>
      <c r="FW3" s="355"/>
      <c r="FX3" s="355"/>
      <c r="FY3" s="355"/>
      <c r="FZ3" s="355"/>
      <c r="GA3" s="355"/>
      <c r="GB3" s="355"/>
      <c r="GC3" s="355"/>
      <c r="GD3" s="355"/>
      <c r="GE3" s="355"/>
      <c r="GF3" s="355"/>
      <c r="GG3" s="355"/>
      <c r="GH3" s="355"/>
      <c r="GI3" s="2"/>
    </row>
    <row r="4" spans="1:191">
      <c r="B4" s="121" t="s">
        <v>304</v>
      </c>
      <c r="C4" s="993">
        <f>KKM!C21</f>
        <v>75</v>
      </c>
      <c r="D4" s="993"/>
      <c r="E4" s="993"/>
      <c r="F4" s="993"/>
      <c r="G4" s="993"/>
      <c r="H4" s="993"/>
      <c r="I4" s="993"/>
      <c r="J4" s="993"/>
      <c r="K4" s="993"/>
      <c r="L4" s="993"/>
      <c r="M4" s="993"/>
      <c r="N4" s="993"/>
      <c r="O4" s="993"/>
      <c r="P4" s="993"/>
      <c r="Q4" s="993"/>
      <c r="R4" s="993"/>
      <c r="S4" s="993"/>
      <c r="T4" s="993"/>
      <c r="U4" s="27"/>
      <c r="V4" s="27"/>
      <c r="W4" s="27"/>
      <c r="X4" s="27"/>
      <c r="Y4" s="27"/>
      <c r="Z4" s="27"/>
      <c r="AA4" s="27"/>
      <c r="AB4" s="27"/>
      <c r="AC4" s="27"/>
      <c r="AD4" s="27"/>
      <c r="AE4" s="27"/>
      <c r="AF4" s="27"/>
      <c r="AG4" s="27"/>
      <c r="DP4" t="s">
        <v>146</v>
      </c>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1007" t="s">
        <v>23</v>
      </c>
      <c r="GD4" s="4"/>
      <c r="GE4" s="4"/>
      <c r="GF4" s="4"/>
      <c r="GG4" s="4"/>
      <c r="GH4" s="4"/>
      <c r="GI4" s="4"/>
    </row>
    <row r="5" spans="1:191" ht="14.1" customHeight="1">
      <c r="A5" s="900" t="s">
        <v>9</v>
      </c>
      <c r="B5" s="900" t="s">
        <v>10</v>
      </c>
      <c r="C5" s="1235" t="s">
        <v>269</v>
      </c>
      <c r="D5" s="1236"/>
      <c r="E5" s="1236"/>
      <c r="F5" s="1236"/>
      <c r="G5" s="1236"/>
      <c r="H5" s="1236"/>
      <c r="I5" s="1236"/>
      <c r="J5" s="1236"/>
      <c r="K5" s="1236"/>
      <c r="L5" s="1236"/>
      <c r="M5" s="1236"/>
      <c r="N5" s="1236"/>
      <c r="O5" s="1236"/>
      <c r="P5" s="1236"/>
      <c r="Q5" s="1236"/>
      <c r="R5" s="1236"/>
      <c r="S5" s="1236"/>
      <c r="T5" s="1237"/>
      <c r="U5" s="934" t="s">
        <v>270</v>
      </c>
      <c r="V5" s="935"/>
      <c r="W5" s="935"/>
      <c r="X5" s="935"/>
      <c r="Y5" s="935"/>
      <c r="Z5" s="935"/>
      <c r="AA5" s="935"/>
      <c r="AB5" s="935"/>
      <c r="AC5" s="935"/>
      <c r="AD5" s="935"/>
      <c r="AE5" s="935"/>
      <c r="AF5" s="935"/>
      <c r="AG5" s="935"/>
      <c r="AH5" s="935"/>
      <c r="AI5" s="935"/>
      <c r="AJ5" s="935"/>
      <c r="AK5" s="935"/>
      <c r="AL5" s="936"/>
      <c r="AM5" s="1235" t="s">
        <v>271</v>
      </c>
      <c r="AN5" s="1236"/>
      <c r="AO5" s="1236"/>
      <c r="AP5" s="1236"/>
      <c r="AQ5" s="1236"/>
      <c r="AR5" s="1236"/>
      <c r="AS5" s="1236"/>
      <c r="AT5" s="1236"/>
      <c r="AU5" s="1236"/>
      <c r="AV5" s="1236"/>
      <c r="AW5" s="1236"/>
      <c r="AX5" s="1236"/>
      <c r="AY5" s="1236"/>
      <c r="AZ5" s="1236"/>
      <c r="BA5" s="1236"/>
      <c r="BB5" s="1236"/>
      <c r="BC5" s="1236"/>
      <c r="BD5" s="1237"/>
      <c r="BE5" s="934" t="s">
        <v>272</v>
      </c>
      <c r="BF5" s="935"/>
      <c r="BG5" s="935"/>
      <c r="BH5" s="935"/>
      <c r="BI5" s="935"/>
      <c r="BJ5" s="935"/>
      <c r="BK5" s="935"/>
      <c r="BL5" s="935"/>
      <c r="BM5" s="935"/>
      <c r="BN5" s="935"/>
      <c r="BO5" s="935"/>
      <c r="BP5" s="935"/>
      <c r="BQ5" s="935"/>
      <c r="BR5" s="935"/>
      <c r="BS5" s="935"/>
      <c r="BT5" s="935"/>
      <c r="BU5" s="935"/>
      <c r="BV5" s="936"/>
      <c r="BW5" s="1235" t="s">
        <v>273</v>
      </c>
      <c r="BX5" s="1236"/>
      <c r="BY5" s="1236"/>
      <c r="BZ5" s="1236"/>
      <c r="CA5" s="1236"/>
      <c r="CB5" s="1236"/>
      <c r="CC5" s="1236"/>
      <c r="CD5" s="1236"/>
      <c r="CE5" s="1236"/>
      <c r="CF5" s="1236"/>
      <c r="CG5" s="1236"/>
      <c r="CH5" s="1236"/>
      <c r="CI5" s="1236"/>
      <c r="CJ5" s="1236"/>
      <c r="CK5" s="1236"/>
      <c r="CL5" s="1236"/>
      <c r="CM5" s="1236"/>
      <c r="CN5" s="1237"/>
      <c r="CO5" s="956" t="s">
        <v>385</v>
      </c>
      <c r="CP5" s="957"/>
      <c r="CQ5" s="957"/>
      <c r="CR5" s="957"/>
      <c r="CS5" s="957"/>
      <c r="CT5" s="957"/>
      <c r="CU5" s="957"/>
      <c r="CV5" s="957"/>
      <c r="CW5" s="958"/>
      <c r="CX5" s="1238" t="s">
        <v>379</v>
      </c>
      <c r="CY5" s="1239"/>
      <c r="CZ5" s="1239"/>
      <c r="DA5" s="1239"/>
      <c r="DB5" s="1239"/>
      <c r="DC5" s="1239"/>
      <c r="DD5" s="1239"/>
      <c r="DE5" s="1239"/>
      <c r="DF5" s="1240"/>
      <c r="DG5" s="1198" t="s">
        <v>378</v>
      </c>
      <c r="DH5" s="1199"/>
      <c r="DI5" s="1199"/>
      <c r="DJ5" s="1199"/>
      <c r="DK5" s="1199"/>
      <c r="DL5" s="1199"/>
      <c r="DM5" s="1199"/>
      <c r="DN5" s="1199"/>
      <c r="DO5" s="1200"/>
      <c r="DP5" s="28" t="s">
        <v>14</v>
      </c>
      <c r="DQ5" s="980" t="s">
        <v>15</v>
      </c>
      <c r="DR5" s="1021" t="s">
        <v>16</v>
      </c>
      <c r="DS5" s="281"/>
      <c r="DT5" s="500"/>
      <c r="DU5" s="1027" t="s">
        <v>380</v>
      </c>
      <c r="DV5" s="1028"/>
      <c r="DW5" s="1028"/>
      <c r="DX5" s="1028"/>
      <c r="DY5" s="1028"/>
      <c r="DZ5" s="1028"/>
      <c r="EA5" s="1028"/>
      <c r="EB5" s="1028"/>
      <c r="EC5" s="1028"/>
      <c r="ED5" s="1029"/>
      <c r="EE5" s="1024"/>
      <c r="EF5" s="4"/>
      <c r="EG5" s="990" t="s">
        <v>17</v>
      </c>
      <c r="EH5" s="991"/>
      <c r="EI5" s="991"/>
      <c r="EJ5" s="991"/>
      <c r="EK5" s="991"/>
      <c r="EL5" s="991"/>
      <c r="EM5" s="991"/>
      <c r="EN5" s="991"/>
      <c r="EO5" s="991"/>
      <c r="EP5" s="31"/>
      <c r="EQ5" s="31"/>
      <c r="ER5" s="31"/>
      <c r="ES5" s="31"/>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1008"/>
      <c r="GD5" s="4"/>
      <c r="GE5" s="4"/>
      <c r="GF5" s="4"/>
      <c r="GG5" s="4"/>
      <c r="GH5" s="4"/>
      <c r="GI5" s="4"/>
    </row>
    <row r="6" spans="1:191" ht="25.5" customHeight="1">
      <c r="A6" s="900"/>
      <c r="B6" s="900"/>
      <c r="C6" s="1003" t="s">
        <v>380</v>
      </c>
      <c r="D6" s="1004"/>
      <c r="E6" s="1004"/>
      <c r="F6" s="1004"/>
      <c r="G6" s="1004"/>
      <c r="H6" s="1004"/>
      <c r="I6" s="1004"/>
      <c r="J6" s="1004"/>
      <c r="K6" s="1172"/>
      <c r="L6" s="1005" t="s">
        <v>275</v>
      </c>
      <c r="M6" s="1006"/>
      <c r="N6" s="1006"/>
      <c r="O6" s="1006"/>
      <c r="P6" s="1006"/>
      <c r="Q6" s="1006"/>
      <c r="R6" s="1006"/>
      <c r="S6" s="1006"/>
      <c r="T6" s="1173"/>
      <c r="U6" s="1003" t="s">
        <v>380</v>
      </c>
      <c r="V6" s="1004"/>
      <c r="W6" s="1004"/>
      <c r="X6" s="1004"/>
      <c r="Y6" s="1004"/>
      <c r="Z6" s="1004"/>
      <c r="AA6" s="1004"/>
      <c r="AB6" s="1004"/>
      <c r="AC6" s="1172"/>
      <c r="AD6" s="1005" t="s">
        <v>275</v>
      </c>
      <c r="AE6" s="1006"/>
      <c r="AF6" s="1006"/>
      <c r="AG6" s="1006"/>
      <c r="AH6" s="1006"/>
      <c r="AI6" s="1006"/>
      <c r="AJ6" s="1006"/>
      <c r="AK6" s="1006"/>
      <c r="AL6" s="1173"/>
      <c r="AM6" s="1003" t="s">
        <v>380</v>
      </c>
      <c r="AN6" s="1004"/>
      <c r="AO6" s="1004"/>
      <c r="AP6" s="1004"/>
      <c r="AQ6" s="1004"/>
      <c r="AR6" s="1004"/>
      <c r="AS6" s="1004"/>
      <c r="AT6" s="1004"/>
      <c r="AU6" s="1172"/>
      <c r="AV6" s="1005" t="s">
        <v>275</v>
      </c>
      <c r="AW6" s="1006"/>
      <c r="AX6" s="1006"/>
      <c r="AY6" s="1006"/>
      <c r="AZ6" s="1006"/>
      <c r="BA6" s="1006"/>
      <c r="BB6" s="1006"/>
      <c r="BC6" s="1006"/>
      <c r="BD6" s="1173"/>
      <c r="BE6" s="1003" t="s">
        <v>380</v>
      </c>
      <c r="BF6" s="1004"/>
      <c r="BG6" s="1004"/>
      <c r="BH6" s="1004"/>
      <c r="BI6" s="1004"/>
      <c r="BJ6" s="1004"/>
      <c r="BK6" s="1004"/>
      <c r="BL6" s="1004"/>
      <c r="BM6" s="1172"/>
      <c r="BN6" s="1005" t="s">
        <v>275</v>
      </c>
      <c r="BO6" s="1006"/>
      <c r="BP6" s="1006"/>
      <c r="BQ6" s="1006"/>
      <c r="BR6" s="1006"/>
      <c r="BS6" s="1006"/>
      <c r="BT6" s="1006"/>
      <c r="BU6" s="1006"/>
      <c r="BV6" s="1173"/>
      <c r="BW6" s="1003" t="s">
        <v>380</v>
      </c>
      <c r="BX6" s="1004"/>
      <c r="BY6" s="1004"/>
      <c r="BZ6" s="1004"/>
      <c r="CA6" s="1004"/>
      <c r="CB6" s="1004"/>
      <c r="CC6" s="1004"/>
      <c r="CD6" s="1004"/>
      <c r="CE6" s="1172"/>
      <c r="CF6" s="1005" t="s">
        <v>275</v>
      </c>
      <c r="CG6" s="1006"/>
      <c r="CH6" s="1006"/>
      <c r="CI6" s="1006"/>
      <c r="CJ6" s="1006"/>
      <c r="CK6" s="1006"/>
      <c r="CL6" s="1006"/>
      <c r="CM6" s="1006"/>
      <c r="CN6" s="1173"/>
      <c r="CO6" s="32" t="s">
        <v>19</v>
      </c>
      <c r="CP6" s="32" t="s">
        <v>19</v>
      </c>
      <c r="CQ6" s="32" t="s">
        <v>19</v>
      </c>
      <c r="CR6" s="32" t="s">
        <v>19</v>
      </c>
      <c r="CS6" s="32" t="s">
        <v>19</v>
      </c>
      <c r="CT6" s="32" t="s">
        <v>19</v>
      </c>
      <c r="CU6" s="32" t="s">
        <v>19</v>
      </c>
      <c r="CV6" s="32" t="s">
        <v>19</v>
      </c>
      <c r="CW6" s="32" t="s">
        <v>19</v>
      </c>
      <c r="CX6" s="562" t="s">
        <v>19</v>
      </c>
      <c r="CY6" s="562" t="s">
        <v>19</v>
      </c>
      <c r="CZ6" s="562" t="s">
        <v>19</v>
      </c>
      <c r="DA6" s="562" t="s">
        <v>19</v>
      </c>
      <c r="DB6" s="562" t="s">
        <v>19</v>
      </c>
      <c r="DC6" s="562" t="s">
        <v>19</v>
      </c>
      <c r="DD6" s="562" t="s">
        <v>19</v>
      </c>
      <c r="DE6" s="562" t="s">
        <v>19</v>
      </c>
      <c r="DF6" s="562" t="s">
        <v>19</v>
      </c>
      <c r="DG6" s="558" t="s">
        <v>19</v>
      </c>
      <c r="DH6" s="558" t="s">
        <v>19</v>
      </c>
      <c r="DI6" s="558" t="s">
        <v>19</v>
      </c>
      <c r="DJ6" s="558" t="s">
        <v>19</v>
      </c>
      <c r="DK6" s="558" t="s">
        <v>19</v>
      </c>
      <c r="DL6" s="558" t="s">
        <v>19</v>
      </c>
      <c r="DM6" s="558" t="s">
        <v>19</v>
      </c>
      <c r="DN6" s="558" t="s">
        <v>19</v>
      </c>
      <c r="DO6" s="558" t="s">
        <v>19</v>
      </c>
      <c r="DP6" s="33"/>
      <c r="DQ6" s="1183"/>
      <c r="DR6" s="1022"/>
      <c r="DS6" s="281"/>
      <c r="DT6" s="500"/>
      <c r="DU6" s="32" t="s">
        <v>19</v>
      </c>
      <c r="DV6" s="32" t="s">
        <v>19</v>
      </c>
      <c r="DW6" s="32" t="s">
        <v>19</v>
      </c>
      <c r="DX6" s="32" t="s">
        <v>19</v>
      </c>
      <c r="DY6" s="32" t="s">
        <v>19</v>
      </c>
      <c r="DZ6" s="32" t="s">
        <v>19</v>
      </c>
      <c r="EA6" s="32" t="s">
        <v>19</v>
      </c>
      <c r="EB6" s="32"/>
      <c r="EC6" s="32"/>
      <c r="ED6" s="32"/>
      <c r="EE6" s="1025"/>
      <c r="EF6" s="4"/>
      <c r="EG6" s="36" t="str">
        <f>A46</f>
        <v>3.1</v>
      </c>
      <c r="EH6" s="36" t="str">
        <f>A47</f>
        <v>3.2</v>
      </c>
      <c r="EI6" s="36" t="str">
        <f>A48</f>
        <v>3.3</v>
      </c>
      <c r="EJ6" s="36" t="str">
        <f>A49</f>
        <v>3.4</v>
      </c>
      <c r="EK6" s="36" t="str">
        <f>A50</f>
        <v>3.5</v>
      </c>
      <c r="EL6" s="36" t="str">
        <f>A51</f>
        <v>3.6</v>
      </c>
      <c r="EM6" s="36" t="str">
        <f>A52</f>
        <v>3.7</v>
      </c>
      <c r="EN6" s="36" t="str">
        <f>A53</f>
        <v>3.8</v>
      </c>
      <c r="EO6" s="36" t="str">
        <f>A54</f>
        <v>3.9</v>
      </c>
      <c r="EP6" s="36"/>
      <c r="EQ6" s="37"/>
      <c r="ER6" s="37"/>
      <c r="ES6" s="37"/>
      <c r="ET6" s="4"/>
      <c r="EU6" s="4"/>
      <c r="EV6" s="987" t="str">
        <f>B46</f>
        <v>menjelaskan alat gerak dan fungsinya pada hewan dan manusia serta cara memelihara kesehatan alat gerak manusia</v>
      </c>
      <c r="EW6" s="987" t="str">
        <f>B47</f>
        <v>menjelaskan organ pernafasan dan fungsinya pada hewan dan manusia, serta cara memelihara kesehatan organ pernapasan manusia</v>
      </c>
      <c r="EX6" s="987" t="str">
        <f>B48</f>
        <v>menjelaskan organ pencernaan dan fungsinya pada hewan dan manusia serta cara memelihara kesehatan organ pencernaan manusia</v>
      </c>
      <c r="EY6" s="987" t="str">
        <f>B49</f>
        <v>menjelaskan organ peredaran darah dan fungsinya pada hewan dan manusia serta cara memelihara kesehatan organ peredaran darah manusia</v>
      </c>
      <c r="EZ6" s="987" t="str">
        <f>B50</f>
        <v>menganalisis hubungan antar komponen ekosistem dan jaring-jaring makanan di lingkungan sekitar</v>
      </c>
      <c r="FA6" s="987" t="str">
        <f>IFERROR((B51)," ")</f>
        <v>menerapkan konsep perpindahan kalor dalam kehidupan sehari-hari</v>
      </c>
      <c r="FB6" s="987" t="str">
        <f>B52</f>
        <v xml:space="preserve"> menganalisis pengaruh kalor terhadap perubahan suhu dan wujud benda dalam kehidupan sehari-hari</v>
      </c>
      <c r="FC6" s="989" t="str">
        <f>B53</f>
        <v>menganalisis siklus air dan dampaknya pada peristiwa di bumi serta kelangsungan mahluk hidup</v>
      </c>
      <c r="FD6" s="989" t="str">
        <f>B54</f>
        <v>mengelompokkan materi dalam kehidupan sehari-hari berdasarkan komponen penyusunnya (zat tunggal dan campuran)</v>
      </c>
      <c r="FE6" s="989">
        <f>B55</f>
        <v>0</v>
      </c>
      <c r="FF6" s="37"/>
      <c r="FG6" s="978" t="s">
        <v>24</v>
      </c>
      <c r="FH6" s="38"/>
      <c r="FI6" s="1016" t="s">
        <v>21</v>
      </c>
      <c r="FK6" s="981" t="str">
        <f>EV6</f>
        <v>menjelaskan alat gerak dan fungsinya pada hewan dan manusia serta cara memelihara kesehatan alat gerak manusia</v>
      </c>
      <c r="FL6" s="981" t="str">
        <f t="shared" ref="FL6:FT6" si="0">EW6</f>
        <v>menjelaskan organ pernafasan dan fungsinya pada hewan dan manusia, serta cara memelihara kesehatan organ pernapasan manusia</v>
      </c>
      <c r="FM6" s="981" t="str">
        <f t="shared" si="0"/>
        <v>menjelaskan organ pencernaan dan fungsinya pada hewan dan manusia serta cara memelihara kesehatan organ pencernaan manusia</v>
      </c>
      <c r="FN6" s="981" t="str">
        <f t="shared" si="0"/>
        <v>menjelaskan organ peredaran darah dan fungsinya pada hewan dan manusia serta cara memelihara kesehatan organ peredaran darah manusia</v>
      </c>
      <c r="FO6" s="981" t="str">
        <f t="shared" si="0"/>
        <v>menganalisis hubungan antar komponen ekosistem dan jaring-jaring makanan di lingkungan sekitar</v>
      </c>
      <c r="FP6" s="981" t="str">
        <f t="shared" si="0"/>
        <v>menerapkan konsep perpindahan kalor dalam kehidupan sehari-hari</v>
      </c>
      <c r="FQ6" s="981" t="str">
        <f t="shared" si="0"/>
        <v xml:space="preserve"> menganalisis pengaruh kalor terhadap perubahan suhu dan wujud benda dalam kehidupan sehari-hari</v>
      </c>
      <c r="FR6" s="981" t="str">
        <f t="shared" si="0"/>
        <v>menganalisis siklus air dan dampaknya pada peristiwa di bumi serta kelangsungan mahluk hidup</v>
      </c>
      <c r="FS6" s="981" t="str">
        <f t="shared" si="0"/>
        <v>mengelompokkan materi dalam kehidupan sehari-hari berdasarkan komponen penyusunnya (zat tunggal dan campuran)</v>
      </c>
      <c r="FT6" s="981">
        <f t="shared" si="0"/>
        <v>0</v>
      </c>
      <c r="FU6" s="1012" t="s">
        <v>25</v>
      </c>
      <c r="FV6" s="1013" t="s">
        <v>381</v>
      </c>
      <c r="FW6" s="39"/>
      <c r="FX6" s="1008"/>
      <c r="GD6" s="981" t="str">
        <f t="shared" ref="GD6" si="1">"perlu bimbingan dalam "&amp;FO6</f>
        <v>perlu bimbingan dalam menganalisis hubungan antar komponen ekosistem dan jaring-jaring makanan di lingkungan sekitar</v>
      </c>
      <c r="GE6" s="1012" t="s">
        <v>22</v>
      </c>
      <c r="GG6" s="39"/>
      <c r="GH6" s="40" t="s">
        <v>23</v>
      </c>
      <c r="GI6" s="4"/>
    </row>
    <row r="7" spans="1:191" ht="15" customHeight="1">
      <c r="A7" s="900"/>
      <c r="B7" s="900"/>
      <c r="C7" s="41" t="str">
        <f>A46</f>
        <v>3.1</v>
      </c>
      <c r="D7" s="41" t="str">
        <f>A47</f>
        <v>3.2</v>
      </c>
      <c r="E7" s="41" t="str">
        <f>A48</f>
        <v>3.3</v>
      </c>
      <c r="F7" s="41" t="str">
        <f>A49</f>
        <v>3.4</v>
      </c>
      <c r="G7" s="41" t="str">
        <f>A50</f>
        <v>3.5</v>
      </c>
      <c r="H7" s="41" t="str">
        <f>A51</f>
        <v>3.6</v>
      </c>
      <c r="I7" s="41" t="str">
        <f>A52</f>
        <v>3.7</v>
      </c>
      <c r="J7" s="41" t="str">
        <f>A53</f>
        <v>3.8</v>
      </c>
      <c r="K7" s="41" t="str">
        <f>A54</f>
        <v>3.9</v>
      </c>
      <c r="L7" s="42" t="str">
        <f t="shared" ref="L7:BV7" si="2">C7</f>
        <v>3.1</v>
      </c>
      <c r="M7" s="42" t="str">
        <f t="shared" si="2"/>
        <v>3.2</v>
      </c>
      <c r="N7" s="42" t="str">
        <f t="shared" si="2"/>
        <v>3.3</v>
      </c>
      <c r="O7" s="42" t="str">
        <f t="shared" si="2"/>
        <v>3.4</v>
      </c>
      <c r="P7" s="42" t="str">
        <f t="shared" si="2"/>
        <v>3.5</v>
      </c>
      <c r="Q7" s="42" t="str">
        <f t="shared" si="2"/>
        <v>3.6</v>
      </c>
      <c r="R7" s="42" t="str">
        <f t="shared" si="2"/>
        <v>3.7</v>
      </c>
      <c r="S7" s="42" t="str">
        <f t="shared" si="2"/>
        <v>3.8</v>
      </c>
      <c r="T7" s="42" t="str">
        <f t="shared" si="2"/>
        <v>3.9</v>
      </c>
      <c r="U7" s="42" t="str">
        <f t="shared" si="2"/>
        <v>3.1</v>
      </c>
      <c r="V7" s="42" t="str">
        <f t="shared" si="2"/>
        <v>3.2</v>
      </c>
      <c r="W7" s="42" t="str">
        <f t="shared" si="2"/>
        <v>3.3</v>
      </c>
      <c r="X7" s="42" t="str">
        <f t="shared" si="2"/>
        <v>3.4</v>
      </c>
      <c r="Y7" s="42" t="str">
        <f t="shared" si="2"/>
        <v>3.5</v>
      </c>
      <c r="Z7" s="42" t="str">
        <f t="shared" si="2"/>
        <v>3.6</v>
      </c>
      <c r="AA7" s="42" t="str">
        <f t="shared" si="2"/>
        <v>3.7</v>
      </c>
      <c r="AB7" s="42" t="str">
        <f t="shared" si="2"/>
        <v>3.8</v>
      </c>
      <c r="AC7" s="42" t="str">
        <f t="shared" si="2"/>
        <v>3.9</v>
      </c>
      <c r="AD7" s="42" t="str">
        <f t="shared" si="2"/>
        <v>3.1</v>
      </c>
      <c r="AE7" s="42" t="str">
        <f t="shared" si="2"/>
        <v>3.2</v>
      </c>
      <c r="AF7" s="42" t="str">
        <f t="shared" si="2"/>
        <v>3.3</v>
      </c>
      <c r="AG7" s="42" t="str">
        <f t="shared" si="2"/>
        <v>3.4</v>
      </c>
      <c r="AH7" s="42" t="str">
        <f t="shared" si="2"/>
        <v>3.5</v>
      </c>
      <c r="AI7" s="42" t="str">
        <f t="shared" si="2"/>
        <v>3.6</v>
      </c>
      <c r="AJ7" s="42" t="str">
        <f t="shared" si="2"/>
        <v>3.7</v>
      </c>
      <c r="AK7" s="42" t="str">
        <f t="shared" si="2"/>
        <v>3.8</v>
      </c>
      <c r="AL7" s="42" t="str">
        <f t="shared" si="2"/>
        <v>3.9</v>
      </c>
      <c r="AM7" s="42" t="str">
        <f t="shared" si="2"/>
        <v>3.1</v>
      </c>
      <c r="AN7" s="42" t="str">
        <f t="shared" si="2"/>
        <v>3.2</v>
      </c>
      <c r="AO7" s="42" t="str">
        <f t="shared" si="2"/>
        <v>3.3</v>
      </c>
      <c r="AP7" s="42" t="str">
        <f t="shared" si="2"/>
        <v>3.4</v>
      </c>
      <c r="AQ7" s="42" t="str">
        <f t="shared" si="2"/>
        <v>3.5</v>
      </c>
      <c r="AR7" s="42" t="str">
        <f t="shared" si="2"/>
        <v>3.6</v>
      </c>
      <c r="AS7" s="42" t="str">
        <f t="shared" si="2"/>
        <v>3.7</v>
      </c>
      <c r="AT7" s="42" t="str">
        <f t="shared" si="2"/>
        <v>3.8</v>
      </c>
      <c r="AU7" s="42" t="str">
        <f t="shared" si="2"/>
        <v>3.9</v>
      </c>
      <c r="AV7" s="42" t="str">
        <f t="shared" si="2"/>
        <v>3.1</v>
      </c>
      <c r="AW7" s="42" t="str">
        <f t="shared" si="2"/>
        <v>3.2</v>
      </c>
      <c r="AX7" s="42" t="str">
        <f t="shared" si="2"/>
        <v>3.3</v>
      </c>
      <c r="AY7" s="42" t="str">
        <f t="shared" si="2"/>
        <v>3.4</v>
      </c>
      <c r="AZ7" s="42" t="str">
        <f t="shared" si="2"/>
        <v>3.5</v>
      </c>
      <c r="BA7" s="42" t="str">
        <f t="shared" si="2"/>
        <v>3.6</v>
      </c>
      <c r="BB7" s="42" t="str">
        <f t="shared" si="2"/>
        <v>3.7</v>
      </c>
      <c r="BC7" s="42" t="str">
        <f t="shared" si="2"/>
        <v>3.8</v>
      </c>
      <c r="BD7" s="42" t="str">
        <f t="shared" si="2"/>
        <v>3.9</v>
      </c>
      <c r="BE7" s="42" t="str">
        <f t="shared" si="2"/>
        <v>3.1</v>
      </c>
      <c r="BF7" s="42" t="str">
        <f t="shared" si="2"/>
        <v>3.2</v>
      </c>
      <c r="BG7" s="42" t="str">
        <f t="shared" si="2"/>
        <v>3.3</v>
      </c>
      <c r="BH7" s="42" t="str">
        <f t="shared" si="2"/>
        <v>3.4</v>
      </c>
      <c r="BI7" s="42" t="str">
        <f t="shared" si="2"/>
        <v>3.5</v>
      </c>
      <c r="BJ7" s="42" t="str">
        <f t="shared" si="2"/>
        <v>3.6</v>
      </c>
      <c r="BK7" s="42" t="str">
        <f t="shared" si="2"/>
        <v>3.7</v>
      </c>
      <c r="BL7" s="42" t="str">
        <f t="shared" si="2"/>
        <v>3.8</v>
      </c>
      <c r="BM7" s="42" t="str">
        <f t="shared" si="2"/>
        <v>3.9</v>
      </c>
      <c r="BN7" s="42" t="str">
        <f t="shared" si="2"/>
        <v>3.1</v>
      </c>
      <c r="BO7" s="42" t="str">
        <f t="shared" si="2"/>
        <v>3.2</v>
      </c>
      <c r="BP7" s="42" t="str">
        <f t="shared" si="2"/>
        <v>3.3</v>
      </c>
      <c r="BQ7" s="42" t="str">
        <f t="shared" si="2"/>
        <v>3.4</v>
      </c>
      <c r="BR7" s="42" t="str">
        <f t="shared" si="2"/>
        <v>3.5</v>
      </c>
      <c r="BS7" s="42" t="str">
        <f t="shared" si="2"/>
        <v>3.6</v>
      </c>
      <c r="BT7" s="42" t="str">
        <f t="shared" si="2"/>
        <v>3.7</v>
      </c>
      <c r="BU7" s="42" t="str">
        <f t="shared" si="2"/>
        <v>3.8</v>
      </c>
      <c r="BV7" s="42" t="str">
        <f t="shared" si="2"/>
        <v>3.9</v>
      </c>
      <c r="BW7" s="42" t="str">
        <f t="shared" ref="BW7" si="3">BN7</f>
        <v>3.1</v>
      </c>
      <c r="BX7" s="42" t="str">
        <f t="shared" ref="BX7" si="4">BO7</f>
        <v>3.2</v>
      </c>
      <c r="BY7" s="42" t="str">
        <f t="shared" ref="BY7" si="5">BP7</f>
        <v>3.3</v>
      </c>
      <c r="BZ7" s="42" t="str">
        <f t="shared" ref="BZ7" si="6">BQ7</f>
        <v>3.4</v>
      </c>
      <c r="CA7" s="42" t="str">
        <f t="shared" ref="CA7" si="7">BR7</f>
        <v>3.5</v>
      </c>
      <c r="CB7" s="42" t="str">
        <f t="shared" ref="CB7" si="8">BS7</f>
        <v>3.6</v>
      </c>
      <c r="CC7" s="42" t="str">
        <f t="shared" ref="CC7" si="9">BT7</f>
        <v>3.7</v>
      </c>
      <c r="CD7" s="42" t="str">
        <f t="shared" ref="CD7" si="10">BU7</f>
        <v>3.8</v>
      </c>
      <c r="CE7" s="42" t="str">
        <f t="shared" ref="CE7" si="11">BV7</f>
        <v>3.9</v>
      </c>
      <c r="CF7" s="42" t="str">
        <f t="shared" ref="CF7" si="12">BW7</f>
        <v>3.1</v>
      </c>
      <c r="CG7" s="42" t="str">
        <f t="shared" ref="CG7" si="13">BX7</f>
        <v>3.2</v>
      </c>
      <c r="CH7" s="42" t="str">
        <f t="shared" ref="CH7" si="14">BY7</f>
        <v>3.3</v>
      </c>
      <c r="CI7" s="42" t="str">
        <f t="shared" ref="CI7" si="15">BZ7</f>
        <v>3.4</v>
      </c>
      <c r="CJ7" s="42" t="str">
        <f t="shared" ref="CJ7" si="16">CA7</f>
        <v>3.5</v>
      </c>
      <c r="CK7" s="42" t="str">
        <f t="shared" ref="CK7" si="17">CB7</f>
        <v>3.6</v>
      </c>
      <c r="CL7" s="42" t="str">
        <f t="shared" ref="CL7" si="18">CC7</f>
        <v>3.7</v>
      </c>
      <c r="CM7" s="42" t="str">
        <f t="shared" ref="CM7" si="19">CD7</f>
        <v>3.8</v>
      </c>
      <c r="CN7" s="42" t="str">
        <f t="shared" ref="CN7" si="20">CE7</f>
        <v>3.9</v>
      </c>
      <c r="CO7" s="43" t="str">
        <f>BN7</f>
        <v>3.1</v>
      </c>
      <c r="CP7" s="43" t="str">
        <f t="shared" ref="CP7:CW7" si="21">BO7</f>
        <v>3.2</v>
      </c>
      <c r="CQ7" s="43" t="str">
        <f t="shared" si="21"/>
        <v>3.3</v>
      </c>
      <c r="CR7" s="43" t="str">
        <f t="shared" si="21"/>
        <v>3.4</v>
      </c>
      <c r="CS7" s="43" t="str">
        <f t="shared" si="21"/>
        <v>3.5</v>
      </c>
      <c r="CT7" s="43" t="str">
        <f t="shared" si="21"/>
        <v>3.6</v>
      </c>
      <c r="CU7" s="43" t="str">
        <f t="shared" si="21"/>
        <v>3.7</v>
      </c>
      <c r="CV7" s="43" t="str">
        <f t="shared" si="21"/>
        <v>3.8</v>
      </c>
      <c r="CW7" s="43" t="str">
        <f t="shared" si="21"/>
        <v>3.9</v>
      </c>
      <c r="CX7" s="563" t="str">
        <f>BW7</f>
        <v>3.1</v>
      </c>
      <c r="CY7" s="563" t="str">
        <f t="shared" ref="CY7" si="22">BX7</f>
        <v>3.2</v>
      </c>
      <c r="CZ7" s="563" t="str">
        <f t="shared" ref="CZ7" si="23">BY7</f>
        <v>3.3</v>
      </c>
      <c r="DA7" s="563" t="str">
        <f t="shared" ref="DA7" si="24">BZ7</f>
        <v>3.4</v>
      </c>
      <c r="DB7" s="563" t="str">
        <f t="shared" ref="DB7" si="25">CA7</f>
        <v>3.5</v>
      </c>
      <c r="DC7" s="563" t="str">
        <f t="shared" ref="DC7" si="26">CB7</f>
        <v>3.6</v>
      </c>
      <c r="DD7" s="563" t="str">
        <f t="shared" ref="DD7" si="27">CC7</f>
        <v>3.7</v>
      </c>
      <c r="DE7" s="563" t="str">
        <f t="shared" ref="DE7" si="28">CD7</f>
        <v>3.8</v>
      </c>
      <c r="DF7" s="563" t="str">
        <f t="shared" ref="DF7" si="29">CE7</f>
        <v>3.9</v>
      </c>
      <c r="DG7" s="559" t="str">
        <f>BW7</f>
        <v>3.1</v>
      </c>
      <c r="DH7" s="559" t="str">
        <f t="shared" ref="DH7" si="30">BX7</f>
        <v>3.2</v>
      </c>
      <c r="DI7" s="559" t="str">
        <f t="shared" ref="DI7" si="31">BY7</f>
        <v>3.3</v>
      </c>
      <c r="DJ7" s="559" t="str">
        <f t="shared" ref="DJ7" si="32">BZ7</f>
        <v>3.4</v>
      </c>
      <c r="DK7" s="559" t="str">
        <f t="shared" ref="DK7" si="33">CA7</f>
        <v>3.5</v>
      </c>
      <c r="DL7" s="559" t="str">
        <f t="shared" ref="DL7" si="34">CB7</f>
        <v>3.6</v>
      </c>
      <c r="DM7" s="559" t="str">
        <f t="shared" ref="DM7" si="35">CC7</f>
        <v>3.7</v>
      </c>
      <c r="DN7" s="559" t="str">
        <f t="shared" ref="DN7" si="36">CD7</f>
        <v>3.8</v>
      </c>
      <c r="DO7" s="559" t="str">
        <f t="shared" ref="DO7" si="37">CE7</f>
        <v>3.9</v>
      </c>
      <c r="DP7" s="44"/>
      <c r="DQ7" s="1184"/>
      <c r="DR7" s="1023"/>
      <c r="DS7" s="281"/>
      <c r="DT7" s="500"/>
      <c r="DU7" s="43" t="str">
        <f>A46</f>
        <v>3.1</v>
      </c>
      <c r="DV7" s="43" t="str">
        <f>A47</f>
        <v>3.2</v>
      </c>
      <c r="DW7" s="43" t="str">
        <f>A48</f>
        <v>3.3</v>
      </c>
      <c r="DX7" s="43" t="str">
        <f>A49</f>
        <v>3.4</v>
      </c>
      <c r="DY7" s="43" t="str">
        <f>A50</f>
        <v>3.5</v>
      </c>
      <c r="DZ7" s="43" t="str">
        <f>A51</f>
        <v>3.6</v>
      </c>
      <c r="EA7" s="43"/>
      <c r="EB7" s="43"/>
      <c r="EC7" s="43"/>
      <c r="ED7" s="43"/>
      <c r="EE7" s="1026"/>
      <c r="EF7" s="4"/>
      <c r="EG7" s="46"/>
      <c r="EH7" s="46"/>
      <c r="EI7" s="46"/>
      <c r="EJ7" s="46"/>
      <c r="EK7" s="46"/>
      <c r="EL7" s="46"/>
      <c r="EM7" s="46"/>
      <c r="EN7" s="46"/>
      <c r="EO7" s="46"/>
      <c r="EP7" s="46"/>
      <c r="EQ7" s="47"/>
      <c r="ER7" s="48" t="s">
        <v>24</v>
      </c>
      <c r="ES7" s="48" t="s">
        <v>25</v>
      </c>
      <c r="EU7" s="49"/>
      <c r="EV7" s="988"/>
      <c r="EW7" s="988"/>
      <c r="EX7" s="988"/>
      <c r="EY7" s="988"/>
      <c r="EZ7" s="988"/>
      <c r="FA7" s="988"/>
      <c r="FB7" s="988"/>
      <c r="FC7" s="989"/>
      <c r="FD7" s="989"/>
      <c r="FE7" s="989"/>
      <c r="FF7" s="49"/>
      <c r="FG7" s="1015"/>
      <c r="FH7" s="38"/>
      <c r="FI7" s="1017"/>
      <c r="FK7" s="981"/>
      <c r="FL7" s="981"/>
      <c r="FM7" s="981"/>
      <c r="FN7" s="981"/>
      <c r="FO7" s="981"/>
      <c r="FP7" s="981"/>
      <c r="FQ7" s="981"/>
      <c r="FR7" s="981"/>
      <c r="FS7" s="981"/>
      <c r="FT7" s="981"/>
      <c r="FU7" s="1012"/>
      <c r="FV7" s="1014"/>
      <c r="FX7" s="1009"/>
      <c r="GD7" s="981"/>
      <c r="GE7" s="1012"/>
      <c r="GH7" s="49"/>
      <c r="GI7" s="4"/>
    </row>
    <row r="8" spans="1:191" s="63" customFormat="1" ht="42.75" customHeight="1">
      <c r="A8" s="359">
        <v>1</v>
      </c>
      <c r="B8" s="283" t="str">
        <f>SISWA!B6</f>
        <v>Afif Rafiudin</v>
      </c>
      <c r="C8" s="259">
        <v>93</v>
      </c>
      <c r="D8" s="259"/>
      <c r="E8" s="259"/>
      <c r="F8" s="259"/>
      <c r="G8" s="259"/>
      <c r="H8" s="259"/>
      <c r="I8" s="259"/>
      <c r="J8" s="259"/>
      <c r="K8" s="259"/>
      <c r="L8" s="256">
        <v>75</v>
      </c>
      <c r="M8" s="256"/>
      <c r="N8" s="256"/>
      <c r="O8" s="256"/>
      <c r="P8" s="256"/>
      <c r="Q8" s="256"/>
      <c r="R8" s="256"/>
      <c r="S8" s="256"/>
      <c r="T8" s="256"/>
      <c r="U8" s="259"/>
      <c r="V8" s="259">
        <v>75</v>
      </c>
      <c r="W8" s="259"/>
      <c r="X8" s="259"/>
      <c r="Y8" s="259"/>
      <c r="Z8" s="259"/>
      <c r="AA8" s="259"/>
      <c r="AB8" s="259"/>
      <c r="AC8" s="259"/>
      <c r="AD8" s="256"/>
      <c r="AE8" s="256">
        <v>80</v>
      </c>
      <c r="AF8" s="256"/>
      <c r="AG8" s="256"/>
      <c r="AH8" s="256"/>
      <c r="AI8" s="256"/>
      <c r="AJ8" s="256"/>
      <c r="AK8" s="256"/>
      <c r="AL8" s="256"/>
      <c r="AM8" s="259"/>
      <c r="AN8" s="259"/>
      <c r="AO8" s="259">
        <v>80</v>
      </c>
      <c r="AP8" s="259"/>
      <c r="AQ8" s="259"/>
      <c r="AR8" s="259"/>
      <c r="AS8" s="259"/>
      <c r="AT8" s="259"/>
      <c r="AU8" s="259"/>
      <c r="AV8" s="256"/>
      <c r="AW8" s="256"/>
      <c r="AX8" s="256">
        <v>75</v>
      </c>
      <c r="AY8" s="256"/>
      <c r="AZ8" s="256"/>
      <c r="BA8" s="256"/>
      <c r="BB8" s="256"/>
      <c r="BC8" s="256"/>
      <c r="BD8" s="256"/>
      <c r="BE8" s="259"/>
      <c r="BF8" s="259">
        <v>75</v>
      </c>
      <c r="BG8" s="259"/>
      <c r="BH8" s="259">
        <v>80</v>
      </c>
      <c r="BI8" s="259"/>
      <c r="BJ8" s="259"/>
      <c r="BK8" s="259"/>
      <c r="BL8" s="259"/>
      <c r="BM8" s="259"/>
      <c r="BN8" s="256"/>
      <c r="BO8" s="256">
        <v>75</v>
      </c>
      <c r="BP8" s="256"/>
      <c r="BQ8" s="256">
        <v>80</v>
      </c>
      <c r="BR8" s="256"/>
      <c r="BS8" s="256"/>
      <c r="BT8" s="256"/>
      <c r="BU8" s="256"/>
      <c r="BV8" s="256"/>
      <c r="BW8" s="460"/>
      <c r="BX8" s="460"/>
      <c r="BY8" s="460"/>
      <c r="BZ8" s="460"/>
      <c r="CA8" s="460">
        <v>100</v>
      </c>
      <c r="CB8" s="460"/>
      <c r="CC8" s="460"/>
      <c r="CD8" s="460"/>
      <c r="CE8" s="460"/>
      <c r="CF8" s="346"/>
      <c r="CG8" s="346"/>
      <c r="CH8" s="346"/>
      <c r="CI8" s="346"/>
      <c r="CJ8" s="346">
        <v>75</v>
      </c>
      <c r="CK8" s="346"/>
      <c r="CL8" s="346"/>
      <c r="CM8" s="346"/>
      <c r="CN8" s="346"/>
      <c r="CO8" s="260">
        <f>IFERROR(AVERAGE(C8,L8,U8,AD8,AM8,AV8,BE8,BN8,BW8,CF8)," ")</f>
        <v>84</v>
      </c>
      <c r="CP8" s="260">
        <f t="shared" ref="CP8:CW8" si="38">IFERROR(AVERAGE(D8,M8,V8,AE8,AN8,AW8,BF8,BO8,BX8,CG8)," ")</f>
        <v>76.25</v>
      </c>
      <c r="CQ8" s="260">
        <f t="shared" si="38"/>
        <v>77.5</v>
      </c>
      <c r="CR8" s="260">
        <f t="shared" si="38"/>
        <v>80</v>
      </c>
      <c r="CS8" s="260">
        <f t="shared" si="38"/>
        <v>87.5</v>
      </c>
      <c r="CT8" s="260" t="str">
        <f t="shared" si="38"/>
        <v xml:space="preserve"> </v>
      </c>
      <c r="CU8" s="260" t="str">
        <f t="shared" si="38"/>
        <v xml:space="preserve"> </v>
      </c>
      <c r="CV8" s="260" t="str">
        <f t="shared" si="38"/>
        <v xml:space="preserve"> </v>
      </c>
      <c r="CW8" s="260" t="str">
        <f t="shared" si="38"/>
        <v xml:space="preserve"> </v>
      </c>
      <c r="CX8" s="547">
        <v>75</v>
      </c>
      <c r="CY8" s="547">
        <v>75</v>
      </c>
      <c r="CZ8" s="547"/>
      <c r="DA8" s="547"/>
      <c r="DB8" s="547"/>
      <c r="DC8" s="547"/>
      <c r="DD8" s="547"/>
      <c r="DE8" s="547"/>
      <c r="DF8" s="547"/>
      <c r="DG8" s="564">
        <v>79</v>
      </c>
      <c r="DH8" s="564">
        <v>77</v>
      </c>
      <c r="DI8" s="564">
        <v>75</v>
      </c>
      <c r="DJ8" s="564">
        <v>80</v>
      </c>
      <c r="DK8" s="564">
        <v>80</v>
      </c>
      <c r="DL8" s="564"/>
      <c r="DM8" s="564"/>
      <c r="DN8" s="564"/>
      <c r="DO8" s="564"/>
      <c r="DP8" s="549">
        <f>IFERROR(EQ8," ")</f>
        <v>80</v>
      </c>
      <c r="DQ8" s="291" t="str">
        <f>IF(DP8&gt;100,"  ",IF(DP8&gt;=DQ$1,"A",IF(DP8&gt;=DQ$2,"B",IF(DP8&gt;=DQ$3,"C",IF(DP8&gt;=1,"D","")))))</f>
        <v>C</v>
      </c>
      <c r="DR8" s="50" t="str">
        <f>IFERROR(FX8," ")</f>
        <v>Ananda Afif baik dalam menganalisis hubungan antar komponen ekosistem dan jaring-jaring makanan di lingkungan sekitar, cukup dalam menjelaskan organ pernafasan dan fungsinya pada hewan dan manusia, serta cara memelihara kesehatan organ pernapasan manusia</v>
      </c>
      <c r="DS8" s="282"/>
      <c r="DT8" s="51"/>
      <c r="DU8" s="46">
        <f>CO8</f>
        <v>84</v>
      </c>
      <c r="DV8" s="46">
        <f t="shared" ref="DV8:EC8" si="39">CP8</f>
        <v>76.25</v>
      </c>
      <c r="DW8" s="46">
        <f t="shared" si="39"/>
        <v>77.5</v>
      </c>
      <c r="DX8" s="46">
        <f t="shared" si="39"/>
        <v>80</v>
      </c>
      <c r="DY8" s="46">
        <f t="shared" si="39"/>
        <v>87.5</v>
      </c>
      <c r="DZ8" s="46" t="str">
        <f t="shared" si="39"/>
        <v xml:space="preserve"> </v>
      </c>
      <c r="EA8" s="46" t="str">
        <f t="shared" si="39"/>
        <v xml:space="preserve"> </v>
      </c>
      <c r="EB8" s="46" t="str">
        <f t="shared" si="39"/>
        <v xml:space="preserve"> </v>
      </c>
      <c r="EC8" s="46" t="str">
        <f t="shared" si="39"/>
        <v xml:space="preserve"> </v>
      </c>
      <c r="ED8" s="46"/>
      <c r="EE8" s="52">
        <f>[2]uts!J7</f>
        <v>72</v>
      </c>
      <c r="EF8" s="51"/>
      <c r="EG8" s="53">
        <f>IFERROR(AVERAGE(CO8,CX8,DG8,DU8),"  ")</f>
        <v>80.5</v>
      </c>
      <c r="EH8" s="53">
        <f t="shared" ref="EH8:EO8" si="40">IFERROR(AVERAGE(CP8,CY8,DH8,DV8),"  ")</f>
        <v>76.125</v>
      </c>
      <c r="EI8" s="53">
        <f t="shared" si="40"/>
        <v>76.666666666666671</v>
      </c>
      <c r="EJ8" s="53">
        <f t="shared" si="40"/>
        <v>80</v>
      </c>
      <c r="EK8" s="53">
        <f t="shared" si="40"/>
        <v>85</v>
      </c>
      <c r="EL8" s="53" t="str">
        <f t="shared" si="40"/>
        <v xml:space="preserve">  </v>
      </c>
      <c r="EM8" s="53" t="str">
        <f t="shared" si="40"/>
        <v xml:space="preserve">  </v>
      </c>
      <c r="EN8" s="53" t="str">
        <f t="shared" si="40"/>
        <v xml:space="preserve">  </v>
      </c>
      <c r="EO8" s="53" t="str">
        <f t="shared" si="40"/>
        <v xml:space="preserve">  </v>
      </c>
      <c r="EP8" s="53"/>
      <c r="EQ8" s="52">
        <f>IFERROR(ROUND(AVERAGE(EG8:EP8),0)," ")</f>
        <v>80</v>
      </c>
      <c r="ER8" s="55">
        <f>MAX(EG8:EP8)</f>
        <v>85</v>
      </c>
      <c r="ES8" s="55">
        <f>MIN(EG8:EP8)</f>
        <v>76.125</v>
      </c>
      <c r="ET8" s="51" t="str">
        <f>SISWA!E6</f>
        <v>Afif</v>
      </c>
      <c r="EU8" s="51" t="str">
        <f>IF(FF8&gt;1,"Ananda "&amp;ET8&amp;" ","")</f>
        <v xml:space="preserve">Ananda Afif </v>
      </c>
      <c r="EV8" s="56" t="str">
        <f t="shared" ref="EV8:FB8" si="41">IF(EG8=$ER8,$ER8,"")</f>
        <v/>
      </c>
      <c r="EW8" s="57" t="str">
        <f t="shared" si="41"/>
        <v/>
      </c>
      <c r="EX8" s="57" t="str">
        <f t="shared" si="41"/>
        <v/>
      </c>
      <c r="EY8" s="57" t="str">
        <f t="shared" si="41"/>
        <v/>
      </c>
      <c r="EZ8" s="57">
        <f t="shared" si="41"/>
        <v>85</v>
      </c>
      <c r="FA8" s="57" t="str">
        <f t="shared" si="41"/>
        <v/>
      </c>
      <c r="FB8" s="57" t="str">
        <f t="shared" si="41"/>
        <v/>
      </c>
      <c r="FC8" s="57" t="str">
        <f t="shared" ref="FC8" si="42">IF(EN8=$ER8,$ER8,"")</f>
        <v/>
      </c>
      <c r="FD8" s="57" t="str">
        <f t="shared" ref="FD8" si="43">IF(EO8=$ER8,$ER8,"")</f>
        <v/>
      </c>
      <c r="FE8" s="57"/>
      <c r="FF8" s="58">
        <f>SUM(EV8:FE8)</f>
        <v>85</v>
      </c>
      <c r="FG8" s="55" t="str">
        <f>LOOKUP(ER8,(EV8:FE8),($EV$6:$FE$6))</f>
        <v>menganalisis hubungan antar komponen ekosistem dan jaring-jaring makanan di lingkungan sekitar</v>
      </c>
      <c r="FH8" s="58"/>
      <c r="FI8" s="59" t="str">
        <f>IF(ER8&gt;100,"",IF(ER8&gt;DQ$1,"sangat baik dalam "&amp;FG8,IF(ER8&gt;=DQ$2,"baik dalam "&amp;FG8,IF(ER8&gt;=DQ$3,"cukup dalam "&amp;FG8,IF(ER8&lt;DQ$3,"dengan bimbingan dapat meningkatkandalam "&amp;FG8,IF(ER8&lt;1," ",””))))))</f>
        <v>baik dalam menganalisis hubungan antar komponen ekosistem dan jaring-jaring makanan di lingkungan sekitar</v>
      </c>
      <c r="FJ8" s="58"/>
      <c r="FK8" s="57" t="str">
        <f t="shared" ref="FK8:FS8" si="44">IF(EG8=$ES8,$ES8,"")</f>
        <v/>
      </c>
      <c r="FL8" s="57">
        <f t="shared" si="44"/>
        <v>76.125</v>
      </c>
      <c r="FM8" s="57" t="str">
        <f t="shared" si="44"/>
        <v/>
      </c>
      <c r="FN8" s="57" t="str">
        <f t="shared" si="44"/>
        <v/>
      </c>
      <c r="FO8" s="57" t="str">
        <f t="shared" si="44"/>
        <v/>
      </c>
      <c r="FP8" s="57" t="str">
        <f t="shared" si="44"/>
        <v/>
      </c>
      <c r="FQ8" s="57" t="str">
        <f t="shared" si="44"/>
        <v/>
      </c>
      <c r="FR8" s="57" t="str">
        <f t="shared" si="44"/>
        <v/>
      </c>
      <c r="FS8" s="57" t="str">
        <f t="shared" si="44"/>
        <v/>
      </c>
      <c r="FT8" s="57"/>
      <c r="FU8" s="59" t="str">
        <f>LOOKUP(ES8,(FK8:FT8),($FK$6:$FT$6))</f>
        <v>menjelaskan organ pernafasan dan fungsinya pada hewan dan manusia, serta cara memelihara kesehatan organ pernapasan manusia</v>
      </c>
      <c r="FV8" s="59" t="str">
        <f>IF(ES8&gt;100,"",IF(ES8&gt;DQ$1,"sangat baik dalam "&amp;FU8,IF(ES8&gt;=DQ$2,"baik dalam "&amp;FU8,IF(ES8&gt;=DQ$3,"cukup dalam "&amp;FU8,IF(ES8&lt;DQ$3,"dengan bimbingan dapat meningkatkan dalam "&amp;FU8,IF(ES8&lt;1," ",””))))))</f>
        <v>cukup dalam menjelaskan organ pernafasan dan fungsinya pada hewan dan manusia, serta cara memelihara kesehatan organ pernapasan manusia</v>
      </c>
      <c r="FW8" s="61"/>
      <c r="FX8" s="62" t="str">
        <f>CONCATENATE(EU8&amp;FI8&amp;", "&amp;FV8)</f>
        <v>Ananda Afif baik dalam menganalisis hubungan antar komponen ekosistem dan jaring-jaring makanan di lingkungan sekitar, cukup dalam menjelaskan organ pernafasan dan fungsinya pada hewan dan manusia, serta cara memelihara kesehatan organ pernapasan manusia</v>
      </c>
      <c r="FY8"/>
      <c r="FZ8"/>
      <c r="GA8"/>
      <c r="GB8"/>
      <c r="GC8"/>
      <c r="GD8" s="57"/>
      <c r="GE8" s="59" t="e">
        <f t="shared" ref="GE8:GE43" si="45">LOOKUP(FC8,(FU8:GD8),($FU$6:$GD$6))</f>
        <v>#N/A</v>
      </c>
      <c r="GF8" s="60"/>
      <c r="GG8" s="61"/>
      <c r="GH8" s="62" t="e">
        <f>CONCATENATE(FS8&amp;", "&amp;GE8)</f>
        <v>#N/A</v>
      </c>
      <c r="GI8" s="51"/>
    </row>
    <row r="9" spans="1:191" ht="42.75" customHeight="1">
      <c r="A9" s="39">
        <v>2</v>
      </c>
      <c r="B9" s="283" t="str">
        <f>SISWA!B7</f>
        <v>Ahmad Faiq Athaya</v>
      </c>
      <c r="C9" s="123">
        <v>93</v>
      </c>
      <c r="D9" s="123"/>
      <c r="E9" s="123"/>
      <c r="F9" s="123"/>
      <c r="G9" s="123"/>
      <c r="H9" s="123"/>
      <c r="I9" s="123"/>
      <c r="J9" s="123"/>
      <c r="K9" s="123"/>
      <c r="L9" s="256">
        <v>87</v>
      </c>
      <c r="M9" s="256"/>
      <c r="N9" s="256"/>
      <c r="O9" s="256"/>
      <c r="P9" s="256"/>
      <c r="Q9" s="256"/>
      <c r="R9" s="256"/>
      <c r="S9" s="256"/>
      <c r="T9" s="256"/>
      <c r="U9" s="123"/>
      <c r="V9" s="123">
        <v>80</v>
      </c>
      <c r="W9" s="123"/>
      <c r="X9" s="123"/>
      <c r="Y9" s="123"/>
      <c r="Z9" s="123"/>
      <c r="AA9" s="123"/>
      <c r="AB9" s="123"/>
      <c r="AC9" s="123"/>
      <c r="AD9" s="256"/>
      <c r="AE9" s="256">
        <v>100</v>
      </c>
      <c r="AF9" s="256"/>
      <c r="AG9" s="256"/>
      <c r="AH9" s="256"/>
      <c r="AI9" s="256"/>
      <c r="AJ9" s="256"/>
      <c r="AK9" s="256"/>
      <c r="AL9" s="256"/>
      <c r="AM9" s="123"/>
      <c r="AN9" s="123"/>
      <c r="AO9" s="123">
        <v>100</v>
      </c>
      <c r="AP9" s="123"/>
      <c r="AQ9" s="123"/>
      <c r="AR9" s="123"/>
      <c r="AS9" s="123"/>
      <c r="AT9" s="123"/>
      <c r="AU9" s="123"/>
      <c r="AV9" s="256"/>
      <c r="AW9" s="256"/>
      <c r="AX9" s="256">
        <v>93</v>
      </c>
      <c r="AY9" s="256"/>
      <c r="AZ9" s="256"/>
      <c r="BA9" s="256"/>
      <c r="BB9" s="256"/>
      <c r="BC9" s="256"/>
      <c r="BD9" s="256"/>
      <c r="BE9" s="123"/>
      <c r="BF9" s="123">
        <v>75</v>
      </c>
      <c r="BG9" s="123"/>
      <c r="BH9" s="123">
        <v>87</v>
      </c>
      <c r="BI9" s="123"/>
      <c r="BJ9" s="123"/>
      <c r="BK9" s="123"/>
      <c r="BL9" s="123"/>
      <c r="BM9" s="123"/>
      <c r="BN9" s="256"/>
      <c r="BO9" s="256">
        <v>75</v>
      </c>
      <c r="BP9" s="256"/>
      <c r="BQ9" s="256">
        <v>80</v>
      </c>
      <c r="BR9" s="256"/>
      <c r="BS9" s="256"/>
      <c r="BT9" s="256"/>
      <c r="BU9" s="256"/>
      <c r="BV9" s="256"/>
      <c r="BW9" s="460"/>
      <c r="BX9" s="460"/>
      <c r="BY9" s="460"/>
      <c r="BZ9" s="460"/>
      <c r="CA9" s="460">
        <v>100</v>
      </c>
      <c r="CB9" s="460"/>
      <c r="CC9" s="460"/>
      <c r="CD9" s="460"/>
      <c r="CE9" s="460"/>
      <c r="CF9" s="346"/>
      <c r="CG9" s="346"/>
      <c r="CH9" s="346"/>
      <c r="CI9" s="346"/>
      <c r="CJ9" s="346">
        <v>87</v>
      </c>
      <c r="CK9" s="346"/>
      <c r="CL9" s="346"/>
      <c r="CM9" s="346"/>
      <c r="CN9" s="346"/>
      <c r="CO9" s="260">
        <f t="shared" ref="CO9:CO43" si="46">IFERROR(AVERAGE(C9,L9,U9,AD9,AM9,AV9,BE9,BN9,BW9,CF9)," ")</f>
        <v>90</v>
      </c>
      <c r="CP9" s="260">
        <f t="shared" ref="CP9:CP43" si="47">IFERROR(AVERAGE(D9,M9,V9,AE9,AN9,AW9,BF9,BO9,BX9,CG9)," ")</f>
        <v>82.5</v>
      </c>
      <c r="CQ9" s="260">
        <f t="shared" ref="CQ9:CQ43" si="48">IFERROR(AVERAGE(E9,N9,W9,AF9,AO9,AX9,BG9,BP9,BY9,CH9)," ")</f>
        <v>96.5</v>
      </c>
      <c r="CR9" s="260">
        <f t="shared" ref="CR9:CR43" si="49">IFERROR(AVERAGE(F9,O9,X9,AG9,AP9,AY9,BH9,BQ9,BZ9,CI9)," ")</f>
        <v>83.5</v>
      </c>
      <c r="CS9" s="260">
        <f t="shared" ref="CS9:CS43" si="50">IFERROR(AVERAGE(G9,P9,Y9,AH9,AQ9,AZ9,BI9,BR9,CA9,CJ9)," ")</f>
        <v>93.5</v>
      </c>
      <c r="CT9" s="260" t="str">
        <f t="shared" ref="CT9:CT43" si="51">IFERROR(AVERAGE(H9,Q9,Z9,AI9,AR9,BA9,BJ9,BS9,CB9,CK9)," ")</f>
        <v xml:space="preserve"> </v>
      </c>
      <c r="CU9" s="260" t="str">
        <f t="shared" ref="CU9:CU43" si="52">IFERROR(AVERAGE(I9,R9,AA9,AJ9,AS9,BB9,BK9,BT9,CC9,CL9)," ")</f>
        <v xml:space="preserve"> </v>
      </c>
      <c r="CV9" s="260" t="str">
        <f t="shared" ref="CV9:CV43" si="53">IFERROR(AVERAGE(J9,S9,AB9,AK9,AT9,BC9,BL9,BU9,CD9,CM9)," ")</f>
        <v xml:space="preserve"> </v>
      </c>
      <c r="CW9" s="260" t="str">
        <f t="shared" ref="CW9:CW43" si="54">IFERROR(AVERAGE(K9,T9,AC9,AL9,AU9,BD9,BM9,BV9,CE9,CN9)," ")</f>
        <v xml:space="preserve"> </v>
      </c>
      <c r="CX9" s="547">
        <v>93</v>
      </c>
      <c r="CY9" s="547">
        <v>90</v>
      </c>
      <c r="CZ9" s="547"/>
      <c r="DA9" s="547"/>
      <c r="DB9" s="547"/>
      <c r="DC9" s="547"/>
      <c r="DD9" s="547"/>
      <c r="DE9" s="547"/>
      <c r="DF9" s="547"/>
      <c r="DG9" s="564">
        <v>80</v>
      </c>
      <c r="DH9" s="564">
        <v>91</v>
      </c>
      <c r="DI9" s="564">
        <v>80</v>
      </c>
      <c r="DJ9" s="564">
        <v>80</v>
      </c>
      <c r="DK9" s="564">
        <v>95</v>
      </c>
      <c r="DL9" s="564"/>
      <c r="DM9" s="564"/>
      <c r="DN9" s="564"/>
      <c r="DO9" s="564"/>
      <c r="DP9" s="549">
        <f t="shared" ref="DP9:DP43" si="55">IFERROR(EQ9," ")</f>
        <v>88</v>
      </c>
      <c r="DQ9" s="291" t="str">
        <f t="shared" ref="DQ9:DQ43" si="56">IF(DP9&gt;100,"  ",IF(DP9&gt;=DQ$1,"A",IF(DP9&gt;=DQ$2,"B",IF(DP9&gt;=DQ$3,"C",IF(DP9&gt;=1,"D","")))))</f>
        <v>B</v>
      </c>
      <c r="DR9" s="50" t="str">
        <f t="shared" ref="DR9:DR43" si="57">IFERROR(FX9," ")</f>
        <v>Ananda Athaya sangat baik dalam menganalisis hubungan antar komponen ekosistem dan jaring-jaring makanan di lingkungan sekitar, cukup dalam menjelaskan organ peredaran darah dan fungsinya pada hewan dan manusia serta cara memelihara kesehatan organ peredaran darah manusia</v>
      </c>
      <c r="DS9" s="282"/>
      <c r="DT9" s="51"/>
      <c r="DU9" s="46">
        <f t="shared" ref="DU9:DU43" si="58">CO9</f>
        <v>90</v>
      </c>
      <c r="DV9" s="46">
        <f t="shared" ref="DV9:DV43" si="59">CP9</f>
        <v>82.5</v>
      </c>
      <c r="DW9" s="46">
        <f t="shared" ref="DW9:DW43" si="60">CQ9</f>
        <v>96.5</v>
      </c>
      <c r="DX9" s="46">
        <f t="shared" ref="DX9:DX43" si="61">CR9</f>
        <v>83.5</v>
      </c>
      <c r="DY9" s="46">
        <f t="shared" ref="DY9:DY43" si="62">CS9</f>
        <v>93.5</v>
      </c>
      <c r="DZ9" s="46" t="str">
        <f t="shared" ref="DZ9:DZ43" si="63">CT9</f>
        <v xml:space="preserve"> </v>
      </c>
      <c r="EA9" s="46" t="str">
        <f t="shared" ref="EA9:EA43" si="64">CU9</f>
        <v xml:space="preserve"> </v>
      </c>
      <c r="EB9" s="46" t="str">
        <f t="shared" ref="EB9:EB43" si="65">CV9</f>
        <v xml:space="preserve"> </v>
      </c>
      <c r="EC9" s="46" t="str">
        <f t="shared" ref="EC9:EC43" si="66">CW9</f>
        <v xml:space="preserve"> </v>
      </c>
      <c r="ED9" s="46"/>
      <c r="EE9" s="52">
        <f>[2]uts!J8</f>
        <v>73.666666666666671</v>
      </c>
      <c r="EF9" s="51"/>
      <c r="EG9" s="53">
        <f t="shared" ref="EG9:EG43" si="67">IFERROR(AVERAGE(CO9,CX9,DG9,DU9),"  ")</f>
        <v>88.25</v>
      </c>
      <c r="EH9" s="53">
        <f t="shared" ref="EH9:EH43" si="68">IFERROR(AVERAGE(CP9,CY9,DH9,DV9),"  ")</f>
        <v>86.5</v>
      </c>
      <c r="EI9" s="53">
        <f t="shared" ref="EI9:EI43" si="69">IFERROR(AVERAGE(CQ9,CZ9,DI9,DW9),"  ")</f>
        <v>91</v>
      </c>
      <c r="EJ9" s="53">
        <f t="shared" ref="EJ9:EJ43" si="70">IFERROR(AVERAGE(CR9,DA9,DJ9,DX9),"  ")</f>
        <v>82.333333333333329</v>
      </c>
      <c r="EK9" s="53">
        <f t="shared" ref="EK9:EK43" si="71">IFERROR(AVERAGE(CS9,DB9,DK9,DY9),"  ")</f>
        <v>94</v>
      </c>
      <c r="EL9" s="53" t="str">
        <f t="shared" ref="EL9:EL43" si="72">IFERROR(AVERAGE(CT9,DC9,DL9,DZ9),"  ")</f>
        <v xml:space="preserve">  </v>
      </c>
      <c r="EM9" s="53" t="str">
        <f t="shared" ref="EM9:EM43" si="73">IFERROR(AVERAGE(CU9,DD9,DM9,EA9),"  ")</f>
        <v xml:space="preserve">  </v>
      </c>
      <c r="EN9" s="53" t="str">
        <f t="shared" ref="EN9:EN43" si="74">IFERROR(AVERAGE(CV9,DE9,DN9,EB9),"  ")</f>
        <v xml:space="preserve">  </v>
      </c>
      <c r="EO9" s="53" t="str">
        <f t="shared" ref="EO9:EO43" si="75">IFERROR(AVERAGE(CW9,DF9,DO9,EC9),"  ")</f>
        <v xml:space="preserve">  </v>
      </c>
      <c r="EP9" s="53"/>
      <c r="EQ9" s="52">
        <f t="shared" ref="EQ9:EQ43" si="76">IFERROR(ROUND(AVERAGE(EG9:EP9),0)," ")</f>
        <v>88</v>
      </c>
      <c r="ER9" s="55">
        <f t="shared" ref="ER9:ER43" si="77">MAX(EG9:EP9)</f>
        <v>94</v>
      </c>
      <c r="ES9" s="55">
        <f t="shared" ref="ES9:ES43" si="78">MIN(EG9:EP9)</f>
        <v>82.333333333333329</v>
      </c>
      <c r="ET9" s="51" t="str">
        <f>SISWA!E7</f>
        <v>Athaya</v>
      </c>
      <c r="EU9" s="51" t="str">
        <f t="shared" ref="EU9:EU43" si="79">IF(FF9&gt;1,"Ananda "&amp;ET9&amp;" ","")</f>
        <v xml:space="preserve">Ananda Athaya </v>
      </c>
      <c r="EV9" s="56" t="str">
        <f t="shared" ref="EV9:EV43" si="80">IF(EG9=$ER9,$ER9,"")</f>
        <v/>
      </c>
      <c r="EW9" s="57" t="str">
        <f t="shared" ref="EW9:EW43" si="81">IF(EH9=$ER9,$ER9,"")</f>
        <v/>
      </c>
      <c r="EX9" s="57" t="str">
        <f t="shared" ref="EX9:EX43" si="82">IF(EI9=$ER9,$ER9,"")</f>
        <v/>
      </c>
      <c r="EY9" s="57" t="str">
        <f t="shared" ref="EY9:EY43" si="83">IF(EJ9=$ER9,$ER9,"")</f>
        <v/>
      </c>
      <c r="EZ9" s="57">
        <f t="shared" ref="EZ9:EZ43" si="84">IF(EK9=$ER9,$ER9,"")</f>
        <v>94</v>
      </c>
      <c r="FA9" s="57" t="str">
        <f t="shared" ref="FA9:FA43" si="85">IF(EL9=$ER9,$ER9,"")</f>
        <v/>
      </c>
      <c r="FB9" s="57" t="str">
        <f t="shared" ref="FB9:FB43" si="86">IF(EM9=$ER9,$ER9,"")</f>
        <v/>
      </c>
      <c r="FC9" s="57" t="str">
        <f t="shared" ref="FC9:FC43" si="87">IF(EN9=$ER9,$ER9,"")</f>
        <v/>
      </c>
      <c r="FD9" s="57" t="str">
        <f t="shared" ref="FD9:FD43" si="88">IF(EO9=$ER9,$ER9,"")</f>
        <v/>
      </c>
      <c r="FE9" s="57"/>
      <c r="FF9" s="58">
        <f t="shared" ref="FF9:FF43" si="89">SUM(EV9:FE9)</f>
        <v>94</v>
      </c>
      <c r="FG9" s="55" t="str">
        <f t="shared" ref="FG9:FG43" si="90">LOOKUP(ER9,(EV9:FE9),($EV$6:$FE$6))</f>
        <v>menganalisis hubungan antar komponen ekosistem dan jaring-jaring makanan di lingkungan sekitar</v>
      </c>
      <c r="FH9" s="58"/>
      <c r="FI9" s="59" t="str">
        <f>IF(ER9&gt;100,"",IF(ER9&gt;DQ$1,"sangat baik dalam "&amp;FG9,IF(ER9&gt;=DQ$2,"baik dalam "&amp;FG9,IF(ER9&gt;=DQ$3,"cukup dalam "&amp;FG9,IF(ER9&lt;DQ$3,"dengan bimbingan dapat meningkatkandalam "&amp;FG9,IF(ER9&lt;1," ",””))))))</f>
        <v>sangat baik dalam menganalisis hubungan antar komponen ekosistem dan jaring-jaring makanan di lingkungan sekitar</v>
      </c>
      <c r="FJ9" s="58"/>
      <c r="FK9" s="57" t="str">
        <f t="shared" ref="FK9:FK43" si="91">IF(EG9=$ES9,$ES9,"")</f>
        <v/>
      </c>
      <c r="FL9" s="57" t="str">
        <f t="shared" ref="FL9:FL43" si="92">IF(EH9=$ES9,$ES9,"")</f>
        <v/>
      </c>
      <c r="FM9" s="57" t="str">
        <f t="shared" ref="FM9:FM43" si="93">IF(EI9=$ES9,$ES9,"")</f>
        <v/>
      </c>
      <c r="FN9" s="57">
        <f t="shared" ref="FN9:FN43" si="94">IF(EJ9=$ES9,$ES9,"")</f>
        <v>82.333333333333329</v>
      </c>
      <c r="FO9" s="57" t="str">
        <f t="shared" ref="FO9:FO43" si="95">IF(EK9=$ES9,$ES9,"")</f>
        <v/>
      </c>
      <c r="FP9" s="57" t="str">
        <f t="shared" ref="FP9:FP43" si="96">IF(EL9=$ES9,$ES9,"")</f>
        <v/>
      </c>
      <c r="FQ9" s="57" t="str">
        <f t="shared" ref="FQ9:FQ43" si="97">IF(EM9=$ES9,$ES9,"")</f>
        <v/>
      </c>
      <c r="FR9" s="57" t="str">
        <f t="shared" ref="FR9:FR43" si="98">IF(EN9=$ES9,$ES9,"")</f>
        <v/>
      </c>
      <c r="FS9" s="57" t="str">
        <f t="shared" ref="FS9:FS43" si="99">IF(EO9=$ES9,$ES9,"")</f>
        <v/>
      </c>
      <c r="FT9" s="57"/>
      <c r="FU9" s="59" t="str">
        <f t="shared" ref="FU9:FU43" si="100">LOOKUP(ES9,(FK9:FT9),($FK$6:$FT$6))</f>
        <v>menjelaskan organ peredaran darah dan fungsinya pada hewan dan manusia serta cara memelihara kesehatan organ peredaran darah manusia</v>
      </c>
      <c r="FV9" s="59" t="str">
        <f>IF(ES9&gt;100,"",IF(ES9&gt;DQ$1,"sangat baik dalam "&amp;FU9,IF(ES9&gt;=DQ$2,"baik dalam "&amp;FU9,IF(ES9&gt;=DQ$3,"cukup dalam "&amp;FU9,IF(ES9&lt;DQ$3,"dengan bimbingan dapat meningkatkan dalam "&amp;FU9,IF(ES9&lt;1," ",””))))))</f>
        <v>cukup dalam menjelaskan organ peredaran darah dan fungsinya pada hewan dan manusia serta cara memelihara kesehatan organ peredaran darah manusia</v>
      </c>
      <c r="FW9" s="61"/>
      <c r="FX9" s="62" t="str">
        <f t="shared" ref="FX9:FX43" si="101">CONCATENATE(EU9&amp;FI9&amp;", "&amp;FV9)</f>
        <v>Ananda Athaya sangat baik dalam menganalisis hubungan antar komponen ekosistem dan jaring-jaring makanan di lingkungan sekitar, cukup dalam menjelaskan organ peredaran darah dan fungsinya pada hewan dan manusia serta cara memelihara kesehatan organ peredaran darah manusia</v>
      </c>
      <c r="FY9" s="57" t="str">
        <f t="shared" ref="FY9:GA42" si="102">IF(EU9=$FC9,$FC9,"")</f>
        <v/>
      </c>
      <c r="FZ9" s="57" t="str">
        <f t="shared" si="102"/>
        <v/>
      </c>
      <c r="GA9" s="57" t="str">
        <f t="shared" si="102"/>
        <v/>
      </c>
      <c r="GB9" s="57"/>
      <c r="GC9" s="57"/>
      <c r="GD9" s="57"/>
      <c r="GE9" s="59">
        <f t="shared" si="45"/>
        <v>0</v>
      </c>
      <c r="GF9" s="60"/>
      <c r="GG9" s="61"/>
      <c r="GH9" s="62" t="str">
        <f t="shared" ref="GH9:GH43" si="103">CONCATENATE(FS9&amp;", "&amp;GE9)</f>
        <v>, 0</v>
      </c>
      <c r="GI9" s="4"/>
    </row>
    <row r="10" spans="1:191" ht="42.75" customHeight="1">
      <c r="A10" s="39">
        <v>3</v>
      </c>
      <c r="B10" s="283" t="str">
        <f>SISWA!B8</f>
        <v>Amira Zerlinda</v>
      </c>
      <c r="C10" s="123">
        <v>93</v>
      </c>
      <c r="D10" s="123"/>
      <c r="E10" s="123"/>
      <c r="F10" s="123"/>
      <c r="G10" s="123"/>
      <c r="H10" s="123"/>
      <c r="I10" s="123"/>
      <c r="J10" s="123"/>
      <c r="K10" s="123"/>
      <c r="L10" s="256">
        <v>87</v>
      </c>
      <c r="M10" s="256"/>
      <c r="N10" s="256"/>
      <c r="O10" s="256"/>
      <c r="P10" s="256"/>
      <c r="Q10" s="256"/>
      <c r="R10" s="256"/>
      <c r="S10" s="256"/>
      <c r="T10" s="256"/>
      <c r="U10" s="123"/>
      <c r="V10" s="123">
        <v>75</v>
      </c>
      <c r="W10" s="123"/>
      <c r="X10" s="123"/>
      <c r="Y10" s="123"/>
      <c r="Z10" s="123"/>
      <c r="AA10" s="123"/>
      <c r="AB10" s="123"/>
      <c r="AC10" s="123"/>
      <c r="AD10" s="256"/>
      <c r="AE10" s="256">
        <v>87</v>
      </c>
      <c r="AF10" s="256"/>
      <c r="AG10" s="256"/>
      <c r="AH10" s="256"/>
      <c r="AI10" s="256"/>
      <c r="AJ10" s="256"/>
      <c r="AK10" s="256"/>
      <c r="AL10" s="256"/>
      <c r="AM10" s="123"/>
      <c r="AN10" s="123"/>
      <c r="AO10" s="123">
        <v>100</v>
      </c>
      <c r="AP10" s="123"/>
      <c r="AQ10" s="123"/>
      <c r="AR10" s="123"/>
      <c r="AS10" s="123"/>
      <c r="AT10" s="123"/>
      <c r="AU10" s="123"/>
      <c r="AV10" s="256"/>
      <c r="AW10" s="256"/>
      <c r="AX10" s="256">
        <v>75</v>
      </c>
      <c r="AY10" s="256"/>
      <c r="AZ10" s="256"/>
      <c r="BA10" s="256"/>
      <c r="BB10" s="256"/>
      <c r="BC10" s="256"/>
      <c r="BD10" s="256"/>
      <c r="BE10" s="123"/>
      <c r="BF10" s="123">
        <v>93</v>
      </c>
      <c r="BG10" s="123"/>
      <c r="BH10" s="123">
        <v>80</v>
      </c>
      <c r="BI10" s="123"/>
      <c r="BJ10" s="123"/>
      <c r="BK10" s="123"/>
      <c r="BL10" s="123"/>
      <c r="BM10" s="123"/>
      <c r="BN10" s="256"/>
      <c r="BO10" s="256">
        <v>87</v>
      </c>
      <c r="BP10" s="256"/>
      <c r="BQ10" s="256">
        <v>93</v>
      </c>
      <c r="BR10" s="256"/>
      <c r="BS10" s="256"/>
      <c r="BT10" s="256"/>
      <c r="BU10" s="256"/>
      <c r="BV10" s="256"/>
      <c r="BW10" s="460"/>
      <c r="BX10" s="460"/>
      <c r="BY10" s="460"/>
      <c r="BZ10" s="460"/>
      <c r="CA10" s="460">
        <v>75</v>
      </c>
      <c r="CB10" s="460"/>
      <c r="CC10" s="460"/>
      <c r="CD10" s="460"/>
      <c r="CE10" s="460"/>
      <c r="CF10" s="346"/>
      <c r="CG10" s="346"/>
      <c r="CH10" s="346"/>
      <c r="CI10" s="346"/>
      <c r="CJ10" s="346">
        <v>75</v>
      </c>
      <c r="CK10" s="346"/>
      <c r="CL10" s="346"/>
      <c r="CM10" s="346"/>
      <c r="CN10" s="346"/>
      <c r="CO10" s="260">
        <f t="shared" si="46"/>
        <v>90</v>
      </c>
      <c r="CP10" s="260">
        <f t="shared" si="47"/>
        <v>85.5</v>
      </c>
      <c r="CQ10" s="260">
        <f t="shared" si="48"/>
        <v>87.5</v>
      </c>
      <c r="CR10" s="260">
        <f t="shared" si="49"/>
        <v>86.5</v>
      </c>
      <c r="CS10" s="260">
        <f t="shared" si="50"/>
        <v>75</v>
      </c>
      <c r="CT10" s="260" t="str">
        <f t="shared" si="51"/>
        <v xml:space="preserve"> </v>
      </c>
      <c r="CU10" s="260" t="str">
        <f t="shared" si="52"/>
        <v xml:space="preserve"> </v>
      </c>
      <c r="CV10" s="260" t="str">
        <f t="shared" si="53"/>
        <v xml:space="preserve"> </v>
      </c>
      <c r="CW10" s="260" t="str">
        <f t="shared" si="54"/>
        <v xml:space="preserve"> </v>
      </c>
      <c r="CX10" s="547">
        <v>75</v>
      </c>
      <c r="CY10" s="547">
        <v>75</v>
      </c>
      <c r="CZ10" s="547"/>
      <c r="DA10" s="547"/>
      <c r="DB10" s="547"/>
      <c r="DC10" s="547"/>
      <c r="DD10" s="547"/>
      <c r="DE10" s="547"/>
      <c r="DF10" s="547"/>
      <c r="DG10" s="564">
        <v>75</v>
      </c>
      <c r="DH10" s="564">
        <v>75</v>
      </c>
      <c r="DI10" s="564">
        <v>75</v>
      </c>
      <c r="DJ10" s="564">
        <v>75</v>
      </c>
      <c r="DK10" s="564">
        <v>75</v>
      </c>
      <c r="DL10" s="564"/>
      <c r="DM10" s="564"/>
      <c r="DN10" s="564"/>
      <c r="DO10" s="564"/>
      <c r="DP10" s="549">
        <f t="shared" si="55"/>
        <v>81</v>
      </c>
      <c r="DQ10" s="291" t="str">
        <f t="shared" si="56"/>
        <v>C</v>
      </c>
      <c r="DR10" s="50" t="str">
        <f t="shared" si="57"/>
        <v>Ananda Amira baik dalam menjelaskan organ pencernaan dan fungsinya pada hewan dan manusia serta cara memelihara kesehatan organ pencernaan manusia, cukup dalam menganalisis hubungan antar komponen ekosistem dan jaring-jaring makanan di lingkungan sekitar</v>
      </c>
      <c r="DS10" s="282"/>
      <c r="DT10" s="51"/>
      <c r="DU10" s="46">
        <f t="shared" si="58"/>
        <v>90</v>
      </c>
      <c r="DV10" s="46">
        <f t="shared" si="59"/>
        <v>85.5</v>
      </c>
      <c r="DW10" s="46">
        <f t="shared" si="60"/>
        <v>87.5</v>
      </c>
      <c r="DX10" s="46">
        <f t="shared" si="61"/>
        <v>86.5</v>
      </c>
      <c r="DY10" s="46">
        <f t="shared" si="62"/>
        <v>75</v>
      </c>
      <c r="DZ10" s="46" t="str">
        <f t="shared" si="63"/>
        <v xml:space="preserve"> </v>
      </c>
      <c r="EA10" s="46" t="str">
        <f t="shared" si="64"/>
        <v xml:space="preserve"> </v>
      </c>
      <c r="EB10" s="46" t="str">
        <f t="shared" si="65"/>
        <v xml:space="preserve"> </v>
      </c>
      <c r="EC10" s="46" t="str">
        <f t="shared" si="66"/>
        <v xml:space="preserve"> </v>
      </c>
      <c r="ED10" s="46"/>
      <c r="EE10" s="52">
        <f>[2]uts!J9</f>
        <v>71.333333333333329</v>
      </c>
      <c r="EF10" s="51"/>
      <c r="EG10" s="53">
        <f t="shared" si="67"/>
        <v>82.5</v>
      </c>
      <c r="EH10" s="53">
        <f t="shared" si="68"/>
        <v>80.25</v>
      </c>
      <c r="EI10" s="53">
        <f t="shared" si="69"/>
        <v>83.333333333333329</v>
      </c>
      <c r="EJ10" s="53">
        <f t="shared" si="70"/>
        <v>82.666666666666671</v>
      </c>
      <c r="EK10" s="53">
        <f t="shared" si="71"/>
        <v>75</v>
      </c>
      <c r="EL10" s="53" t="str">
        <f t="shared" si="72"/>
        <v xml:space="preserve">  </v>
      </c>
      <c r="EM10" s="53" t="str">
        <f t="shared" si="73"/>
        <v xml:space="preserve">  </v>
      </c>
      <c r="EN10" s="53" t="str">
        <f t="shared" si="74"/>
        <v xml:space="preserve">  </v>
      </c>
      <c r="EO10" s="53" t="str">
        <f t="shared" si="75"/>
        <v xml:space="preserve">  </v>
      </c>
      <c r="EP10" s="53"/>
      <c r="EQ10" s="52">
        <f t="shared" si="76"/>
        <v>81</v>
      </c>
      <c r="ER10" s="55">
        <f t="shared" si="77"/>
        <v>83.333333333333329</v>
      </c>
      <c r="ES10" s="55">
        <f t="shared" si="78"/>
        <v>75</v>
      </c>
      <c r="ET10" s="51" t="str">
        <f>SISWA!E8</f>
        <v>Amira</v>
      </c>
      <c r="EU10" s="51" t="str">
        <f t="shared" si="79"/>
        <v xml:space="preserve">Ananda Amira </v>
      </c>
      <c r="EV10" s="56" t="str">
        <f t="shared" si="80"/>
        <v/>
      </c>
      <c r="EW10" s="57" t="str">
        <f t="shared" si="81"/>
        <v/>
      </c>
      <c r="EX10" s="57">
        <f t="shared" si="82"/>
        <v>83.333333333333329</v>
      </c>
      <c r="EY10" s="57" t="str">
        <f t="shared" si="83"/>
        <v/>
      </c>
      <c r="EZ10" s="57" t="str">
        <f t="shared" si="84"/>
        <v/>
      </c>
      <c r="FA10" s="57" t="str">
        <f t="shared" si="85"/>
        <v/>
      </c>
      <c r="FB10" s="57" t="str">
        <f t="shared" si="86"/>
        <v/>
      </c>
      <c r="FC10" s="57" t="str">
        <f t="shared" si="87"/>
        <v/>
      </c>
      <c r="FD10" s="57" t="str">
        <f t="shared" si="88"/>
        <v/>
      </c>
      <c r="FE10" s="57"/>
      <c r="FF10" s="58">
        <f t="shared" si="89"/>
        <v>83.333333333333329</v>
      </c>
      <c r="FG10" s="55" t="str">
        <f t="shared" si="90"/>
        <v>menjelaskan organ pencernaan dan fungsinya pada hewan dan manusia serta cara memelihara kesehatan organ pencernaan manusia</v>
      </c>
      <c r="FH10" s="58"/>
      <c r="FI10" s="59" t="str">
        <f>IF(ER10&gt;100,"",IF(ER10&gt;DQ$1,"sangat baik dalam "&amp;FG10,IF(ER10&gt;=DQ$2,"baik dalam "&amp;FG10,IF(ER10&gt;=DQ$3,"cukup dalam "&amp;FG10,IF(ER10&lt;DQ$3,"dengan bimbingan dapat meningkatkandalam "&amp;FG10,IF(ER10&lt;1," ",””))))))</f>
        <v>baik dalam menjelaskan organ pencernaan dan fungsinya pada hewan dan manusia serta cara memelihara kesehatan organ pencernaan manusia</v>
      </c>
      <c r="FJ10" s="58"/>
      <c r="FK10" s="57" t="str">
        <f t="shared" si="91"/>
        <v/>
      </c>
      <c r="FL10" s="57" t="str">
        <f t="shared" si="92"/>
        <v/>
      </c>
      <c r="FM10" s="57" t="str">
        <f t="shared" si="93"/>
        <v/>
      </c>
      <c r="FN10" s="57" t="str">
        <f t="shared" si="94"/>
        <v/>
      </c>
      <c r="FO10" s="57">
        <f t="shared" si="95"/>
        <v>75</v>
      </c>
      <c r="FP10" s="57" t="str">
        <f t="shared" si="96"/>
        <v/>
      </c>
      <c r="FQ10" s="57" t="str">
        <f t="shared" si="97"/>
        <v/>
      </c>
      <c r="FR10" s="57" t="str">
        <f t="shared" si="98"/>
        <v/>
      </c>
      <c r="FS10" s="57" t="str">
        <f t="shared" si="99"/>
        <v/>
      </c>
      <c r="FT10" s="57"/>
      <c r="FU10" s="59" t="str">
        <f t="shared" si="100"/>
        <v>menganalisis hubungan antar komponen ekosistem dan jaring-jaring makanan di lingkungan sekitar</v>
      </c>
      <c r="FV10" s="59" t="str">
        <f>IF(ES10&gt;100,"",IF(ES10&gt;DQ$1,"sangat baik dalam "&amp;FU10,IF(ES10&gt;=DQ$2,"baik dalam "&amp;FU10,IF(ES10&gt;=DQ$3,"cukup dalam "&amp;FU10,IF(ES10&lt;DQ$3,"dengan bimbingan dapat meningkatkan dalam "&amp;FU10,IF(ES10&lt;1," ",””))))))</f>
        <v>cukup dalam menganalisis hubungan antar komponen ekosistem dan jaring-jaring makanan di lingkungan sekitar</v>
      </c>
      <c r="FW10" s="61"/>
      <c r="FX10" s="62" t="str">
        <f t="shared" si="101"/>
        <v>Ananda Amira baik dalam menjelaskan organ pencernaan dan fungsinya pada hewan dan manusia serta cara memelihara kesehatan organ pencernaan manusia, cukup dalam menganalisis hubungan antar komponen ekosistem dan jaring-jaring makanan di lingkungan sekitar</v>
      </c>
      <c r="FY10" s="57" t="str">
        <f t="shared" si="102"/>
        <v/>
      </c>
      <c r="FZ10" s="57" t="str">
        <f t="shared" si="102"/>
        <v/>
      </c>
      <c r="GA10" s="57" t="str">
        <f t="shared" si="102"/>
        <v/>
      </c>
      <c r="GB10" s="57"/>
      <c r="GC10" s="57"/>
      <c r="GD10" s="57"/>
      <c r="GE10" s="59">
        <f t="shared" si="45"/>
        <v>0</v>
      </c>
      <c r="GF10" s="60"/>
      <c r="GG10" s="61"/>
      <c r="GH10" s="62" t="str">
        <f t="shared" si="103"/>
        <v>, 0</v>
      </c>
      <c r="GI10" s="4"/>
    </row>
    <row r="11" spans="1:191" ht="42.75" customHeight="1">
      <c r="A11" s="39">
        <v>4</v>
      </c>
      <c r="B11" s="283" t="str">
        <f>SISWA!B9</f>
        <v>Andrian Putra Pangestu</v>
      </c>
      <c r="C11" s="123">
        <v>75</v>
      </c>
      <c r="D11" s="123"/>
      <c r="E11" s="123"/>
      <c r="F11" s="123"/>
      <c r="G11" s="123"/>
      <c r="H11" s="123"/>
      <c r="I11" s="123"/>
      <c r="J11" s="123"/>
      <c r="K11" s="123"/>
      <c r="L11" s="256">
        <v>75</v>
      </c>
      <c r="M11" s="256"/>
      <c r="N11" s="256"/>
      <c r="O11" s="256"/>
      <c r="P11" s="256"/>
      <c r="Q11" s="256"/>
      <c r="R11" s="256"/>
      <c r="S11" s="256"/>
      <c r="T11" s="256"/>
      <c r="U11" s="123"/>
      <c r="V11" s="123">
        <v>75</v>
      </c>
      <c r="W11" s="123"/>
      <c r="X11" s="123"/>
      <c r="Y11" s="123"/>
      <c r="Z11" s="123"/>
      <c r="AA11" s="123"/>
      <c r="AB11" s="123"/>
      <c r="AC11" s="123"/>
      <c r="AD11" s="256"/>
      <c r="AE11" s="256">
        <v>75</v>
      </c>
      <c r="AF11" s="256"/>
      <c r="AG11" s="256"/>
      <c r="AH11" s="256"/>
      <c r="AI11" s="256"/>
      <c r="AJ11" s="256"/>
      <c r="AK11" s="256"/>
      <c r="AL11" s="256"/>
      <c r="AM11" s="123"/>
      <c r="AN11" s="123"/>
      <c r="AO11" s="123">
        <v>75</v>
      </c>
      <c r="AP11" s="123"/>
      <c r="AQ11" s="123"/>
      <c r="AR11" s="123"/>
      <c r="AS11" s="123"/>
      <c r="AT11" s="123"/>
      <c r="AU11" s="123"/>
      <c r="AV11" s="256"/>
      <c r="AW11" s="256"/>
      <c r="AX11" s="256">
        <v>75</v>
      </c>
      <c r="AY11" s="256"/>
      <c r="AZ11" s="256"/>
      <c r="BA11" s="256"/>
      <c r="BB11" s="256"/>
      <c r="BC11" s="256"/>
      <c r="BD11" s="256"/>
      <c r="BE11" s="123"/>
      <c r="BF11" s="123">
        <v>75</v>
      </c>
      <c r="BG11" s="123"/>
      <c r="BH11" s="123">
        <v>75</v>
      </c>
      <c r="BI11" s="123"/>
      <c r="BJ11" s="123"/>
      <c r="BK11" s="123"/>
      <c r="BL11" s="123"/>
      <c r="BM11" s="123"/>
      <c r="BN11" s="256"/>
      <c r="BO11" s="256">
        <v>75</v>
      </c>
      <c r="BP11" s="256"/>
      <c r="BQ11" s="256">
        <v>75</v>
      </c>
      <c r="BR11" s="256"/>
      <c r="BS11" s="256"/>
      <c r="BT11" s="256"/>
      <c r="BU11" s="256"/>
      <c r="BV11" s="256"/>
      <c r="BW11" s="460"/>
      <c r="BX11" s="460"/>
      <c r="BY11" s="460"/>
      <c r="BZ11" s="460"/>
      <c r="CA11" s="460">
        <v>75</v>
      </c>
      <c r="CB11" s="460"/>
      <c r="CC11" s="460"/>
      <c r="CD11" s="460"/>
      <c r="CE11" s="460"/>
      <c r="CF11" s="346"/>
      <c r="CG11" s="346"/>
      <c r="CH11" s="346"/>
      <c r="CI11" s="346"/>
      <c r="CJ11" s="346">
        <v>75</v>
      </c>
      <c r="CK11" s="346"/>
      <c r="CL11" s="346"/>
      <c r="CM11" s="346"/>
      <c r="CN11" s="346"/>
      <c r="CO11" s="260">
        <f t="shared" si="46"/>
        <v>75</v>
      </c>
      <c r="CP11" s="260">
        <f t="shared" si="47"/>
        <v>75</v>
      </c>
      <c r="CQ11" s="260">
        <f t="shared" si="48"/>
        <v>75</v>
      </c>
      <c r="CR11" s="260">
        <f t="shared" si="49"/>
        <v>75</v>
      </c>
      <c r="CS11" s="260">
        <f t="shared" si="50"/>
        <v>75</v>
      </c>
      <c r="CT11" s="260" t="str">
        <f t="shared" si="51"/>
        <v xml:space="preserve"> </v>
      </c>
      <c r="CU11" s="260" t="str">
        <f t="shared" si="52"/>
        <v xml:space="preserve"> </v>
      </c>
      <c r="CV11" s="260" t="str">
        <f t="shared" si="53"/>
        <v xml:space="preserve"> </v>
      </c>
      <c r="CW11" s="260" t="str">
        <f t="shared" si="54"/>
        <v xml:space="preserve"> </v>
      </c>
      <c r="CX11" s="547">
        <v>75</v>
      </c>
      <c r="CY11" s="547">
        <v>75</v>
      </c>
      <c r="CZ11" s="547"/>
      <c r="DA11" s="547"/>
      <c r="DB11" s="547"/>
      <c r="DC11" s="547"/>
      <c r="DD11" s="547"/>
      <c r="DE11" s="547"/>
      <c r="DF11" s="547"/>
      <c r="DG11" s="564">
        <v>75</v>
      </c>
      <c r="DH11" s="564">
        <v>75</v>
      </c>
      <c r="DI11" s="564">
        <v>75</v>
      </c>
      <c r="DJ11" s="564">
        <v>75</v>
      </c>
      <c r="DK11" s="564">
        <v>75</v>
      </c>
      <c r="DL11" s="564"/>
      <c r="DM11" s="564"/>
      <c r="DN11" s="564"/>
      <c r="DO11" s="564"/>
      <c r="DP11" s="549">
        <f t="shared" si="55"/>
        <v>75</v>
      </c>
      <c r="DQ11" s="291" t="str">
        <f t="shared" si="56"/>
        <v>C</v>
      </c>
      <c r="DR11" s="50" t="str">
        <f t="shared" si="57"/>
        <v>Ananda Andri cukup dalam menganalisis hubungan antar komponen ekosistem dan jaring-jaring makanan di lingkungan sekitar, cukup dalam menganalisis hubungan antar komponen ekosistem dan jaring-jaring makanan di lingkungan sekitar</v>
      </c>
      <c r="DS11" s="282"/>
      <c r="DT11" s="51"/>
      <c r="DU11" s="46">
        <f t="shared" si="58"/>
        <v>75</v>
      </c>
      <c r="DV11" s="46">
        <f t="shared" si="59"/>
        <v>75</v>
      </c>
      <c r="DW11" s="46">
        <f t="shared" si="60"/>
        <v>75</v>
      </c>
      <c r="DX11" s="46">
        <f t="shared" si="61"/>
        <v>75</v>
      </c>
      <c r="DY11" s="46">
        <f t="shared" si="62"/>
        <v>75</v>
      </c>
      <c r="DZ11" s="46" t="str">
        <f t="shared" si="63"/>
        <v xml:space="preserve"> </v>
      </c>
      <c r="EA11" s="46" t="str">
        <f t="shared" si="64"/>
        <v xml:space="preserve"> </v>
      </c>
      <c r="EB11" s="46" t="str">
        <f t="shared" si="65"/>
        <v xml:space="preserve"> </v>
      </c>
      <c r="EC11" s="46" t="str">
        <f t="shared" si="66"/>
        <v xml:space="preserve"> </v>
      </c>
      <c r="ED11" s="46"/>
      <c r="EE11" s="52">
        <f>[2]uts!J10</f>
        <v>76.666666666666671</v>
      </c>
      <c r="EF11" s="51"/>
      <c r="EG11" s="53">
        <f t="shared" si="67"/>
        <v>75</v>
      </c>
      <c r="EH11" s="53">
        <f t="shared" si="68"/>
        <v>75</v>
      </c>
      <c r="EI11" s="53">
        <f t="shared" si="69"/>
        <v>75</v>
      </c>
      <c r="EJ11" s="53">
        <f t="shared" si="70"/>
        <v>75</v>
      </c>
      <c r="EK11" s="53">
        <f t="shared" si="71"/>
        <v>75</v>
      </c>
      <c r="EL11" s="53" t="str">
        <f t="shared" si="72"/>
        <v xml:space="preserve">  </v>
      </c>
      <c r="EM11" s="53" t="str">
        <f t="shared" si="73"/>
        <v xml:space="preserve">  </v>
      </c>
      <c r="EN11" s="53" t="str">
        <f t="shared" si="74"/>
        <v xml:space="preserve">  </v>
      </c>
      <c r="EO11" s="53" t="str">
        <f t="shared" si="75"/>
        <v xml:space="preserve">  </v>
      </c>
      <c r="EP11" s="53"/>
      <c r="EQ11" s="52">
        <f t="shared" si="76"/>
        <v>75</v>
      </c>
      <c r="ER11" s="55">
        <f t="shared" si="77"/>
        <v>75</v>
      </c>
      <c r="ES11" s="55">
        <f t="shared" si="78"/>
        <v>75</v>
      </c>
      <c r="ET11" s="51" t="str">
        <f>SISWA!E9</f>
        <v>Andri</v>
      </c>
      <c r="EU11" s="51" t="str">
        <f t="shared" si="79"/>
        <v xml:space="preserve">Ananda Andri </v>
      </c>
      <c r="EV11" s="56">
        <f t="shared" si="80"/>
        <v>75</v>
      </c>
      <c r="EW11" s="57">
        <f t="shared" si="81"/>
        <v>75</v>
      </c>
      <c r="EX11" s="57">
        <f t="shared" si="82"/>
        <v>75</v>
      </c>
      <c r="EY11" s="57">
        <f t="shared" si="83"/>
        <v>75</v>
      </c>
      <c r="EZ11" s="57">
        <f t="shared" si="84"/>
        <v>75</v>
      </c>
      <c r="FA11" s="57" t="str">
        <f t="shared" si="85"/>
        <v/>
      </c>
      <c r="FB11" s="57" t="str">
        <f t="shared" si="86"/>
        <v/>
      </c>
      <c r="FC11" s="57" t="str">
        <f t="shared" si="87"/>
        <v/>
      </c>
      <c r="FD11" s="57" t="str">
        <f t="shared" si="88"/>
        <v/>
      </c>
      <c r="FE11" s="57"/>
      <c r="FF11" s="58">
        <f t="shared" si="89"/>
        <v>375</v>
      </c>
      <c r="FG11" s="55" t="str">
        <f t="shared" si="90"/>
        <v>menganalisis hubungan antar komponen ekosistem dan jaring-jaring makanan di lingkungan sekitar</v>
      </c>
      <c r="FH11" s="58"/>
      <c r="FI11" s="59" t="str">
        <f>IF(ER11&gt;100,"",IF(ER11&gt;DQ$1,"sangat baik dalam "&amp;FG11,IF(ER11&gt;=DQ$2,"baik dalam "&amp;FG11,IF(ER11&gt;=DQ$3,"cukup dalam "&amp;FG11,IF(ER11&lt;DQ$3,"dengan bimbingan dapat meningkatkandalam "&amp;FG11,IF(ER11&lt;1," ",””))))))</f>
        <v>cukup dalam menganalisis hubungan antar komponen ekosistem dan jaring-jaring makanan di lingkungan sekitar</v>
      </c>
      <c r="FJ11" s="58"/>
      <c r="FK11" s="57">
        <f t="shared" si="91"/>
        <v>75</v>
      </c>
      <c r="FL11" s="57">
        <f t="shared" si="92"/>
        <v>75</v>
      </c>
      <c r="FM11" s="57">
        <f t="shared" si="93"/>
        <v>75</v>
      </c>
      <c r="FN11" s="57">
        <f t="shared" si="94"/>
        <v>75</v>
      </c>
      <c r="FO11" s="57">
        <f t="shared" si="95"/>
        <v>75</v>
      </c>
      <c r="FP11" s="57" t="str">
        <f t="shared" si="96"/>
        <v/>
      </c>
      <c r="FQ11" s="57" t="str">
        <f t="shared" si="97"/>
        <v/>
      </c>
      <c r="FR11" s="57" t="str">
        <f t="shared" si="98"/>
        <v/>
      </c>
      <c r="FS11" s="57" t="str">
        <f t="shared" si="99"/>
        <v/>
      </c>
      <c r="FT11" s="57"/>
      <c r="FU11" s="59" t="str">
        <f t="shared" si="100"/>
        <v>menganalisis hubungan antar komponen ekosistem dan jaring-jaring makanan di lingkungan sekitar</v>
      </c>
      <c r="FV11" s="59" t="str">
        <f>IF(ES11&gt;100,"",IF(ES11&gt;DQ$1,"sangat baik dalam "&amp;FU11,IF(ES11&gt;=DQ$2,"baik dalam "&amp;FU11,IF(ES11&gt;=DQ$3,"cukup dalam "&amp;FU11,IF(ES11&lt;DQ$3,"dengan bimbingan dapat meningkatkan dalam "&amp;FU11,IF(ES11&lt;1," ",””))))))</f>
        <v>cukup dalam menganalisis hubungan antar komponen ekosistem dan jaring-jaring makanan di lingkungan sekitar</v>
      </c>
      <c r="FW11" s="61"/>
      <c r="FX11" s="62" t="str">
        <f t="shared" si="101"/>
        <v>Ananda Andri cukup dalam menganalisis hubungan antar komponen ekosistem dan jaring-jaring makanan di lingkungan sekitar, cukup dalam menganalisis hubungan antar komponen ekosistem dan jaring-jaring makanan di lingkungan sekitar</v>
      </c>
      <c r="FY11" s="57" t="str">
        <f t="shared" si="102"/>
        <v/>
      </c>
      <c r="FZ11" s="57" t="str">
        <f t="shared" si="102"/>
        <v/>
      </c>
      <c r="GA11" s="57" t="str">
        <f t="shared" si="102"/>
        <v/>
      </c>
      <c r="GB11" s="57"/>
      <c r="GC11" s="57"/>
      <c r="GD11" s="57"/>
      <c r="GE11" s="59">
        <f t="shared" si="45"/>
        <v>0</v>
      </c>
      <c r="GF11" s="60"/>
      <c r="GG11" s="61"/>
      <c r="GH11" s="62" t="str">
        <f t="shared" si="103"/>
        <v>, 0</v>
      </c>
      <c r="GI11" s="4"/>
    </row>
    <row r="12" spans="1:191" ht="42.75" customHeight="1">
      <c r="A12" s="39">
        <v>5</v>
      </c>
      <c r="B12" s="283" t="str">
        <f>SISWA!B10</f>
        <v>Gresiya Suma Safitri</v>
      </c>
      <c r="C12" s="123">
        <v>87</v>
      </c>
      <c r="D12" s="123"/>
      <c r="E12" s="123"/>
      <c r="F12" s="123"/>
      <c r="G12" s="123"/>
      <c r="H12" s="123"/>
      <c r="I12" s="123"/>
      <c r="J12" s="123"/>
      <c r="K12" s="123"/>
      <c r="L12" s="256">
        <v>87</v>
      </c>
      <c r="M12" s="256"/>
      <c r="N12" s="256"/>
      <c r="O12" s="256"/>
      <c r="P12" s="256"/>
      <c r="Q12" s="256"/>
      <c r="R12" s="256"/>
      <c r="S12" s="256"/>
      <c r="T12" s="256"/>
      <c r="U12" s="123"/>
      <c r="V12" s="123">
        <v>80</v>
      </c>
      <c r="W12" s="123"/>
      <c r="X12" s="123"/>
      <c r="Y12" s="123"/>
      <c r="Z12" s="123"/>
      <c r="AA12" s="123"/>
      <c r="AB12" s="123"/>
      <c r="AC12" s="123"/>
      <c r="AD12" s="256"/>
      <c r="AE12" s="256">
        <v>93</v>
      </c>
      <c r="AF12" s="256"/>
      <c r="AG12" s="256"/>
      <c r="AH12" s="256"/>
      <c r="AI12" s="256"/>
      <c r="AJ12" s="256"/>
      <c r="AK12" s="256"/>
      <c r="AL12" s="256"/>
      <c r="AM12" s="123"/>
      <c r="AN12" s="123"/>
      <c r="AO12" s="123">
        <v>80</v>
      </c>
      <c r="AP12" s="123"/>
      <c r="AQ12" s="123"/>
      <c r="AR12" s="123"/>
      <c r="AS12" s="123"/>
      <c r="AT12" s="123"/>
      <c r="AU12" s="123"/>
      <c r="AV12" s="256"/>
      <c r="AW12" s="256"/>
      <c r="AX12" s="256">
        <v>75</v>
      </c>
      <c r="AY12" s="256"/>
      <c r="AZ12" s="256"/>
      <c r="BA12" s="256"/>
      <c r="BB12" s="256"/>
      <c r="BC12" s="256"/>
      <c r="BD12" s="256"/>
      <c r="BE12" s="123"/>
      <c r="BF12" s="123">
        <v>75</v>
      </c>
      <c r="BG12" s="123"/>
      <c r="BH12" s="123">
        <v>87</v>
      </c>
      <c r="BI12" s="123"/>
      <c r="BJ12" s="123"/>
      <c r="BK12" s="123"/>
      <c r="BL12" s="123"/>
      <c r="BM12" s="123"/>
      <c r="BN12" s="256"/>
      <c r="BO12" s="256">
        <v>75</v>
      </c>
      <c r="BP12" s="256"/>
      <c r="BQ12" s="256">
        <v>100</v>
      </c>
      <c r="BR12" s="256"/>
      <c r="BS12" s="256"/>
      <c r="BT12" s="256"/>
      <c r="BU12" s="256"/>
      <c r="BV12" s="256"/>
      <c r="BW12" s="460"/>
      <c r="BX12" s="460"/>
      <c r="BY12" s="460"/>
      <c r="BZ12" s="460"/>
      <c r="CA12" s="460">
        <v>100</v>
      </c>
      <c r="CB12" s="460"/>
      <c r="CC12" s="460"/>
      <c r="CD12" s="460"/>
      <c r="CE12" s="460"/>
      <c r="CF12" s="346"/>
      <c r="CG12" s="346"/>
      <c r="CH12" s="346"/>
      <c r="CI12" s="346"/>
      <c r="CJ12" s="346">
        <v>75</v>
      </c>
      <c r="CK12" s="346"/>
      <c r="CL12" s="346"/>
      <c r="CM12" s="346"/>
      <c r="CN12" s="346"/>
      <c r="CO12" s="260">
        <f t="shared" si="46"/>
        <v>87</v>
      </c>
      <c r="CP12" s="260">
        <f t="shared" si="47"/>
        <v>80.75</v>
      </c>
      <c r="CQ12" s="260">
        <f t="shared" si="48"/>
        <v>77.5</v>
      </c>
      <c r="CR12" s="260">
        <f t="shared" si="49"/>
        <v>93.5</v>
      </c>
      <c r="CS12" s="260">
        <f t="shared" si="50"/>
        <v>87.5</v>
      </c>
      <c r="CT12" s="260" t="str">
        <f t="shared" si="51"/>
        <v xml:space="preserve"> </v>
      </c>
      <c r="CU12" s="260" t="str">
        <f t="shared" si="52"/>
        <v xml:space="preserve"> </v>
      </c>
      <c r="CV12" s="260" t="str">
        <f t="shared" si="53"/>
        <v xml:space="preserve"> </v>
      </c>
      <c r="CW12" s="260" t="str">
        <f t="shared" si="54"/>
        <v xml:space="preserve"> </v>
      </c>
      <c r="CX12" s="547">
        <v>75</v>
      </c>
      <c r="CY12" s="547">
        <v>75</v>
      </c>
      <c r="CZ12" s="547"/>
      <c r="DA12" s="547"/>
      <c r="DB12" s="547"/>
      <c r="DC12" s="547"/>
      <c r="DD12" s="547"/>
      <c r="DE12" s="547"/>
      <c r="DF12" s="547"/>
      <c r="DG12" s="564">
        <v>76</v>
      </c>
      <c r="DH12" s="564">
        <v>76</v>
      </c>
      <c r="DI12" s="564">
        <v>75</v>
      </c>
      <c r="DJ12" s="564">
        <v>75</v>
      </c>
      <c r="DK12" s="564">
        <v>75</v>
      </c>
      <c r="DL12" s="564"/>
      <c r="DM12" s="564"/>
      <c r="DN12" s="564"/>
      <c r="DO12" s="564"/>
      <c r="DP12" s="549">
        <f t="shared" si="55"/>
        <v>81</v>
      </c>
      <c r="DQ12" s="291" t="str">
        <f t="shared" si="56"/>
        <v>C</v>
      </c>
      <c r="DR12" s="50" t="str">
        <f t="shared" si="57"/>
        <v>Ananda Gresia baik dalam menjelaskan organ peredaran darah dan fungsinya pada hewan dan manusia serta cara memelihara kesehatan organ peredaran darah manusia, cukup dalam menjelaskan organ pencernaan dan fungsinya pada hewan dan manusia serta cara memelihara kesehatan organ pencernaan manusia</v>
      </c>
      <c r="DS12" s="282"/>
      <c r="DT12" s="51"/>
      <c r="DU12" s="46">
        <f t="shared" si="58"/>
        <v>87</v>
      </c>
      <c r="DV12" s="46">
        <f t="shared" si="59"/>
        <v>80.75</v>
      </c>
      <c r="DW12" s="46">
        <f t="shared" si="60"/>
        <v>77.5</v>
      </c>
      <c r="DX12" s="46">
        <f t="shared" si="61"/>
        <v>93.5</v>
      </c>
      <c r="DY12" s="46">
        <f t="shared" si="62"/>
        <v>87.5</v>
      </c>
      <c r="DZ12" s="46" t="str">
        <f t="shared" si="63"/>
        <v xml:space="preserve"> </v>
      </c>
      <c r="EA12" s="46" t="str">
        <f t="shared" si="64"/>
        <v xml:space="preserve"> </v>
      </c>
      <c r="EB12" s="46" t="str">
        <f t="shared" si="65"/>
        <v xml:space="preserve"> </v>
      </c>
      <c r="EC12" s="46" t="str">
        <f t="shared" si="66"/>
        <v xml:space="preserve"> </v>
      </c>
      <c r="ED12" s="46"/>
      <c r="EE12" s="52">
        <f>[2]uts!J11</f>
        <v>80.666666666666671</v>
      </c>
      <c r="EF12" s="51"/>
      <c r="EG12" s="53">
        <f t="shared" si="67"/>
        <v>81.25</v>
      </c>
      <c r="EH12" s="53">
        <f t="shared" si="68"/>
        <v>78.125</v>
      </c>
      <c r="EI12" s="53">
        <f t="shared" si="69"/>
        <v>76.666666666666671</v>
      </c>
      <c r="EJ12" s="53">
        <f t="shared" si="70"/>
        <v>87.333333333333329</v>
      </c>
      <c r="EK12" s="53">
        <f t="shared" si="71"/>
        <v>83.333333333333329</v>
      </c>
      <c r="EL12" s="53" t="str">
        <f t="shared" si="72"/>
        <v xml:space="preserve">  </v>
      </c>
      <c r="EM12" s="53" t="str">
        <f t="shared" si="73"/>
        <v xml:space="preserve">  </v>
      </c>
      <c r="EN12" s="53" t="str">
        <f t="shared" si="74"/>
        <v xml:space="preserve">  </v>
      </c>
      <c r="EO12" s="53" t="str">
        <f t="shared" si="75"/>
        <v xml:space="preserve">  </v>
      </c>
      <c r="EP12" s="53"/>
      <c r="EQ12" s="52">
        <f t="shared" si="76"/>
        <v>81</v>
      </c>
      <c r="ER12" s="55">
        <f t="shared" si="77"/>
        <v>87.333333333333329</v>
      </c>
      <c r="ES12" s="55">
        <f t="shared" si="78"/>
        <v>76.666666666666671</v>
      </c>
      <c r="ET12" s="51" t="str">
        <f>SISWA!E10</f>
        <v>Gresia</v>
      </c>
      <c r="EU12" s="51" t="str">
        <f t="shared" si="79"/>
        <v xml:space="preserve">Ananda Gresia </v>
      </c>
      <c r="EV12" s="56" t="str">
        <f t="shared" si="80"/>
        <v/>
      </c>
      <c r="EW12" s="57" t="str">
        <f t="shared" si="81"/>
        <v/>
      </c>
      <c r="EX12" s="57" t="str">
        <f t="shared" si="82"/>
        <v/>
      </c>
      <c r="EY12" s="57">
        <f t="shared" si="83"/>
        <v>87.333333333333329</v>
      </c>
      <c r="EZ12" s="57" t="str">
        <f t="shared" si="84"/>
        <v/>
      </c>
      <c r="FA12" s="57" t="str">
        <f t="shared" si="85"/>
        <v/>
      </c>
      <c r="FB12" s="57" t="str">
        <f t="shared" si="86"/>
        <v/>
      </c>
      <c r="FC12" s="57" t="str">
        <f t="shared" si="87"/>
        <v/>
      </c>
      <c r="FD12" s="57" t="str">
        <f t="shared" si="88"/>
        <v/>
      </c>
      <c r="FE12" s="57"/>
      <c r="FF12" s="58">
        <f t="shared" si="89"/>
        <v>87.333333333333329</v>
      </c>
      <c r="FG12" s="55" t="str">
        <f t="shared" si="90"/>
        <v>menjelaskan organ peredaran darah dan fungsinya pada hewan dan manusia serta cara memelihara kesehatan organ peredaran darah manusia</v>
      </c>
      <c r="FH12" s="58"/>
      <c r="FI12" s="59" t="str">
        <f>IF(ER12&gt;100,"",IF(ER12&gt;DQ$1,"sangat baik dalam "&amp;FG12,IF(ER12&gt;=DQ$2,"baik dalam "&amp;FG12,IF(ER12&gt;=DQ$3,"cukup dalam "&amp;FG12,IF(ER12&lt;DQ$3,"dengan bimbingan dapat meningkatkandalam "&amp;FG12,IF(ER12&lt;1," ",””))))))</f>
        <v>baik dalam menjelaskan organ peredaran darah dan fungsinya pada hewan dan manusia serta cara memelihara kesehatan organ peredaran darah manusia</v>
      </c>
      <c r="FJ12" s="58"/>
      <c r="FK12" s="57" t="str">
        <f t="shared" si="91"/>
        <v/>
      </c>
      <c r="FL12" s="57" t="str">
        <f t="shared" si="92"/>
        <v/>
      </c>
      <c r="FM12" s="57">
        <f t="shared" si="93"/>
        <v>76.666666666666671</v>
      </c>
      <c r="FN12" s="57" t="str">
        <f t="shared" si="94"/>
        <v/>
      </c>
      <c r="FO12" s="57" t="str">
        <f t="shared" si="95"/>
        <v/>
      </c>
      <c r="FP12" s="57" t="str">
        <f t="shared" si="96"/>
        <v/>
      </c>
      <c r="FQ12" s="57" t="str">
        <f t="shared" si="97"/>
        <v/>
      </c>
      <c r="FR12" s="57" t="str">
        <f t="shared" si="98"/>
        <v/>
      </c>
      <c r="FS12" s="57" t="str">
        <f t="shared" si="99"/>
        <v/>
      </c>
      <c r="FT12" s="57"/>
      <c r="FU12" s="59" t="str">
        <f t="shared" si="100"/>
        <v>menjelaskan organ pencernaan dan fungsinya pada hewan dan manusia serta cara memelihara kesehatan organ pencernaan manusia</v>
      </c>
      <c r="FV12" s="59" t="str">
        <f>IF(ES12&gt;100,"",IF(ES12&gt;DQ$1,"sangat baik dalam "&amp;FU12,IF(ES12&gt;=DQ$2,"baik dalam "&amp;FU12,IF(ES12&gt;=DQ$3,"cukup dalam "&amp;FU12,IF(ES12&lt;DQ$3,"dengan bimbingan dapat meningkatkan dalam "&amp;FU12,IF(ES12&lt;1," ",””))))))</f>
        <v>cukup dalam menjelaskan organ pencernaan dan fungsinya pada hewan dan manusia serta cara memelihara kesehatan organ pencernaan manusia</v>
      </c>
      <c r="FW12" s="61"/>
      <c r="FX12" s="62" t="str">
        <f t="shared" si="101"/>
        <v>Ananda Gresia baik dalam menjelaskan organ peredaran darah dan fungsinya pada hewan dan manusia serta cara memelihara kesehatan organ peredaran darah manusia, cukup dalam menjelaskan organ pencernaan dan fungsinya pada hewan dan manusia serta cara memelihara kesehatan organ pencernaan manusia</v>
      </c>
      <c r="FY12" s="57" t="str">
        <f t="shared" si="102"/>
        <v/>
      </c>
      <c r="FZ12" s="57" t="str">
        <f t="shared" si="102"/>
        <v/>
      </c>
      <c r="GA12" s="57" t="str">
        <f t="shared" si="102"/>
        <v/>
      </c>
      <c r="GB12" s="57"/>
      <c r="GC12" s="57"/>
      <c r="GD12" s="57"/>
      <c r="GE12" s="59">
        <f t="shared" si="45"/>
        <v>0</v>
      </c>
      <c r="GF12" s="60"/>
      <c r="GG12" s="61"/>
      <c r="GH12" s="62" t="str">
        <f t="shared" si="103"/>
        <v>, 0</v>
      </c>
      <c r="GI12" s="4" t="str">
        <f t="shared" ref="GI12:GI27" si="104">CONCATENATE(IF(EQ12&gt;100,"  ",IF(EQ12&gt;95,"Sangat pandai "&amp;$B$46,IF(EQ12&gt;87,"Pandai "&amp;$B$46,IF(EQ12&gt;79,"Cukup pandai "&amp;$B$46,IF(EQ12&gt;71,"Menguasai dengan baik "&amp;$B$46,IF(EQ12&gt;62,"Perlu banyak latihan "&amp;$B$46,IF(EQ12&gt;0,"Perlu bimbingan "&amp;$B$46,IF(EQ12="","")))))))),IF(ER12&gt;100,"  ",IF(ER12&gt;95," Sangat pandai "&amp;$B$47,IF(ER12&gt;87," Pandai "&amp;$B$47,IF(ER12&gt;79," Cukup pandai "&amp;$B$47,IF(ER12&gt;71," Menguasai dengan baik "&amp;$B$47,IF(ER12&gt;62," Perlu banyak latihan "&amp;$B$47,IF(ER12&gt;0," Perlu bimbingan "&amp;$B$47,IF(ER12="","")))))))),IF(ES12&gt;100,"  ",IF(ES12&gt;95," Sangat pandai "&amp;$B$48,IF(ES12&gt;87," Pandai "&amp;$B$48,IF(ES12&gt;79," cukup pandai "&amp;$B$48,IF(ES12&gt;71," Menguasai dengan baik "&amp;$B$48,IF(ES12&gt;62," Perlu banyak latihan "&amp;$B$48,IF(ES12&gt;0," Perlu bimbingan "&amp;$B$48,IF(ES12="","")))))))),IF(ET12&gt;100,"  ",IF(ET12&gt;95," Sangat pandai "&amp;$B$49,IF(ET12&gt;87," Pandai "&amp;$B$49,IF(ET12&gt;79," Cukup pandai "&amp;$B$49,IF(ET12&gt;71," Menguasai dengan baik "&amp;$B$49,IF(ET12&gt;62," Perlu banyak latihan "&amp;$B$49,IF(ET12&gt;0," Perlu bimbingan "&amp;$B$49,IF(ET12="","")))))))),IF(EU12&gt;100,"  ",IF(EU12&gt;95," Sangat pandai "&amp;$B$50,IF(EU12&gt;87," Pandai "&amp;$B$50,IF(EU12&gt;79," Cukup pandai "&amp;$B$50,IF(EU12&gt;71," Menguasai dengan baik "&amp;$B$50,IF(EU12&gt;62," Perlu banyak latihan "&amp;$B$50,IF(EU12&gt;0," Perlu bimbingan "&amp;$B$50,IF(EU12="","")))))))),IF(EV12&gt;100,"  ",IF(EV12&gt;95," Sangat pandai "&amp;$B$51,IF(EV12&gt;87," Pandai "&amp;$B$51,IF(EV12&gt;79," Cukup pandai "&amp;$B$51,IF(EV12&gt;71," Menguasai dengan baik "&amp;$B$51,IF(EV12&gt;62," Perlu banyak latihan "&amp;$B$51,IF(EV12&gt;0," Perlu bimbingan "&amp;$B$51,IF(EV12="","")))))))),IF(EW12&gt;100,"  ",IF(EW12&gt;95," Sangat pandai "&amp;$B$52,IF(EW12&gt;87," Pandai "&amp;$B$52,IF(EW12&gt;79," Cukup pandai "&amp;$B$52,IF(EW12&gt;71," Menguasai dengan baik "&amp;$B$52,IF(EW12&gt;62," Perlu banyak latihan "&amp;$B$52,IF(EW12&gt;0," Perlu bimbingan "&amp;$B$52,IF(EW12="","")))))))))</f>
        <v xml:space="preserve">Cukup pandai menjelaskan alat gerak dan fungsinya pada hewan dan manusia serta cara memelihara kesehatan alat gerak manusia Pandai menjelaskan organ pernafasan dan fungsinya pada hewan dan manusia, serta cara memelihara kesehatan organ pernapasan manusia Menguasai dengan baik menjelaskan organ pencernaan dan fungsinya pada hewan dan manusia serta cara memelihara kesehatan organ pencernaan manusia        </v>
      </c>
    </row>
    <row r="13" spans="1:191" ht="42.75" customHeight="1">
      <c r="A13" s="39">
        <v>6</v>
      </c>
      <c r="B13" s="283" t="str">
        <f>SISWA!B11</f>
        <v>Hasna Fathitya Sabrina</v>
      </c>
      <c r="C13" s="123">
        <v>80</v>
      </c>
      <c r="D13" s="123"/>
      <c r="E13" s="123"/>
      <c r="F13" s="123"/>
      <c r="G13" s="123"/>
      <c r="H13" s="123"/>
      <c r="I13" s="123"/>
      <c r="J13" s="123"/>
      <c r="K13" s="123"/>
      <c r="L13" s="256">
        <v>87</v>
      </c>
      <c r="M13" s="256"/>
      <c r="N13" s="256"/>
      <c r="O13" s="256"/>
      <c r="P13" s="256"/>
      <c r="Q13" s="256"/>
      <c r="R13" s="256"/>
      <c r="S13" s="256"/>
      <c r="T13" s="256"/>
      <c r="U13" s="123"/>
      <c r="V13" s="123">
        <v>80</v>
      </c>
      <c r="W13" s="123"/>
      <c r="X13" s="123"/>
      <c r="Y13" s="123"/>
      <c r="Z13" s="123"/>
      <c r="AA13" s="123"/>
      <c r="AB13" s="123"/>
      <c r="AC13" s="123"/>
      <c r="AD13" s="256"/>
      <c r="AE13" s="256">
        <v>93</v>
      </c>
      <c r="AF13" s="256"/>
      <c r="AG13" s="256"/>
      <c r="AH13" s="256"/>
      <c r="AI13" s="256"/>
      <c r="AJ13" s="256"/>
      <c r="AK13" s="256"/>
      <c r="AL13" s="256"/>
      <c r="AM13" s="123"/>
      <c r="AN13" s="123"/>
      <c r="AO13" s="123">
        <v>93</v>
      </c>
      <c r="AP13" s="123"/>
      <c r="AQ13" s="123"/>
      <c r="AR13" s="123"/>
      <c r="AS13" s="123"/>
      <c r="AT13" s="123"/>
      <c r="AU13" s="123"/>
      <c r="AV13" s="256"/>
      <c r="AW13" s="256"/>
      <c r="AX13" s="256">
        <v>87</v>
      </c>
      <c r="AY13" s="256"/>
      <c r="AZ13" s="256"/>
      <c r="BA13" s="256"/>
      <c r="BB13" s="256"/>
      <c r="BC13" s="256"/>
      <c r="BD13" s="256"/>
      <c r="BE13" s="123"/>
      <c r="BF13" s="123">
        <v>80</v>
      </c>
      <c r="BG13" s="123"/>
      <c r="BH13" s="123">
        <v>80</v>
      </c>
      <c r="BI13" s="123"/>
      <c r="BJ13" s="123"/>
      <c r="BK13" s="123"/>
      <c r="BL13" s="123"/>
      <c r="BM13" s="123"/>
      <c r="BN13" s="256"/>
      <c r="BO13" s="256">
        <v>80</v>
      </c>
      <c r="BP13" s="256"/>
      <c r="BQ13" s="256">
        <v>80</v>
      </c>
      <c r="BR13" s="256"/>
      <c r="BS13" s="256"/>
      <c r="BT13" s="256"/>
      <c r="BU13" s="256"/>
      <c r="BV13" s="256"/>
      <c r="BW13" s="460"/>
      <c r="BX13" s="460"/>
      <c r="BY13" s="460"/>
      <c r="BZ13" s="460"/>
      <c r="CA13" s="460">
        <v>87</v>
      </c>
      <c r="CB13" s="460"/>
      <c r="CC13" s="460"/>
      <c r="CD13" s="460"/>
      <c r="CE13" s="460"/>
      <c r="CF13" s="346"/>
      <c r="CG13" s="346"/>
      <c r="CH13" s="346"/>
      <c r="CI13" s="346"/>
      <c r="CJ13" s="346">
        <v>80</v>
      </c>
      <c r="CK13" s="346"/>
      <c r="CL13" s="346"/>
      <c r="CM13" s="346"/>
      <c r="CN13" s="346"/>
      <c r="CO13" s="260">
        <f t="shared" si="46"/>
        <v>83.5</v>
      </c>
      <c r="CP13" s="260">
        <f t="shared" si="47"/>
        <v>83.25</v>
      </c>
      <c r="CQ13" s="260">
        <f t="shared" si="48"/>
        <v>90</v>
      </c>
      <c r="CR13" s="260">
        <f t="shared" si="49"/>
        <v>80</v>
      </c>
      <c r="CS13" s="260">
        <f t="shared" si="50"/>
        <v>83.5</v>
      </c>
      <c r="CT13" s="260" t="str">
        <f t="shared" si="51"/>
        <v xml:space="preserve"> </v>
      </c>
      <c r="CU13" s="260" t="str">
        <f t="shared" si="52"/>
        <v xml:space="preserve"> </v>
      </c>
      <c r="CV13" s="260" t="str">
        <f t="shared" si="53"/>
        <v xml:space="preserve"> </v>
      </c>
      <c r="CW13" s="260" t="str">
        <f t="shared" si="54"/>
        <v xml:space="preserve"> </v>
      </c>
      <c r="CX13" s="547">
        <v>75</v>
      </c>
      <c r="CY13" s="547">
        <v>77</v>
      </c>
      <c r="CZ13" s="547"/>
      <c r="DA13" s="547"/>
      <c r="DB13" s="547"/>
      <c r="DC13" s="547"/>
      <c r="DD13" s="547"/>
      <c r="DE13" s="547"/>
      <c r="DF13" s="547"/>
      <c r="DG13" s="564">
        <v>78</v>
      </c>
      <c r="DH13" s="564">
        <v>78</v>
      </c>
      <c r="DI13" s="564">
        <v>77</v>
      </c>
      <c r="DJ13" s="564">
        <v>77</v>
      </c>
      <c r="DK13" s="564">
        <v>85</v>
      </c>
      <c r="DL13" s="564"/>
      <c r="DM13" s="564"/>
      <c r="DN13" s="564"/>
      <c r="DO13" s="564"/>
      <c r="DP13" s="549">
        <f t="shared" si="55"/>
        <v>82</v>
      </c>
      <c r="DQ13" s="291" t="str">
        <f t="shared" si="56"/>
        <v>C</v>
      </c>
      <c r="DR13" s="50" t="str">
        <f t="shared" si="57"/>
        <v>Ananda Hasna baik dalam menjelaskan organ pencernaan dan fungsinya pada hewan dan manusia serta cara memelihara kesehatan organ pencernaan manusia, cukup dalam menjelaskan organ peredaran darah dan fungsinya pada hewan dan manusia serta cara memelihara kesehatan organ peredaran darah manusia</v>
      </c>
      <c r="DS13" s="282"/>
      <c r="DT13" s="51"/>
      <c r="DU13" s="46">
        <f t="shared" si="58"/>
        <v>83.5</v>
      </c>
      <c r="DV13" s="46">
        <f t="shared" si="59"/>
        <v>83.25</v>
      </c>
      <c r="DW13" s="46">
        <f t="shared" si="60"/>
        <v>90</v>
      </c>
      <c r="DX13" s="46">
        <f t="shared" si="61"/>
        <v>80</v>
      </c>
      <c r="DY13" s="46">
        <f t="shared" si="62"/>
        <v>83.5</v>
      </c>
      <c r="DZ13" s="46" t="str">
        <f t="shared" si="63"/>
        <v xml:space="preserve"> </v>
      </c>
      <c r="EA13" s="46" t="str">
        <f t="shared" si="64"/>
        <v xml:space="preserve"> </v>
      </c>
      <c r="EB13" s="46" t="str">
        <f t="shared" si="65"/>
        <v xml:space="preserve"> </v>
      </c>
      <c r="EC13" s="46" t="str">
        <f t="shared" si="66"/>
        <v xml:space="preserve"> </v>
      </c>
      <c r="ED13" s="46"/>
      <c r="EE13" s="52">
        <f>[2]uts!J12</f>
        <v>72</v>
      </c>
      <c r="EF13" s="51"/>
      <c r="EG13" s="53">
        <f t="shared" si="67"/>
        <v>80</v>
      </c>
      <c r="EH13" s="53">
        <f t="shared" si="68"/>
        <v>80.375</v>
      </c>
      <c r="EI13" s="53">
        <f t="shared" si="69"/>
        <v>85.666666666666671</v>
      </c>
      <c r="EJ13" s="53">
        <f t="shared" si="70"/>
        <v>79</v>
      </c>
      <c r="EK13" s="53">
        <f t="shared" si="71"/>
        <v>84</v>
      </c>
      <c r="EL13" s="53" t="str">
        <f t="shared" si="72"/>
        <v xml:space="preserve">  </v>
      </c>
      <c r="EM13" s="53" t="str">
        <f t="shared" si="73"/>
        <v xml:space="preserve">  </v>
      </c>
      <c r="EN13" s="53" t="str">
        <f t="shared" si="74"/>
        <v xml:space="preserve">  </v>
      </c>
      <c r="EO13" s="53" t="str">
        <f t="shared" si="75"/>
        <v xml:space="preserve">  </v>
      </c>
      <c r="EP13" s="53"/>
      <c r="EQ13" s="52">
        <f t="shared" si="76"/>
        <v>82</v>
      </c>
      <c r="ER13" s="55">
        <f t="shared" si="77"/>
        <v>85.666666666666671</v>
      </c>
      <c r="ES13" s="55">
        <f t="shared" si="78"/>
        <v>79</v>
      </c>
      <c r="ET13" s="51" t="str">
        <f>SISWA!E11</f>
        <v>Hasna</v>
      </c>
      <c r="EU13" s="51" t="str">
        <f t="shared" si="79"/>
        <v xml:space="preserve">Ananda Hasna </v>
      </c>
      <c r="EV13" s="56" t="str">
        <f t="shared" si="80"/>
        <v/>
      </c>
      <c r="EW13" s="57" t="str">
        <f t="shared" si="81"/>
        <v/>
      </c>
      <c r="EX13" s="57">
        <f t="shared" si="82"/>
        <v>85.666666666666671</v>
      </c>
      <c r="EY13" s="57" t="str">
        <f t="shared" si="83"/>
        <v/>
      </c>
      <c r="EZ13" s="57" t="str">
        <f t="shared" si="84"/>
        <v/>
      </c>
      <c r="FA13" s="57" t="str">
        <f t="shared" si="85"/>
        <v/>
      </c>
      <c r="FB13" s="57" t="str">
        <f t="shared" si="86"/>
        <v/>
      </c>
      <c r="FC13" s="57" t="str">
        <f t="shared" si="87"/>
        <v/>
      </c>
      <c r="FD13" s="57" t="str">
        <f t="shared" si="88"/>
        <v/>
      </c>
      <c r="FE13" s="57"/>
      <c r="FF13" s="58">
        <f t="shared" si="89"/>
        <v>85.666666666666671</v>
      </c>
      <c r="FG13" s="55" t="str">
        <f t="shared" si="90"/>
        <v>menjelaskan organ pencernaan dan fungsinya pada hewan dan manusia serta cara memelihara kesehatan organ pencernaan manusia</v>
      </c>
      <c r="FH13" s="58"/>
      <c r="FI13" s="59" t="str">
        <f>IF(ER13&gt;100,"",IF(ER13&gt;DQ$1,"sangat baik dalam "&amp;FG13,IF(ER13&gt;=DQ$2,"baik dalam "&amp;FG13,IF(ER13&gt;=DQ$3,"cukup dalam "&amp;FG13,IF(ER13&lt;DQ$3,"dengan bimbingan dapat meningkatkandalam "&amp;FG13,IF(ER13&lt;1," ",””))))))</f>
        <v>baik dalam menjelaskan organ pencernaan dan fungsinya pada hewan dan manusia serta cara memelihara kesehatan organ pencernaan manusia</v>
      </c>
      <c r="FJ13" s="58"/>
      <c r="FK13" s="57" t="str">
        <f t="shared" si="91"/>
        <v/>
      </c>
      <c r="FL13" s="57" t="str">
        <f t="shared" si="92"/>
        <v/>
      </c>
      <c r="FM13" s="57" t="str">
        <f t="shared" si="93"/>
        <v/>
      </c>
      <c r="FN13" s="57">
        <f t="shared" si="94"/>
        <v>79</v>
      </c>
      <c r="FO13" s="57" t="str">
        <f t="shared" si="95"/>
        <v/>
      </c>
      <c r="FP13" s="57" t="str">
        <f t="shared" si="96"/>
        <v/>
      </c>
      <c r="FQ13" s="57" t="str">
        <f t="shared" si="97"/>
        <v/>
      </c>
      <c r="FR13" s="57" t="str">
        <f t="shared" si="98"/>
        <v/>
      </c>
      <c r="FS13" s="57" t="str">
        <f t="shared" si="99"/>
        <v/>
      </c>
      <c r="FT13" s="57"/>
      <c r="FU13" s="59" t="str">
        <f t="shared" si="100"/>
        <v>menjelaskan organ peredaran darah dan fungsinya pada hewan dan manusia serta cara memelihara kesehatan organ peredaran darah manusia</v>
      </c>
      <c r="FV13" s="59" t="str">
        <f>IF(ES13&gt;100,"",IF(ES13&gt;DQ$1,"sangat baik dalam "&amp;FU13,IF(ES13&gt;=DQ$2,"baik dalam "&amp;FU13,IF(ES13&gt;=DQ$3,"cukup dalam "&amp;FU13,IF(ES13&lt;DQ$3,"dengan bimbingan dapat meningkatkan dalam "&amp;FU13,IF(ES13&lt;1," ",””))))))</f>
        <v>cukup dalam menjelaskan organ peredaran darah dan fungsinya pada hewan dan manusia serta cara memelihara kesehatan organ peredaran darah manusia</v>
      </c>
      <c r="FW13" s="61"/>
      <c r="FX13" s="62" t="str">
        <f t="shared" si="101"/>
        <v>Ananda Hasna baik dalam menjelaskan organ pencernaan dan fungsinya pada hewan dan manusia serta cara memelihara kesehatan organ pencernaan manusia, cukup dalam menjelaskan organ peredaran darah dan fungsinya pada hewan dan manusia serta cara memelihara kesehatan organ peredaran darah manusia</v>
      </c>
      <c r="FY13" s="57" t="str">
        <f t="shared" si="102"/>
        <v/>
      </c>
      <c r="FZ13" s="57" t="str">
        <f t="shared" si="102"/>
        <v/>
      </c>
      <c r="GA13" s="57" t="str">
        <f t="shared" si="102"/>
        <v/>
      </c>
      <c r="GB13" s="57"/>
      <c r="GC13" s="57"/>
      <c r="GD13" s="57"/>
      <c r="GE13" s="59">
        <f t="shared" si="45"/>
        <v>0</v>
      </c>
      <c r="GF13" s="60"/>
      <c r="GG13" s="61"/>
      <c r="GH13" s="62" t="str">
        <f t="shared" si="103"/>
        <v>, 0</v>
      </c>
      <c r="GI13" s="4" t="str">
        <f t="shared" si="104"/>
        <v xml:space="preserve">Cukup pandai menjelaskan alat gerak dan fungsinya pada hewan dan manusia serta cara memelihara kesehatan alat gerak manusia Cukup pandai menjelaskan organ pernafasan dan fungsinya pada hewan dan manusia, serta cara memelihara kesehatan organ pernapasan manusia Menguasai dengan baik menjelaskan organ pencernaan dan fungsinya pada hewan dan manusia serta cara memelihara kesehatan organ pencernaan manusia        </v>
      </c>
    </row>
    <row r="14" spans="1:191" ht="42.75" customHeight="1">
      <c r="A14" s="39">
        <v>7</v>
      </c>
      <c r="B14" s="283" t="str">
        <f>SISWA!B12</f>
        <v>Indah Fitria Ningrum</v>
      </c>
      <c r="C14" s="123">
        <v>87</v>
      </c>
      <c r="D14" s="123"/>
      <c r="E14" s="123"/>
      <c r="F14" s="123"/>
      <c r="G14" s="123"/>
      <c r="H14" s="123"/>
      <c r="I14" s="123"/>
      <c r="J14" s="123"/>
      <c r="K14" s="123"/>
      <c r="L14" s="256">
        <v>75</v>
      </c>
      <c r="M14" s="256"/>
      <c r="N14" s="256"/>
      <c r="O14" s="256"/>
      <c r="P14" s="256"/>
      <c r="Q14" s="256"/>
      <c r="R14" s="256"/>
      <c r="S14" s="256"/>
      <c r="T14" s="256"/>
      <c r="U14" s="123"/>
      <c r="V14" s="123">
        <v>87</v>
      </c>
      <c r="W14" s="123"/>
      <c r="X14" s="123"/>
      <c r="Y14" s="123"/>
      <c r="Z14" s="123"/>
      <c r="AA14" s="123"/>
      <c r="AB14" s="123"/>
      <c r="AC14" s="123"/>
      <c r="AD14" s="256"/>
      <c r="AE14" s="256">
        <v>100</v>
      </c>
      <c r="AF14" s="256"/>
      <c r="AG14" s="256"/>
      <c r="AH14" s="256"/>
      <c r="AI14" s="256"/>
      <c r="AJ14" s="256"/>
      <c r="AK14" s="256"/>
      <c r="AL14" s="256"/>
      <c r="AM14" s="123"/>
      <c r="AN14" s="123"/>
      <c r="AO14" s="123">
        <v>80</v>
      </c>
      <c r="AP14" s="123"/>
      <c r="AQ14" s="123"/>
      <c r="AR14" s="123"/>
      <c r="AS14" s="123"/>
      <c r="AT14" s="123"/>
      <c r="AU14" s="123"/>
      <c r="AV14" s="256"/>
      <c r="AW14" s="256"/>
      <c r="AX14" s="256">
        <v>100</v>
      </c>
      <c r="AY14" s="256"/>
      <c r="AZ14" s="256"/>
      <c r="BA14" s="256"/>
      <c r="BB14" s="256"/>
      <c r="BC14" s="256"/>
      <c r="BD14" s="256"/>
      <c r="BE14" s="123"/>
      <c r="BF14" s="123">
        <v>87</v>
      </c>
      <c r="BG14" s="123"/>
      <c r="BH14" s="123">
        <v>100</v>
      </c>
      <c r="BI14" s="123"/>
      <c r="BJ14" s="123"/>
      <c r="BK14" s="123"/>
      <c r="BL14" s="123"/>
      <c r="BM14" s="123"/>
      <c r="BN14" s="256"/>
      <c r="BO14" s="256">
        <v>80</v>
      </c>
      <c r="BP14" s="256"/>
      <c r="BQ14" s="256">
        <v>87</v>
      </c>
      <c r="BR14" s="256"/>
      <c r="BS14" s="256"/>
      <c r="BT14" s="256"/>
      <c r="BU14" s="256"/>
      <c r="BV14" s="256"/>
      <c r="BW14" s="460"/>
      <c r="BX14" s="460"/>
      <c r="BY14" s="460"/>
      <c r="BZ14" s="460"/>
      <c r="CA14" s="460">
        <v>75</v>
      </c>
      <c r="CB14" s="460"/>
      <c r="CC14" s="460"/>
      <c r="CD14" s="460"/>
      <c r="CE14" s="460"/>
      <c r="CF14" s="346"/>
      <c r="CG14" s="346"/>
      <c r="CH14" s="346"/>
      <c r="CI14" s="346"/>
      <c r="CJ14" s="346">
        <v>87</v>
      </c>
      <c r="CK14" s="346"/>
      <c r="CL14" s="346"/>
      <c r="CM14" s="346"/>
      <c r="CN14" s="346"/>
      <c r="CO14" s="260">
        <f t="shared" si="46"/>
        <v>81</v>
      </c>
      <c r="CP14" s="260">
        <f t="shared" si="47"/>
        <v>88.5</v>
      </c>
      <c r="CQ14" s="260">
        <f t="shared" si="48"/>
        <v>90</v>
      </c>
      <c r="CR14" s="260">
        <f t="shared" si="49"/>
        <v>93.5</v>
      </c>
      <c r="CS14" s="260">
        <f t="shared" si="50"/>
        <v>81</v>
      </c>
      <c r="CT14" s="260" t="str">
        <f t="shared" si="51"/>
        <v xml:space="preserve"> </v>
      </c>
      <c r="CU14" s="260" t="str">
        <f t="shared" si="52"/>
        <v xml:space="preserve"> </v>
      </c>
      <c r="CV14" s="260" t="str">
        <f t="shared" si="53"/>
        <v xml:space="preserve"> </v>
      </c>
      <c r="CW14" s="260" t="str">
        <f t="shared" si="54"/>
        <v xml:space="preserve"> </v>
      </c>
      <c r="CX14" s="547">
        <v>75</v>
      </c>
      <c r="CY14" s="547">
        <v>75</v>
      </c>
      <c r="CZ14" s="547"/>
      <c r="DA14" s="547"/>
      <c r="DB14" s="547"/>
      <c r="DC14" s="547"/>
      <c r="DD14" s="547"/>
      <c r="DE14" s="547"/>
      <c r="DF14" s="547"/>
      <c r="DG14" s="564">
        <v>81</v>
      </c>
      <c r="DH14" s="564">
        <v>78</v>
      </c>
      <c r="DI14" s="564">
        <v>79</v>
      </c>
      <c r="DJ14" s="564">
        <v>75</v>
      </c>
      <c r="DK14" s="564">
        <v>83</v>
      </c>
      <c r="DL14" s="564"/>
      <c r="DM14" s="564"/>
      <c r="DN14" s="564"/>
      <c r="DO14" s="564"/>
      <c r="DP14" s="549">
        <f t="shared" si="55"/>
        <v>83</v>
      </c>
      <c r="DQ14" s="291" t="str">
        <f t="shared" si="56"/>
        <v>B</v>
      </c>
      <c r="DR14" s="50" t="str">
        <f t="shared" si="57"/>
        <v>Ananda Indah baik dalam menjelaskan organ peredaran darah dan fungsinya pada hewan dan manusia serta cara memelihara kesehatan organ peredaran darah manusia, cukup dalam menjelaskan alat gerak dan fungsinya pada hewan dan manusia serta cara memelihara kesehatan alat gerak manusia</v>
      </c>
      <c r="DS14" s="282"/>
      <c r="DT14" s="51"/>
      <c r="DU14" s="46">
        <f t="shared" si="58"/>
        <v>81</v>
      </c>
      <c r="DV14" s="46">
        <f t="shared" si="59"/>
        <v>88.5</v>
      </c>
      <c r="DW14" s="46">
        <f t="shared" si="60"/>
        <v>90</v>
      </c>
      <c r="DX14" s="46">
        <f t="shared" si="61"/>
        <v>93.5</v>
      </c>
      <c r="DY14" s="46">
        <f t="shared" si="62"/>
        <v>81</v>
      </c>
      <c r="DZ14" s="46" t="str">
        <f t="shared" si="63"/>
        <v xml:space="preserve"> </v>
      </c>
      <c r="EA14" s="46" t="str">
        <f t="shared" si="64"/>
        <v xml:space="preserve"> </v>
      </c>
      <c r="EB14" s="46" t="str">
        <f t="shared" si="65"/>
        <v xml:space="preserve"> </v>
      </c>
      <c r="EC14" s="46" t="str">
        <f t="shared" si="66"/>
        <v xml:space="preserve"> </v>
      </c>
      <c r="ED14" s="46"/>
      <c r="EE14" s="52">
        <f>[2]uts!J13</f>
        <v>72.333333333333329</v>
      </c>
      <c r="EF14" s="51"/>
      <c r="EG14" s="53">
        <f t="shared" si="67"/>
        <v>79.5</v>
      </c>
      <c r="EH14" s="53">
        <f t="shared" si="68"/>
        <v>82.5</v>
      </c>
      <c r="EI14" s="53">
        <f t="shared" si="69"/>
        <v>86.333333333333329</v>
      </c>
      <c r="EJ14" s="53">
        <f t="shared" si="70"/>
        <v>87.333333333333329</v>
      </c>
      <c r="EK14" s="53">
        <f t="shared" si="71"/>
        <v>81.666666666666671</v>
      </c>
      <c r="EL14" s="53" t="str">
        <f t="shared" si="72"/>
        <v xml:space="preserve">  </v>
      </c>
      <c r="EM14" s="53" t="str">
        <f t="shared" si="73"/>
        <v xml:space="preserve">  </v>
      </c>
      <c r="EN14" s="53" t="str">
        <f t="shared" si="74"/>
        <v xml:space="preserve">  </v>
      </c>
      <c r="EO14" s="53" t="str">
        <f t="shared" si="75"/>
        <v xml:space="preserve">  </v>
      </c>
      <c r="EP14" s="53"/>
      <c r="EQ14" s="52">
        <f t="shared" si="76"/>
        <v>83</v>
      </c>
      <c r="ER14" s="55">
        <f t="shared" si="77"/>
        <v>87.333333333333329</v>
      </c>
      <c r="ES14" s="55">
        <f t="shared" si="78"/>
        <v>79.5</v>
      </c>
      <c r="ET14" s="51" t="str">
        <f>SISWA!E12</f>
        <v>Indah</v>
      </c>
      <c r="EU14" s="51" t="str">
        <f t="shared" si="79"/>
        <v xml:space="preserve">Ananda Indah </v>
      </c>
      <c r="EV14" s="56" t="str">
        <f t="shared" si="80"/>
        <v/>
      </c>
      <c r="EW14" s="57" t="str">
        <f t="shared" si="81"/>
        <v/>
      </c>
      <c r="EX14" s="57" t="str">
        <f t="shared" si="82"/>
        <v/>
      </c>
      <c r="EY14" s="57">
        <f t="shared" si="83"/>
        <v>87.333333333333329</v>
      </c>
      <c r="EZ14" s="57" t="str">
        <f t="shared" si="84"/>
        <v/>
      </c>
      <c r="FA14" s="57" t="str">
        <f t="shared" si="85"/>
        <v/>
      </c>
      <c r="FB14" s="57" t="str">
        <f t="shared" si="86"/>
        <v/>
      </c>
      <c r="FC14" s="57" t="str">
        <f t="shared" si="87"/>
        <v/>
      </c>
      <c r="FD14" s="57" t="str">
        <f t="shared" si="88"/>
        <v/>
      </c>
      <c r="FE14" s="57"/>
      <c r="FF14" s="58">
        <f t="shared" si="89"/>
        <v>87.333333333333329</v>
      </c>
      <c r="FG14" s="55" t="str">
        <f t="shared" si="90"/>
        <v>menjelaskan organ peredaran darah dan fungsinya pada hewan dan manusia serta cara memelihara kesehatan organ peredaran darah manusia</v>
      </c>
      <c r="FH14" s="58"/>
      <c r="FI14" s="59" t="str">
        <f>IF(ER14&gt;100,"",IF(ER14&gt;DQ$1,"sangat baik dalam "&amp;FG14,IF(ER14&gt;=DQ$2,"baik dalam "&amp;FG14,IF(ER14&gt;=DQ$3,"cukup dalam "&amp;FG14,IF(ER14&lt;DQ$3,"dengan bimbingan dapat meningkatkandalam "&amp;FG14,IF(ER14&lt;1," ",””))))))</f>
        <v>baik dalam menjelaskan organ peredaran darah dan fungsinya pada hewan dan manusia serta cara memelihara kesehatan organ peredaran darah manusia</v>
      </c>
      <c r="FJ14" s="58"/>
      <c r="FK14" s="57">
        <f t="shared" si="91"/>
        <v>79.5</v>
      </c>
      <c r="FL14" s="57" t="str">
        <f t="shared" si="92"/>
        <v/>
      </c>
      <c r="FM14" s="57" t="str">
        <f t="shared" si="93"/>
        <v/>
      </c>
      <c r="FN14" s="57" t="str">
        <f t="shared" si="94"/>
        <v/>
      </c>
      <c r="FO14" s="57" t="str">
        <f t="shared" si="95"/>
        <v/>
      </c>
      <c r="FP14" s="57" t="str">
        <f t="shared" si="96"/>
        <v/>
      </c>
      <c r="FQ14" s="57" t="str">
        <f t="shared" si="97"/>
        <v/>
      </c>
      <c r="FR14" s="57" t="str">
        <f t="shared" si="98"/>
        <v/>
      </c>
      <c r="FS14" s="57" t="str">
        <f t="shared" si="99"/>
        <v/>
      </c>
      <c r="FT14" s="57"/>
      <c r="FU14" s="59" t="str">
        <f t="shared" si="100"/>
        <v>menjelaskan alat gerak dan fungsinya pada hewan dan manusia serta cara memelihara kesehatan alat gerak manusia</v>
      </c>
      <c r="FV14" s="59" t="str">
        <f>IF(ES14&gt;100,"",IF(ES14&gt;DQ$1,"sangat baik dalam "&amp;FU14,IF(ES14&gt;=DQ$2,"baik dalam "&amp;FU14,IF(ES14&gt;=DQ$3,"cukup dalam "&amp;FU14,IF(ES14&lt;DQ$3,"dengan bimbingan dapat meningkatkan dalam "&amp;FU14,IF(ES14&lt;1," ",””))))))</f>
        <v>cukup dalam menjelaskan alat gerak dan fungsinya pada hewan dan manusia serta cara memelihara kesehatan alat gerak manusia</v>
      </c>
      <c r="FW14" s="61"/>
      <c r="FX14" s="62" t="str">
        <f t="shared" si="101"/>
        <v>Ananda Indah baik dalam menjelaskan organ peredaran darah dan fungsinya pada hewan dan manusia serta cara memelihara kesehatan organ peredaran darah manusia, cukup dalam menjelaskan alat gerak dan fungsinya pada hewan dan manusia serta cara memelihara kesehatan alat gerak manusia</v>
      </c>
      <c r="FY14" s="57" t="str">
        <f t="shared" si="102"/>
        <v/>
      </c>
      <c r="FZ14" s="57" t="str">
        <f t="shared" si="102"/>
        <v/>
      </c>
      <c r="GA14" s="57" t="str">
        <f t="shared" si="102"/>
        <v/>
      </c>
      <c r="GB14" s="57"/>
      <c r="GC14" s="57"/>
      <c r="GD14" s="57"/>
      <c r="GE14" s="59">
        <f t="shared" si="45"/>
        <v>0</v>
      </c>
      <c r="GF14" s="60"/>
      <c r="GG14" s="61"/>
      <c r="GH14" s="62" t="str">
        <f t="shared" si="103"/>
        <v>, 0</v>
      </c>
      <c r="GI14" s="4" t="str">
        <f t="shared" si="104"/>
        <v xml:space="preserve">Cukup pandai menjelaskan alat gerak dan fungsinya pada hewan dan manusia serta cara memelihara kesehatan alat gerak manusia Pandai menjelaskan organ pernafasan dan fungsinya pada hewan dan manusia, serta cara memelihara kesehatan organ pernapasan manusia cukup pandai menjelaskan organ pencernaan dan fungsinya pada hewan dan manusia serta cara memelihara kesehatan organ pencernaan manusia        </v>
      </c>
    </row>
    <row r="15" spans="1:191" ht="42.75" customHeight="1">
      <c r="A15" s="39">
        <v>8</v>
      </c>
      <c r="B15" s="283" t="str">
        <f>SISWA!B13</f>
        <v>Muhammad Ilham Sarifuddin</v>
      </c>
      <c r="C15" s="123">
        <v>93</v>
      </c>
      <c r="D15" s="123"/>
      <c r="E15" s="123"/>
      <c r="F15" s="123"/>
      <c r="G15" s="123"/>
      <c r="H15" s="123"/>
      <c r="I15" s="123"/>
      <c r="J15" s="123"/>
      <c r="K15" s="123"/>
      <c r="L15" s="256">
        <v>75</v>
      </c>
      <c r="M15" s="256"/>
      <c r="N15" s="256"/>
      <c r="O15" s="256"/>
      <c r="P15" s="256"/>
      <c r="Q15" s="256"/>
      <c r="R15" s="256"/>
      <c r="S15" s="256"/>
      <c r="T15" s="256"/>
      <c r="U15" s="123"/>
      <c r="V15" s="123">
        <v>75</v>
      </c>
      <c r="W15" s="123"/>
      <c r="X15" s="123"/>
      <c r="Y15" s="123"/>
      <c r="Z15" s="123"/>
      <c r="AA15" s="123"/>
      <c r="AB15" s="123"/>
      <c r="AC15" s="123"/>
      <c r="AD15" s="256"/>
      <c r="AE15" s="256">
        <v>80</v>
      </c>
      <c r="AF15" s="256"/>
      <c r="AG15" s="256"/>
      <c r="AH15" s="256"/>
      <c r="AI15" s="256"/>
      <c r="AJ15" s="256"/>
      <c r="AK15" s="256"/>
      <c r="AL15" s="256"/>
      <c r="AM15" s="123"/>
      <c r="AN15" s="123"/>
      <c r="AO15" s="123">
        <v>80</v>
      </c>
      <c r="AP15" s="123"/>
      <c r="AQ15" s="123"/>
      <c r="AR15" s="123"/>
      <c r="AS15" s="123"/>
      <c r="AT15" s="123"/>
      <c r="AU15" s="123"/>
      <c r="AV15" s="256"/>
      <c r="AW15" s="256"/>
      <c r="AX15" s="256">
        <v>80</v>
      </c>
      <c r="AY15" s="256"/>
      <c r="AZ15" s="256"/>
      <c r="BA15" s="256"/>
      <c r="BB15" s="256"/>
      <c r="BC15" s="256"/>
      <c r="BD15" s="256"/>
      <c r="BE15" s="123"/>
      <c r="BF15" s="123">
        <v>87</v>
      </c>
      <c r="BG15" s="123"/>
      <c r="BH15" s="123">
        <v>87</v>
      </c>
      <c r="BI15" s="123"/>
      <c r="BJ15" s="123"/>
      <c r="BK15" s="123"/>
      <c r="BL15" s="123"/>
      <c r="BM15" s="123"/>
      <c r="BN15" s="256"/>
      <c r="BO15" s="256">
        <v>80</v>
      </c>
      <c r="BP15" s="256"/>
      <c r="BQ15" s="256">
        <v>73</v>
      </c>
      <c r="BR15" s="256"/>
      <c r="BS15" s="256"/>
      <c r="BT15" s="256"/>
      <c r="BU15" s="256"/>
      <c r="BV15" s="256"/>
      <c r="BW15" s="460"/>
      <c r="BX15" s="460"/>
      <c r="BY15" s="460"/>
      <c r="BZ15" s="460"/>
      <c r="CA15" s="460">
        <v>93</v>
      </c>
      <c r="CB15" s="460"/>
      <c r="CC15" s="460"/>
      <c r="CD15" s="460"/>
      <c r="CE15" s="460"/>
      <c r="CF15" s="346"/>
      <c r="CG15" s="346"/>
      <c r="CH15" s="346"/>
      <c r="CI15" s="346"/>
      <c r="CJ15" s="346">
        <v>75</v>
      </c>
      <c r="CK15" s="346"/>
      <c r="CL15" s="346"/>
      <c r="CM15" s="346"/>
      <c r="CN15" s="346"/>
      <c r="CO15" s="260">
        <f t="shared" si="46"/>
        <v>84</v>
      </c>
      <c r="CP15" s="260">
        <f t="shared" si="47"/>
        <v>80.5</v>
      </c>
      <c r="CQ15" s="260">
        <f t="shared" si="48"/>
        <v>80</v>
      </c>
      <c r="CR15" s="260">
        <f t="shared" si="49"/>
        <v>80</v>
      </c>
      <c r="CS15" s="260">
        <f t="shared" si="50"/>
        <v>84</v>
      </c>
      <c r="CT15" s="260" t="str">
        <f t="shared" si="51"/>
        <v xml:space="preserve"> </v>
      </c>
      <c r="CU15" s="260" t="str">
        <f t="shared" si="52"/>
        <v xml:space="preserve"> </v>
      </c>
      <c r="CV15" s="260" t="str">
        <f t="shared" si="53"/>
        <v xml:space="preserve"> </v>
      </c>
      <c r="CW15" s="260" t="str">
        <f t="shared" si="54"/>
        <v xml:space="preserve"> </v>
      </c>
      <c r="CX15" s="547">
        <v>75</v>
      </c>
      <c r="CY15" s="547">
        <v>87</v>
      </c>
      <c r="CZ15" s="547"/>
      <c r="DA15" s="547"/>
      <c r="DB15" s="547"/>
      <c r="DC15" s="547"/>
      <c r="DD15" s="547"/>
      <c r="DE15" s="547"/>
      <c r="DF15" s="547"/>
      <c r="DG15" s="564">
        <v>79</v>
      </c>
      <c r="DH15" s="564">
        <v>76</v>
      </c>
      <c r="DI15" s="564">
        <v>75</v>
      </c>
      <c r="DJ15" s="564">
        <v>75</v>
      </c>
      <c r="DK15" s="564">
        <v>75</v>
      </c>
      <c r="DL15" s="564"/>
      <c r="DM15" s="564"/>
      <c r="DN15" s="564"/>
      <c r="DO15" s="564"/>
      <c r="DP15" s="549">
        <f t="shared" si="55"/>
        <v>80</v>
      </c>
      <c r="DQ15" s="291" t="str">
        <f t="shared" si="56"/>
        <v>C</v>
      </c>
      <c r="DR15" s="50" t="str">
        <f t="shared" si="57"/>
        <v>Ananda Ilham cukup dalam menganalisis hubungan antar komponen ekosistem dan jaring-jaring makanan di lingkungan sekitar, cukup dalam menjelaskan organ peredaran darah dan fungsinya pada hewan dan manusia serta cara memelihara kesehatan organ peredaran darah manusia</v>
      </c>
      <c r="DS15" s="282"/>
      <c r="DT15" s="51"/>
      <c r="DU15" s="46">
        <f t="shared" si="58"/>
        <v>84</v>
      </c>
      <c r="DV15" s="46">
        <f t="shared" si="59"/>
        <v>80.5</v>
      </c>
      <c r="DW15" s="46">
        <f t="shared" si="60"/>
        <v>80</v>
      </c>
      <c r="DX15" s="46">
        <f t="shared" si="61"/>
        <v>80</v>
      </c>
      <c r="DY15" s="46">
        <f t="shared" si="62"/>
        <v>84</v>
      </c>
      <c r="DZ15" s="46" t="str">
        <f t="shared" si="63"/>
        <v xml:space="preserve"> </v>
      </c>
      <c r="EA15" s="46" t="str">
        <f t="shared" si="64"/>
        <v xml:space="preserve"> </v>
      </c>
      <c r="EB15" s="46" t="str">
        <f t="shared" si="65"/>
        <v xml:space="preserve"> </v>
      </c>
      <c r="EC15" s="46" t="str">
        <f t="shared" si="66"/>
        <v xml:space="preserve"> </v>
      </c>
      <c r="ED15" s="46"/>
      <c r="EE15" s="52">
        <f>[2]uts!J14</f>
        <v>80</v>
      </c>
      <c r="EF15" s="51"/>
      <c r="EG15" s="53">
        <f t="shared" si="67"/>
        <v>80.5</v>
      </c>
      <c r="EH15" s="53">
        <f t="shared" si="68"/>
        <v>81</v>
      </c>
      <c r="EI15" s="53">
        <f t="shared" si="69"/>
        <v>78.333333333333329</v>
      </c>
      <c r="EJ15" s="53">
        <f t="shared" si="70"/>
        <v>78.333333333333329</v>
      </c>
      <c r="EK15" s="53">
        <f t="shared" si="71"/>
        <v>81</v>
      </c>
      <c r="EL15" s="53" t="str">
        <f t="shared" si="72"/>
        <v xml:space="preserve">  </v>
      </c>
      <c r="EM15" s="53" t="str">
        <f t="shared" si="73"/>
        <v xml:space="preserve">  </v>
      </c>
      <c r="EN15" s="53" t="str">
        <f t="shared" si="74"/>
        <v xml:space="preserve">  </v>
      </c>
      <c r="EO15" s="53" t="str">
        <f t="shared" si="75"/>
        <v xml:space="preserve">  </v>
      </c>
      <c r="EP15" s="53"/>
      <c r="EQ15" s="52">
        <f t="shared" si="76"/>
        <v>80</v>
      </c>
      <c r="ER15" s="55">
        <f t="shared" si="77"/>
        <v>81</v>
      </c>
      <c r="ES15" s="55">
        <f t="shared" si="78"/>
        <v>78.333333333333329</v>
      </c>
      <c r="ET15" s="51" t="str">
        <f>SISWA!E13</f>
        <v>Ilham</v>
      </c>
      <c r="EU15" s="51" t="str">
        <f t="shared" si="79"/>
        <v xml:space="preserve">Ananda Ilham </v>
      </c>
      <c r="EV15" s="56" t="str">
        <f t="shared" si="80"/>
        <v/>
      </c>
      <c r="EW15" s="57">
        <f t="shared" si="81"/>
        <v>81</v>
      </c>
      <c r="EX15" s="57" t="str">
        <f t="shared" si="82"/>
        <v/>
      </c>
      <c r="EY15" s="57" t="str">
        <f t="shared" si="83"/>
        <v/>
      </c>
      <c r="EZ15" s="57">
        <f t="shared" si="84"/>
        <v>81</v>
      </c>
      <c r="FA15" s="57" t="str">
        <f t="shared" si="85"/>
        <v/>
      </c>
      <c r="FB15" s="57" t="str">
        <f t="shared" si="86"/>
        <v/>
      </c>
      <c r="FC15" s="57" t="str">
        <f t="shared" si="87"/>
        <v/>
      </c>
      <c r="FD15" s="57" t="str">
        <f t="shared" si="88"/>
        <v/>
      </c>
      <c r="FE15" s="57"/>
      <c r="FF15" s="58">
        <f t="shared" si="89"/>
        <v>162</v>
      </c>
      <c r="FG15" s="55" t="str">
        <f t="shared" si="90"/>
        <v>menganalisis hubungan antar komponen ekosistem dan jaring-jaring makanan di lingkungan sekitar</v>
      </c>
      <c r="FH15" s="58"/>
      <c r="FI15" s="59" t="str">
        <f>IF(ER15&gt;100,"",IF(ER15&gt;DQ$1,"sangat baik dalam "&amp;FG15,IF(ER15&gt;=DQ$2,"baik dalam "&amp;FG15,IF(ER15&gt;=DQ$3,"cukup dalam "&amp;FG15,IF(ER15&lt;DQ$3,"dengan bimbingan dapat meningkatkandalam "&amp;FG15,IF(ER15&lt;1," ",””))))))</f>
        <v>cukup dalam menganalisis hubungan antar komponen ekosistem dan jaring-jaring makanan di lingkungan sekitar</v>
      </c>
      <c r="FJ15" s="58"/>
      <c r="FK15" s="57" t="str">
        <f t="shared" si="91"/>
        <v/>
      </c>
      <c r="FL15" s="57" t="str">
        <f t="shared" si="92"/>
        <v/>
      </c>
      <c r="FM15" s="57">
        <f t="shared" si="93"/>
        <v>78.333333333333329</v>
      </c>
      <c r="FN15" s="57">
        <f t="shared" si="94"/>
        <v>78.333333333333329</v>
      </c>
      <c r="FO15" s="57" t="str">
        <f t="shared" si="95"/>
        <v/>
      </c>
      <c r="FP15" s="57" t="str">
        <f t="shared" si="96"/>
        <v/>
      </c>
      <c r="FQ15" s="57" t="str">
        <f t="shared" si="97"/>
        <v/>
      </c>
      <c r="FR15" s="57" t="str">
        <f t="shared" si="98"/>
        <v/>
      </c>
      <c r="FS15" s="57" t="str">
        <f t="shared" si="99"/>
        <v/>
      </c>
      <c r="FT15" s="57"/>
      <c r="FU15" s="59" t="str">
        <f t="shared" si="100"/>
        <v>menjelaskan organ peredaran darah dan fungsinya pada hewan dan manusia serta cara memelihara kesehatan organ peredaran darah manusia</v>
      </c>
      <c r="FV15" s="59" t="str">
        <f>IF(ES15&gt;100,"",IF(ES15&gt;DQ$1,"sangat baik dalam "&amp;FU15,IF(ES15&gt;=DQ$2,"baik dalam "&amp;FU15,IF(ES15&gt;=DQ$3,"cukup dalam "&amp;FU15,IF(ES15&lt;DQ$3,"dengan bimbingan dapat meningkatkan dalam "&amp;FU15,IF(ES15&lt;1," ",””))))))</f>
        <v>cukup dalam menjelaskan organ peredaran darah dan fungsinya pada hewan dan manusia serta cara memelihara kesehatan organ peredaran darah manusia</v>
      </c>
      <c r="FW15" s="61"/>
      <c r="FX15" s="62" t="str">
        <f t="shared" si="101"/>
        <v>Ananda Ilham cukup dalam menganalisis hubungan antar komponen ekosistem dan jaring-jaring makanan di lingkungan sekitar, cukup dalam menjelaskan organ peredaran darah dan fungsinya pada hewan dan manusia serta cara memelihara kesehatan organ peredaran darah manusia</v>
      </c>
      <c r="FY15" s="57" t="str">
        <f t="shared" si="102"/>
        <v/>
      </c>
      <c r="FZ15" s="57" t="str">
        <f t="shared" si="102"/>
        <v/>
      </c>
      <c r="GA15" s="57" t="str">
        <f t="shared" si="102"/>
        <v/>
      </c>
      <c r="GB15" s="57"/>
      <c r="GC15" s="57"/>
      <c r="GD15" s="57"/>
      <c r="GE15" s="59">
        <f t="shared" si="45"/>
        <v>0</v>
      </c>
      <c r="GF15" s="60"/>
      <c r="GG15" s="61"/>
      <c r="GH15" s="62" t="str">
        <f t="shared" si="103"/>
        <v>, 0</v>
      </c>
      <c r="GI15" s="4" t="str">
        <f t="shared" si="104"/>
        <v>Cukup pandai menjelaskan alat gerak dan fungsinya pada hewan dan manusia serta cara memelihara kesehatan alat gerak manusia Cukup pandai menjelaskan organ pernafasan dan fungsinya pada hewan dan manusia, serta cara memelihara kesehatan organ pernapasan manusia Menguasai dengan baik menjelaskan organ pencernaan dan fungsinya pada hewan dan manusia serta cara memelihara kesehatan organ pencernaan manusia       Cukup pandai  menganalisis pengaruh kalor terhadap perubahan suhu dan wujud benda dalam kehidupan sehari-hari</v>
      </c>
    </row>
    <row r="16" spans="1:191" ht="42.75" customHeight="1">
      <c r="A16" s="39">
        <v>9</v>
      </c>
      <c r="B16" s="283" t="str">
        <f>SISWA!B14</f>
        <v>Muhammad Raditya Ainul Yaqin</v>
      </c>
      <c r="C16" s="123">
        <v>93</v>
      </c>
      <c r="D16" s="123"/>
      <c r="E16" s="123"/>
      <c r="F16" s="123"/>
      <c r="G16" s="123"/>
      <c r="H16" s="123"/>
      <c r="I16" s="123"/>
      <c r="J16" s="123"/>
      <c r="K16" s="123"/>
      <c r="L16" s="256">
        <v>75</v>
      </c>
      <c r="M16" s="256"/>
      <c r="N16" s="256"/>
      <c r="O16" s="256"/>
      <c r="P16" s="256"/>
      <c r="Q16" s="256"/>
      <c r="R16" s="256"/>
      <c r="S16" s="256"/>
      <c r="T16" s="256"/>
      <c r="U16" s="123"/>
      <c r="V16" s="123">
        <v>75</v>
      </c>
      <c r="W16" s="123"/>
      <c r="X16" s="123"/>
      <c r="Y16" s="123"/>
      <c r="Z16" s="123"/>
      <c r="AA16" s="123"/>
      <c r="AB16" s="123"/>
      <c r="AC16" s="123"/>
      <c r="AD16" s="256"/>
      <c r="AE16" s="256">
        <v>80</v>
      </c>
      <c r="AF16" s="256"/>
      <c r="AG16" s="256"/>
      <c r="AH16" s="256"/>
      <c r="AI16" s="256"/>
      <c r="AJ16" s="256"/>
      <c r="AK16" s="256"/>
      <c r="AL16" s="256"/>
      <c r="AM16" s="123"/>
      <c r="AN16" s="123"/>
      <c r="AO16" s="123">
        <v>75</v>
      </c>
      <c r="AP16" s="123"/>
      <c r="AQ16" s="123"/>
      <c r="AR16" s="123"/>
      <c r="AS16" s="123"/>
      <c r="AT16" s="123"/>
      <c r="AU16" s="123"/>
      <c r="AV16" s="256"/>
      <c r="AW16" s="256"/>
      <c r="AX16" s="256">
        <v>80</v>
      </c>
      <c r="AY16" s="256"/>
      <c r="AZ16" s="256"/>
      <c r="BA16" s="256"/>
      <c r="BB16" s="256"/>
      <c r="BC16" s="256"/>
      <c r="BD16" s="256"/>
      <c r="BE16" s="123"/>
      <c r="BF16" s="123">
        <v>87</v>
      </c>
      <c r="BG16" s="123"/>
      <c r="BH16" s="123">
        <v>93</v>
      </c>
      <c r="BI16" s="123"/>
      <c r="BJ16" s="123"/>
      <c r="BK16" s="123"/>
      <c r="BL16" s="123"/>
      <c r="BM16" s="123"/>
      <c r="BN16" s="256"/>
      <c r="BO16" s="256">
        <v>80</v>
      </c>
      <c r="BP16" s="256"/>
      <c r="BQ16" s="256">
        <v>73</v>
      </c>
      <c r="BR16" s="256"/>
      <c r="BS16" s="256"/>
      <c r="BT16" s="256"/>
      <c r="BU16" s="256"/>
      <c r="BV16" s="256"/>
      <c r="BW16" s="460"/>
      <c r="BX16" s="460"/>
      <c r="BY16" s="460"/>
      <c r="BZ16" s="460"/>
      <c r="CA16" s="460">
        <v>93</v>
      </c>
      <c r="CB16" s="460"/>
      <c r="CC16" s="460"/>
      <c r="CD16" s="460"/>
      <c r="CE16" s="460"/>
      <c r="CF16" s="346"/>
      <c r="CG16" s="346"/>
      <c r="CH16" s="346"/>
      <c r="CI16" s="346"/>
      <c r="CJ16" s="346">
        <v>75</v>
      </c>
      <c r="CK16" s="346"/>
      <c r="CL16" s="346"/>
      <c r="CM16" s="346"/>
      <c r="CN16" s="346"/>
      <c r="CO16" s="260">
        <f t="shared" si="46"/>
        <v>84</v>
      </c>
      <c r="CP16" s="260">
        <f t="shared" si="47"/>
        <v>80.5</v>
      </c>
      <c r="CQ16" s="260">
        <f t="shared" si="48"/>
        <v>77.5</v>
      </c>
      <c r="CR16" s="260">
        <f t="shared" si="49"/>
        <v>83</v>
      </c>
      <c r="CS16" s="260">
        <f t="shared" si="50"/>
        <v>84</v>
      </c>
      <c r="CT16" s="260" t="str">
        <f t="shared" si="51"/>
        <v xml:space="preserve"> </v>
      </c>
      <c r="CU16" s="260" t="str">
        <f t="shared" si="52"/>
        <v xml:space="preserve"> </v>
      </c>
      <c r="CV16" s="260" t="str">
        <f t="shared" si="53"/>
        <v xml:space="preserve"> </v>
      </c>
      <c r="CW16" s="260" t="str">
        <f t="shared" si="54"/>
        <v xml:space="preserve"> </v>
      </c>
      <c r="CX16" s="547">
        <v>75</v>
      </c>
      <c r="CY16" s="547">
        <v>75</v>
      </c>
      <c r="CZ16" s="547"/>
      <c r="DA16" s="547"/>
      <c r="DB16" s="547"/>
      <c r="DC16" s="547"/>
      <c r="DD16" s="547"/>
      <c r="DE16" s="547"/>
      <c r="DF16" s="547"/>
      <c r="DG16" s="564">
        <v>75</v>
      </c>
      <c r="DH16" s="564">
        <v>75</v>
      </c>
      <c r="DI16" s="564">
        <v>75</v>
      </c>
      <c r="DJ16" s="564">
        <v>75</v>
      </c>
      <c r="DK16" s="564">
        <v>75</v>
      </c>
      <c r="DL16" s="564"/>
      <c r="DM16" s="564"/>
      <c r="DN16" s="564"/>
      <c r="DO16" s="564"/>
      <c r="DP16" s="549">
        <f t="shared" si="55"/>
        <v>79</v>
      </c>
      <c r="DQ16" s="291" t="str">
        <f t="shared" si="56"/>
        <v>C</v>
      </c>
      <c r="DR16" s="50" t="str">
        <f t="shared" si="57"/>
        <v>Ananda Radit cukup dalam menganalisis hubungan antar komponen ekosistem dan jaring-jaring makanan di lingkungan sekitar, cukup dalam menjelaskan organ pencernaan dan fungsinya pada hewan dan manusia serta cara memelihara kesehatan organ pencernaan manusia</v>
      </c>
      <c r="DS16" s="282"/>
      <c r="DT16" s="51"/>
      <c r="DU16" s="46">
        <f t="shared" si="58"/>
        <v>84</v>
      </c>
      <c r="DV16" s="46">
        <f t="shared" si="59"/>
        <v>80.5</v>
      </c>
      <c r="DW16" s="46">
        <f t="shared" si="60"/>
        <v>77.5</v>
      </c>
      <c r="DX16" s="46">
        <f t="shared" si="61"/>
        <v>83</v>
      </c>
      <c r="DY16" s="46">
        <f t="shared" si="62"/>
        <v>84</v>
      </c>
      <c r="DZ16" s="46" t="str">
        <f t="shared" si="63"/>
        <v xml:space="preserve"> </v>
      </c>
      <c r="EA16" s="46" t="str">
        <f t="shared" si="64"/>
        <v xml:space="preserve"> </v>
      </c>
      <c r="EB16" s="46" t="str">
        <f t="shared" si="65"/>
        <v xml:space="preserve"> </v>
      </c>
      <c r="EC16" s="46" t="str">
        <f t="shared" si="66"/>
        <v xml:space="preserve"> </v>
      </c>
      <c r="ED16" s="46"/>
      <c r="EE16" s="52">
        <f>[2]uts!J15</f>
        <v>78</v>
      </c>
      <c r="EF16" s="51"/>
      <c r="EG16" s="53">
        <f t="shared" si="67"/>
        <v>79.5</v>
      </c>
      <c r="EH16" s="53">
        <f t="shared" si="68"/>
        <v>77.75</v>
      </c>
      <c r="EI16" s="53">
        <f t="shared" si="69"/>
        <v>76.666666666666671</v>
      </c>
      <c r="EJ16" s="53">
        <f t="shared" si="70"/>
        <v>80.333333333333329</v>
      </c>
      <c r="EK16" s="53">
        <f t="shared" si="71"/>
        <v>81</v>
      </c>
      <c r="EL16" s="53" t="str">
        <f t="shared" si="72"/>
        <v xml:space="preserve">  </v>
      </c>
      <c r="EM16" s="53" t="str">
        <f t="shared" si="73"/>
        <v xml:space="preserve">  </v>
      </c>
      <c r="EN16" s="53" t="str">
        <f t="shared" si="74"/>
        <v xml:space="preserve">  </v>
      </c>
      <c r="EO16" s="53" t="str">
        <f t="shared" si="75"/>
        <v xml:space="preserve">  </v>
      </c>
      <c r="EP16" s="53"/>
      <c r="EQ16" s="52">
        <f t="shared" si="76"/>
        <v>79</v>
      </c>
      <c r="ER16" s="55">
        <f t="shared" si="77"/>
        <v>81</v>
      </c>
      <c r="ES16" s="55">
        <f t="shared" si="78"/>
        <v>76.666666666666671</v>
      </c>
      <c r="ET16" s="51" t="str">
        <f>SISWA!E14</f>
        <v>Radit</v>
      </c>
      <c r="EU16" s="51" t="str">
        <f t="shared" si="79"/>
        <v xml:space="preserve">Ananda Radit </v>
      </c>
      <c r="EV16" s="56" t="str">
        <f t="shared" si="80"/>
        <v/>
      </c>
      <c r="EW16" s="57" t="str">
        <f t="shared" si="81"/>
        <v/>
      </c>
      <c r="EX16" s="57" t="str">
        <f t="shared" si="82"/>
        <v/>
      </c>
      <c r="EY16" s="57" t="str">
        <f t="shared" si="83"/>
        <v/>
      </c>
      <c r="EZ16" s="57">
        <f t="shared" si="84"/>
        <v>81</v>
      </c>
      <c r="FA16" s="57" t="str">
        <f t="shared" si="85"/>
        <v/>
      </c>
      <c r="FB16" s="57" t="str">
        <f t="shared" si="86"/>
        <v/>
      </c>
      <c r="FC16" s="57" t="str">
        <f t="shared" si="87"/>
        <v/>
      </c>
      <c r="FD16" s="57" t="str">
        <f t="shared" si="88"/>
        <v/>
      </c>
      <c r="FE16" s="57"/>
      <c r="FF16" s="58">
        <f t="shared" si="89"/>
        <v>81</v>
      </c>
      <c r="FG16" s="55" t="str">
        <f t="shared" si="90"/>
        <v>menganalisis hubungan antar komponen ekosistem dan jaring-jaring makanan di lingkungan sekitar</v>
      </c>
      <c r="FH16" s="58"/>
      <c r="FI16" s="59" t="str">
        <f>IF(ER16&gt;100,"",IF(ER16&gt;DQ$1,"sangat baik dalam "&amp;FG16,IF(ER16&gt;=DQ$2,"baik dalam "&amp;FG16,IF(ER16&gt;=DQ$3,"cukup dalam "&amp;FG16,IF(ER16&lt;DQ$3,"dengan bimbingan dapat meningkatkandalam "&amp;FG16,IF(ER16&lt;1," ",””))))))</f>
        <v>cukup dalam menganalisis hubungan antar komponen ekosistem dan jaring-jaring makanan di lingkungan sekitar</v>
      </c>
      <c r="FJ16" s="58"/>
      <c r="FK16" s="57" t="str">
        <f t="shared" si="91"/>
        <v/>
      </c>
      <c r="FL16" s="57" t="str">
        <f t="shared" si="92"/>
        <v/>
      </c>
      <c r="FM16" s="57">
        <f t="shared" si="93"/>
        <v>76.666666666666671</v>
      </c>
      <c r="FN16" s="57" t="str">
        <f t="shared" si="94"/>
        <v/>
      </c>
      <c r="FO16" s="57" t="str">
        <f t="shared" si="95"/>
        <v/>
      </c>
      <c r="FP16" s="57" t="str">
        <f t="shared" si="96"/>
        <v/>
      </c>
      <c r="FQ16" s="57" t="str">
        <f t="shared" si="97"/>
        <v/>
      </c>
      <c r="FR16" s="57" t="str">
        <f t="shared" si="98"/>
        <v/>
      </c>
      <c r="FS16" s="57" t="str">
        <f t="shared" si="99"/>
        <v/>
      </c>
      <c r="FT16" s="57"/>
      <c r="FU16" s="59" t="str">
        <f t="shared" si="100"/>
        <v>menjelaskan organ pencernaan dan fungsinya pada hewan dan manusia serta cara memelihara kesehatan organ pencernaan manusia</v>
      </c>
      <c r="FV16" s="59" t="str">
        <f>IF(ES16&gt;100,"",IF(ES16&gt;DQ$1,"sangat baik dalam "&amp;FU16,IF(ES16&gt;=DQ$2,"baik dalam "&amp;FU16,IF(ES16&gt;=DQ$3,"cukup dalam "&amp;FU16,IF(ES16&lt;DQ$3,"dengan bimbingan dapat meningkatkan dalam "&amp;FU16,IF(ES16&lt;1," ",””))))))</f>
        <v>cukup dalam menjelaskan organ pencernaan dan fungsinya pada hewan dan manusia serta cara memelihara kesehatan organ pencernaan manusia</v>
      </c>
      <c r="FW16" s="61"/>
      <c r="FX16" s="62" t="str">
        <f t="shared" si="101"/>
        <v>Ananda Radit cukup dalam menganalisis hubungan antar komponen ekosistem dan jaring-jaring makanan di lingkungan sekitar, cukup dalam menjelaskan organ pencernaan dan fungsinya pada hewan dan manusia serta cara memelihara kesehatan organ pencernaan manusia</v>
      </c>
      <c r="FY16" s="57" t="str">
        <f t="shared" si="102"/>
        <v/>
      </c>
      <c r="FZ16" s="57" t="str">
        <f t="shared" si="102"/>
        <v/>
      </c>
      <c r="GA16" s="57" t="str">
        <f t="shared" si="102"/>
        <v/>
      </c>
      <c r="GB16" s="57"/>
      <c r="GC16" s="57"/>
      <c r="GD16" s="57"/>
      <c r="GE16" s="59">
        <f t="shared" si="45"/>
        <v>0</v>
      </c>
      <c r="GF16" s="60"/>
      <c r="GG16" s="61"/>
      <c r="GH16" s="62" t="str">
        <f t="shared" si="103"/>
        <v>, 0</v>
      </c>
      <c r="GI16" s="4" t="str">
        <f t="shared" si="104"/>
        <v xml:space="preserve">Menguasai dengan baik menjelaskan alat gerak dan fungsinya pada hewan dan manusia serta cara memelihara kesehatan alat gerak manusia Cukup pandai menjelaskan organ pernafasan dan fungsinya pada hewan dan manusia, serta cara memelihara kesehatan organ pernapasan manusia Menguasai dengan baik menjelaskan organ pencernaan dan fungsinya pada hewan dan manusia serta cara memelihara kesehatan organ pencernaan manusia        </v>
      </c>
    </row>
    <row r="17" spans="1:191" ht="42.75" customHeight="1">
      <c r="A17" s="39">
        <v>10</v>
      </c>
      <c r="B17" s="283" t="str">
        <f>SISWA!B15</f>
        <v>Muhammad Shulhan Al-farisi</v>
      </c>
      <c r="C17" s="123">
        <v>87</v>
      </c>
      <c r="D17" s="123"/>
      <c r="E17" s="123"/>
      <c r="F17" s="123"/>
      <c r="G17" s="123"/>
      <c r="H17" s="123"/>
      <c r="I17" s="123"/>
      <c r="J17" s="123"/>
      <c r="K17" s="123"/>
      <c r="L17" s="256">
        <v>80</v>
      </c>
      <c r="M17" s="256"/>
      <c r="N17" s="256"/>
      <c r="O17" s="256"/>
      <c r="P17" s="256"/>
      <c r="Q17" s="256"/>
      <c r="R17" s="256"/>
      <c r="S17" s="256"/>
      <c r="T17" s="256"/>
      <c r="U17" s="123"/>
      <c r="V17" s="123">
        <v>75</v>
      </c>
      <c r="W17" s="123"/>
      <c r="X17" s="123"/>
      <c r="Y17" s="123"/>
      <c r="Z17" s="123"/>
      <c r="AA17" s="123"/>
      <c r="AB17" s="123"/>
      <c r="AC17" s="123"/>
      <c r="AD17" s="256"/>
      <c r="AE17" s="256">
        <v>93</v>
      </c>
      <c r="AF17" s="256"/>
      <c r="AG17" s="256"/>
      <c r="AH17" s="256"/>
      <c r="AI17" s="256"/>
      <c r="AJ17" s="256"/>
      <c r="AK17" s="256"/>
      <c r="AL17" s="256"/>
      <c r="AM17" s="123"/>
      <c r="AN17" s="123"/>
      <c r="AO17" s="123">
        <v>75</v>
      </c>
      <c r="AP17" s="123"/>
      <c r="AQ17" s="123"/>
      <c r="AR17" s="123"/>
      <c r="AS17" s="123"/>
      <c r="AT17" s="123"/>
      <c r="AU17" s="123"/>
      <c r="AV17" s="256"/>
      <c r="AW17" s="256"/>
      <c r="AX17" s="256">
        <v>80</v>
      </c>
      <c r="AY17" s="256"/>
      <c r="AZ17" s="256"/>
      <c r="BA17" s="256"/>
      <c r="BB17" s="256"/>
      <c r="BC17" s="256"/>
      <c r="BD17" s="256"/>
      <c r="BE17" s="123"/>
      <c r="BF17" s="123">
        <v>80</v>
      </c>
      <c r="BG17" s="123"/>
      <c r="BH17" s="123">
        <v>100</v>
      </c>
      <c r="BI17" s="123"/>
      <c r="BJ17" s="123"/>
      <c r="BK17" s="123"/>
      <c r="BL17" s="123"/>
      <c r="BM17" s="123"/>
      <c r="BN17" s="256"/>
      <c r="BO17" s="256">
        <v>80</v>
      </c>
      <c r="BP17" s="256"/>
      <c r="BQ17" s="256">
        <v>80</v>
      </c>
      <c r="BR17" s="256"/>
      <c r="BS17" s="256"/>
      <c r="BT17" s="256"/>
      <c r="BU17" s="256"/>
      <c r="BV17" s="256"/>
      <c r="BW17" s="460"/>
      <c r="BX17" s="460"/>
      <c r="BY17" s="460"/>
      <c r="BZ17" s="460"/>
      <c r="CA17" s="460">
        <v>87</v>
      </c>
      <c r="CB17" s="460"/>
      <c r="CC17" s="460"/>
      <c r="CD17" s="460"/>
      <c r="CE17" s="460"/>
      <c r="CF17" s="346"/>
      <c r="CG17" s="346"/>
      <c r="CH17" s="346"/>
      <c r="CI17" s="346"/>
      <c r="CJ17" s="346">
        <v>75</v>
      </c>
      <c r="CK17" s="346"/>
      <c r="CL17" s="346"/>
      <c r="CM17" s="346"/>
      <c r="CN17" s="346"/>
      <c r="CO17" s="260">
        <f t="shared" si="46"/>
        <v>83.5</v>
      </c>
      <c r="CP17" s="260">
        <f t="shared" si="47"/>
        <v>82</v>
      </c>
      <c r="CQ17" s="260">
        <f t="shared" si="48"/>
        <v>77.5</v>
      </c>
      <c r="CR17" s="260">
        <f t="shared" si="49"/>
        <v>90</v>
      </c>
      <c r="CS17" s="260">
        <f t="shared" si="50"/>
        <v>81</v>
      </c>
      <c r="CT17" s="260" t="str">
        <f t="shared" si="51"/>
        <v xml:space="preserve"> </v>
      </c>
      <c r="CU17" s="260" t="str">
        <f t="shared" si="52"/>
        <v xml:space="preserve"> </v>
      </c>
      <c r="CV17" s="260" t="str">
        <f t="shared" si="53"/>
        <v xml:space="preserve"> </v>
      </c>
      <c r="CW17" s="260" t="str">
        <f t="shared" si="54"/>
        <v xml:space="preserve"> </v>
      </c>
      <c r="CX17" s="547">
        <v>90</v>
      </c>
      <c r="CY17" s="547">
        <v>87</v>
      </c>
      <c r="CZ17" s="547"/>
      <c r="DA17" s="547"/>
      <c r="DB17" s="547"/>
      <c r="DC17" s="547"/>
      <c r="DD17" s="547"/>
      <c r="DE17" s="547"/>
      <c r="DF17" s="547"/>
      <c r="DG17" s="564">
        <v>75</v>
      </c>
      <c r="DH17" s="564">
        <v>78</v>
      </c>
      <c r="DI17" s="564">
        <v>81</v>
      </c>
      <c r="DJ17" s="564">
        <v>84</v>
      </c>
      <c r="DK17" s="564">
        <v>80</v>
      </c>
      <c r="DL17" s="564"/>
      <c r="DM17" s="564"/>
      <c r="DN17" s="564"/>
      <c r="DO17" s="564"/>
      <c r="DP17" s="549">
        <f t="shared" si="55"/>
        <v>83</v>
      </c>
      <c r="DQ17" s="291" t="str">
        <f t="shared" si="56"/>
        <v>B</v>
      </c>
      <c r="DR17" s="50" t="str">
        <f t="shared" si="57"/>
        <v>Ananda Shulhan baik dalam menjelaskan organ peredaran darah dan fungsinya pada hewan dan manusia serta cara memelihara kesehatan organ peredaran darah manusia, cukup dalam menjelaskan organ pencernaan dan fungsinya pada hewan dan manusia serta cara memelihara kesehatan organ pencernaan manusia</v>
      </c>
      <c r="DS17" s="282"/>
      <c r="DT17" s="51"/>
      <c r="DU17" s="46">
        <f t="shared" si="58"/>
        <v>83.5</v>
      </c>
      <c r="DV17" s="46">
        <f t="shared" si="59"/>
        <v>82</v>
      </c>
      <c r="DW17" s="46">
        <f t="shared" si="60"/>
        <v>77.5</v>
      </c>
      <c r="DX17" s="46">
        <f t="shared" si="61"/>
        <v>90</v>
      </c>
      <c r="DY17" s="46">
        <f t="shared" si="62"/>
        <v>81</v>
      </c>
      <c r="DZ17" s="46" t="str">
        <f t="shared" si="63"/>
        <v xml:space="preserve"> </v>
      </c>
      <c r="EA17" s="46" t="str">
        <f t="shared" si="64"/>
        <v xml:space="preserve"> </v>
      </c>
      <c r="EB17" s="46" t="str">
        <f t="shared" si="65"/>
        <v xml:space="preserve"> </v>
      </c>
      <c r="EC17" s="46" t="str">
        <f t="shared" si="66"/>
        <v xml:space="preserve"> </v>
      </c>
      <c r="ED17" s="46"/>
      <c r="EE17" s="52">
        <f>[2]uts!J16</f>
        <v>70.666666666666671</v>
      </c>
      <c r="EF17" s="51"/>
      <c r="EG17" s="53">
        <f t="shared" si="67"/>
        <v>83</v>
      </c>
      <c r="EH17" s="53">
        <f t="shared" si="68"/>
        <v>82.25</v>
      </c>
      <c r="EI17" s="53">
        <f t="shared" si="69"/>
        <v>78.666666666666671</v>
      </c>
      <c r="EJ17" s="53">
        <f t="shared" si="70"/>
        <v>88</v>
      </c>
      <c r="EK17" s="53">
        <f t="shared" si="71"/>
        <v>80.666666666666671</v>
      </c>
      <c r="EL17" s="53" t="str">
        <f t="shared" si="72"/>
        <v xml:space="preserve">  </v>
      </c>
      <c r="EM17" s="53" t="str">
        <f t="shared" si="73"/>
        <v xml:space="preserve">  </v>
      </c>
      <c r="EN17" s="53" t="str">
        <f t="shared" si="74"/>
        <v xml:space="preserve">  </v>
      </c>
      <c r="EO17" s="53" t="str">
        <f t="shared" si="75"/>
        <v xml:space="preserve">  </v>
      </c>
      <c r="EP17" s="53"/>
      <c r="EQ17" s="52">
        <f t="shared" si="76"/>
        <v>83</v>
      </c>
      <c r="ER17" s="55">
        <f t="shared" si="77"/>
        <v>88</v>
      </c>
      <c r="ES17" s="55">
        <f t="shared" si="78"/>
        <v>78.666666666666671</v>
      </c>
      <c r="ET17" s="51" t="str">
        <f>SISWA!E15</f>
        <v>Shulhan</v>
      </c>
      <c r="EU17" s="51" t="str">
        <f t="shared" si="79"/>
        <v xml:space="preserve">Ananda Shulhan </v>
      </c>
      <c r="EV17" s="56" t="str">
        <f t="shared" si="80"/>
        <v/>
      </c>
      <c r="EW17" s="57" t="str">
        <f t="shared" si="81"/>
        <v/>
      </c>
      <c r="EX17" s="57" t="str">
        <f t="shared" si="82"/>
        <v/>
      </c>
      <c r="EY17" s="57">
        <f t="shared" si="83"/>
        <v>88</v>
      </c>
      <c r="EZ17" s="57" t="str">
        <f t="shared" si="84"/>
        <v/>
      </c>
      <c r="FA17" s="57" t="str">
        <f t="shared" si="85"/>
        <v/>
      </c>
      <c r="FB17" s="57" t="str">
        <f t="shared" si="86"/>
        <v/>
      </c>
      <c r="FC17" s="57" t="str">
        <f t="shared" si="87"/>
        <v/>
      </c>
      <c r="FD17" s="57" t="str">
        <f t="shared" si="88"/>
        <v/>
      </c>
      <c r="FE17" s="57"/>
      <c r="FF17" s="58">
        <f t="shared" si="89"/>
        <v>88</v>
      </c>
      <c r="FG17" s="55" t="str">
        <f t="shared" si="90"/>
        <v>menjelaskan organ peredaran darah dan fungsinya pada hewan dan manusia serta cara memelihara kesehatan organ peredaran darah manusia</v>
      </c>
      <c r="FH17" s="58"/>
      <c r="FI17" s="59" t="str">
        <f>IF(ER17&gt;100,"",IF(ER17&gt;DQ$1,"sangat baik dalam "&amp;FG17,IF(ER17&gt;=DQ$2,"baik dalam "&amp;FG17,IF(ER17&gt;=DQ$3,"cukup dalam "&amp;FG17,IF(ER17&lt;DQ$3,"dengan bimbingan dapat meningkatkandalam "&amp;FG17,IF(ER17&lt;1," ",””))))))</f>
        <v>baik dalam menjelaskan organ peredaran darah dan fungsinya pada hewan dan manusia serta cara memelihara kesehatan organ peredaran darah manusia</v>
      </c>
      <c r="FJ17" s="58"/>
      <c r="FK17" s="57" t="str">
        <f t="shared" si="91"/>
        <v/>
      </c>
      <c r="FL17" s="57" t="str">
        <f t="shared" si="92"/>
        <v/>
      </c>
      <c r="FM17" s="57">
        <f t="shared" si="93"/>
        <v>78.666666666666671</v>
      </c>
      <c r="FN17" s="57" t="str">
        <f t="shared" si="94"/>
        <v/>
      </c>
      <c r="FO17" s="57" t="str">
        <f t="shared" si="95"/>
        <v/>
      </c>
      <c r="FP17" s="57" t="str">
        <f t="shared" si="96"/>
        <v/>
      </c>
      <c r="FQ17" s="57" t="str">
        <f t="shared" si="97"/>
        <v/>
      </c>
      <c r="FR17" s="57" t="str">
        <f t="shared" si="98"/>
        <v/>
      </c>
      <c r="FS17" s="57" t="str">
        <f t="shared" si="99"/>
        <v/>
      </c>
      <c r="FT17" s="57"/>
      <c r="FU17" s="59" t="str">
        <f t="shared" si="100"/>
        <v>menjelaskan organ pencernaan dan fungsinya pada hewan dan manusia serta cara memelihara kesehatan organ pencernaan manusia</v>
      </c>
      <c r="FV17" s="59" t="str">
        <f>IF(ES17&gt;100,"",IF(ES17&gt;DQ$1,"sangat baik dalam "&amp;FU17,IF(ES17&gt;=DQ$2,"baik dalam "&amp;FU17,IF(ES17&gt;=DQ$3,"cukup dalam "&amp;FU17,IF(ES17&lt;DQ$3,"dengan bimbingan dapat meningkatkan dalam "&amp;FU17,IF(ES17&lt;1," ",””))))))</f>
        <v>cukup dalam menjelaskan organ pencernaan dan fungsinya pada hewan dan manusia serta cara memelihara kesehatan organ pencernaan manusia</v>
      </c>
      <c r="FW17" s="61"/>
      <c r="FX17" s="62" t="str">
        <f t="shared" si="101"/>
        <v>Ananda Shulhan baik dalam menjelaskan organ peredaran darah dan fungsinya pada hewan dan manusia serta cara memelihara kesehatan organ peredaran darah manusia, cukup dalam menjelaskan organ pencernaan dan fungsinya pada hewan dan manusia serta cara memelihara kesehatan organ pencernaan manusia</v>
      </c>
      <c r="FY17" s="57" t="str">
        <f t="shared" si="102"/>
        <v/>
      </c>
      <c r="FZ17" s="57" t="str">
        <f t="shared" si="102"/>
        <v/>
      </c>
      <c r="GA17" s="57" t="str">
        <f t="shared" si="102"/>
        <v/>
      </c>
      <c r="GB17" s="57"/>
      <c r="GC17" s="57"/>
      <c r="GD17" s="57"/>
      <c r="GE17" s="59">
        <f t="shared" si="45"/>
        <v>0</v>
      </c>
      <c r="GF17" s="60"/>
      <c r="GG17" s="61"/>
      <c r="GH17" s="62" t="str">
        <f t="shared" si="103"/>
        <v>, 0</v>
      </c>
      <c r="GI17" s="4" t="str">
        <f t="shared" si="104"/>
        <v xml:space="preserve">Cukup pandai menjelaskan alat gerak dan fungsinya pada hewan dan manusia serta cara memelihara kesehatan alat gerak manusia Pandai menjelaskan organ pernafasan dan fungsinya pada hewan dan manusia, serta cara memelihara kesehatan organ pernapasan manusia Menguasai dengan baik menjelaskan organ pencernaan dan fungsinya pada hewan dan manusia serta cara memelihara kesehatan organ pencernaan manusia        </v>
      </c>
    </row>
    <row r="18" spans="1:191" ht="42.75" customHeight="1">
      <c r="A18" s="39">
        <v>11</v>
      </c>
      <c r="B18" s="283" t="str">
        <f>SISWA!B16</f>
        <v>Novaris Dwi Firmansyah</v>
      </c>
      <c r="C18" s="123">
        <v>80</v>
      </c>
      <c r="D18" s="123"/>
      <c r="E18" s="123"/>
      <c r="F18" s="123"/>
      <c r="G18" s="123"/>
      <c r="H18" s="123"/>
      <c r="I18" s="123"/>
      <c r="J18" s="123"/>
      <c r="K18" s="123"/>
      <c r="L18" s="256">
        <v>75</v>
      </c>
      <c r="M18" s="256"/>
      <c r="N18" s="256"/>
      <c r="O18" s="256"/>
      <c r="P18" s="256"/>
      <c r="Q18" s="256"/>
      <c r="R18" s="256"/>
      <c r="S18" s="256"/>
      <c r="T18" s="256"/>
      <c r="U18" s="123"/>
      <c r="V18" s="123">
        <v>87</v>
      </c>
      <c r="W18" s="123"/>
      <c r="X18" s="123"/>
      <c r="Y18" s="123"/>
      <c r="Z18" s="123"/>
      <c r="AA18" s="123"/>
      <c r="AB18" s="123"/>
      <c r="AC18" s="123"/>
      <c r="AD18" s="256"/>
      <c r="AE18" s="256">
        <v>93</v>
      </c>
      <c r="AF18" s="256"/>
      <c r="AG18" s="256"/>
      <c r="AH18" s="256"/>
      <c r="AI18" s="256"/>
      <c r="AJ18" s="256"/>
      <c r="AK18" s="256"/>
      <c r="AL18" s="256"/>
      <c r="AM18" s="123"/>
      <c r="AN18" s="123"/>
      <c r="AO18" s="123">
        <v>87</v>
      </c>
      <c r="AP18" s="123"/>
      <c r="AQ18" s="123"/>
      <c r="AR18" s="123"/>
      <c r="AS18" s="123"/>
      <c r="AT18" s="123"/>
      <c r="AU18" s="123"/>
      <c r="AV18" s="256"/>
      <c r="AW18" s="256"/>
      <c r="AX18" s="256">
        <v>80</v>
      </c>
      <c r="AY18" s="256"/>
      <c r="AZ18" s="256"/>
      <c r="BA18" s="256"/>
      <c r="BB18" s="256"/>
      <c r="BC18" s="256"/>
      <c r="BD18" s="256"/>
      <c r="BE18" s="123"/>
      <c r="BF18" s="123">
        <v>80</v>
      </c>
      <c r="BG18" s="123"/>
      <c r="BH18" s="123">
        <v>87</v>
      </c>
      <c r="BI18" s="123"/>
      <c r="BJ18" s="123"/>
      <c r="BK18" s="123"/>
      <c r="BL18" s="123"/>
      <c r="BM18" s="123"/>
      <c r="BN18" s="256"/>
      <c r="BO18" s="256">
        <v>80</v>
      </c>
      <c r="BP18" s="256"/>
      <c r="BQ18" s="256">
        <v>73</v>
      </c>
      <c r="BR18" s="256"/>
      <c r="BS18" s="256"/>
      <c r="BT18" s="256"/>
      <c r="BU18" s="256"/>
      <c r="BV18" s="256"/>
      <c r="BW18" s="460"/>
      <c r="BX18" s="460"/>
      <c r="BY18" s="460"/>
      <c r="BZ18" s="460"/>
      <c r="CA18" s="460">
        <v>100</v>
      </c>
      <c r="CB18" s="460"/>
      <c r="CC18" s="460"/>
      <c r="CD18" s="460"/>
      <c r="CE18" s="460"/>
      <c r="CF18" s="346"/>
      <c r="CG18" s="346"/>
      <c r="CH18" s="346"/>
      <c r="CI18" s="346"/>
      <c r="CJ18" s="346">
        <v>75</v>
      </c>
      <c r="CK18" s="346"/>
      <c r="CL18" s="346"/>
      <c r="CM18" s="346"/>
      <c r="CN18" s="346"/>
      <c r="CO18" s="260">
        <f t="shared" si="46"/>
        <v>77.5</v>
      </c>
      <c r="CP18" s="260">
        <f t="shared" si="47"/>
        <v>85</v>
      </c>
      <c r="CQ18" s="260">
        <f t="shared" si="48"/>
        <v>83.5</v>
      </c>
      <c r="CR18" s="260">
        <f t="shared" si="49"/>
        <v>80</v>
      </c>
      <c r="CS18" s="260">
        <f t="shared" si="50"/>
        <v>87.5</v>
      </c>
      <c r="CT18" s="260" t="str">
        <f t="shared" si="51"/>
        <v xml:space="preserve"> </v>
      </c>
      <c r="CU18" s="260" t="str">
        <f t="shared" si="52"/>
        <v xml:space="preserve"> </v>
      </c>
      <c r="CV18" s="260" t="str">
        <f t="shared" si="53"/>
        <v xml:space="preserve"> </v>
      </c>
      <c r="CW18" s="260" t="str">
        <f t="shared" si="54"/>
        <v xml:space="preserve"> </v>
      </c>
      <c r="CX18" s="547">
        <v>75</v>
      </c>
      <c r="CY18" s="547">
        <v>75</v>
      </c>
      <c r="CZ18" s="547"/>
      <c r="DA18" s="547"/>
      <c r="DB18" s="547"/>
      <c r="DC18" s="547"/>
      <c r="DD18" s="547"/>
      <c r="DE18" s="547"/>
      <c r="DF18" s="547"/>
      <c r="DG18" s="564">
        <v>78</v>
      </c>
      <c r="DH18" s="564">
        <v>76</v>
      </c>
      <c r="DI18" s="564">
        <v>85</v>
      </c>
      <c r="DJ18" s="564">
        <v>75</v>
      </c>
      <c r="DK18" s="564">
        <v>75</v>
      </c>
      <c r="DL18" s="564"/>
      <c r="DM18" s="564"/>
      <c r="DN18" s="564"/>
      <c r="DO18" s="564"/>
      <c r="DP18" s="549">
        <f t="shared" si="55"/>
        <v>81</v>
      </c>
      <c r="DQ18" s="291" t="str">
        <f t="shared" si="56"/>
        <v>C</v>
      </c>
      <c r="DR18" s="50" t="str">
        <f t="shared" si="57"/>
        <v>Ananda Varis baik dalam menjelaskan organ pencernaan dan fungsinya pada hewan dan manusia serta cara memelihara kesehatan organ pencernaan manusia, cukup dalam menjelaskan alat gerak dan fungsinya pada hewan dan manusia serta cara memelihara kesehatan alat gerak manusia</v>
      </c>
      <c r="DS18" s="282"/>
      <c r="DT18" s="51"/>
      <c r="DU18" s="46">
        <f t="shared" si="58"/>
        <v>77.5</v>
      </c>
      <c r="DV18" s="46">
        <f t="shared" si="59"/>
        <v>85</v>
      </c>
      <c r="DW18" s="46">
        <f t="shared" si="60"/>
        <v>83.5</v>
      </c>
      <c r="DX18" s="46">
        <f t="shared" si="61"/>
        <v>80</v>
      </c>
      <c r="DY18" s="46">
        <f t="shared" si="62"/>
        <v>87.5</v>
      </c>
      <c r="DZ18" s="46" t="str">
        <f t="shared" si="63"/>
        <v xml:space="preserve"> </v>
      </c>
      <c r="EA18" s="46" t="str">
        <f t="shared" si="64"/>
        <v xml:space="preserve"> </v>
      </c>
      <c r="EB18" s="46" t="str">
        <f t="shared" si="65"/>
        <v xml:space="preserve"> </v>
      </c>
      <c r="EC18" s="46" t="str">
        <f t="shared" si="66"/>
        <v xml:space="preserve"> </v>
      </c>
      <c r="ED18" s="46"/>
      <c r="EE18" s="52">
        <f>[2]uts!J17</f>
        <v>80.666666666666671</v>
      </c>
      <c r="EF18" s="51"/>
      <c r="EG18" s="53">
        <f t="shared" si="67"/>
        <v>77</v>
      </c>
      <c r="EH18" s="53">
        <f t="shared" si="68"/>
        <v>80.25</v>
      </c>
      <c r="EI18" s="53">
        <f t="shared" si="69"/>
        <v>84</v>
      </c>
      <c r="EJ18" s="53">
        <f t="shared" si="70"/>
        <v>78.333333333333329</v>
      </c>
      <c r="EK18" s="53">
        <f t="shared" si="71"/>
        <v>83.333333333333329</v>
      </c>
      <c r="EL18" s="53" t="str">
        <f t="shared" si="72"/>
        <v xml:space="preserve">  </v>
      </c>
      <c r="EM18" s="53" t="str">
        <f t="shared" si="73"/>
        <v xml:space="preserve">  </v>
      </c>
      <c r="EN18" s="53" t="str">
        <f t="shared" si="74"/>
        <v xml:space="preserve">  </v>
      </c>
      <c r="EO18" s="53" t="str">
        <f t="shared" si="75"/>
        <v xml:space="preserve">  </v>
      </c>
      <c r="EP18" s="53"/>
      <c r="EQ18" s="52">
        <f t="shared" si="76"/>
        <v>81</v>
      </c>
      <c r="ER18" s="55">
        <f t="shared" si="77"/>
        <v>84</v>
      </c>
      <c r="ES18" s="55">
        <f t="shared" si="78"/>
        <v>77</v>
      </c>
      <c r="ET18" s="51" t="str">
        <f>SISWA!E16</f>
        <v>Varis</v>
      </c>
      <c r="EU18" s="51" t="str">
        <f t="shared" si="79"/>
        <v xml:space="preserve">Ananda Varis </v>
      </c>
      <c r="EV18" s="56" t="str">
        <f t="shared" si="80"/>
        <v/>
      </c>
      <c r="EW18" s="57" t="str">
        <f t="shared" si="81"/>
        <v/>
      </c>
      <c r="EX18" s="57">
        <f t="shared" si="82"/>
        <v>84</v>
      </c>
      <c r="EY18" s="57" t="str">
        <f t="shared" si="83"/>
        <v/>
      </c>
      <c r="EZ18" s="57" t="str">
        <f t="shared" si="84"/>
        <v/>
      </c>
      <c r="FA18" s="57" t="str">
        <f t="shared" si="85"/>
        <v/>
      </c>
      <c r="FB18" s="57" t="str">
        <f t="shared" si="86"/>
        <v/>
      </c>
      <c r="FC18" s="57" t="str">
        <f t="shared" si="87"/>
        <v/>
      </c>
      <c r="FD18" s="57" t="str">
        <f t="shared" si="88"/>
        <v/>
      </c>
      <c r="FE18" s="57"/>
      <c r="FF18" s="58">
        <f t="shared" si="89"/>
        <v>84</v>
      </c>
      <c r="FG18" s="55" t="str">
        <f t="shared" si="90"/>
        <v>menjelaskan organ pencernaan dan fungsinya pada hewan dan manusia serta cara memelihara kesehatan organ pencernaan manusia</v>
      </c>
      <c r="FH18" s="58"/>
      <c r="FI18" s="59" t="str">
        <f>IF(ER18&gt;100,"",IF(ER18&gt;DQ$1,"sangat baik dalam "&amp;FG18,IF(ER18&gt;=DQ$2,"baik dalam "&amp;FG18,IF(ER18&gt;=DQ$3,"cukup dalam "&amp;FG18,IF(ER18&lt;DQ$3,"dengan bimbingan dapat meningkatkandalam "&amp;FG18,IF(ER18&lt;1," ",””))))))</f>
        <v>baik dalam menjelaskan organ pencernaan dan fungsinya pada hewan dan manusia serta cara memelihara kesehatan organ pencernaan manusia</v>
      </c>
      <c r="FJ18" s="58"/>
      <c r="FK18" s="57">
        <f t="shared" si="91"/>
        <v>77</v>
      </c>
      <c r="FL18" s="57" t="str">
        <f t="shared" si="92"/>
        <v/>
      </c>
      <c r="FM18" s="57" t="str">
        <f t="shared" si="93"/>
        <v/>
      </c>
      <c r="FN18" s="57" t="str">
        <f t="shared" si="94"/>
        <v/>
      </c>
      <c r="FO18" s="57" t="str">
        <f t="shared" si="95"/>
        <v/>
      </c>
      <c r="FP18" s="57" t="str">
        <f t="shared" si="96"/>
        <v/>
      </c>
      <c r="FQ18" s="57" t="str">
        <f t="shared" si="97"/>
        <v/>
      </c>
      <c r="FR18" s="57" t="str">
        <f t="shared" si="98"/>
        <v/>
      </c>
      <c r="FS18" s="57" t="str">
        <f t="shared" si="99"/>
        <v/>
      </c>
      <c r="FT18" s="57"/>
      <c r="FU18" s="59" t="str">
        <f t="shared" si="100"/>
        <v>menjelaskan alat gerak dan fungsinya pada hewan dan manusia serta cara memelihara kesehatan alat gerak manusia</v>
      </c>
      <c r="FV18" s="59" t="str">
        <f>IF(ES18&gt;100,"",IF(ES18&gt;DQ$1,"sangat baik dalam "&amp;FU18,IF(ES18&gt;=DQ$2,"baik dalam "&amp;FU18,IF(ES18&gt;=DQ$3,"cukup dalam "&amp;FU18,IF(ES18&lt;DQ$3,"dengan bimbingan dapat meningkatkan dalam "&amp;FU18,IF(ES18&lt;1," ",””))))))</f>
        <v>cukup dalam menjelaskan alat gerak dan fungsinya pada hewan dan manusia serta cara memelihara kesehatan alat gerak manusia</v>
      </c>
      <c r="FW18" s="61"/>
      <c r="FX18" s="62" t="str">
        <f t="shared" si="101"/>
        <v>Ananda Varis baik dalam menjelaskan organ pencernaan dan fungsinya pada hewan dan manusia serta cara memelihara kesehatan organ pencernaan manusia, cukup dalam menjelaskan alat gerak dan fungsinya pada hewan dan manusia serta cara memelihara kesehatan alat gerak manusia</v>
      </c>
      <c r="FY18" s="57" t="str">
        <f t="shared" si="102"/>
        <v/>
      </c>
      <c r="FZ18" s="57" t="str">
        <f t="shared" si="102"/>
        <v/>
      </c>
      <c r="GA18" s="57" t="str">
        <f t="shared" si="102"/>
        <v/>
      </c>
      <c r="GB18" s="57"/>
      <c r="GC18" s="57"/>
      <c r="GD18" s="57"/>
      <c r="GE18" s="59">
        <f t="shared" si="45"/>
        <v>0</v>
      </c>
      <c r="GF18" s="60"/>
      <c r="GG18" s="61"/>
      <c r="GH18" s="62" t="str">
        <f t="shared" si="103"/>
        <v>, 0</v>
      </c>
      <c r="GI18" s="4" t="str">
        <f t="shared" si="104"/>
        <v xml:space="preserve">Cukup pandai menjelaskan alat gerak dan fungsinya pada hewan dan manusia serta cara memelihara kesehatan alat gerak manusia Cukup pandai menjelaskan organ pernafasan dan fungsinya pada hewan dan manusia, serta cara memelihara kesehatan organ pernapasan manusia Menguasai dengan baik menjelaskan organ pencernaan dan fungsinya pada hewan dan manusia serta cara memelihara kesehatan organ pencernaan manusia        </v>
      </c>
    </row>
    <row r="19" spans="1:191" ht="42.75" customHeight="1">
      <c r="A19" s="39">
        <v>12</v>
      </c>
      <c r="B19" s="283" t="str">
        <f>SISWA!B17</f>
        <v>Oktafiya Duwi Safitri</v>
      </c>
      <c r="C19" s="123">
        <v>75</v>
      </c>
      <c r="D19" s="123"/>
      <c r="E19" s="123"/>
      <c r="F19" s="123"/>
      <c r="G19" s="123"/>
      <c r="H19" s="123"/>
      <c r="I19" s="123"/>
      <c r="J19" s="123"/>
      <c r="K19" s="123"/>
      <c r="L19" s="256">
        <v>75</v>
      </c>
      <c r="M19" s="256"/>
      <c r="N19" s="256"/>
      <c r="O19" s="256"/>
      <c r="P19" s="256"/>
      <c r="Q19" s="256"/>
      <c r="R19" s="256"/>
      <c r="S19" s="256"/>
      <c r="T19" s="256"/>
      <c r="U19" s="123"/>
      <c r="V19" s="123">
        <v>75</v>
      </c>
      <c r="W19" s="123"/>
      <c r="X19" s="123"/>
      <c r="Y19" s="123"/>
      <c r="Z19" s="123"/>
      <c r="AA19" s="123"/>
      <c r="AB19" s="123"/>
      <c r="AC19" s="123"/>
      <c r="AD19" s="256"/>
      <c r="AE19" s="256">
        <v>75</v>
      </c>
      <c r="AF19" s="256"/>
      <c r="AG19" s="256"/>
      <c r="AH19" s="256"/>
      <c r="AI19" s="256"/>
      <c r="AJ19" s="256"/>
      <c r="AK19" s="256"/>
      <c r="AL19" s="256"/>
      <c r="AM19" s="123"/>
      <c r="AN19" s="123"/>
      <c r="AO19" s="123">
        <v>75</v>
      </c>
      <c r="AP19" s="123"/>
      <c r="AQ19" s="123"/>
      <c r="AR19" s="123"/>
      <c r="AS19" s="123"/>
      <c r="AT19" s="123"/>
      <c r="AU19" s="123"/>
      <c r="AV19" s="256"/>
      <c r="AW19" s="256"/>
      <c r="AX19" s="256">
        <v>80</v>
      </c>
      <c r="AY19" s="256"/>
      <c r="AZ19" s="256"/>
      <c r="BA19" s="256"/>
      <c r="BB19" s="256"/>
      <c r="BC19" s="256"/>
      <c r="BD19" s="256"/>
      <c r="BE19" s="123"/>
      <c r="BF19" s="123">
        <v>75</v>
      </c>
      <c r="BG19" s="123"/>
      <c r="BH19" s="123">
        <v>80</v>
      </c>
      <c r="BI19" s="123"/>
      <c r="BJ19" s="123"/>
      <c r="BK19" s="123"/>
      <c r="BL19" s="123"/>
      <c r="BM19" s="123"/>
      <c r="BN19" s="256"/>
      <c r="BO19" s="256">
        <v>75</v>
      </c>
      <c r="BP19" s="256"/>
      <c r="BQ19" s="256">
        <v>70</v>
      </c>
      <c r="BR19" s="256"/>
      <c r="BS19" s="256"/>
      <c r="BT19" s="256"/>
      <c r="BU19" s="256"/>
      <c r="BV19" s="256"/>
      <c r="BW19" s="460"/>
      <c r="BX19" s="460"/>
      <c r="BY19" s="460"/>
      <c r="BZ19" s="460"/>
      <c r="CA19" s="460">
        <v>75</v>
      </c>
      <c r="CB19" s="460"/>
      <c r="CC19" s="460"/>
      <c r="CD19" s="460"/>
      <c r="CE19" s="460"/>
      <c r="CF19" s="346"/>
      <c r="CG19" s="346"/>
      <c r="CH19" s="346"/>
      <c r="CI19" s="346"/>
      <c r="CJ19" s="346">
        <v>75</v>
      </c>
      <c r="CK19" s="346"/>
      <c r="CL19" s="346"/>
      <c r="CM19" s="346"/>
      <c r="CN19" s="346"/>
      <c r="CO19" s="260">
        <f t="shared" si="46"/>
        <v>75</v>
      </c>
      <c r="CP19" s="260">
        <f t="shared" si="47"/>
        <v>75</v>
      </c>
      <c r="CQ19" s="260">
        <f t="shared" si="48"/>
        <v>77.5</v>
      </c>
      <c r="CR19" s="260">
        <f t="shared" si="49"/>
        <v>75</v>
      </c>
      <c r="CS19" s="260">
        <f t="shared" si="50"/>
        <v>75</v>
      </c>
      <c r="CT19" s="260" t="str">
        <f t="shared" si="51"/>
        <v xml:space="preserve"> </v>
      </c>
      <c r="CU19" s="260" t="str">
        <f t="shared" si="52"/>
        <v xml:space="preserve"> </v>
      </c>
      <c r="CV19" s="260" t="str">
        <f t="shared" si="53"/>
        <v xml:space="preserve"> </v>
      </c>
      <c r="CW19" s="260" t="str">
        <f t="shared" si="54"/>
        <v xml:space="preserve"> </v>
      </c>
      <c r="CX19" s="547">
        <v>75</v>
      </c>
      <c r="CY19" s="547">
        <v>75</v>
      </c>
      <c r="CZ19" s="547"/>
      <c r="DA19" s="547"/>
      <c r="DB19" s="547"/>
      <c r="DC19" s="547"/>
      <c r="DD19" s="547"/>
      <c r="DE19" s="547"/>
      <c r="DF19" s="547"/>
      <c r="DG19" s="564">
        <v>75</v>
      </c>
      <c r="DH19" s="564">
        <v>75</v>
      </c>
      <c r="DI19" s="564">
        <v>75</v>
      </c>
      <c r="DJ19" s="564">
        <v>75</v>
      </c>
      <c r="DK19" s="564">
        <v>75</v>
      </c>
      <c r="DL19" s="564"/>
      <c r="DM19" s="564"/>
      <c r="DN19" s="564"/>
      <c r="DO19" s="564"/>
      <c r="DP19" s="549">
        <f t="shared" si="55"/>
        <v>75</v>
      </c>
      <c r="DQ19" s="291" t="str">
        <f t="shared" si="56"/>
        <v>C</v>
      </c>
      <c r="DR19" s="50" t="str">
        <f t="shared" si="57"/>
        <v>Ananda Fitri cukup dalam menjelaskan organ pencernaan dan fungsinya pada hewan dan manusia serta cara memelihara kesehatan organ pencernaan manusia, cukup dalam menganalisis hubungan antar komponen ekosistem dan jaring-jaring makanan di lingkungan sekitar</v>
      </c>
      <c r="DS19" s="282"/>
      <c r="DT19" s="51"/>
      <c r="DU19" s="46">
        <f t="shared" si="58"/>
        <v>75</v>
      </c>
      <c r="DV19" s="46">
        <f t="shared" si="59"/>
        <v>75</v>
      </c>
      <c r="DW19" s="46">
        <f t="shared" si="60"/>
        <v>77.5</v>
      </c>
      <c r="DX19" s="46">
        <f t="shared" si="61"/>
        <v>75</v>
      </c>
      <c r="DY19" s="46">
        <f t="shared" si="62"/>
        <v>75</v>
      </c>
      <c r="DZ19" s="46" t="str">
        <f t="shared" si="63"/>
        <v xml:space="preserve"> </v>
      </c>
      <c r="EA19" s="46" t="str">
        <f t="shared" si="64"/>
        <v xml:space="preserve"> </v>
      </c>
      <c r="EB19" s="46" t="str">
        <f t="shared" si="65"/>
        <v xml:space="preserve"> </v>
      </c>
      <c r="EC19" s="46" t="str">
        <f t="shared" si="66"/>
        <v xml:space="preserve"> </v>
      </c>
      <c r="ED19" s="46"/>
      <c r="EE19" s="52">
        <f>[2]uts!J18</f>
        <v>78.666666666666671</v>
      </c>
      <c r="EF19" s="51"/>
      <c r="EG19" s="53">
        <f t="shared" si="67"/>
        <v>75</v>
      </c>
      <c r="EH19" s="53">
        <f t="shared" si="68"/>
        <v>75</v>
      </c>
      <c r="EI19" s="53">
        <f t="shared" si="69"/>
        <v>76.666666666666671</v>
      </c>
      <c r="EJ19" s="53">
        <f t="shared" si="70"/>
        <v>75</v>
      </c>
      <c r="EK19" s="53">
        <f t="shared" si="71"/>
        <v>75</v>
      </c>
      <c r="EL19" s="53" t="str">
        <f t="shared" si="72"/>
        <v xml:space="preserve">  </v>
      </c>
      <c r="EM19" s="53" t="str">
        <f t="shared" si="73"/>
        <v xml:space="preserve">  </v>
      </c>
      <c r="EN19" s="53" t="str">
        <f t="shared" si="74"/>
        <v xml:space="preserve">  </v>
      </c>
      <c r="EO19" s="53" t="str">
        <f t="shared" si="75"/>
        <v xml:space="preserve">  </v>
      </c>
      <c r="EP19" s="53"/>
      <c r="EQ19" s="52">
        <f t="shared" si="76"/>
        <v>75</v>
      </c>
      <c r="ER19" s="55">
        <f t="shared" si="77"/>
        <v>76.666666666666671</v>
      </c>
      <c r="ES19" s="55">
        <f t="shared" si="78"/>
        <v>75</v>
      </c>
      <c r="ET19" s="51" t="str">
        <f>SISWA!E17</f>
        <v>Fitri</v>
      </c>
      <c r="EU19" s="51" t="str">
        <f t="shared" si="79"/>
        <v xml:space="preserve">Ananda Fitri </v>
      </c>
      <c r="EV19" s="56" t="str">
        <f t="shared" si="80"/>
        <v/>
      </c>
      <c r="EW19" s="57" t="str">
        <f t="shared" si="81"/>
        <v/>
      </c>
      <c r="EX19" s="57">
        <f t="shared" si="82"/>
        <v>76.666666666666671</v>
      </c>
      <c r="EY19" s="57" t="str">
        <f t="shared" si="83"/>
        <v/>
      </c>
      <c r="EZ19" s="57" t="str">
        <f t="shared" si="84"/>
        <v/>
      </c>
      <c r="FA19" s="57" t="str">
        <f t="shared" si="85"/>
        <v/>
      </c>
      <c r="FB19" s="57" t="str">
        <f t="shared" si="86"/>
        <v/>
      </c>
      <c r="FC19" s="57" t="str">
        <f t="shared" si="87"/>
        <v/>
      </c>
      <c r="FD19" s="57" t="str">
        <f t="shared" si="88"/>
        <v/>
      </c>
      <c r="FE19" s="57"/>
      <c r="FF19" s="58">
        <f t="shared" si="89"/>
        <v>76.666666666666671</v>
      </c>
      <c r="FG19" s="55" t="str">
        <f t="shared" si="90"/>
        <v>menjelaskan organ pencernaan dan fungsinya pada hewan dan manusia serta cara memelihara kesehatan organ pencernaan manusia</v>
      </c>
      <c r="FH19" s="58"/>
      <c r="FI19" s="59" t="str">
        <f>IF(ER19&gt;100,"",IF(ER19&gt;DQ$1,"sangat baik dalam "&amp;FG19,IF(ER19&gt;=DQ$2,"baik dalam "&amp;FG19,IF(ER19&gt;=DQ$3,"cukup dalam "&amp;FG19,IF(ER19&lt;DQ$3,"dengan bimbingan dapat meningkatkandalam "&amp;FG19,IF(ER19&lt;1," ",””))))))</f>
        <v>cukup dalam menjelaskan organ pencernaan dan fungsinya pada hewan dan manusia serta cara memelihara kesehatan organ pencernaan manusia</v>
      </c>
      <c r="FJ19" s="58"/>
      <c r="FK19" s="57">
        <f t="shared" si="91"/>
        <v>75</v>
      </c>
      <c r="FL19" s="57">
        <f t="shared" si="92"/>
        <v>75</v>
      </c>
      <c r="FM19" s="57" t="str">
        <f t="shared" si="93"/>
        <v/>
      </c>
      <c r="FN19" s="57">
        <f t="shared" si="94"/>
        <v>75</v>
      </c>
      <c r="FO19" s="57">
        <f t="shared" si="95"/>
        <v>75</v>
      </c>
      <c r="FP19" s="57" t="str">
        <f t="shared" si="96"/>
        <v/>
      </c>
      <c r="FQ19" s="57" t="str">
        <f t="shared" si="97"/>
        <v/>
      </c>
      <c r="FR19" s="57" t="str">
        <f t="shared" si="98"/>
        <v/>
      </c>
      <c r="FS19" s="57" t="str">
        <f t="shared" si="99"/>
        <v/>
      </c>
      <c r="FT19" s="57"/>
      <c r="FU19" s="59" t="str">
        <f t="shared" si="100"/>
        <v>menganalisis hubungan antar komponen ekosistem dan jaring-jaring makanan di lingkungan sekitar</v>
      </c>
      <c r="FV19" s="59" t="str">
        <f>IF(ES19&gt;100,"",IF(ES19&gt;DQ$1,"sangat baik dalam "&amp;FU19,IF(ES19&gt;=DQ$2,"baik dalam "&amp;FU19,IF(ES19&gt;=DQ$3,"cukup dalam "&amp;FU19,IF(ES19&lt;DQ$3,"dengan bimbingan dapat meningkatkan dalam "&amp;FU19,IF(ES19&lt;1," ",””))))))</f>
        <v>cukup dalam menganalisis hubungan antar komponen ekosistem dan jaring-jaring makanan di lingkungan sekitar</v>
      </c>
      <c r="FW19" s="61"/>
      <c r="FX19" s="62" t="str">
        <f t="shared" si="101"/>
        <v>Ananda Fitri cukup dalam menjelaskan organ pencernaan dan fungsinya pada hewan dan manusia serta cara memelihara kesehatan organ pencernaan manusia, cukup dalam menganalisis hubungan antar komponen ekosistem dan jaring-jaring makanan di lingkungan sekitar</v>
      </c>
      <c r="FY19" s="57" t="str">
        <f t="shared" si="102"/>
        <v/>
      </c>
      <c r="FZ19" s="57" t="str">
        <f t="shared" si="102"/>
        <v/>
      </c>
      <c r="GA19" s="57" t="str">
        <f t="shared" si="102"/>
        <v/>
      </c>
      <c r="GB19" s="57"/>
      <c r="GC19" s="57"/>
      <c r="GD19" s="57"/>
      <c r="GE19" s="59">
        <f t="shared" si="45"/>
        <v>0</v>
      </c>
      <c r="GF19" s="60"/>
      <c r="GG19" s="61"/>
      <c r="GH19" s="62" t="str">
        <f t="shared" si="103"/>
        <v>, 0</v>
      </c>
      <c r="GI19" s="4" t="str">
        <f t="shared" si="104"/>
        <v xml:space="preserve">Menguasai dengan baik menjelaskan alat gerak dan fungsinya pada hewan dan manusia serta cara memelihara kesehatan alat gerak manusia Menguasai dengan baik menjelaskan organ pernafasan dan fungsinya pada hewan dan manusia, serta cara memelihara kesehatan organ pernapasan manusia Menguasai dengan baik menjelaskan organ pencernaan dan fungsinya pada hewan dan manusia serta cara memelihara kesehatan organ pencernaan manusia        </v>
      </c>
    </row>
    <row r="20" spans="1:191" ht="42.75" customHeight="1">
      <c r="A20" s="39">
        <v>13</v>
      </c>
      <c r="B20" s="283" t="str">
        <f>SISWA!B18</f>
        <v>Prastika Guntur Firmansyah</v>
      </c>
      <c r="C20" s="123">
        <v>93</v>
      </c>
      <c r="D20" s="123"/>
      <c r="E20" s="123"/>
      <c r="F20" s="123"/>
      <c r="G20" s="123"/>
      <c r="H20" s="123"/>
      <c r="I20" s="123"/>
      <c r="J20" s="123"/>
      <c r="K20" s="123"/>
      <c r="L20" s="256">
        <v>80</v>
      </c>
      <c r="M20" s="256"/>
      <c r="N20" s="256"/>
      <c r="O20" s="256"/>
      <c r="P20" s="256"/>
      <c r="Q20" s="256"/>
      <c r="R20" s="256"/>
      <c r="S20" s="256"/>
      <c r="T20" s="256"/>
      <c r="U20" s="123"/>
      <c r="V20" s="123">
        <v>75</v>
      </c>
      <c r="W20" s="123"/>
      <c r="X20" s="123"/>
      <c r="Y20" s="123"/>
      <c r="Z20" s="123"/>
      <c r="AA20" s="123"/>
      <c r="AB20" s="123"/>
      <c r="AC20" s="123"/>
      <c r="AD20" s="256"/>
      <c r="AE20" s="256">
        <v>100</v>
      </c>
      <c r="AF20" s="256"/>
      <c r="AG20" s="256"/>
      <c r="AH20" s="256"/>
      <c r="AI20" s="256"/>
      <c r="AJ20" s="256"/>
      <c r="AK20" s="256"/>
      <c r="AL20" s="256"/>
      <c r="AM20" s="123"/>
      <c r="AN20" s="123"/>
      <c r="AO20" s="123">
        <v>75</v>
      </c>
      <c r="AP20" s="123"/>
      <c r="AQ20" s="123"/>
      <c r="AR20" s="123"/>
      <c r="AS20" s="123"/>
      <c r="AT20" s="123"/>
      <c r="AU20" s="123"/>
      <c r="AV20" s="256"/>
      <c r="AW20" s="256"/>
      <c r="AX20" s="256">
        <v>75</v>
      </c>
      <c r="AY20" s="256"/>
      <c r="AZ20" s="256"/>
      <c r="BA20" s="256"/>
      <c r="BB20" s="256"/>
      <c r="BC20" s="256"/>
      <c r="BD20" s="256"/>
      <c r="BE20" s="123"/>
      <c r="BF20" s="123">
        <v>75</v>
      </c>
      <c r="BG20" s="123"/>
      <c r="BH20" s="123">
        <v>80</v>
      </c>
      <c r="BI20" s="123"/>
      <c r="BJ20" s="123"/>
      <c r="BK20" s="123"/>
      <c r="BL20" s="123"/>
      <c r="BM20" s="123"/>
      <c r="BN20" s="256"/>
      <c r="BO20" s="256">
        <v>75</v>
      </c>
      <c r="BP20" s="256"/>
      <c r="BQ20" s="256">
        <v>80</v>
      </c>
      <c r="BR20" s="256"/>
      <c r="BS20" s="256"/>
      <c r="BT20" s="256"/>
      <c r="BU20" s="256"/>
      <c r="BV20" s="256"/>
      <c r="BW20" s="460"/>
      <c r="BX20" s="460"/>
      <c r="BY20" s="460"/>
      <c r="BZ20" s="460"/>
      <c r="CA20" s="460">
        <v>100</v>
      </c>
      <c r="CB20" s="460"/>
      <c r="CC20" s="460"/>
      <c r="CD20" s="460"/>
      <c r="CE20" s="460"/>
      <c r="CF20" s="346"/>
      <c r="CG20" s="346"/>
      <c r="CH20" s="346"/>
      <c r="CI20" s="346"/>
      <c r="CJ20" s="346">
        <v>80</v>
      </c>
      <c r="CK20" s="346"/>
      <c r="CL20" s="346"/>
      <c r="CM20" s="346"/>
      <c r="CN20" s="346"/>
      <c r="CO20" s="260">
        <f t="shared" si="46"/>
        <v>86.5</v>
      </c>
      <c r="CP20" s="260">
        <f t="shared" si="47"/>
        <v>81.25</v>
      </c>
      <c r="CQ20" s="260">
        <f t="shared" si="48"/>
        <v>75</v>
      </c>
      <c r="CR20" s="260">
        <f t="shared" si="49"/>
        <v>80</v>
      </c>
      <c r="CS20" s="260">
        <f t="shared" si="50"/>
        <v>90</v>
      </c>
      <c r="CT20" s="260" t="str">
        <f t="shared" si="51"/>
        <v xml:space="preserve"> </v>
      </c>
      <c r="CU20" s="260" t="str">
        <f t="shared" si="52"/>
        <v xml:space="preserve"> </v>
      </c>
      <c r="CV20" s="260" t="str">
        <f t="shared" si="53"/>
        <v xml:space="preserve"> </v>
      </c>
      <c r="CW20" s="260" t="str">
        <f t="shared" si="54"/>
        <v xml:space="preserve"> </v>
      </c>
      <c r="CX20" s="547">
        <v>80</v>
      </c>
      <c r="CY20" s="547">
        <v>87</v>
      </c>
      <c r="CZ20" s="547"/>
      <c r="DA20" s="547"/>
      <c r="DB20" s="547"/>
      <c r="DC20" s="547"/>
      <c r="DD20" s="547"/>
      <c r="DE20" s="547"/>
      <c r="DF20" s="547"/>
      <c r="DG20" s="564">
        <v>81</v>
      </c>
      <c r="DH20" s="564">
        <v>77</v>
      </c>
      <c r="DI20" s="564">
        <v>81</v>
      </c>
      <c r="DJ20" s="564">
        <v>75</v>
      </c>
      <c r="DK20" s="564">
        <v>83</v>
      </c>
      <c r="DL20" s="564"/>
      <c r="DM20" s="564"/>
      <c r="DN20" s="564"/>
      <c r="DO20" s="564"/>
      <c r="DP20" s="549">
        <f t="shared" si="55"/>
        <v>82</v>
      </c>
      <c r="DQ20" s="291" t="str">
        <f t="shared" si="56"/>
        <v>C</v>
      </c>
      <c r="DR20" s="50" t="str">
        <f t="shared" si="57"/>
        <v>Ananda Pras baik dalam menganalisis hubungan antar komponen ekosistem dan jaring-jaring makanan di lingkungan sekitar, cukup dalam menjelaskan organ pencernaan dan fungsinya pada hewan dan manusia serta cara memelihara kesehatan organ pencernaan manusia</v>
      </c>
      <c r="DS20" s="282"/>
      <c r="DT20" s="51"/>
      <c r="DU20" s="46">
        <f t="shared" si="58"/>
        <v>86.5</v>
      </c>
      <c r="DV20" s="46">
        <f t="shared" si="59"/>
        <v>81.25</v>
      </c>
      <c r="DW20" s="46">
        <f t="shared" si="60"/>
        <v>75</v>
      </c>
      <c r="DX20" s="46">
        <f t="shared" si="61"/>
        <v>80</v>
      </c>
      <c r="DY20" s="46">
        <f t="shared" si="62"/>
        <v>90</v>
      </c>
      <c r="DZ20" s="46" t="str">
        <f t="shared" si="63"/>
        <v xml:space="preserve"> </v>
      </c>
      <c r="EA20" s="46" t="str">
        <f t="shared" si="64"/>
        <v xml:space="preserve"> </v>
      </c>
      <c r="EB20" s="46" t="str">
        <f t="shared" si="65"/>
        <v xml:space="preserve"> </v>
      </c>
      <c r="EC20" s="46" t="str">
        <f t="shared" si="66"/>
        <v xml:space="preserve"> </v>
      </c>
      <c r="ED20" s="46"/>
      <c r="EE20" s="52">
        <f>[2]uts!J19</f>
        <v>72.333333333333329</v>
      </c>
      <c r="EF20" s="51"/>
      <c r="EG20" s="53">
        <f t="shared" si="67"/>
        <v>83.5</v>
      </c>
      <c r="EH20" s="53">
        <f t="shared" si="68"/>
        <v>81.625</v>
      </c>
      <c r="EI20" s="53">
        <f t="shared" si="69"/>
        <v>77</v>
      </c>
      <c r="EJ20" s="53">
        <f t="shared" si="70"/>
        <v>78.333333333333329</v>
      </c>
      <c r="EK20" s="53">
        <f t="shared" si="71"/>
        <v>87.666666666666671</v>
      </c>
      <c r="EL20" s="53" t="str">
        <f t="shared" si="72"/>
        <v xml:space="preserve">  </v>
      </c>
      <c r="EM20" s="53" t="str">
        <f t="shared" si="73"/>
        <v xml:space="preserve">  </v>
      </c>
      <c r="EN20" s="53" t="str">
        <f t="shared" si="74"/>
        <v xml:space="preserve">  </v>
      </c>
      <c r="EO20" s="53" t="str">
        <f t="shared" si="75"/>
        <v xml:space="preserve">  </v>
      </c>
      <c r="EP20" s="53"/>
      <c r="EQ20" s="52">
        <f t="shared" si="76"/>
        <v>82</v>
      </c>
      <c r="ER20" s="55">
        <f t="shared" si="77"/>
        <v>87.666666666666671</v>
      </c>
      <c r="ES20" s="55">
        <f t="shared" si="78"/>
        <v>77</v>
      </c>
      <c r="ET20" s="51" t="str">
        <f>SISWA!E18</f>
        <v>Pras</v>
      </c>
      <c r="EU20" s="51" t="str">
        <f t="shared" si="79"/>
        <v xml:space="preserve">Ananda Pras </v>
      </c>
      <c r="EV20" s="56" t="str">
        <f t="shared" si="80"/>
        <v/>
      </c>
      <c r="EW20" s="57" t="str">
        <f t="shared" si="81"/>
        <v/>
      </c>
      <c r="EX20" s="57" t="str">
        <f t="shared" si="82"/>
        <v/>
      </c>
      <c r="EY20" s="57" t="str">
        <f t="shared" si="83"/>
        <v/>
      </c>
      <c r="EZ20" s="57">
        <f t="shared" si="84"/>
        <v>87.666666666666671</v>
      </c>
      <c r="FA20" s="57" t="str">
        <f t="shared" si="85"/>
        <v/>
      </c>
      <c r="FB20" s="57" t="str">
        <f t="shared" si="86"/>
        <v/>
      </c>
      <c r="FC20" s="57" t="str">
        <f t="shared" si="87"/>
        <v/>
      </c>
      <c r="FD20" s="57" t="str">
        <f t="shared" si="88"/>
        <v/>
      </c>
      <c r="FE20" s="57"/>
      <c r="FF20" s="58">
        <f t="shared" si="89"/>
        <v>87.666666666666671</v>
      </c>
      <c r="FG20" s="55" t="str">
        <f t="shared" si="90"/>
        <v>menganalisis hubungan antar komponen ekosistem dan jaring-jaring makanan di lingkungan sekitar</v>
      </c>
      <c r="FH20" s="58"/>
      <c r="FI20" s="59" t="str">
        <f>IF(ER20&gt;100,"",IF(ER20&gt;DQ$1,"sangat baik dalam "&amp;FG20,IF(ER20&gt;=DQ$2,"baik dalam "&amp;FG20,IF(ER20&gt;=DQ$3,"cukup dalam "&amp;FG20,IF(ER20&lt;DQ$3,"dengan bimbingan dapat meningkatkandalam "&amp;FG20,IF(ER20&lt;1," ",””))))))</f>
        <v>baik dalam menganalisis hubungan antar komponen ekosistem dan jaring-jaring makanan di lingkungan sekitar</v>
      </c>
      <c r="FJ20" s="58"/>
      <c r="FK20" s="57" t="str">
        <f t="shared" si="91"/>
        <v/>
      </c>
      <c r="FL20" s="57" t="str">
        <f t="shared" si="92"/>
        <v/>
      </c>
      <c r="FM20" s="57">
        <f t="shared" si="93"/>
        <v>77</v>
      </c>
      <c r="FN20" s="57" t="str">
        <f t="shared" si="94"/>
        <v/>
      </c>
      <c r="FO20" s="57" t="str">
        <f t="shared" si="95"/>
        <v/>
      </c>
      <c r="FP20" s="57" t="str">
        <f t="shared" si="96"/>
        <v/>
      </c>
      <c r="FQ20" s="57" t="str">
        <f t="shared" si="97"/>
        <v/>
      </c>
      <c r="FR20" s="57" t="str">
        <f t="shared" si="98"/>
        <v/>
      </c>
      <c r="FS20" s="57" t="str">
        <f t="shared" si="99"/>
        <v/>
      </c>
      <c r="FT20" s="57"/>
      <c r="FU20" s="59" t="str">
        <f t="shared" si="100"/>
        <v>menjelaskan organ pencernaan dan fungsinya pada hewan dan manusia serta cara memelihara kesehatan organ pencernaan manusia</v>
      </c>
      <c r="FV20" s="59" t="str">
        <f>IF(ES20&gt;100,"",IF(ES20&gt;DQ$1,"sangat baik dalam "&amp;FU20,IF(ES20&gt;=DQ$2,"baik dalam "&amp;FU20,IF(ES20&gt;=DQ$3,"cukup dalam "&amp;FU20,IF(ES20&lt;DQ$3,"dengan bimbingan dapat meningkatkan dalam "&amp;FU20,IF(ES20&lt;1," ",””))))))</f>
        <v>cukup dalam menjelaskan organ pencernaan dan fungsinya pada hewan dan manusia serta cara memelihara kesehatan organ pencernaan manusia</v>
      </c>
      <c r="FW20" s="61"/>
      <c r="FX20" s="62" t="str">
        <f t="shared" si="101"/>
        <v>Ananda Pras baik dalam menganalisis hubungan antar komponen ekosistem dan jaring-jaring makanan di lingkungan sekitar, cukup dalam menjelaskan organ pencernaan dan fungsinya pada hewan dan manusia serta cara memelihara kesehatan organ pencernaan manusia</v>
      </c>
      <c r="FY20" s="57" t="str">
        <f t="shared" si="102"/>
        <v/>
      </c>
      <c r="FZ20" s="57" t="str">
        <f t="shared" si="102"/>
        <v/>
      </c>
      <c r="GA20" s="57" t="str">
        <f t="shared" si="102"/>
        <v/>
      </c>
      <c r="GB20" s="57"/>
      <c r="GC20" s="57"/>
      <c r="GD20" s="57"/>
      <c r="GE20" s="59">
        <f t="shared" si="45"/>
        <v>0</v>
      </c>
      <c r="GF20" s="60"/>
      <c r="GG20" s="61"/>
      <c r="GH20" s="62" t="str">
        <f t="shared" si="103"/>
        <v>, 0</v>
      </c>
      <c r="GI20" s="4" t="str">
        <f t="shared" si="104"/>
        <v xml:space="preserve">Cukup pandai menjelaskan alat gerak dan fungsinya pada hewan dan manusia serta cara memelihara kesehatan alat gerak manusia Pandai menjelaskan organ pernafasan dan fungsinya pada hewan dan manusia, serta cara memelihara kesehatan organ pernapasan manusia Menguasai dengan baik menjelaskan organ pencernaan dan fungsinya pada hewan dan manusia serta cara memelihara kesehatan organ pencernaan manusia        </v>
      </c>
    </row>
    <row r="21" spans="1:191" ht="42.75" customHeight="1">
      <c r="A21" s="39">
        <v>14</v>
      </c>
      <c r="B21" s="283" t="str">
        <f>SISWA!B19</f>
        <v>Siti Musyafiani</v>
      </c>
      <c r="C21" s="123">
        <v>87</v>
      </c>
      <c r="D21" s="123"/>
      <c r="E21" s="123"/>
      <c r="F21" s="123"/>
      <c r="G21" s="123"/>
      <c r="H21" s="123"/>
      <c r="I21" s="123"/>
      <c r="J21" s="123"/>
      <c r="K21" s="123"/>
      <c r="L21" s="256">
        <v>75</v>
      </c>
      <c r="M21" s="256"/>
      <c r="N21" s="256"/>
      <c r="O21" s="256"/>
      <c r="P21" s="256"/>
      <c r="Q21" s="256"/>
      <c r="R21" s="256"/>
      <c r="S21" s="256"/>
      <c r="T21" s="256"/>
      <c r="U21" s="123"/>
      <c r="V21" s="123">
        <v>80</v>
      </c>
      <c r="W21" s="123"/>
      <c r="X21" s="123"/>
      <c r="Y21" s="123"/>
      <c r="Z21" s="123"/>
      <c r="AA21" s="123"/>
      <c r="AB21" s="123"/>
      <c r="AC21" s="123"/>
      <c r="AD21" s="256"/>
      <c r="AE21" s="256">
        <v>87</v>
      </c>
      <c r="AF21" s="256"/>
      <c r="AG21" s="256"/>
      <c r="AH21" s="256"/>
      <c r="AI21" s="256"/>
      <c r="AJ21" s="256"/>
      <c r="AK21" s="256"/>
      <c r="AL21" s="256"/>
      <c r="AM21" s="123"/>
      <c r="AN21" s="123"/>
      <c r="AO21" s="123">
        <v>93</v>
      </c>
      <c r="AP21" s="123"/>
      <c r="AQ21" s="123"/>
      <c r="AR21" s="123"/>
      <c r="AS21" s="123"/>
      <c r="AT21" s="123"/>
      <c r="AU21" s="123"/>
      <c r="AV21" s="256"/>
      <c r="AW21" s="256"/>
      <c r="AX21" s="256">
        <v>80</v>
      </c>
      <c r="AY21" s="256"/>
      <c r="AZ21" s="256"/>
      <c r="BA21" s="256"/>
      <c r="BB21" s="256"/>
      <c r="BC21" s="256"/>
      <c r="BD21" s="256"/>
      <c r="BE21" s="123"/>
      <c r="BF21" s="123">
        <v>75</v>
      </c>
      <c r="BG21" s="123"/>
      <c r="BH21" s="123">
        <v>80</v>
      </c>
      <c r="BI21" s="123"/>
      <c r="BJ21" s="123"/>
      <c r="BK21" s="123"/>
      <c r="BL21" s="123"/>
      <c r="BM21" s="123"/>
      <c r="BN21" s="256"/>
      <c r="BO21" s="256">
        <v>75</v>
      </c>
      <c r="BP21" s="256"/>
      <c r="BQ21" s="256">
        <v>87</v>
      </c>
      <c r="BR21" s="256"/>
      <c r="BS21" s="256"/>
      <c r="BT21" s="256"/>
      <c r="BU21" s="256"/>
      <c r="BV21" s="256"/>
      <c r="BW21" s="460"/>
      <c r="BX21" s="460"/>
      <c r="BY21" s="460"/>
      <c r="BZ21" s="460"/>
      <c r="CA21" s="460">
        <v>75</v>
      </c>
      <c r="CB21" s="460"/>
      <c r="CC21" s="460"/>
      <c r="CD21" s="460"/>
      <c r="CE21" s="460"/>
      <c r="CF21" s="346"/>
      <c r="CG21" s="346"/>
      <c r="CH21" s="346"/>
      <c r="CI21" s="346"/>
      <c r="CJ21" s="346">
        <v>75</v>
      </c>
      <c r="CK21" s="346"/>
      <c r="CL21" s="346"/>
      <c r="CM21" s="346"/>
      <c r="CN21" s="346"/>
      <c r="CO21" s="260">
        <f t="shared" si="46"/>
        <v>81</v>
      </c>
      <c r="CP21" s="260">
        <f t="shared" si="47"/>
        <v>79.25</v>
      </c>
      <c r="CQ21" s="260">
        <f t="shared" si="48"/>
        <v>86.5</v>
      </c>
      <c r="CR21" s="260">
        <f t="shared" si="49"/>
        <v>83.5</v>
      </c>
      <c r="CS21" s="260">
        <f t="shared" si="50"/>
        <v>75</v>
      </c>
      <c r="CT21" s="260" t="str">
        <f t="shared" si="51"/>
        <v xml:space="preserve"> </v>
      </c>
      <c r="CU21" s="260" t="str">
        <f t="shared" si="52"/>
        <v xml:space="preserve"> </v>
      </c>
      <c r="CV21" s="260" t="str">
        <f t="shared" si="53"/>
        <v xml:space="preserve"> </v>
      </c>
      <c r="CW21" s="260" t="str">
        <f t="shared" si="54"/>
        <v xml:space="preserve"> </v>
      </c>
      <c r="CX21" s="547">
        <v>75</v>
      </c>
      <c r="CY21" s="547">
        <v>75</v>
      </c>
      <c r="CZ21" s="547"/>
      <c r="DA21" s="547"/>
      <c r="DB21" s="547"/>
      <c r="DC21" s="547"/>
      <c r="DD21" s="547"/>
      <c r="DE21" s="547"/>
      <c r="DF21" s="547"/>
      <c r="DG21" s="564">
        <v>75</v>
      </c>
      <c r="DH21" s="564">
        <v>75</v>
      </c>
      <c r="DI21" s="564">
        <v>75</v>
      </c>
      <c r="DJ21" s="564">
        <v>75</v>
      </c>
      <c r="DK21" s="564">
        <v>75</v>
      </c>
      <c r="DL21" s="564"/>
      <c r="DM21" s="564"/>
      <c r="DN21" s="564"/>
      <c r="DO21" s="564"/>
      <c r="DP21" s="549">
        <f t="shared" si="55"/>
        <v>79</v>
      </c>
      <c r="DQ21" s="291" t="str">
        <f t="shared" si="56"/>
        <v>C</v>
      </c>
      <c r="DR21" s="50" t="str">
        <f t="shared" si="57"/>
        <v>Ananda Fifi cukup dalam menjelaskan organ pencernaan dan fungsinya pada hewan dan manusia serta cara memelihara kesehatan organ pencernaan manusia, cukup dalam menganalisis hubungan antar komponen ekosistem dan jaring-jaring makanan di lingkungan sekitar</v>
      </c>
      <c r="DS21" s="282"/>
      <c r="DT21" s="51"/>
      <c r="DU21" s="46">
        <f t="shared" si="58"/>
        <v>81</v>
      </c>
      <c r="DV21" s="46">
        <f t="shared" si="59"/>
        <v>79.25</v>
      </c>
      <c r="DW21" s="46">
        <f t="shared" si="60"/>
        <v>86.5</v>
      </c>
      <c r="DX21" s="46">
        <f t="shared" si="61"/>
        <v>83.5</v>
      </c>
      <c r="DY21" s="46">
        <f t="shared" si="62"/>
        <v>75</v>
      </c>
      <c r="DZ21" s="46" t="str">
        <f t="shared" si="63"/>
        <v xml:space="preserve"> </v>
      </c>
      <c r="EA21" s="46" t="str">
        <f t="shared" si="64"/>
        <v xml:space="preserve"> </v>
      </c>
      <c r="EB21" s="46" t="str">
        <f t="shared" si="65"/>
        <v xml:space="preserve"> </v>
      </c>
      <c r="EC21" s="46" t="str">
        <f t="shared" si="66"/>
        <v xml:space="preserve"> </v>
      </c>
      <c r="ED21" s="46"/>
      <c r="EE21" s="52">
        <f>[2]uts!J20</f>
        <v>75.333333333333329</v>
      </c>
      <c r="EF21" s="51"/>
      <c r="EG21" s="53">
        <f t="shared" si="67"/>
        <v>78</v>
      </c>
      <c r="EH21" s="53">
        <f t="shared" si="68"/>
        <v>77.125</v>
      </c>
      <c r="EI21" s="53">
        <f t="shared" si="69"/>
        <v>82.666666666666671</v>
      </c>
      <c r="EJ21" s="53">
        <f t="shared" si="70"/>
        <v>80.666666666666671</v>
      </c>
      <c r="EK21" s="53">
        <f t="shared" si="71"/>
        <v>75</v>
      </c>
      <c r="EL21" s="53" t="str">
        <f t="shared" si="72"/>
        <v xml:space="preserve">  </v>
      </c>
      <c r="EM21" s="53" t="str">
        <f t="shared" si="73"/>
        <v xml:space="preserve">  </v>
      </c>
      <c r="EN21" s="53" t="str">
        <f t="shared" si="74"/>
        <v xml:space="preserve">  </v>
      </c>
      <c r="EO21" s="53" t="str">
        <f t="shared" si="75"/>
        <v xml:space="preserve">  </v>
      </c>
      <c r="EP21" s="53"/>
      <c r="EQ21" s="52">
        <f t="shared" si="76"/>
        <v>79</v>
      </c>
      <c r="ER21" s="55">
        <f t="shared" si="77"/>
        <v>82.666666666666671</v>
      </c>
      <c r="ES21" s="55">
        <f t="shared" si="78"/>
        <v>75</v>
      </c>
      <c r="ET21" s="51" t="str">
        <f>SISWA!E19</f>
        <v>Fifi</v>
      </c>
      <c r="EU21" s="51" t="str">
        <f t="shared" si="79"/>
        <v xml:space="preserve">Ananda Fifi </v>
      </c>
      <c r="EV21" s="56" t="str">
        <f t="shared" si="80"/>
        <v/>
      </c>
      <c r="EW21" s="57" t="str">
        <f t="shared" si="81"/>
        <v/>
      </c>
      <c r="EX21" s="57">
        <f t="shared" si="82"/>
        <v>82.666666666666671</v>
      </c>
      <c r="EY21" s="57" t="str">
        <f t="shared" si="83"/>
        <v/>
      </c>
      <c r="EZ21" s="57" t="str">
        <f t="shared" si="84"/>
        <v/>
      </c>
      <c r="FA21" s="57" t="str">
        <f t="shared" si="85"/>
        <v/>
      </c>
      <c r="FB21" s="57" t="str">
        <f t="shared" si="86"/>
        <v/>
      </c>
      <c r="FC21" s="57" t="str">
        <f t="shared" si="87"/>
        <v/>
      </c>
      <c r="FD21" s="57" t="str">
        <f t="shared" si="88"/>
        <v/>
      </c>
      <c r="FE21" s="57"/>
      <c r="FF21" s="58">
        <f t="shared" si="89"/>
        <v>82.666666666666671</v>
      </c>
      <c r="FG21" s="55" t="str">
        <f t="shared" si="90"/>
        <v>menjelaskan organ pencernaan dan fungsinya pada hewan dan manusia serta cara memelihara kesehatan organ pencernaan manusia</v>
      </c>
      <c r="FH21" s="58"/>
      <c r="FI21" s="59" t="str">
        <f>IF(ER21&gt;100,"",IF(ER21&gt;DQ$1,"sangat baik dalam "&amp;FG21,IF(ER21&gt;=DQ$2,"baik dalam "&amp;FG21,IF(ER21&gt;=DQ$3,"cukup dalam "&amp;FG21,IF(ER21&lt;DQ$3,"dengan bimbingan dapat meningkatkandalam "&amp;FG21,IF(ER21&lt;1," ",””))))))</f>
        <v>cukup dalam menjelaskan organ pencernaan dan fungsinya pada hewan dan manusia serta cara memelihara kesehatan organ pencernaan manusia</v>
      </c>
      <c r="FJ21" s="58"/>
      <c r="FK21" s="57" t="str">
        <f t="shared" si="91"/>
        <v/>
      </c>
      <c r="FL21" s="57" t="str">
        <f t="shared" si="92"/>
        <v/>
      </c>
      <c r="FM21" s="57" t="str">
        <f t="shared" si="93"/>
        <v/>
      </c>
      <c r="FN21" s="57" t="str">
        <f t="shared" si="94"/>
        <v/>
      </c>
      <c r="FO21" s="57">
        <f t="shared" si="95"/>
        <v>75</v>
      </c>
      <c r="FP21" s="57" t="str">
        <f t="shared" si="96"/>
        <v/>
      </c>
      <c r="FQ21" s="57" t="str">
        <f t="shared" si="97"/>
        <v/>
      </c>
      <c r="FR21" s="57" t="str">
        <f t="shared" si="98"/>
        <v/>
      </c>
      <c r="FS21" s="57" t="str">
        <f t="shared" si="99"/>
        <v/>
      </c>
      <c r="FT21" s="57"/>
      <c r="FU21" s="59" t="str">
        <f t="shared" si="100"/>
        <v>menganalisis hubungan antar komponen ekosistem dan jaring-jaring makanan di lingkungan sekitar</v>
      </c>
      <c r="FV21" s="59" t="str">
        <f>IF(ES21&gt;100,"",IF(ES21&gt;DQ$1,"sangat baik dalam "&amp;FU21,IF(ES21&gt;=DQ$2,"baik dalam "&amp;FU21,IF(ES21&gt;=DQ$3,"cukup dalam "&amp;FU21,IF(ES21&lt;DQ$3,"dengan bimbingan dapat meningkatkan dalam "&amp;FU21,IF(ES21&lt;1," ",””))))))</f>
        <v>cukup dalam menganalisis hubungan antar komponen ekosistem dan jaring-jaring makanan di lingkungan sekitar</v>
      </c>
      <c r="FW21" s="61"/>
      <c r="FX21" s="62" t="str">
        <f t="shared" si="101"/>
        <v>Ananda Fifi cukup dalam menjelaskan organ pencernaan dan fungsinya pada hewan dan manusia serta cara memelihara kesehatan organ pencernaan manusia, cukup dalam menganalisis hubungan antar komponen ekosistem dan jaring-jaring makanan di lingkungan sekitar</v>
      </c>
      <c r="FY21" s="57" t="str">
        <f t="shared" si="102"/>
        <v/>
      </c>
      <c r="FZ21" s="57" t="str">
        <f t="shared" si="102"/>
        <v/>
      </c>
      <c r="GA21" s="57" t="str">
        <f t="shared" si="102"/>
        <v/>
      </c>
      <c r="GB21" s="57"/>
      <c r="GC21" s="57"/>
      <c r="GD21" s="57"/>
      <c r="GE21" s="59">
        <f t="shared" si="45"/>
        <v>0</v>
      </c>
      <c r="GF21" s="60"/>
      <c r="GG21" s="61"/>
      <c r="GH21" s="62" t="str">
        <f t="shared" si="103"/>
        <v>, 0</v>
      </c>
      <c r="GI21" s="4" t="str">
        <f t="shared" si="104"/>
        <v xml:space="preserve">Menguasai dengan baik menjelaskan alat gerak dan fungsinya pada hewan dan manusia serta cara memelihara kesehatan alat gerak manusia Cukup pandai menjelaskan organ pernafasan dan fungsinya pada hewan dan manusia, serta cara memelihara kesehatan organ pernapasan manusia Menguasai dengan baik menjelaskan organ pencernaan dan fungsinya pada hewan dan manusia serta cara memelihara kesehatan organ pencernaan manusia        </v>
      </c>
    </row>
    <row r="22" spans="1:191" ht="42.75" customHeight="1">
      <c r="A22" s="39">
        <v>15</v>
      </c>
      <c r="B22" s="283" t="str">
        <f>SISWA!B20</f>
        <v>Tegar Arya Pangestu</v>
      </c>
      <c r="C22" s="123">
        <v>93</v>
      </c>
      <c r="D22" s="123"/>
      <c r="E22" s="123"/>
      <c r="F22" s="123"/>
      <c r="G22" s="123"/>
      <c r="H22" s="123"/>
      <c r="I22" s="123"/>
      <c r="J22" s="123"/>
      <c r="K22" s="123"/>
      <c r="L22" s="256">
        <v>93</v>
      </c>
      <c r="M22" s="256"/>
      <c r="N22" s="256"/>
      <c r="O22" s="256"/>
      <c r="P22" s="256"/>
      <c r="Q22" s="256"/>
      <c r="R22" s="256"/>
      <c r="S22" s="256"/>
      <c r="T22" s="256"/>
      <c r="U22" s="123"/>
      <c r="V22" s="123">
        <v>80</v>
      </c>
      <c r="W22" s="123"/>
      <c r="X22" s="123"/>
      <c r="Y22" s="123"/>
      <c r="Z22" s="123"/>
      <c r="AA22" s="123"/>
      <c r="AB22" s="123"/>
      <c r="AC22" s="123"/>
      <c r="AD22" s="256"/>
      <c r="AE22" s="256">
        <v>93</v>
      </c>
      <c r="AF22" s="256"/>
      <c r="AG22" s="256"/>
      <c r="AH22" s="256"/>
      <c r="AI22" s="256"/>
      <c r="AJ22" s="256"/>
      <c r="AK22" s="256"/>
      <c r="AL22" s="256"/>
      <c r="AM22" s="123"/>
      <c r="AN22" s="123"/>
      <c r="AO22" s="123">
        <v>80</v>
      </c>
      <c r="AP22" s="123"/>
      <c r="AQ22" s="123"/>
      <c r="AR22" s="123"/>
      <c r="AS22" s="123"/>
      <c r="AT22" s="123"/>
      <c r="AU22" s="123"/>
      <c r="AV22" s="256"/>
      <c r="AW22" s="256"/>
      <c r="AX22" s="256">
        <v>100</v>
      </c>
      <c r="AY22" s="256"/>
      <c r="AZ22" s="256"/>
      <c r="BA22" s="256"/>
      <c r="BB22" s="256"/>
      <c r="BC22" s="256"/>
      <c r="BD22" s="256"/>
      <c r="BE22" s="123"/>
      <c r="BF22" s="123">
        <v>75</v>
      </c>
      <c r="BG22" s="123"/>
      <c r="BH22" s="123">
        <v>87</v>
      </c>
      <c r="BI22" s="123"/>
      <c r="BJ22" s="123"/>
      <c r="BK22" s="123"/>
      <c r="BL22" s="123"/>
      <c r="BM22" s="123"/>
      <c r="BN22" s="256"/>
      <c r="BO22" s="256">
        <v>75</v>
      </c>
      <c r="BP22" s="256"/>
      <c r="BQ22" s="256">
        <v>70</v>
      </c>
      <c r="BR22" s="256"/>
      <c r="BS22" s="256"/>
      <c r="BT22" s="256"/>
      <c r="BU22" s="256"/>
      <c r="BV22" s="256"/>
      <c r="BW22" s="460"/>
      <c r="BX22" s="460"/>
      <c r="BY22" s="460"/>
      <c r="BZ22" s="460"/>
      <c r="CA22" s="460">
        <v>93</v>
      </c>
      <c r="CB22" s="460"/>
      <c r="CC22" s="460"/>
      <c r="CD22" s="460"/>
      <c r="CE22" s="460"/>
      <c r="CF22" s="346"/>
      <c r="CG22" s="346"/>
      <c r="CH22" s="346"/>
      <c r="CI22" s="346"/>
      <c r="CJ22" s="346">
        <v>75</v>
      </c>
      <c r="CK22" s="346"/>
      <c r="CL22" s="346"/>
      <c r="CM22" s="346"/>
      <c r="CN22" s="346"/>
      <c r="CO22" s="260">
        <f t="shared" si="46"/>
        <v>93</v>
      </c>
      <c r="CP22" s="260">
        <f t="shared" si="47"/>
        <v>80.75</v>
      </c>
      <c r="CQ22" s="260">
        <f t="shared" si="48"/>
        <v>90</v>
      </c>
      <c r="CR22" s="260">
        <f t="shared" si="49"/>
        <v>78.5</v>
      </c>
      <c r="CS22" s="260">
        <f t="shared" si="50"/>
        <v>84</v>
      </c>
      <c r="CT22" s="260" t="str">
        <f t="shared" si="51"/>
        <v xml:space="preserve"> </v>
      </c>
      <c r="CU22" s="260" t="str">
        <f t="shared" si="52"/>
        <v xml:space="preserve"> </v>
      </c>
      <c r="CV22" s="260" t="str">
        <f t="shared" si="53"/>
        <v xml:space="preserve"> </v>
      </c>
      <c r="CW22" s="260" t="str">
        <f t="shared" si="54"/>
        <v xml:space="preserve"> </v>
      </c>
      <c r="CX22" s="547">
        <v>75</v>
      </c>
      <c r="CY22" s="547">
        <v>87</v>
      </c>
      <c r="CZ22" s="547"/>
      <c r="DA22" s="547"/>
      <c r="DB22" s="547"/>
      <c r="DC22" s="547"/>
      <c r="DD22" s="547"/>
      <c r="DE22" s="547"/>
      <c r="DF22" s="547"/>
      <c r="DG22" s="564">
        <v>79</v>
      </c>
      <c r="DH22" s="564">
        <v>76</v>
      </c>
      <c r="DI22" s="564">
        <v>75</v>
      </c>
      <c r="DJ22" s="564">
        <v>78</v>
      </c>
      <c r="DK22" s="564">
        <v>85</v>
      </c>
      <c r="DL22" s="564"/>
      <c r="DM22" s="564"/>
      <c r="DN22" s="564"/>
      <c r="DO22" s="564"/>
      <c r="DP22" s="549">
        <f t="shared" si="55"/>
        <v>83</v>
      </c>
      <c r="DQ22" s="291" t="str">
        <f t="shared" si="56"/>
        <v>B</v>
      </c>
      <c r="DR22" s="50" t="str">
        <f t="shared" si="57"/>
        <v>Ananda Tegar baik dalam menjelaskan organ pencernaan dan fungsinya pada hewan dan manusia serta cara memelihara kesehatan organ pencernaan manusia, cukup dalam menjelaskan organ peredaran darah dan fungsinya pada hewan dan manusia serta cara memelihara kesehatan organ peredaran darah manusia</v>
      </c>
      <c r="DS22" s="282"/>
      <c r="DT22" s="51"/>
      <c r="DU22" s="46">
        <f t="shared" si="58"/>
        <v>93</v>
      </c>
      <c r="DV22" s="46">
        <f t="shared" si="59"/>
        <v>80.75</v>
      </c>
      <c r="DW22" s="46">
        <f t="shared" si="60"/>
        <v>90</v>
      </c>
      <c r="DX22" s="46">
        <f t="shared" si="61"/>
        <v>78.5</v>
      </c>
      <c r="DY22" s="46">
        <f t="shared" si="62"/>
        <v>84</v>
      </c>
      <c r="DZ22" s="46" t="str">
        <f t="shared" si="63"/>
        <v xml:space="preserve"> </v>
      </c>
      <c r="EA22" s="46" t="str">
        <f t="shared" si="64"/>
        <v xml:space="preserve"> </v>
      </c>
      <c r="EB22" s="46" t="str">
        <f t="shared" si="65"/>
        <v xml:space="preserve"> </v>
      </c>
      <c r="EC22" s="46" t="str">
        <f t="shared" si="66"/>
        <v xml:space="preserve"> </v>
      </c>
      <c r="ED22" s="46"/>
      <c r="EE22" s="52">
        <f>[2]uts!J21</f>
        <v>73</v>
      </c>
      <c r="EF22" s="51"/>
      <c r="EG22" s="53">
        <f t="shared" si="67"/>
        <v>85</v>
      </c>
      <c r="EH22" s="53">
        <f t="shared" si="68"/>
        <v>81.125</v>
      </c>
      <c r="EI22" s="53">
        <f t="shared" si="69"/>
        <v>85</v>
      </c>
      <c r="EJ22" s="53">
        <f t="shared" si="70"/>
        <v>78.333333333333329</v>
      </c>
      <c r="EK22" s="53">
        <f t="shared" si="71"/>
        <v>84.333333333333329</v>
      </c>
      <c r="EL22" s="53" t="str">
        <f t="shared" si="72"/>
        <v xml:space="preserve">  </v>
      </c>
      <c r="EM22" s="53" t="str">
        <f t="shared" si="73"/>
        <v xml:space="preserve">  </v>
      </c>
      <c r="EN22" s="53" t="str">
        <f t="shared" si="74"/>
        <v xml:space="preserve">  </v>
      </c>
      <c r="EO22" s="53" t="str">
        <f t="shared" si="75"/>
        <v xml:space="preserve">  </v>
      </c>
      <c r="EP22" s="53"/>
      <c r="EQ22" s="52">
        <f t="shared" si="76"/>
        <v>83</v>
      </c>
      <c r="ER22" s="55">
        <f t="shared" si="77"/>
        <v>85</v>
      </c>
      <c r="ES22" s="55">
        <f t="shared" si="78"/>
        <v>78.333333333333329</v>
      </c>
      <c r="ET22" s="51" t="str">
        <f>SISWA!E20</f>
        <v>Tegar</v>
      </c>
      <c r="EU22" s="51" t="str">
        <f t="shared" si="79"/>
        <v xml:space="preserve">Ananda Tegar </v>
      </c>
      <c r="EV22" s="56">
        <f t="shared" si="80"/>
        <v>85</v>
      </c>
      <c r="EW22" s="57" t="str">
        <f t="shared" si="81"/>
        <v/>
      </c>
      <c r="EX22" s="57">
        <f t="shared" si="82"/>
        <v>85</v>
      </c>
      <c r="EY22" s="57" t="str">
        <f t="shared" si="83"/>
        <v/>
      </c>
      <c r="EZ22" s="57" t="str">
        <f t="shared" si="84"/>
        <v/>
      </c>
      <c r="FA22" s="57" t="str">
        <f t="shared" si="85"/>
        <v/>
      </c>
      <c r="FB22" s="57" t="str">
        <f t="shared" si="86"/>
        <v/>
      </c>
      <c r="FC22" s="57" t="str">
        <f t="shared" si="87"/>
        <v/>
      </c>
      <c r="FD22" s="57" t="str">
        <f t="shared" si="88"/>
        <v/>
      </c>
      <c r="FE22" s="57"/>
      <c r="FF22" s="58">
        <f t="shared" si="89"/>
        <v>170</v>
      </c>
      <c r="FG22" s="55" t="str">
        <f t="shared" si="90"/>
        <v>menjelaskan organ pencernaan dan fungsinya pada hewan dan manusia serta cara memelihara kesehatan organ pencernaan manusia</v>
      </c>
      <c r="FH22" s="58"/>
      <c r="FI22" s="59" t="str">
        <f>IF(ER22&gt;100,"",IF(ER22&gt;DQ$1,"sangat baik dalam "&amp;FG22,IF(ER22&gt;=DQ$2,"baik dalam "&amp;FG22,IF(ER22&gt;=DQ$3,"cukup dalam "&amp;FG22,IF(ER22&lt;DQ$3,"dengan bimbingan dapat meningkatkandalam "&amp;FG22,IF(ER22&lt;1," ",””))))))</f>
        <v>baik dalam menjelaskan organ pencernaan dan fungsinya pada hewan dan manusia serta cara memelihara kesehatan organ pencernaan manusia</v>
      </c>
      <c r="FJ22" s="58"/>
      <c r="FK22" s="57" t="str">
        <f t="shared" si="91"/>
        <v/>
      </c>
      <c r="FL22" s="57" t="str">
        <f t="shared" si="92"/>
        <v/>
      </c>
      <c r="FM22" s="57" t="str">
        <f t="shared" si="93"/>
        <v/>
      </c>
      <c r="FN22" s="57">
        <f t="shared" si="94"/>
        <v>78.333333333333329</v>
      </c>
      <c r="FO22" s="57" t="str">
        <f t="shared" si="95"/>
        <v/>
      </c>
      <c r="FP22" s="57" t="str">
        <f t="shared" si="96"/>
        <v/>
      </c>
      <c r="FQ22" s="57" t="str">
        <f t="shared" si="97"/>
        <v/>
      </c>
      <c r="FR22" s="57" t="str">
        <f t="shared" si="98"/>
        <v/>
      </c>
      <c r="FS22" s="57" t="str">
        <f t="shared" si="99"/>
        <v/>
      </c>
      <c r="FT22" s="57"/>
      <c r="FU22" s="59" t="str">
        <f t="shared" si="100"/>
        <v>menjelaskan organ peredaran darah dan fungsinya pada hewan dan manusia serta cara memelihara kesehatan organ peredaran darah manusia</v>
      </c>
      <c r="FV22" s="59" t="str">
        <f>IF(ES22&gt;100,"",IF(ES22&gt;DQ$1,"sangat baik dalam "&amp;FU22,IF(ES22&gt;=DQ$2,"baik dalam "&amp;FU22,IF(ES22&gt;=DQ$3,"cukup dalam "&amp;FU22,IF(ES22&lt;DQ$3,"dengan bimbingan dapat meningkatkan dalam "&amp;FU22,IF(ES22&lt;1," ",””))))))</f>
        <v>cukup dalam menjelaskan organ peredaran darah dan fungsinya pada hewan dan manusia serta cara memelihara kesehatan organ peredaran darah manusia</v>
      </c>
      <c r="FW22" s="61"/>
      <c r="FX22" s="62" t="str">
        <f t="shared" si="101"/>
        <v>Ananda Tegar baik dalam menjelaskan organ pencernaan dan fungsinya pada hewan dan manusia serta cara memelihara kesehatan organ pencernaan manusia, cukup dalam menjelaskan organ peredaran darah dan fungsinya pada hewan dan manusia serta cara memelihara kesehatan organ peredaran darah manusia</v>
      </c>
      <c r="FY22" s="57" t="str">
        <f t="shared" si="102"/>
        <v/>
      </c>
      <c r="FZ22" s="57" t="str">
        <f t="shared" si="102"/>
        <v/>
      </c>
      <c r="GA22" s="57" t="str">
        <f t="shared" si="102"/>
        <v/>
      </c>
      <c r="GB22" s="57"/>
      <c r="GC22" s="57"/>
      <c r="GD22" s="57"/>
      <c r="GE22" s="59">
        <f t="shared" si="45"/>
        <v>0</v>
      </c>
      <c r="GF22" s="60"/>
      <c r="GG22" s="61"/>
      <c r="GH22" s="62" t="str">
        <f t="shared" si="103"/>
        <v>, 0</v>
      </c>
      <c r="GI22" s="4" t="str">
        <f t="shared" si="104"/>
        <v xml:space="preserve">Cukup pandai menjelaskan alat gerak dan fungsinya pada hewan dan manusia serta cara memelihara kesehatan alat gerak manusia Cukup pandai menjelaskan organ pernafasan dan fungsinya pada hewan dan manusia, serta cara memelihara kesehatan organ pernapasan manusia Menguasai dengan baik menjelaskan organ pencernaan dan fungsinya pada hewan dan manusia serta cara memelihara kesehatan organ pencernaan manusia     Cukup pandai menerapkan konsep perpindahan kalor dalam kehidupan sehari-hari  </v>
      </c>
    </row>
    <row r="23" spans="1:191" ht="42.75" customHeight="1">
      <c r="A23" s="39">
        <v>16</v>
      </c>
      <c r="B23" s="283">
        <f>SISWA!B21</f>
        <v>0</v>
      </c>
      <c r="C23" s="123"/>
      <c r="D23" s="123"/>
      <c r="E23" s="123"/>
      <c r="F23" s="123"/>
      <c r="G23" s="123"/>
      <c r="H23" s="123"/>
      <c r="I23" s="123"/>
      <c r="J23" s="123"/>
      <c r="K23" s="123"/>
      <c r="L23" s="256"/>
      <c r="M23" s="256"/>
      <c r="N23" s="256"/>
      <c r="O23" s="256"/>
      <c r="P23" s="256"/>
      <c r="Q23" s="256"/>
      <c r="R23" s="256"/>
      <c r="S23" s="256"/>
      <c r="T23" s="256"/>
      <c r="U23" s="123"/>
      <c r="V23" s="123"/>
      <c r="W23" s="123"/>
      <c r="X23" s="123"/>
      <c r="Y23" s="123"/>
      <c r="Z23" s="123"/>
      <c r="AA23" s="123"/>
      <c r="AB23" s="123"/>
      <c r="AC23" s="123"/>
      <c r="AD23" s="256"/>
      <c r="AE23" s="256"/>
      <c r="AF23" s="256"/>
      <c r="AG23" s="256"/>
      <c r="AH23" s="256"/>
      <c r="AI23" s="256"/>
      <c r="AJ23" s="256"/>
      <c r="AK23" s="256"/>
      <c r="AL23" s="256"/>
      <c r="AM23" s="123"/>
      <c r="AN23" s="123"/>
      <c r="AO23" s="123"/>
      <c r="AP23" s="123"/>
      <c r="AQ23" s="123"/>
      <c r="AR23" s="123"/>
      <c r="AS23" s="123"/>
      <c r="AT23" s="123"/>
      <c r="AU23" s="123"/>
      <c r="AV23" s="256"/>
      <c r="AW23" s="256"/>
      <c r="AX23" s="256"/>
      <c r="AY23" s="256"/>
      <c r="AZ23" s="256"/>
      <c r="BA23" s="256"/>
      <c r="BB23" s="256"/>
      <c r="BC23" s="256"/>
      <c r="BD23" s="256"/>
      <c r="BE23" s="123"/>
      <c r="BF23" s="123"/>
      <c r="BG23" s="123"/>
      <c r="BH23" s="123"/>
      <c r="BI23" s="123"/>
      <c r="BJ23" s="123"/>
      <c r="BK23" s="123"/>
      <c r="BL23" s="123"/>
      <c r="BM23" s="123"/>
      <c r="BN23" s="256"/>
      <c r="BO23" s="256"/>
      <c r="BP23" s="256"/>
      <c r="BQ23" s="256"/>
      <c r="BR23" s="256"/>
      <c r="BS23" s="256"/>
      <c r="BT23" s="256"/>
      <c r="BU23" s="256"/>
      <c r="BV23" s="256"/>
      <c r="BW23" s="460"/>
      <c r="BX23" s="460"/>
      <c r="BY23" s="460"/>
      <c r="BZ23" s="460"/>
      <c r="CA23" s="460"/>
      <c r="CB23" s="460"/>
      <c r="CC23" s="460"/>
      <c r="CD23" s="460"/>
      <c r="CE23" s="460"/>
      <c r="CF23" s="346"/>
      <c r="CG23" s="346"/>
      <c r="CH23" s="346"/>
      <c r="CI23" s="346"/>
      <c r="CJ23" s="346"/>
      <c r="CK23" s="346"/>
      <c r="CL23" s="346"/>
      <c r="CM23" s="346"/>
      <c r="CN23" s="346"/>
      <c r="CO23" s="260" t="str">
        <f t="shared" si="46"/>
        <v xml:space="preserve"> </v>
      </c>
      <c r="CP23" s="260" t="str">
        <f t="shared" si="47"/>
        <v xml:space="preserve"> </v>
      </c>
      <c r="CQ23" s="260" t="str">
        <f t="shared" si="48"/>
        <v xml:space="preserve"> </v>
      </c>
      <c r="CR23" s="260" t="str">
        <f t="shared" si="49"/>
        <v xml:space="preserve"> </v>
      </c>
      <c r="CS23" s="260" t="str">
        <f t="shared" si="50"/>
        <v xml:space="preserve"> </v>
      </c>
      <c r="CT23" s="260" t="str">
        <f t="shared" si="51"/>
        <v xml:space="preserve"> </v>
      </c>
      <c r="CU23" s="260" t="str">
        <f t="shared" si="52"/>
        <v xml:space="preserve"> </v>
      </c>
      <c r="CV23" s="260" t="str">
        <f t="shared" si="53"/>
        <v xml:space="preserve"> </v>
      </c>
      <c r="CW23" s="260" t="str">
        <f t="shared" si="54"/>
        <v xml:space="preserve"> </v>
      </c>
      <c r="CX23" s="547"/>
      <c r="CY23" s="547"/>
      <c r="CZ23" s="547"/>
      <c r="DA23" s="547"/>
      <c r="DB23" s="547"/>
      <c r="DC23" s="547"/>
      <c r="DD23" s="547"/>
      <c r="DE23" s="547"/>
      <c r="DF23" s="547"/>
      <c r="DG23" s="564"/>
      <c r="DH23" s="564"/>
      <c r="DI23" s="564"/>
      <c r="DJ23" s="564"/>
      <c r="DK23" s="564"/>
      <c r="DL23" s="564"/>
      <c r="DM23" s="564"/>
      <c r="DN23" s="564"/>
      <c r="DO23" s="564"/>
      <c r="DP23" s="549" t="str">
        <f t="shared" si="55"/>
        <v xml:space="preserve"> </v>
      </c>
      <c r="DQ23" s="291" t="str">
        <f t="shared" si="56"/>
        <v xml:space="preserve">  </v>
      </c>
      <c r="DR23" s="50" t="str">
        <f t="shared" si="57"/>
        <v xml:space="preserve"> </v>
      </c>
      <c r="DS23" s="282"/>
      <c r="DT23" s="51"/>
      <c r="DU23" s="46" t="str">
        <f t="shared" si="58"/>
        <v xml:space="preserve"> </v>
      </c>
      <c r="DV23" s="46" t="str">
        <f t="shared" si="59"/>
        <v xml:space="preserve"> </v>
      </c>
      <c r="DW23" s="46" t="str">
        <f t="shared" si="60"/>
        <v xml:space="preserve"> </v>
      </c>
      <c r="DX23" s="46" t="str">
        <f t="shared" si="61"/>
        <v xml:space="preserve"> </v>
      </c>
      <c r="DY23" s="46" t="str">
        <f t="shared" si="62"/>
        <v xml:space="preserve"> </v>
      </c>
      <c r="DZ23" s="46" t="str">
        <f t="shared" si="63"/>
        <v xml:space="preserve"> </v>
      </c>
      <c r="EA23" s="46" t="str">
        <f t="shared" si="64"/>
        <v xml:space="preserve"> </v>
      </c>
      <c r="EB23" s="46" t="str">
        <f t="shared" si="65"/>
        <v xml:space="preserve"> </v>
      </c>
      <c r="EC23" s="46" t="str">
        <f t="shared" si="66"/>
        <v xml:space="preserve"> </v>
      </c>
      <c r="ED23" s="46"/>
      <c r="EE23" s="52">
        <f>[2]uts!J22</f>
        <v>72.333333333333329</v>
      </c>
      <c r="EF23" s="51"/>
      <c r="EG23" s="53" t="str">
        <f t="shared" si="67"/>
        <v xml:space="preserve">  </v>
      </c>
      <c r="EH23" s="53" t="str">
        <f t="shared" si="68"/>
        <v xml:space="preserve">  </v>
      </c>
      <c r="EI23" s="53" t="str">
        <f t="shared" si="69"/>
        <v xml:space="preserve">  </v>
      </c>
      <c r="EJ23" s="53" t="str">
        <f t="shared" si="70"/>
        <v xml:space="preserve">  </v>
      </c>
      <c r="EK23" s="53" t="str">
        <f t="shared" si="71"/>
        <v xml:space="preserve">  </v>
      </c>
      <c r="EL23" s="53" t="str">
        <f t="shared" si="72"/>
        <v xml:space="preserve">  </v>
      </c>
      <c r="EM23" s="53" t="str">
        <f t="shared" si="73"/>
        <v xml:space="preserve">  </v>
      </c>
      <c r="EN23" s="53" t="str">
        <f t="shared" si="74"/>
        <v xml:space="preserve">  </v>
      </c>
      <c r="EO23" s="53" t="str">
        <f t="shared" si="75"/>
        <v xml:space="preserve">  </v>
      </c>
      <c r="EP23" s="53"/>
      <c r="EQ23" s="52" t="str">
        <f t="shared" si="76"/>
        <v xml:space="preserve"> </v>
      </c>
      <c r="ER23" s="55">
        <f t="shared" si="77"/>
        <v>0</v>
      </c>
      <c r="ES23" s="55">
        <f t="shared" si="78"/>
        <v>0</v>
      </c>
      <c r="ET23" s="51">
        <f>SISWA!E21</f>
        <v>0</v>
      </c>
      <c r="EU23" s="51" t="str">
        <f t="shared" si="79"/>
        <v/>
      </c>
      <c r="EV23" s="56" t="str">
        <f t="shared" si="80"/>
        <v/>
      </c>
      <c r="EW23" s="57" t="str">
        <f t="shared" si="81"/>
        <v/>
      </c>
      <c r="EX23" s="57" t="str">
        <f t="shared" si="82"/>
        <v/>
      </c>
      <c r="EY23" s="57" t="str">
        <f t="shared" si="83"/>
        <v/>
      </c>
      <c r="EZ23" s="57" t="str">
        <f t="shared" si="84"/>
        <v/>
      </c>
      <c r="FA23" s="57" t="str">
        <f t="shared" si="85"/>
        <v/>
      </c>
      <c r="FB23" s="57" t="str">
        <f t="shared" si="86"/>
        <v/>
      </c>
      <c r="FC23" s="57" t="str">
        <f t="shared" si="87"/>
        <v/>
      </c>
      <c r="FD23" s="57" t="str">
        <f t="shared" si="88"/>
        <v/>
      </c>
      <c r="FE23" s="57"/>
      <c r="FF23" s="58">
        <f t="shared" si="89"/>
        <v>0</v>
      </c>
      <c r="FG23" s="55" t="e">
        <f t="shared" si="90"/>
        <v>#N/A</v>
      </c>
      <c r="FH23" s="58"/>
      <c r="FI23" s="59" t="e">
        <f>IF(ER23&gt;100,"",IF(ER23&gt;DQ$1,"sangat baik dalam "&amp;FG23,IF(ER23&gt;=DQ$2,"baik dalam "&amp;FG23,IF(ER23&gt;=DQ$3,"cukup dalam "&amp;FG23,IF(ER23&lt;DQ$3,"dengan bimbingan dapat meningkatkandalam "&amp;FG23,IF(ER23&lt;1," ",””))))))</f>
        <v>#N/A</v>
      </c>
      <c r="FJ23" s="58"/>
      <c r="FK23" s="57" t="str">
        <f t="shared" si="91"/>
        <v/>
      </c>
      <c r="FL23" s="57" t="str">
        <f t="shared" si="92"/>
        <v/>
      </c>
      <c r="FM23" s="57" t="str">
        <f t="shared" si="93"/>
        <v/>
      </c>
      <c r="FN23" s="57" t="str">
        <f t="shared" si="94"/>
        <v/>
      </c>
      <c r="FO23" s="57" t="str">
        <f t="shared" si="95"/>
        <v/>
      </c>
      <c r="FP23" s="57" t="str">
        <f t="shared" si="96"/>
        <v/>
      </c>
      <c r="FQ23" s="57" t="str">
        <f t="shared" si="97"/>
        <v/>
      </c>
      <c r="FR23" s="57" t="str">
        <f t="shared" si="98"/>
        <v/>
      </c>
      <c r="FS23" s="57" t="str">
        <f t="shared" si="99"/>
        <v/>
      </c>
      <c r="FT23" s="57"/>
      <c r="FU23" s="59" t="e">
        <f t="shared" si="100"/>
        <v>#N/A</v>
      </c>
      <c r="FV23" s="59" t="e">
        <f>IF(ES23&gt;100,"",IF(ES23&gt;DQ$1,"sangat baik dalam "&amp;FU23,IF(ES23&gt;=DQ$2,"baik dalam "&amp;FU23,IF(ES23&gt;=DQ$3,"cukup dalam "&amp;FU23,IF(ES23&lt;DQ$3,"dengan bimbingan dapat meningkatkan dalam "&amp;FU23,IF(ES23&lt;1," ",””))))))</f>
        <v>#N/A</v>
      </c>
      <c r="FW23" s="61"/>
      <c r="FX23" s="62" t="e">
        <f t="shared" si="101"/>
        <v>#N/A</v>
      </c>
      <c r="FY23" s="57" t="str">
        <f t="shared" si="102"/>
        <v/>
      </c>
      <c r="FZ23" s="57" t="str">
        <f t="shared" si="102"/>
        <v/>
      </c>
      <c r="GA23" s="57" t="str">
        <f t="shared" si="102"/>
        <v/>
      </c>
      <c r="GB23" s="57"/>
      <c r="GC23" s="57"/>
      <c r="GD23" s="57"/>
      <c r="GE23" s="59">
        <f t="shared" si="45"/>
        <v>0</v>
      </c>
      <c r="GF23" s="60"/>
      <c r="GG23" s="61"/>
      <c r="GH23" s="62" t="str">
        <f t="shared" si="103"/>
        <v>, 0</v>
      </c>
      <c r="GI23" s="4" t="str">
        <f t="shared" si="104"/>
        <v xml:space="preserve">  FALSEFALSEFALSE      </v>
      </c>
    </row>
    <row r="24" spans="1:191" ht="42.75" customHeight="1">
      <c r="A24" s="39">
        <v>17</v>
      </c>
      <c r="B24" s="283">
        <f>SISWA!B22</f>
        <v>0</v>
      </c>
      <c r="C24" s="123"/>
      <c r="D24" s="123"/>
      <c r="E24" s="123"/>
      <c r="F24" s="123"/>
      <c r="G24" s="123"/>
      <c r="H24" s="123"/>
      <c r="I24" s="123"/>
      <c r="J24" s="123"/>
      <c r="K24" s="123"/>
      <c r="L24" s="256"/>
      <c r="M24" s="256"/>
      <c r="N24" s="256"/>
      <c r="O24" s="256"/>
      <c r="P24" s="256"/>
      <c r="Q24" s="256"/>
      <c r="R24" s="256"/>
      <c r="S24" s="256"/>
      <c r="T24" s="256"/>
      <c r="U24" s="123"/>
      <c r="V24" s="123"/>
      <c r="W24" s="123"/>
      <c r="X24" s="123"/>
      <c r="Y24" s="123"/>
      <c r="Z24" s="123"/>
      <c r="AA24" s="123"/>
      <c r="AB24" s="123"/>
      <c r="AC24" s="123"/>
      <c r="AD24" s="256"/>
      <c r="AE24" s="256"/>
      <c r="AF24" s="256"/>
      <c r="AG24" s="256"/>
      <c r="AH24" s="256"/>
      <c r="AI24" s="256"/>
      <c r="AJ24" s="256"/>
      <c r="AK24" s="256"/>
      <c r="AL24" s="256"/>
      <c r="AM24" s="123"/>
      <c r="AN24" s="123"/>
      <c r="AO24" s="123"/>
      <c r="AP24" s="123"/>
      <c r="AQ24" s="123"/>
      <c r="AR24" s="123"/>
      <c r="AS24" s="123"/>
      <c r="AT24" s="123"/>
      <c r="AU24" s="123"/>
      <c r="AV24" s="256"/>
      <c r="AW24" s="256"/>
      <c r="AX24" s="256"/>
      <c r="AY24" s="256"/>
      <c r="AZ24" s="256"/>
      <c r="BA24" s="256"/>
      <c r="BB24" s="256"/>
      <c r="BC24" s="256"/>
      <c r="BD24" s="256"/>
      <c r="BE24" s="123"/>
      <c r="BF24" s="123"/>
      <c r="BG24" s="123"/>
      <c r="BH24" s="123"/>
      <c r="BI24" s="123"/>
      <c r="BJ24" s="123"/>
      <c r="BK24" s="123"/>
      <c r="BL24" s="123"/>
      <c r="BM24" s="123"/>
      <c r="BN24" s="256"/>
      <c r="BO24" s="256"/>
      <c r="BP24" s="256"/>
      <c r="BQ24" s="256"/>
      <c r="BR24" s="256"/>
      <c r="BS24" s="256"/>
      <c r="BT24" s="256"/>
      <c r="BU24" s="256"/>
      <c r="BV24" s="256"/>
      <c r="BW24" s="460"/>
      <c r="BX24" s="460"/>
      <c r="BY24" s="460"/>
      <c r="BZ24" s="460"/>
      <c r="CA24" s="460"/>
      <c r="CB24" s="460"/>
      <c r="CC24" s="460"/>
      <c r="CD24" s="460"/>
      <c r="CE24" s="460"/>
      <c r="CF24" s="346"/>
      <c r="CG24" s="346"/>
      <c r="CH24" s="346"/>
      <c r="CI24" s="346"/>
      <c r="CJ24" s="346"/>
      <c r="CK24" s="346"/>
      <c r="CL24" s="346"/>
      <c r="CM24" s="346"/>
      <c r="CN24" s="346"/>
      <c r="CO24" s="260" t="str">
        <f t="shared" si="46"/>
        <v xml:space="preserve"> </v>
      </c>
      <c r="CP24" s="260" t="str">
        <f t="shared" si="47"/>
        <v xml:space="preserve"> </v>
      </c>
      <c r="CQ24" s="260" t="str">
        <f t="shared" si="48"/>
        <v xml:space="preserve"> </v>
      </c>
      <c r="CR24" s="260" t="str">
        <f t="shared" si="49"/>
        <v xml:space="preserve"> </v>
      </c>
      <c r="CS24" s="260" t="str">
        <f t="shared" si="50"/>
        <v xml:space="preserve"> </v>
      </c>
      <c r="CT24" s="260" t="str">
        <f t="shared" si="51"/>
        <v xml:space="preserve"> </v>
      </c>
      <c r="CU24" s="260" t="str">
        <f t="shared" si="52"/>
        <v xml:space="preserve"> </v>
      </c>
      <c r="CV24" s="260" t="str">
        <f t="shared" si="53"/>
        <v xml:space="preserve"> </v>
      </c>
      <c r="CW24" s="260" t="str">
        <f t="shared" si="54"/>
        <v xml:space="preserve"> </v>
      </c>
      <c r="CX24" s="547"/>
      <c r="CY24" s="547"/>
      <c r="CZ24" s="547"/>
      <c r="DA24" s="547"/>
      <c r="DB24" s="547"/>
      <c r="DC24" s="547"/>
      <c r="DD24" s="547"/>
      <c r="DE24" s="547"/>
      <c r="DF24" s="547"/>
      <c r="DG24" s="564"/>
      <c r="DH24" s="564"/>
      <c r="DI24" s="564"/>
      <c r="DJ24" s="564"/>
      <c r="DK24" s="564"/>
      <c r="DL24" s="564"/>
      <c r="DM24" s="564"/>
      <c r="DN24" s="564"/>
      <c r="DO24" s="564"/>
      <c r="DP24" s="549" t="str">
        <f t="shared" si="55"/>
        <v xml:space="preserve"> </v>
      </c>
      <c r="DQ24" s="291" t="str">
        <f t="shared" si="56"/>
        <v xml:space="preserve">  </v>
      </c>
      <c r="DR24" s="50" t="str">
        <f t="shared" si="57"/>
        <v xml:space="preserve"> </v>
      </c>
      <c r="DS24" s="282"/>
      <c r="DT24" s="51"/>
      <c r="DU24" s="46" t="str">
        <f t="shared" si="58"/>
        <v xml:space="preserve"> </v>
      </c>
      <c r="DV24" s="46" t="str">
        <f t="shared" si="59"/>
        <v xml:space="preserve"> </v>
      </c>
      <c r="DW24" s="46" t="str">
        <f t="shared" si="60"/>
        <v xml:space="preserve"> </v>
      </c>
      <c r="DX24" s="46" t="str">
        <f t="shared" si="61"/>
        <v xml:space="preserve"> </v>
      </c>
      <c r="DY24" s="46" t="str">
        <f t="shared" si="62"/>
        <v xml:space="preserve"> </v>
      </c>
      <c r="DZ24" s="46" t="str">
        <f t="shared" si="63"/>
        <v xml:space="preserve"> </v>
      </c>
      <c r="EA24" s="46" t="str">
        <f t="shared" si="64"/>
        <v xml:space="preserve"> </v>
      </c>
      <c r="EB24" s="46" t="str">
        <f t="shared" si="65"/>
        <v xml:space="preserve"> </v>
      </c>
      <c r="EC24" s="46" t="str">
        <f t="shared" si="66"/>
        <v xml:space="preserve"> </v>
      </c>
      <c r="ED24" s="46"/>
      <c r="EE24" s="52">
        <f>[2]uts!J23</f>
        <v>71</v>
      </c>
      <c r="EF24" s="51"/>
      <c r="EG24" s="53" t="str">
        <f t="shared" si="67"/>
        <v xml:space="preserve">  </v>
      </c>
      <c r="EH24" s="53" t="str">
        <f t="shared" si="68"/>
        <v xml:space="preserve">  </v>
      </c>
      <c r="EI24" s="53" t="str">
        <f t="shared" si="69"/>
        <v xml:space="preserve">  </v>
      </c>
      <c r="EJ24" s="53" t="str">
        <f t="shared" si="70"/>
        <v xml:space="preserve">  </v>
      </c>
      <c r="EK24" s="53" t="str">
        <f t="shared" si="71"/>
        <v xml:space="preserve">  </v>
      </c>
      <c r="EL24" s="53" t="str">
        <f t="shared" si="72"/>
        <v xml:space="preserve">  </v>
      </c>
      <c r="EM24" s="53" t="str">
        <f t="shared" si="73"/>
        <v xml:space="preserve">  </v>
      </c>
      <c r="EN24" s="53" t="str">
        <f t="shared" si="74"/>
        <v xml:space="preserve">  </v>
      </c>
      <c r="EO24" s="53" t="str">
        <f t="shared" si="75"/>
        <v xml:space="preserve">  </v>
      </c>
      <c r="EP24" s="53"/>
      <c r="EQ24" s="52" t="str">
        <f t="shared" si="76"/>
        <v xml:space="preserve"> </v>
      </c>
      <c r="ER24" s="55">
        <f t="shared" si="77"/>
        <v>0</v>
      </c>
      <c r="ES24" s="55">
        <f t="shared" si="78"/>
        <v>0</v>
      </c>
      <c r="ET24" s="51">
        <f>SISWA!E22</f>
        <v>0</v>
      </c>
      <c r="EU24" s="51" t="str">
        <f t="shared" si="79"/>
        <v/>
      </c>
      <c r="EV24" s="56" t="str">
        <f t="shared" si="80"/>
        <v/>
      </c>
      <c r="EW24" s="57" t="str">
        <f t="shared" si="81"/>
        <v/>
      </c>
      <c r="EX24" s="57" t="str">
        <f t="shared" si="82"/>
        <v/>
      </c>
      <c r="EY24" s="57" t="str">
        <f t="shared" si="83"/>
        <v/>
      </c>
      <c r="EZ24" s="57" t="str">
        <f t="shared" si="84"/>
        <v/>
      </c>
      <c r="FA24" s="57" t="str">
        <f t="shared" si="85"/>
        <v/>
      </c>
      <c r="FB24" s="57" t="str">
        <f t="shared" si="86"/>
        <v/>
      </c>
      <c r="FC24" s="57" t="str">
        <f t="shared" si="87"/>
        <v/>
      </c>
      <c r="FD24" s="57" t="str">
        <f t="shared" si="88"/>
        <v/>
      </c>
      <c r="FE24" s="57"/>
      <c r="FF24" s="58">
        <f t="shared" si="89"/>
        <v>0</v>
      </c>
      <c r="FG24" s="55" t="e">
        <f t="shared" si="90"/>
        <v>#N/A</v>
      </c>
      <c r="FH24" s="58"/>
      <c r="FI24" s="59" t="e">
        <f>IF(ER24&gt;100,"",IF(ER24&gt;DQ$1,"sangat baik dalam "&amp;FG24,IF(ER24&gt;=DQ$2,"baik dalam "&amp;FG24,IF(ER24&gt;=DQ$3,"cukup dalam "&amp;FG24,IF(ER24&lt;DQ$3,"dengan bimbingan dapat meningkatkandalam "&amp;FG24,IF(ER24&lt;1," ",””))))))</f>
        <v>#N/A</v>
      </c>
      <c r="FJ24" s="58"/>
      <c r="FK24" s="57" t="str">
        <f t="shared" si="91"/>
        <v/>
      </c>
      <c r="FL24" s="57" t="str">
        <f t="shared" si="92"/>
        <v/>
      </c>
      <c r="FM24" s="57" t="str">
        <f t="shared" si="93"/>
        <v/>
      </c>
      <c r="FN24" s="57" t="str">
        <f t="shared" si="94"/>
        <v/>
      </c>
      <c r="FO24" s="57" t="str">
        <f t="shared" si="95"/>
        <v/>
      </c>
      <c r="FP24" s="57" t="str">
        <f t="shared" si="96"/>
        <v/>
      </c>
      <c r="FQ24" s="57" t="str">
        <f t="shared" si="97"/>
        <v/>
      </c>
      <c r="FR24" s="57" t="str">
        <f t="shared" si="98"/>
        <v/>
      </c>
      <c r="FS24" s="57" t="str">
        <f t="shared" si="99"/>
        <v/>
      </c>
      <c r="FT24" s="57"/>
      <c r="FU24" s="59" t="e">
        <f t="shared" si="100"/>
        <v>#N/A</v>
      </c>
      <c r="FV24" s="59" t="e">
        <f>IF(ES24&gt;100,"",IF(ES24&gt;DQ$1,"sangat baik dalam "&amp;FU24,IF(ES24&gt;=DQ$2,"baik dalam "&amp;FU24,IF(ES24&gt;=DQ$3,"cukup dalam "&amp;FU24,IF(ES24&lt;DQ$3,"dengan bimbingan dapat meningkatkan dalam "&amp;FU24,IF(ES24&lt;1," ",””))))))</f>
        <v>#N/A</v>
      </c>
      <c r="FW24" s="61"/>
      <c r="FX24" s="62" t="e">
        <f t="shared" si="101"/>
        <v>#N/A</v>
      </c>
      <c r="FY24" s="57" t="str">
        <f t="shared" si="102"/>
        <v/>
      </c>
      <c r="FZ24" s="57" t="str">
        <f t="shared" si="102"/>
        <v/>
      </c>
      <c r="GA24" s="57" t="str">
        <f t="shared" si="102"/>
        <v/>
      </c>
      <c r="GB24" s="57"/>
      <c r="GC24" s="57"/>
      <c r="GD24" s="57"/>
      <c r="GE24" s="59">
        <f t="shared" si="45"/>
        <v>0</v>
      </c>
      <c r="GF24" s="60"/>
      <c r="GG24" s="61"/>
      <c r="GH24" s="62" t="str">
        <f t="shared" si="103"/>
        <v>, 0</v>
      </c>
      <c r="GI24" s="4" t="str">
        <f t="shared" si="104"/>
        <v xml:space="preserve">  FALSEFALSEFALSE      </v>
      </c>
    </row>
    <row r="25" spans="1:191" ht="42.75" customHeight="1">
      <c r="A25" s="39">
        <v>18</v>
      </c>
      <c r="B25" s="283">
        <f>SISWA!B23</f>
        <v>0</v>
      </c>
      <c r="C25" s="123"/>
      <c r="D25" s="123"/>
      <c r="E25" s="123"/>
      <c r="F25" s="123"/>
      <c r="G25" s="123"/>
      <c r="H25" s="123"/>
      <c r="I25" s="123"/>
      <c r="J25" s="123"/>
      <c r="K25" s="123"/>
      <c r="L25" s="256"/>
      <c r="M25" s="256"/>
      <c r="N25" s="256"/>
      <c r="O25" s="256"/>
      <c r="P25" s="256"/>
      <c r="Q25" s="256"/>
      <c r="R25" s="256"/>
      <c r="S25" s="256"/>
      <c r="T25" s="256"/>
      <c r="U25" s="123"/>
      <c r="V25" s="123"/>
      <c r="W25" s="123"/>
      <c r="X25" s="123"/>
      <c r="Y25" s="123"/>
      <c r="Z25" s="123"/>
      <c r="AA25" s="123"/>
      <c r="AB25" s="123"/>
      <c r="AC25" s="123"/>
      <c r="AD25" s="256"/>
      <c r="AE25" s="256"/>
      <c r="AF25" s="256"/>
      <c r="AG25" s="256"/>
      <c r="AH25" s="256"/>
      <c r="AI25" s="256"/>
      <c r="AJ25" s="256"/>
      <c r="AK25" s="256"/>
      <c r="AL25" s="256"/>
      <c r="AM25" s="123"/>
      <c r="AN25" s="123"/>
      <c r="AO25" s="123"/>
      <c r="AP25" s="123"/>
      <c r="AQ25" s="123"/>
      <c r="AR25" s="123"/>
      <c r="AS25" s="123"/>
      <c r="AT25" s="123"/>
      <c r="AU25" s="123"/>
      <c r="AV25" s="256"/>
      <c r="AW25" s="256"/>
      <c r="AX25" s="256"/>
      <c r="AY25" s="256"/>
      <c r="AZ25" s="256"/>
      <c r="BA25" s="256"/>
      <c r="BB25" s="256"/>
      <c r="BC25" s="256"/>
      <c r="BD25" s="256"/>
      <c r="BE25" s="123"/>
      <c r="BF25" s="123"/>
      <c r="BG25" s="123"/>
      <c r="BH25" s="123"/>
      <c r="BI25" s="123"/>
      <c r="BJ25" s="123"/>
      <c r="BK25" s="123"/>
      <c r="BL25" s="123"/>
      <c r="BM25" s="123"/>
      <c r="BN25" s="256"/>
      <c r="BO25" s="256"/>
      <c r="BP25" s="256"/>
      <c r="BQ25" s="256"/>
      <c r="BR25" s="256"/>
      <c r="BS25" s="256"/>
      <c r="BT25" s="256"/>
      <c r="BU25" s="256"/>
      <c r="BV25" s="256"/>
      <c r="BW25" s="460"/>
      <c r="BX25" s="460"/>
      <c r="BY25" s="460"/>
      <c r="BZ25" s="460"/>
      <c r="CA25" s="460"/>
      <c r="CB25" s="460"/>
      <c r="CC25" s="460"/>
      <c r="CD25" s="460"/>
      <c r="CE25" s="460"/>
      <c r="CF25" s="346"/>
      <c r="CG25" s="346"/>
      <c r="CH25" s="346"/>
      <c r="CI25" s="346"/>
      <c r="CJ25" s="346"/>
      <c r="CK25" s="346"/>
      <c r="CL25" s="346"/>
      <c r="CM25" s="346"/>
      <c r="CN25" s="346"/>
      <c r="CO25" s="260" t="str">
        <f t="shared" si="46"/>
        <v xml:space="preserve"> </v>
      </c>
      <c r="CP25" s="260" t="str">
        <f t="shared" si="47"/>
        <v xml:space="preserve"> </v>
      </c>
      <c r="CQ25" s="260" t="str">
        <f t="shared" si="48"/>
        <v xml:space="preserve"> </v>
      </c>
      <c r="CR25" s="260" t="str">
        <f t="shared" si="49"/>
        <v xml:space="preserve"> </v>
      </c>
      <c r="CS25" s="260" t="str">
        <f t="shared" si="50"/>
        <v xml:space="preserve"> </v>
      </c>
      <c r="CT25" s="260" t="str">
        <f t="shared" si="51"/>
        <v xml:space="preserve"> </v>
      </c>
      <c r="CU25" s="260" t="str">
        <f t="shared" si="52"/>
        <v xml:space="preserve"> </v>
      </c>
      <c r="CV25" s="260" t="str">
        <f t="shared" si="53"/>
        <v xml:space="preserve"> </v>
      </c>
      <c r="CW25" s="260" t="str">
        <f t="shared" si="54"/>
        <v xml:space="preserve"> </v>
      </c>
      <c r="CX25" s="547"/>
      <c r="CY25" s="547"/>
      <c r="CZ25" s="547"/>
      <c r="DA25" s="547"/>
      <c r="DB25" s="547"/>
      <c r="DC25" s="547"/>
      <c r="DD25" s="547"/>
      <c r="DE25" s="547"/>
      <c r="DF25" s="547"/>
      <c r="DG25" s="564"/>
      <c r="DH25" s="564"/>
      <c r="DI25" s="564"/>
      <c r="DJ25" s="564"/>
      <c r="DK25" s="564"/>
      <c r="DL25" s="564"/>
      <c r="DM25" s="564"/>
      <c r="DN25" s="564"/>
      <c r="DO25" s="564"/>
      <c r="DP25" s="549" t="str">
        <f t="shared" si="55"/>
        <v xml:space="preserve"> </v>
      </c>
      <c r="DQ25" s="291" t="str">
        <f t="shared" si="56"/>
        <v xml:space="preserve">  </v>
      </c>
      <c r="DR25" s="50" t="str">
        <f t="shared" si="57"/>
        <v xml:space="preserve"> </v>
      </c>
      <c r="DS25" s="282"/>
      <c r="DT25" s="51"/>
      <c r="DU25" s="46" t="str">
        <f t="shared" si="58"/>
        <v xml:space="preserve"> </v>
      </c>
      <c r="DV25" s="46" t="str">
        <f t="shared" si="59"/>
        <v xml:space="preserve"> </v>
      </c>
      <c r="DW25" s="46" t="str">
        <f t="shared" si="60"/>
        <v xml:space="preserve"> </v>
      </c>
      <c r="DX25" s="46" t="str">
        <f t="shared" si="61"/>
        <v xml:space="preserve"> </v>
      </c>
      <c r="DY25" s="46" t="str">
        <f t="shared" si="62"/>
        <v xml:space="preserve"> </v>
      </c>
      <c r="DZ25" s="46" t="str">
        <f t="shared" si="63"/>
        <v xml:space="preserve"> </v>
      </c>
      <c r="EA25" s="46" t="str">
        <f t="shared" si="64"/>
        <v xml:space="preserve"> </v>
      </c>
      <c r="EB25" s="46" t="str">
        <f t="shared" si="65"/>
        <v xml:space="preserve"> </v>
      </c>
      <c r="EC25" s="46" t="str">
        <f t="shared" si="66"/>
        <v xml:space="preserve"> </v>
      </c>
      <c r="ED25" s="46"/>
      <c r="EE25" s="52">
        <f>[2]uts!J24</f>
        <v>74.333333333333329</v>
      </c>
      <c r="EF25" s="51"/>
      <c r="EG25" s="53" t="str">
        <f t="shared" si="67"/>
        <v xml:space="preserve">  </v>
      </c>
      <c r="EH25" s="53" t="str">
        <f t="shared" si="68"/>
        <v xml:space="preserve">  </v>
      </c>
      <c r="EI25" s="53" t="str">
        <f t="shared" si="69"/>
        <v xml:space="preserve">  </v>
      </c>
      <c r="EJ25" s="53" t="str">
        <f t="shared" si="70"/>
        <v xml:space="preserve">  </v>
      </c>
      <c r="EK25" s="53" t="str">
        <f t="shared" si="71"/>
        <v xml:space="preserve">  </v>
      </c>
      <c r="EL25" s="53" t="str">
        <f t="shared" si="72"/>
        <v xml:space="preserve">  </v>
      </c>
      <c r="EM25" s="53" t="str">
        <f t="shared" si="73"/>
        <v xml:space="preserve">  </v>
      </c>
      <c r="EN25" s="53" t="str">
        <f t="shared" si="74"/>
        <v xml:space="preserve">  </v>
      </c>
      <c r="EO25" s="53" t="str">
        <f t="shared" si="75"/>
        <v xml:space="preserve">  </v>
      </c>
      <c r="EP25" s="53"/>
      <c r="EQ25" s="52" t="str">
        <f t="shared" si="76"/>
        <v xml:space="preserve"> </v>
      </c>
      <c r="ER25" s="55">
        <f t="shared" si="77"/>
        <v>0</v>
      </c>
      <c r="ES25" s="55">
        <f t="shared" si="78"/>
        <v>0</v>
      </c>
      <c r="ET25" s="51">
        <f>SISWA!E23</f>
        <v>0</v>
      </c>
      <c r="EU25" s="51" t="str">
        <f t="shared" si="79"/>
        <v/>
      </c>
      <c r="EV25" s="56" t="str">
        <f t="shared" si="80"/>
        <v/>
      </c>
      <c r="EW25" s="57" t="str">
        <f t="shared" si="81"/>
        <v/>
      </c>
      <c r="EX25" s="57" t="str">
        <f t="shared" si="82"/>
        <v/>
      </c>
      <c r="EY25" s="57" t="str">
        <f t="shared" si="83"/>
        <v/>
      </c>
      <c r="EZ25" s="57" t="str">
        <f t="shared" si="84"/>
        <v/>
      </c>
      <c r="FA25" s="57" t="str">
        <f t="shared" si="85"/>
        <v/>
      </c>
      <c r="FB25" s="57" t="str">
        <f t="shared" si="86"/>
        <v/>
      </c>
      <c r="FC25" s="57" t="str">
        <f t="shared" si="87"/>
        <v/>
      </c>
      <c r="FD25" s="57" t="str">
        <f t="shared" si="88"/>
        <v/>
      </c>
      <c r="FE25" s="57"/>
      <c r="FF25" s="58">
        <f t="shared" si="89"/>
        <v>0</v>
      </c>
      <c r="FG25" s="55" t="e">
        <f t="shared" si="90"/>
        <v>#N/A</v>
      </c>
      <c r="FH25" s="58"/>
      <c r="FI25" s="59" t="e">
        <f>IF(ER25&gt;100,"",IF(ER25&gt;DQ$1,"sangat baik dalam "&amp;FG25,IF(ER25&gt;=DQ$2,"baik dalam "&amp;FG25,IF(ER25&gt;=DQ$3,"cukup dalam "&amp;FG25,IF(ER25&lt;DQ$3,"dengan bimbingan dapat meningkatkandalam "&amp;FG25,IF(ER25&lt;1," ",””))))))</f>
        <v>#N/A</v>
      </c>
      <c r="FJ25" s="58"/>
      <c r="FK25" s="57" t="str">
        <f t="shared" si="91"/>
        <v/>
      </c>
      <c r="FL25" s="57" t="str">
        <f t="shared" si="92"/>
        <v/>
      </c>
      <c r="FM25" s="57" t="str">
        <f t="shared" si="93"/>
        <v/>
      </c>
      <c r="FN25" s="57" t="str">
        <f t="shared" si="94"/>
        <v/>
      </c>
      <c r="FO25" s="57" t="str">
        <f t="shared" si="95"/>
        <v/>
      </c>
      <c r="FP25" s="57" t="str">
        <f t="shared" si="96"/>
        <v/>
      </c>
      <c r="FQ25" s="57" t="str">
        <f t="shared" si="97"/>
        <v/>
      </c>
      <c r="FR25" s="57" t="str">
        <f t="shared" si="98"/>
        <v/>
      </c>
      <c r="FS25" s="57" t="str">
        <f t="shared" si="99"/>
        <v/>
      </c>
      <c r="FT25" s="57"/>
      <c r="FU25" s="59" t="e">
        <f t="shared" si="100"/>
        <v>#N/A</v>
      </c>
      <c r="FV25" s="59" t="e">
        <f>IF(ES25&gt;100,"",IF(ES25&gt;DQ$1,"sangat baik dalam "&amp;FU25,IF(ES25&gt;=DQ$2,"baik dalam "&amp;FU25,IF(ES25&gt;=DQ$3,"cukup dalam "&amp;FU25,IF(ES25&lt;DQ$3,"dengan bimbingan dapat meningkatkan dalam "&amp;FU25,IF(ES25&lt;1," ",””))))))</f>
        <v>#N/A</v>
      </c>
      <c r="FW25" s="61"/>
      <c r="FX25" s="62" t="e">
        <f t="shared" si="101"/>
        <v>#N/A</v>
      </c>
      <c r="FY25" s="57" t="str">
        <f t="shared" si="102"/>
        <v/>
      </c>
      <c r="FZ25" s="57" t="str">
        <f t="shared" si="102"/>
        <v/>
      </c>
      <c r="GA25" s="57" t="str">
        <f t="shared" si="102"/>
        <v/>
      </c>
      <c r="GB25" s="57"/>
      <c r="GC25" s="57"/>
      <c r="GD25" s="57"/>
      <c r="GE25" s="59">
        <f t="shared" si="45"/>
        <v>0</v>
      </c>
      <c r="GF25" s="60"/>
      <c r="GG25" s="61"/>
      <c r="GH25" s="62" t="str">
        <f t="shared" si="103"/>
        <v>, 0</v>
      </c>
      <c r="GI25" s="4" t="str">
        <f t="shared" si="104"/>
        <v xml:space="preserve">  FALSEFALSEFALSE      </v>
      </c>
    </row>
    <row r="26" spans="1:191" ht="42.75" customHeight="1">
      <c r="A26" s="39">
        <v>19</v>
      </c>
      <c r="B26" s="283">
        <f>SISWA!B24</f>
        <v>0</v>
      </c>
      <c r="C26" s="123"/>
      <c r="D26" s="123"/>
      <c r="E26" s="123"/>
      <c r="F26" s="123"/>
      <c r="G26" s="123"/>
      <c r="H26" s="123"/>
      <c r="I26" s="123"/>
      <c r="J26" s="123"/>
      <c r="K26" s="123"/>
      <c r="L26" s="256"/>
      <c r="M26" s="256"/>
      <c r="N26" s="256"/>
      <c r="O26" s="256"/>
      <c r="P26" s="256"/>
      <c r="Q26" s="256"/>
      <c r="R26" s="256"/>
      <c r="S26" s="256"/>
      <c r="T26" s="256"/>
      <c r="U26" s="123"/>
      <c r="V26" s="123"/>
      <c r="W26" s="123"/>
      <c r="X26" s="123"/>
      <c r="Y26" s="123"/>
      <c r="Z26" s="123"/>
      <c r="AA26" s="123"/>
      <c r="AB26" s="123"/>
      <c r="AC26" s="123"/>
      <c r="AD26" s="256"/>
      <c r="AE26" s="256"/>
      <c r="AF26" s="256"/>
      <c r="AG26" s="256"/>
      <c r="AH26" s="256"/>
      <c r="AI26" s="256"/>
      <c r="AJ26" s="256"/>
      <c r="AK26" s="256"/>
      <c r="AL26" s="256"/>
      <c r="AM26" s="123"/>
      <c r="AN26" s="123"/>
      <c r="AO26" s="123"/>
      <c r="AP26" s="123"/>
      <c r="AQ26" s="123"/>
      <c r="AR26" s="123"/>
      <c r="AS26" s="123"/>
      <c r="AT26" s="123"/>
      <c r="AU26" s="123"/>
      <c r="AV26" s="256"/>
      <c r="AW26" s="256"/>
      <c r="AX26" s="256"/>
      <c r="AY26" s="256"/>
      <c r="AZ26" s="256"/>
      <c r="BA26" s="256"/>
      <c r="BB26" s="256"/>
      <c r="BC26" s="256"/>
      <c r="BD26" s="256"/>
      <c r="BE26" s="123"/>
      <c r="BF26" s="123"/>
      <c r="BG26" s="123"/>
      <c r="BH26" s="123"/>
      <c r="BI26" s="123"/>
      <c r="BJ26" s="123"/>
      <c r="BK26" s="123"/>
      <c r="BL26" s="123"/>
      <c r="BM26" s="123"/>
      <c r="BN26" s="256"/>
      <c r="BO26" s="256"/>
      <c r="BP26" s="256"/>
      <c r="BQ26" s="256"/>
      <c r="BR26" s="256"/>
      <c r="BS26" s="256"/>
      <c r="BT26" s="256"/>
      <c r="BU26" s="256"/>
      <c r="BV26" s="256"/>
      <c r="BW26" s="460"/>
      <c r="BX26" s="460"/>
      <c r="BY26" s="460"/>
      <c r="BZ26" s="460"/>
      <c r="CA26" s="460"/>
      <c r="CB26" s="460"/>
      <c r="CC26" s="460"/>
      <c r="CD26" s="460"/>
      <c r="CE26" s="460"/>
      <c r="CF26" s="346"/>
      <c r="CG26" s="346"/>
      <c r="CH26" s="346"/>
      <c r="CI26" s="346"/>
      <c r="CJ26" s="346"/>
      <c r="CK26" s="346"/>
      <c r="CL26" s="346"/>
      <c r="CM26" s="346"/>
      <c r="CN26" s="346"/>
      <c r="CO26" s="260" t="str">
        <f t="shared" si="46"/>
        <v xml:space="preserve"> </v>
      </c>
      <c r="CP26" s="260" t="str">
        <f t="shared" si="47"/>
        <v xml:space="preserve"> </v>
      </c>
      <c r="CQ26" s="260" t="str">
        <f t="shared" si="48"/>
        <v xml:space="preserve"> </v>
      </c>
      <c r="CR26" s="260" t="str">
        <f t="shared" si="49"/>
        <v xml:space="preserve"> </v>
      </c>
      <c r="CS26" s="260" t="str">
        <f t="shared" si="50"/>
        <v xml:space="preserve"> </v>
      </c>
      <c r="CT26" s="260" t="str">
        <f t="shared" si="51"/>
        <v xml:space="preserve"> </v>
      </c>
      <c r="CU26" s="260" t="str">
        <f t="shared" si="52"/>
        <v xml:space="preserve"> </v>
      </c>
      <c r="CV26" s="260" t="str">
        <f t="shared" si="53"/>
        <v xml:space="preserve"> </v>
      </c>
      <c r="CW26" s="260" t="str">
        <f t="shared" si="54"/>
        <v xml:space="preserve"> </v>
      </c>
      <c r="CX26" s="547"/>
      <c r="CY26" s="547"/>
      <c r="CZ26" s="547"/>
      <c r="DA26" s="547"/>
      <c r="DB26" s="547"/>
      <c r="DC26" s="547"/>
      <c r="DD26" s="547"/>
      <c r="DE26" s="547"/>
      <c r="DF26" s="547"/>
      <c r="DG26" s="564"/>
      <c r="DH26" s="564"/>
      <c r="DI26" s="564"/>
      <c r="DJ26" s="564"/>
      <c r="DK26" s="564"/>
      <c r="DL26" s="564"/>
      <c r="DM26" s="564"/>
      <c r="DN26" s="564"/>
      <c r="DO26" s="564"/>
      <c r="DP26" s="549" t="str">
        <f t="shared" si="55"/>
        <v xml:space="preserve"> </v>
      </c>
      <c r="DQ26" s="291" t="str">
        <f t="shared" si="56"/>
        <v xml:space="preserve">  </v>
      </c>
      <c r="DR26" s="50" t="str">
        <f t="shared" si="57"/>
        <v xml:space="preserve"> </v>
      </c>
      <c r="DS26" s="282"/>
      <c r="DT26" s="51"/>
      <c r="DU26" s="46" t="str">
        <f t="shared" si="58"/>
        <v xml:space="preserve"> </v>
      </c>
      <c r="DV26" s="46" t="str">
        <f t="shared" si="59"/>
        <v xml:space="preserve"> </v>
      </c>
      <c r="DW26" s="46" t="str">
        <f t="shared" si="60"/>
        <v xml:space="preserve"> </v>
      </c>
      <c r="DX26" s="46" t="str">
        <f t="shared" si="61"/>
        <v xml:space="preserve"> </v>
      </c>
      <c r="DY26" s="46" t="str">
        <f t="shared" si="62"/>
        <v xml:space="preserve"> </v>
      </c>
      <c r="DZ26" s="46" t="str">
        <f t="shared" si="63"/>
        <v xml:space="preserve"> </v>
      </c>
      <c r="EA26" s="46" t="str">
        <f t="shared" si="64"/>
        <v xml:space="preserve"> </v>
      </c>
      <c r="EB26" s="46" t="str">
        <f t="shared" si="65"/>
        <v xml:space="preserve"> </v>
      </c>
      <c r="EC26" s="46" t="str">
        <f t="shared" si="66"/>
        <v xml:space="preserve"> </v>
      </c>
      <c r="ED26" s="46"/>
      <c r="EE26" s="52">
        <f>[2]uts!J25</f>
        <v>77.666666666666671</v>
      </c>
      <c r="EF26" s="51"/>
      <c r="EG26" s="53" t="str">
        <f t="shared" si="67"/>
        <v xml:space="preserve">  </v>
      </c>
      <c r="EH26" s="53" t="str">
        <f t="shared" si="68"/>
        <v xml:space="preserve">  </v>
      </c>
      <c r="EI26" s="53" t="str">
        <f t="shared" si="69"/>
        <v xml:space="preserve">  </v>
      </c>
      <c r="EJ26" s="53" t="str">
        <f t="shared" si="70"/>
        <v xml:space="preserve">  </v>
      </c>
      <c r="EK26" s="53" t="str">
        <f t="shared" si="71"/>
        <v xml:space="preserve">  </v>
      </c>
      <c r="EL26" s="53" t="str">
        <f t="shared" si="72"/>
        <v xml:space="preserve">  </v>
      </c>
      <c r="EM26" s="53" t="str">
        <f t="shared" si="73"/>
        <v xml:space="preserve">  </v>
      </c>
      <c r="EN26" s="53" t="str">
        <f t="shared" si="74"/>
        <v xml:space="preserve">  </v>
      </c>
      <c r="EO26" s="53" t="str">
        <f t="shared" si="75"/>
        <v xml:space="preserve">  </v>
      </c>
      <c r="EP26" s="53"/>
      <c r="EQ26" s="52" t="str">
        <f t="shared" si="76"/>
        <v xml:space="preserve"> </v>
      </c>
      <c r="ER26" s="55">
        <f t="shared" si="77"/>
        <v>0</v>
      </c>
      <c r="ES26" s="55">
        <f t="shared" si="78"/>
        <v>0</v>
      </c>
      <c r="ET26" s="51">
        <f>SISWA!E24</f>
        <v>0</v>
      </c>
      <c r="EU26" s="51" t="str">
        <f t="shared" si="79"/>
        <v/>
      </c>
      <c r="EV26" s="56" t="str">
        <f t="shared" si="80"/>
        <v/>
      </c>
      <c r="EW26" s="57" t="str">
        <f t="shared" si="81"/>
        <v/>
      </c>
      <c r="EX26" s="57" t="str">
        <f t="shared" si="82"/>
        <v/>
      </c>
      <c r="EY26" s="57" t="str">
        <f t="shared" si="83"/>
        <v/>
      </c>
      <c r="EZ26" s="57" t="str">
        <f t="shared" si="84"/>
        <v/>
      </c>
      <c r="FA26" s="57" t="str">
        <f t="shared" si="85"/>
        <v/>
      </c>
      <c r="FB26" s="57" t="str">
        <f t="shared" si="86"/>
        <v/>
      </c>
      <c r="FC26" s="57" t="str">
        <f t="shared" si="87"/>
        <v/>
      </c>
      <c r="FD26" s="57" t="str">
        <f t="shared" si="88"/>
        <v/>
      </c>
      <c r="FE26" s="57"/>
      <c r="FF26" s="58">
        <f t="shared" si="89"/>
        <v>0</v>
      </c>
      <c r="FG26" s="55" t="e">
        <f t="shared" si="90"/>
        <v>#N/A</v>
      </c>
      <c r="FH26" s="58"/>
      <c r="FI26" s="59" t="e">
        <f>IF(ER26&gt;100,"",IF(ER26&gt;DQ$1,"sangat baik dalam "&amp;FG26,IF(ER26&gt;=DQ$2,"baik dalam "&amp;FG26,IF(ER26&gt;=DQ$3,"cukup dalam "&amp;FG26,IF(ER26&lt;DQ$3,"dengan bimbingan dapat meningkatkandalam "&amp;FG26,IF(ER26&lt;1," ",””))))))</f>
        <v>#N/A</v>
      </c>
      <c r="FJ26" s="58"/>
      <c r="FK26" s="57" t="str">
        <f t="shared" si="91"/>
        <v/>
      </c>
      <c r="FL26" s="57" t="str">
        <f t="shared" si="92"/>
        <v/>
      </c>
      <c r="FM26" s="57" t="str">
        <f t="shared" si="93"/>
        <v/>
      </c>
      <c r="FN26" s="57" t="str">
        <f t="shared" si="94"/>
        <v/>
      </c>
      <c r="FO26" s="57" t="str">
        <f t="shared" si="95"/>
        <v/>
      </c>
      <c r="FP26" s="57" t="str">
        <f t="shared" si="96"/>
        <v/>
      </c>
      <c r="FQ26" s="57" t="str">
        <f t="shared" si="97"/>
        <v/>
      </c>
      <c r="FR26" s="57" t="str">
        <f t="shared" si="98"/>
        <v/>
      </c>
      <c r="FS26" s="57" t="str">
        <f t="shared" si="99"/>
        <v/>
      </c>
      <c r="FT26" s="57"/>
      <c r="FU26" s="59" t="e">
        <f t="shared" si="100"/>
        <v>#N/A</v>
      </c>
      <c r="FV26" s="59" t="e">
        <f>IF(ES26&gt;100,"",IF(ES26&gt;DQ$1,"sangat baik dalam "&amp;FU26,IF(ES26&gt;=DQ$2,"baik dalam "&amp;FU26,IF(ES26&gt;=DQ$3,"cukup dalam "&amp;FU26,IF(ES26&lt;DQ$3,"dengan bimbingan dapat meningkatkan dalam "&amp;FU26,IF(ES26&lt;1," ",””))))))</f>
        <v>#N/A</v>
      </c>
      <c r="FW26" s="61"/>
      <c r="FX26" s="62" t="e">
        <f t="shared" si="101"/>
        <v>#N/A</v>
      </c>
      <c r="FY26" s="57" t="str">
        <f t="shared" si="102"/>
        <v/>
      </c>
      <c r="FZ26" s="57" t="str">
        <f t="shared" si="102"/>
        <v/>
      </c>
      <c r="GA26" s="57" t="str">
        <f t="shared" si="102"/>
        <v/>
      </c>
      <c r="GB26" s="57"/>
      <c r="GC26" s="57"/>
      <c r="GD26" s="57"/>
      <c r="GE26" s="59">
        <f t="shared" si="45"/>
        <v>0</v>
      </c>
      <c r="GF26" s="60"/>
      <c r="GG26" s="61"/>
      <c r="GH26" s="62" t="str">
        <f t="shared" si="103"/>
        <v>, 0</v>
      </c>
      <c r="GI26" s="4" t="str">
        <f t="shared" si="104"/>
        <v xml:space="preserve">  FALSEFALSEFALSE      </v>
      </c>
    </row>
    <row r="27" spans="1:191" ht="42.75" customHeight="1">
      <c r="A27" s="39">
        <v>20</v>
      </c>
      <c r="B27" s="283">
        <f>SISWA!B25</f>
        <v>0</v>
      </c>
      <c r="C27" s="123"/>
      <c r="D27" s="123"/>
      <c r="E27" s="123"/>
      <c r="F27" s="123"/>
      <c r="G27" s="123"/>
      <c r="H27" s="123"/>
      <c r="I27" s="123"/>
      <c r="J27" s="123"/>
      <c r="K27" s="123"/>
      <c r="L27" s="256"/>
      <c r="M27" s="256"/>
      <c r="N27" s="256"/>
      <c r="O27" s="256"/>
      <c r="P27" s="256"/>
      <c r="Q27" s="256"/>
      <c r="R27" s="256"/>
      <c r="S27" s="256"/>
      <c r="T27" s="256"/>
      <c r="U27" s="123"/>
      <c r="V27" s="123"/>
      <c r="W27" s="123"/>
      <c r="X27" s="123"/>
      <c r="Y27" s="123"/>
      <c r="Z27" s="123"/>
      <c r="AA27" s="123"/>
      <c r="AB27" s="123"/>
      <c r="AC27" s="123"/>
      <c r="AD27" s="256"/>
      <c r="AE27" s="256"/>
      <c r="AF27" s="256"/>
      <c r="AG27" s="256"/>
      <c r="AH27" s="256"/>
      <c r="AI27" s="256"/>
      <c r="AJ27" s="256"/>
      <c r="AK27" s="256"/>
      <c r="AL27" s="256"/>
      <c r="AM27" s="123"/>
      <c r="AN27" s="123"/>
      <c r="AO27" s="123"/>
      <c r="AP27" s="123"/>
      <c r="AQ27" s="123"/>
      <c r="AR27" s="123"/>
      <c r="AS27" s="123"/>
      <c r="AT27" s="123"/>
      <c r="AU27" s="123"/>
      <c r="AV27" s="256"/>
      <c r="AW27" s="256"/>
      <c r="AX27" s="256"/>
      <c r="AY27" s="256"/>
      <c r="AZ27" s="256"/>
      <c r="BA27" s="256"/>
      <c r="BB27" s="256"/>
      <c r="BC27" s="256"/>
      <c r="BD27" s="256"/>
      <c r="BE27" s="123"/>
      <c r="BF27" s="123"/>
      <c r="BG27" s="123"/>
      <c r="BH27" s="123"/>
      <c r="BI27" s="123"/>
      <c r="BJ27" s="123"/>
      <c r="BK27" s="123"/>
      <c r="BL27" s="123"/>
      <c r="BM27" s="123"/>
      <c r="BN27" s="256"/>
      <c r="BO27" s="256"/>
      <c r="BP27" s="256"/>
      <c r="BQ27" s="256"/>
      <c r="BR27" s="256"/>
      <c r="BS27" s="256"/>
      <c r="BT27" s="256"/>
      <c r="BU27" s="256"/>
      <c r="BV27" s="256"/>
      <c r="BW27" s="460"/>
      <c r="BX27" s="460"/>
      <c r="BY27" s="460"/>
      <c r="BZ27" s="460"/>
      <c r="CA27" s="460"/>
      <c r="CB27" s="460"/>
      <c r="CC27" s="460"/>
      <c r="CD27" s="460"/>
      <c r="CE27" s="460"/>
      <c r="CF27" s="346"/>
      <c r="CG27" s="346"/>
      <c r="CH27" s="346"/>
      <c r="CI27" s="346"/>
      <c r="CJ27" s="346"/>
      <c r="CK27" s="346"/>
      <c r="CL27" s="346"/>
      <c r="CM27" s="346"/>
      <c r="CN27" s="346"/>
      <c r="CO27" s="260" t="str">
        <f t="shared" si="46"/>
        <v xml:space="preserve"> </v>
      </c>
      <c r="CP27" s="260" t="str">
        <f t="shared" si="47"/>
        <v xml:space="preserve"> </v>
      </c>
      <c r="CQ27" s="260" t="str">
        <f t="shared" si="48"/>
        <v xml:space="preserve"> </v>
      </c>
      <c r="CR27" s="260" t="str">
        <f t="shared" si="49"/>
        <v xml:space="preserve"> </v>
      </c>
      <c r="CS27" s="260" t="str">
        <f t="shared" si="50"/>
        <v xml:space="preserve"> </v>
      </c>
      <c r="CT27" s="260" t="str">
        <f t="shared" si="51"/>
        <v xml:space="preserve"> </v>
      </c>
      <c r="CU27" s="260" t="str">
        <f t="shared" si="52"/>
        <v xml:space="preserve"> </v>
      </c>
      <c r="CV27" s="260" t="str">
        <f t="shared" si="53"/>
        <v xml:space="preserve"> </v>
      </c>
      <c r="CW27" s="260" t="str">
        <f t="shared" si="54"/>
        <v xml:space="preserve"> </v>
      </c>
      <c r="CX27" s="547"/>
      <c r="CY27" s="547"/>
      <c r="CZ27" s="547"/>
      <c r="DA27" s="547"/>
      <c r="DB27" s="547"/>
      <c r="DC27" s="547"/>
      <c r="DD27" s="547"/>
      <c r="DE27" s="547"/>
      <c r="DF27" s="547"/>
      <c r="DG27" s="564"/>
      <c r="DH27" s="564"/>
      <c r="DI27" s="564"/>
      <c r="DJ27" s="564"/>
      <c r="DK27" s="564"/>
      <c r="DL27" s="564"/>
      <c r="DM27" s="564"/>
      <c r="DN27" s="564"/>
      <c r="DO27" s="564"/>
      <c r="DP27" s="549" t="str">
        <f t="shared" si="55"/>
        <v xml:space="preserve"> </v>
      </c>
      <c r="DQ27" s="291" t="str">
        <f t="shared" si="56"/>
        <v xml:space="preserve">  </v>
      </c>
      <c r="DR27" s="50" t="str">
        <f t="shared" si="57"/>
        <v xml:space="preserve"> </v>
      </c>
      <c r="DS27" s="282"/>
      <c r="DT27" s="51"/>
      <c r="DU27" s="46" t="str">
        <f t="shared" si="58"/>
        <v xml:space="preserve"> </v>
      </c>
      <c r="DV27" s="46" t="str">
        <f t="shared" si="59"/>
        <v xml:space="preserve"> </v>
      </c>
      <c r="DW27" s="46" t="str">
        <f t="shared" si="60"/>
        <v xml:space="preserve"> </v>
      </c>
      <c r="DX27" s="46" t="str">
        <f t="shared" si="61"/>
        <v xml:space="preserve"> </v>
      </c>
      <c r="DY27" s="46" t="str">
        <f t="shared" si="62"/>
        <v xml:space="preserve"> </v>
      </c>
      <c r="DZ27" s="46" t="str">
        <f t="shared" si="63"/>
        <v xml:space="preserve"> </v>
      </c>
      <c r="EA27" s="46" t="str">
        <f t="shared" si="64"/>
        <v xml:space="preserve"> </v>
      </c>
      <c r="EB27" s="46" t="str">
        <f t="shared" si="65"/>
        <v xml:space="preserve"> </v>
      </c>
      <c r="EC27" s="46" t="str">
        <f t="shared" si="66"/>
        <v xml:space="preserve"> </v>
      </c>
      <c r="ED27" s="46"/>
      <c r="EE27" s="52">
        <f>[2]uts!J26</f>
        <v>72</v>
      </c>
      <c r="EF27" s="51"/>
      <c r="EG27" s="53" t="str">
        <f t="shared" si="67"/>
        <v xml:space="preserve">  </v>
      </c>
      <c r="EH27" s="53" t="str">
        <f t="shared" si="68"/>
        <v xml:space="preserve">  </v>
      </c>
      <c r="EI27" s="53" t="str">
        <f t="shared" si="69"/>
        <v xml:space="preserve">  </v>
      </c>
      <c r="EJ27" s="53" t="str">
        <f t="shared" si="70"/>
        <v xml:space="preserve">  </v>
      </c>
      <c r="EK27" s="53" t="str">
        <f t="shared" si="71"/>
        <v xml:space="preserve">  </v>
      </c>
      <c r="EL27" s="53" t="str">
        <f t="shared" si="72"/>
        <v xml:space="preserve">  </v>
      </c>
      <c r="EM27" s="53" t="str">
        <f t="shared" si="73"/>
        <v xml:space="preserve">  </v>
      </c>
      <c r="EN27" s="53" t="str">
        <f t="shared" si="74"/>
        <v xml:space="preserve">  </v>
      </c>
      <c r="EO27" s="53" t="str">
        <f t="shared" si="75"/>
        <v xml:space="preserve">  </v>
      </c>
      <c r="EP27" s="53"/>
      <c r="EQ27" s="52" t="str">
        <f t="shared" si="76"/>
        <v xml:space="preserve"> </v>
      </c>
      <c r="ER27" s="55">
        <f t="shared" si="77"/>
        <v>0</v>
      </c>
      <c r="ES27" s="55">
        <f t="shared" si="78"/>
        <v>0</v>
      </c>
      <c r="ET27" s="51">
        <f>SISWA!E25</f>
        <v>0</v>
      </c>
      <c r="EU27" s="51" t="str">
        <f t="shared" si="79"/>
        <v/>
      </c>
      <c r="EV27" s="56" t="str">
        <f t="shared" si="80"/>
        <v/>
      </c>
      <c r="EW27" s="57" t="str">
        <f t="shared" si="81"/>
        <v/>
      </c>
      <c r="EX27" s="57" t="str">
        <f t="shared" si="82"/>
        <v/>
      </c>
      <c r="EY27" s="57" t="str">
        <f t="shared" si="83"/>
        <v/>
      </c>
      <c r="EZ27" s="57" t="str">
        <f t="shared" si="84"/>
        <v/>
      </c>
      <c r="FA27" s="57" t="str">
        <f t="shared" si="85"/>
        <v/>
      </c>
      <c r="FB27" s="57" t="str">
        <f t="shared" si="86"/>
        <v/>
      </c>
      <c r="FC27" s="57" t="str">
        <f t="shared" si="87"/>
        <v/>
      </c>
      <c r="FD27" s="57" t="str">
        <f t="shared" si="88"/>
        <v/>
      </c>
      <c r="FE27" s="57"/>
      <c r="FF27" s="58">
        <f t="shared" si="89"/>
        <v>0</v>
      </c>
      <c r="FG27" s="55" t="e">
        <f t="shared" si="90"/>
        <v>#N/A</v>
      </c>
      <c r="FH27" s="58"/>
      <c r="FI27" s="59" t="e">
        <f>IF(ER27&gt;100,"",IF(ER27&gt;DQ$1,"sangat baik dalam "&amp;FG27,IF(ER27&gt;=DQ$2,"baik dalam "&amp;FG27,IF(ER27&gt;=DQ$3,"cukup dalam "&amp;FG27,IF(ER27&lt;DQ$3,"dengan bimbingan dapat meningkatkandalam "&amp;FG27,IF(ER27&lt;1," ",””))))))</f>
        <v>#N/A</v>
      </c>
      <c r="FJ27" s="58"/>
      <c r="FK27" s="57" t="str">
        <f t="shared" si="91"/>
        <v/>
      </c>
      <c r="FL27" s="57" t="str">
        <f t="shared" si="92"/>
        <v/>
      </c>
      <c r="FM27" s="57" t="str">
        <f t="shared" si="93"/>
        <v/>
      </c>
      <c r="FN27" s="57" t="str">
        <f t="shared" si="94"/>
        <v/>
      </c>
      <c r="FO27" s="57" t="str">
        <f t="shared" si="95"/>
        <v/>
      </c>
      <c r="FP27" s="57" t="str">
        <f t="shared" si="96"/>
        <v/>
      </c>
      <c r="FQ27" s="57" t="str">
        <f t="shared" si="97"/>
        <v/>
      </c>
      <c r="FR27" s="57" t="str">
        <f t="shared" si="98"/>
        <v/>
      </c>
      <c r="FS27" s="57" t="str">
        <f t="shared" si="99"/>
        <v/>
      </c>
      <c r="FT27" s="57"/>
      <c r="FU27" s="59" t="e">
        <f t="shared" si="100"/>
        <v>#N/A</v>
      </c>
      <c r="FV27" s="59" t="e">
        <f>IF(ES27&gt;100,"",IF(ES27&gt;DQ$1,"sangat baik dalam "&amp;FU27,IF(ES27&gt;=DQ$2,"baik dalam "&amp;FU27,IF(ES27&gt;=DQ$3,"cukup dalam "&amp;FU27,IF(ES27&lt;DQ$3,"dengan bimbingan dapat meningkatkan dalam "&amp;FU27,IF(ES27&lt;1," ",””))))))</f>
        <v>#N/A</v>
      </c>
      <c r="FW27" s="61"/>
      <c r="FX27" s="62" t="e">
        <f t="shared" si="101"/>
        <v>#N/A</v>
      </c>
      <c r="FY27" s="57" t="str">
        <f t="shared" si="102"/>
        <v/>
      </c>
      <c r="FZ27" s="57" t="str">
        <f t="shared" si="102"/>
        <v/>
      </c>
      <c r="GA27" s="57" t="str">
        <f t="shared" si="102"/>
        <v/>
      </c>
      <c r="GB27" s="57"/>
      <c r="GC27" s="57"/>
      <c r="GD27" s="57"/>
      <c r="GE27" s="59">
        <f t="shared" si="45"/>
        <v>0</v>
      </c>
      <c r="GF27" s="60"/>
      <c r="GG27" s="61"/>
      <c r="GH27" s="62" t="str">
        <f t="shared" si="103"/>
        <v>, 0</v>
      </c>
      <c r="GI27" s="4" t="str">
        <f t="shared" si="104"/>
        <v xml:space="preserve">  FALSEFALSEFALSE      </v>
      </c>
    </row>
    <row r="28" spans="1:191" ht="42.75" customHeight="1">
      <c r="A28" s="39">
        <v>21</v>
      </c>
      <c r="B28" s="283">
        <f>SISWA!B26</f>
        <v>0</v>
      </c>
      <c r="C28" s="123"/>
      <c r="D28" s="123"/>
      <c r="E28" s="123"/>
      <c r="F28" s="123"/>
      <c r="G28" s="123"/>
      <c r="H28" s="123"/>
      <c r="I28" s="123"/>
      <c r="J28" s="123"/>
      <c r="K28" s="123"/>
      <c r="L28" s="256"/>
      <c r="M28" s="256"/>
      <c r="N28" s="256"/>
      <c r="O28" s="256"/>
      <c r="P28" s="256"/>
      <c r="Q28" s="256"/>
      <c r="R28" s="256"/>
      <c r="S28" s="256"/>
      <c r="T28" s="256"/>
      <c r="U28" s="123"/>
      <c r="V28" s="123"/>
      <c r="W28" s="123"/>
      <c r="X28" s="123"/>
      <c r="Y28" s="123"/>
      <c r="Z28" s="123"/>
      <c r="AA28" s="123"/>
      <c r="AB28" s="123"/>
      <c r="AC28" s="123"/>
      <c r="AD28" s="256"/>
      <c r="AE28" s="256"/>
      <c r="AF28" s="256"/>
      <c r="AG28" s="256"/>
      <c r="AH28" s="256"/>
      <c r="AI28" s="256"/>
      <c r="AJ28" s="256"/>
      <c r="AK28" s="256"/>
      <c r="AL28" s="256"/>
      <c r="AM28" s="123"/>
      <c r="AN28" s="123"/>
      <c r="AO28" s="123"/>
      <c r="AP28" s="123"/>
      <c r="AQ28" s="123"/>
      <c r="AR28" s="123"/>
      <c r="AS28" s="123"/>
      <c r="AT28" s="123"/>
      <c r="AU28" s="123"/>
      <c r="AV28" s="256"/>
      <c r="AW28" s="256"/>
      <c r="AX28" s="256"/>
      <c r="AY28" s="256"/>
      <c r="AZ28" s="256"/>
      <c r="BA28" s="256"/>
      <c r="BB28" s="256"/>
      <c r="BC28" s="256"/>
      <c r="BD28" s="256"/>
      <c r="BE28" s="123"/>
      <c r="BF28" s="123"/>
      <c r="BG28" s="123"/>
      <c r="BH28" s="123"/>
      <c r="BI28" s="123"/>
      <c r="BJ28" s="123"/>
      <c r="BK28" s="123"/>
      <c r="BL28" s="123"/>
      <c r="BM28" s="123"/>
      <c r="BN28" s="256"/>
      <c r="BO28" s="256"/>
      <c r="BP28" s="256"/>
      <c r="BQ28" s="256"/>
      <c r="BR28" s="256"/>
      <c r="BS28" s="256"/>
      <c r="BT28" s="256"/>
      <c r="BU28" s="256"/>
      <c r="BV28" s="256"/>
      <c r="BW28" s="460"/>
      <c r="BX28" s="460"/>
      <c r="BY28" s="460"/>
      <c r="BZ28" s="460"/>
      <c r="CA28" s="460"/>
      <c r="CB28" s="460"/>
      <c r="CC28" s="460"/>
      <c r="CD28" s="460"/>
      <c r="CE28" s="460"/>
      <c r="CF28" s="346"/>
      <c r="CG28" s="346"/>
      <c r="CH28" s="346"/>
      <c r="CI28" s="346"/>
      <c r="CJ28" s="346"/>
      <c r="CK28" s="346"/>
      <c r="CL28" s="346"/>
      <c r="CM28" s="346"/>
      <c r="CN28" s="346"/>
      <c r="CO28" s="260" t="str">
        <f t="shared" si="46"/>
        <v xml:space="preserve"> </v>
      </c>
      <c r="CP28" s="260" t="str">
        <f t="shared" si="47"/>
        <v xml:space="preserve"> </v>
      </c>
      <c r="CQ28" s="260" t="str">
        <f t="shared" si="48"/>
        <v xml:space="preserve"> </v>
      </c>
      <c r="CR28" s="260" t="str">
        <f t="shared" si="49"/>
        <v xml:space="preserve"> </v>
      </c>
      <c r="CS28" s="260" t="str">
        <f t="shared" si="50"/>
        <v xml:space="preserve"> </v>
      </c>
      <c r="CT28" s="260" t="str">
        <f t="shared" si="51"/>
        <v xml:space="preserve"> </v>
      </c>
      <c r="CU28" s="260" t="str">
        <f t="shared" si="52"/>
        <v xml:space="preserve"> </v>
      </c>
      <c r="CV28" s="260" t="str">
        <f t="shared" si="53"/>
        <v xml:space="preserve"> </v>
      </c>
      <c r="CW28" s="260" t="str">
        <f t="shared" si="54"/>
        <v xml:space="preserve"> </v>
      </c>
      <c r="CX28" s="547"/>
      <c r="CY28" s="547"/>
      <c r="CZ28" s="547"/>
      <c r="DA28" s="547"/>
      <c r="DB28" s="547"/>
      <c r="DC28" s="547"/>
      <c r="DD28" s="547"/>
      <c r="DE28" s="547"/>
      <c r="DF28" s="547"/>
      <c r="DG28" s="564"/>
      <c r="DH28" s="564"/>
      <c r="DI28" s="564"/>
      <c r="DJ28" s="564"/>
      <c r="DK28" s="564"/>
      <c r="DL28" s="564"/>
      <c r="DM28" s="564"/>
      <c r="DN28" s="564"/>
      <c r="DO28" s="564"/>
      <c r="DP28" s="549" t="str">
        <f t="shared" si="55"/>
        <v xml:space="preserve"> </v>
      </c>
      <c r="DQ28" s="291" t="str">
        <f t="shared" si="56"/>
        <v xml:space="preserve">  </v>
      </c>
      <c r="DR28" s="50" t="str">
        <f t="shared" si="57"/>
        <v xml:space="preserve"> </v>
      </c>
      <c r="DS28" s="282"/>
      <c r="DT28" s="51"/>
      <c r="DU28" s="46" t="str">
        <f t="shared" si="58"/>
        <v xml:space="preserve"> </v>
      </c>
      <c r="DV28" s="46" t="str">
        <f t="shared" si="59"/>
        <v xml:space="preserve"> </v>
      </c>
      <c r="DW28" s="46" t="str">
        <f t="shared" si="60"/>
        <v xml:space="preserve"> </v>
      </c>
      <c r="DX28" s="46" t="str">
        <f t="shared" si="61"/>
        <v xml:space="preserve"> </v>
      </c>
      <c r="DY28" s="46" t="str">
        <f t="shared" si="62"/>
        <v xml:space="preserve"> </v>
      </c>
      <c r="DZ28" s="46" t="str">
        <f t="shared" si="63"/>
        <v xml:space="preserve"> </v>
      </c>
      <c r="EA28" s="46" t="str">
        <f t="shared" si="64"/>
        <v xml:space="preserve"> </v>
      </c>
      <c r="EB28" s="46" t="str">
        <f t="shared" si="65"/>
        <v xml:space="preserve"> </v>
      </c>
      <c r="EC28" s="46" t="str">
        <f t="shared" si="66"/>
        <v xml:space="preserve"> </v>
      </c>
      <c r="ED28" s="46"/>
      <c r="EE28" s="52">
        <f>[2]uts!J27</f>
        <v>81</v>
      </c>
      <c r="EF28" s="51"/>
      <c r="EG28" s="53" t="str">
        <f t="shared" si="67"/>
        <v xml:space="preserve">  </v>
      </c>
      <c r="EH28" s="53" t="str">
        <f t="shared" si="68"/>
        <v xml:space="preserve">  </v>
      </c>
      <c r="EI28" s="53" t="str">
        <f t="shared" si="69"/>
        <v xml:space="preserve">  </v>
      </c>
      <c r="EJ28" s="53" t="str">
        <f t="shared" si="70"/>
        <v xml:space="preserve">  </v>
      </c>
      <c r="EK28" s="53" t="str">
        <f t="shared" si="71"/>
        <v xml:space="preserve">  </v>
      </c>
      <c r="EL28" s="53" t="str">
        <f t="shared" si="72"/>
        <v xml:space="preserve">  </v>
      </c>
      <c r="EM28" s="53" t="str">
        <f t="shared" si="73"/>
        <v xml:space="preserve">  </v>
      </c>
      <c r="EN28" s="53" t="str">
        <f t="shared" si="74"/>
        <v xml:space="preserve">  </v>
      </c>
      <c r="EO28" s="53" t="str">
        <f t="shared" si="75"/>
        <v xml:space="preserve">  </v>
      </c>
      <c r="EP28" s="53"/>
      <c r="EQ28" s="52" t="str">
        <f t="shared" si="76"/>
        <v xml:space="preserve"> </v>
      </c>
      <c r="ER28" s="55">
        <f t="shared" si="77"/>
        <v>0</v>
      </c>
      <c r="ES28" s="55">
        <f t="shared" si="78"/>
        <v>0</v>
      </c>
      <c r="ET28" s="51">
        <f>SISWA!E26</f>
        <v>0</v>
      </c>
      <c r="EU28" s="51" t="str">
        <f t="shared" si="79"/>
        <v/>
      </c>
      <c r="EV28" s="56" t="str">
        <f t="shared" si="80"/>
        <v/>
      </c>
      <c r="EW28" s="57" t="str">
        <f t="shared" si="81"/>
        <v/>
      </c>
      <c r="EX28" s="57" t="str">
        <f t="shared" si="82"/>
        <v/>
      </c>
      <c r="EY28" s="57" t="str">
        <f t="shared" si="83"/>
        <v/>
      </c>
      <c r="EZ28" s="57" t="str">
        <f t="shared" si="84"/>
        <v/>
      </c>
      <c r="FA28" s="57" t="str">
        <f t="shared" si="85"/>
        <v/>
      </c>
      <c r="FB28" s="57" t="str">
        <f t="shared" si="86"/>
        <v/>
      </c>
      <c r="FC28" s="57" t="str">
        <f t="shared" si="87"/>
        <v/>
      </c>
      <c r="FD28" s="57" t="str">
        <f t="shared" si="88"/>
        <v/>
      </c>
      <c r="FE28" s="57"/>
      <c r="FF28" s="58">
        <f t="shared" si="89"/>
        <v>0</v>
      </c>
      <c r="FG28" s="55" t="e">
        <f t="shared" si="90"/>
        <v>#N/A</v>
      </c>
      <c r="FH28" s="58"/>
      <c r="FI28" s="59" t="e">
        <f>IF(ER28&gt;100,"",IF(ER28&gt;DQ$1,"sangat baik dalam "&amp;FG28,IF(ER28&gt;=DQ$2,"baik dalam "&amp;FG28,IF(ER28&gt;=DQ$3,"cukup dalam "&amp;FG28,IF(ER28&lt;DQ$3,"dengan bimbingan dapat meningkatkandalam "&amp;FG28,IF(ER28&lt;1," ",””))))))</f>
        <v>#N/A</v>
      </c>
      <c r="FJ28" s="58"/>
      <c r="FK28" s="57" t="str">
        <f t="shared" si="91"/>
        <v/>
      </c>
      <c r="FL28" s="57" t="str">
        <f t="shared" si="92"/>
        <v/>
      </c>
      <c r="FM28" s="57" t="str">
        <f t="shared" si="93"/>
        <v/>
      </c>
      <c r="FN28" s="57" t="str">
        <f t="shared" si="94"/>
        <v/>
      </c>
      <c r="FO28" s="57" t="str">
        <f t="shared" si="95"/>
        <v/>
      </c>
      <c r="FP28" s="57" t="str">
        <f t="shared" si="96"/>
        <v/>
      </c>
      <c r="FQ28" s="57" t="str">
        <f t="shared" si="97"/>
        <v/>
      </c>
      <c r="FR28" s="57" t="str">
        <f t="shared" si="98"/>
        <v/>
      </c>
      <c r="FS28" s="57" t="str">
        <f t="shared" si="99"/>
        <v/>
      </c>
      <c r="FT28" s="57"/>
      <c r="FU28" s="59" t="e">
        <f t="shared" si="100"/>
        <v>#N/A</v>
      </c>
      <c r="FV28" s="59" t="e">
        <f>IF(ES28&gt;100,"",IF(ES28&gt;DQ$1,"sangat baik dalam "&amp;FU28,IF(ES28&gt;=DQ$2,"baik dalam "&amp;FU28,IF(ES28&gt;=DQ$3,"cukup dalam "&amp;FU28,IF(ES28&lt;DQ$3,"dengan bimbingan dapat meningkatkan dalam "&amp;FU28,IF(ES28&lt;1," ",””))))))</f>
        <v>#N/A</v>
      </c>
      <c r="FW28" s="61"/>
      <c r="FX28" s="62" t="e">
        <f t="shared" si="101"/>
        <v>#N/A</v>
      </c>
      <c r="FY28" s="57" t="str">
        <f t="shared" si="102"/>
        <v/>
      </c>
      <c r="FZ28" s="57" t="str">
        <f t="shared" si="102"/>
        <v/>
      </c>
      <c r="GA28" s="57" t="str">
        <f t="shared" si="102"/>
        <v/>
      </c>
      <c r="GB28" s="57"/>
      <c r="GC28" s="57"/>
      <c r="GD28" s="57"/>
      <c r="GE28" s="59">
        <f t="shared" si="45"/>
        <v>0</v>
      </c>
      <c r="GF28" s="60"/>
      <c r="GG28" s="61"/>
      <c r="GH28" s="62" t="str">
        <f t="shared" si="103"/>
        <v>, 0</v>
      </c>
    </row>
    <row r="29" spans="1:191" ht="42.75" customHeight="1">
      <c r="A29" s="39">
        <v>22</v>
      </c>
      <c r="B29" s="283">
        <f>SISWA!B27</f>
        <v>0</v>
      </c>
      <c r="C29" s="123"/>
      <c r="D29" s="123"/>
      <c r="E29" s="123"/>
      <c r="F29" s="123"/>
      <c r="G29" s="123"/>
      <c r="H29" s="123"/>
      <c r="I29" s="123"/>
      <c r="J29" s="123"/>
      <c r="K29" s="123"/>
      <c r="L29" s="256"/>
      <c r="M29" s="256"/>
      <c r="N29" s="256"/>
      <c r="O29" s="256"/>
      <c r="P29" s="256"/>
      <c r="Q29" s="256"/>
      <c r="R29" s="256"/>
      <c r="S29" s="256"/>
      <c r="T29" s="256"/>
      <c r="U29" s="123"/>
      <c r="V29" s="123"/>
      <c r="W29" s="123"/>
      <c r="X29" s="123"/>
      <c r="Y29" s="123"/>
      <c r="Z29" s="123"/>
      <c r="AA29" s="123"/>
      <c r="AB29" s="123"/>
      <c r="AC29" s="123"/>
      <c r="AD29" s="256"/>
      <c r="AE29" s="256"/>
      <c r="AF29" s="256"/>
      <c r="AG29" s="256"/>
      <c r="AH29" s="256"/>
      <c r="AI29" s="256"/>
      <c r="AJ29" s="256"/>
      <c r="AK29" s="256"/>
      <c r="AL29" s="256"/>
      <c r="AM29" s="123"/>
      <c r="AN29" s="123"/>
      <c r="AO29" s="123"/>
      <c r="AP29" s="123"/>
      <c r="AQ29" s="123"/>
      <c r="AR29" s="123"/>
      <c r="AS29" s="123"/>
      <c r="AT29" s="123"/>
      <c r="AU29" s="123"/>
      <c r="AV29" s="256"/>
      <c r="AW29" s="256"/>
      <c r="AX29" s="256"/>
      <c r="AY29" s="256"/>
      <c r="AZ29" s="256"/>
      <c r="BA29" s="256"/>
      <c r="BB29" s="256"/>
      <c r="BC29" s="256"/>
      <c r="BD29" s="256"/>
      <c r="BE29" s="123"/>
      <c r="BF29" s="123"/>
      <c r="BG29" s="123"/>
      <c r="BH29" s="123"/>
      <c r="BI29" s="123"/>
      <c r="BJ29" s="123"/>
      <c r="BK29" s="123"/>
      <c r="BL29" s="123"/>
      <c r="BM29" s="123"/>
      <c r="BN29" s="256"/>
      <c r="BO29" s="256"/>
      <c r="BP29" s="256"/>
      <c r="BQ29" s="256"/>
      <c r="BR29" s="256"/>
      <c r="BS29" s="256"/>
      <c r="BT29" s="256"/>
      <c r="BU29" s="256"/>
      <c r="BV29" s="256"/>
      <c r="BW29" s="460"/>
      <c r="BX29" s="460"/>
      <c r="BY29" s="460"/>
      <c r="BZ29" s="460"/>
      <c r="CA29" s="460"/>
      <c r="CB29" s="460"/>
      <c r="CC29" s="460"/>
      <c r="CD29" s="460"/>
      <c r="CE29" s="460"/>
      <c r="CF29" s="346"/>
      <c r="CG29" s="346"/>
      <c r="CH29" s="346"/>
      <c r="CI29" s="346"/>
      <c r="CJ29" s="346"/>
      <c r="CK29" s="346"/>
      <c r="CL29" s="346"/>
      <c r="CM29" s="346"/>
      <c r="CN29" s="346"/>
      <c r="CO29" s="260" t="str">
        <f t="shared" si="46"/>
        <v xml:space="preserve"> </v>
      </c>
      <c r="CP29" s="260" t="str">
        <f t="shared" si="47"/>
        <v xml:space="preserve"> </v>
      </c>
      <c r="CQ29" s="260" t="str">
        <f t="shared" si="48"/>
        <v xml:space="preserve"> </v>
      </c>
      <c r="CR29" s="260" t="str">
        <f t="shared" si="49"/>
        <v xml:space="preserve"> </v>
      </c>
      <c r="CS29" s="260" t="str">
        <f t="shared" si="50"/>
        <v xml:space="preserve"> </v>
      </c>
      <c r="CT29" s="260" t="str">
        <f t="shared" si="51"/>
        <v xml:space="preserve"> </v>
      </c>
      <c r="CU29" s="260" t="str">
        <f t="shared" si="52"/>
        <v xml:space="preserve"> </v>
      </c>
      <c r="CV29" s="260" t="str">
        <f t="shared" si="53"/>
        <v xml:space="preserve"> </v>
      </c>
      <c r="CW29" s="260" t="str">
        <f t="shared" si="54"/>
        <v xml:space="preserve"> </v>
      </c>
      <c r="CX29" s="547"/>
      <c r="CY29" s="547"/>
      <c r="CZ29" s="547"/>
      <c r="DA29" s="547"/>
      <c r="DB29" s="547"/>
      <c r="DC29" s="547"/>
      <c r="DD29" s="547"/>
      <c r="DE29" s="547"/>
      <c r="DF29" s="547"/>
      <c r="DG29" s="564"/>
      <c r="DH29" s="564"/>
      <c r="DI29" s="564"/>
      <c r="DJ29" s="564"/>
      <c r="DK29" s="564"/>
      <c r="DL29" s="564"/>
      <c r="DM29" s="564"/>
      <c r="DN29" s="564"/>
      <c r="DO29" s="564"/>
      <c r="DP29" s="549" t="str">
        <f t="shared" si="55"/>
        <v xml:space="preserve"> </v>
      </c>
      <c r="DQ29" s="291" t="str">
        <f t="shared" si="56"/>
        <v xml:space="preserve">  </v>
      </c>
      <c r="DR29" s="50" t="str">
        <f t="shared" si="57"/>
        <v xml:space="preserve"> </v>
      </c>
      <c r="DS29" s="282"/>
      <c r="DT29" s="51"/>
      <c r="DU29" s="46" t="str">
        <f t="shared" si="58"/>
        <v xml:space="preserve"> </v>
      </c>
      <c r="DV29" s="46" t="str">
        <f t="shared" si="59"/>
        <v xml:space="preserve"> </v>
      </c>
      <c r="DW29" s="46" t="str">
        <f t="shared" si="60"/>
        <v xml:space="preserve"> </v>
      </c>
      <c r="DX29" s="46" t="str">
        <f t="shared" si="61"/>
        <v xml:space="preserve"> </v>
      </c>
      <c r="DY29" s="46" t="str">
        <f t="shared" si="62"/>
        <v xml:space="preserve"> </v>
      </c>
      <c r="DZ29" s="46" t="str">
        <f t="shared" si="63"/>
        <v xml:space="preserve"> </v>
      </c>
      <c r="EA29" s="46" t="str">
        <f t="shared" si="64"/>
        <v xml:space="preserve"> </v>
      </c>
      <c r="EB29" s="46" t="str">
        <f t="shared" si="65"/>
        <v xml:space="preserve"> </v>
      </c>
      <c r="EC29" s="46" t="str">
        <f t="shared" si="66"/>
        <v xml:space="preserve"> </v>
      </c>
      <c r="ED29" s="46"/>
      <c r="EE29" s="52">
        <f>[2]uts!J28</f>
        <v>77</v>
      </c>
      <c r="EF29" s="51"/>
      <c r="EG29" s="53" t="str">
        <f t="shared" si="67"/>
        <v xml:space="preserve">  </v>
      </c>
      <c r="EH29" s="53" t="str">
        <f t="shared" si="68"/>
        <v xml:space="preserve">  </v>
      </c>
      <c r="EI29" s="53" t="str">
        <f t="shared" si="69"/>
        <v xml:space="preserve">  </v>
      </c>
      <c r="EJ29" s="53" t="str">
        <f t="shared" si="70"/>
        <v xml:space="preserve">  </v>
      </c>
      <c r="EK29" s="53" t="str">
        <f t="shared" si="71"/>
        <v xml:space="preserve">  </v>
      </c>
      <c r="EL29" s="53" t="str">
        <f t="shared" si="72"/>
        <v xml:space="preserve">  </v>
      </c>
      <c r="EM29" s="53" t="str">
        <f t="shared" si="73"/>
        <v xml:space="preserve">  </v>
      </c>
      <c r="EN29" s="53" t="str">
        <f t="shared" si="74"/>
        <v xml:space="preserve">  </v>
      </c>
      <c r="EO29" s="53" t="str">
        <f t="shared" si="75"/>
        <v xml:space="preserve">  </v>
      </c>
      <c r="EP29" s="53"/>
      <c r="EQ29" s="52" t="str">
        <f t="shared" si="76"/>
        <v xml:space="preserve"> </v>
      </c>
      <c r="ER29" s="55">
        <f t="shared" si="77"/>
        <v>0</v>
      </c>
      <c r="ES29" s="55">
        <f t="shared" si="78"/>
        <v>0</v>
      </c>
      <c r="ET29" s="51">
        <f>SISWA!E27</f>
        <v>0</v>
      </c>
      <c r="EU29" s="51" t="str">
        <f t="shared" si="79"/>
        <v/>
      </c>
      <c r="EV29" s="56" t="str">
        <f t="shared" si="80"/>
        <v/>
      </c>
      <c r="EW29" s="57" t="str">
        <f t="shared" si="81"/>
        <v/>
      </c>
      <c r="EX29" s="57" t="str">
        <f t="shared" si="82"/>
        <v/>
      </c>
      <c r="EY29" s="57" t="str">
        <f t="shared" si="83"/>
        <v/>
      </c>
      <c r="EZ29" s="57" t="str">
        <f t="shared" si="84"/>
        <v/>
      </c>
      <c r="FA29" s="57" t="str">
        <f t="shared" si="85"/>
        <v/>
      </c>
      <c r="FB29" s="57" t="str">
        <f t="shared" si="86"/>
        <v/>
      </c>
      <c r="FC29" s="57" t="str">
        <f t="shared" si="87"/>
        <v/>
      </c>
      <c r="FD29" s="57" t="str">
        <f t="shared" si="88"/>
        <v/>
      </c>
      <c r="FE29" s="57"/>
      <c r="FF29" s="58">
        <f t="shared" si="89"/>
        <v>0</v>
      </c>
      <c r="FG29" s="55" t="e">
        <f t="shared" si="90"/>
        <v>#N/A</v>
      </c>
      <c r="FH29" s="58"/>
      <c r="FI29" s="59" t="e">
        <f>IF(ER29&gt;100,"",IF(ER29&gt;DQ$1,"sangat baik dalam "&amp;FG29,IF(ER29&gt;=DQ$2,"baik dalam "&amp;FG29,IF(ER29&gt;=DQ$3,"cukup dalam "&amp;FG29,IF(ER29&lt;DQ$3,"dengan bimbingan dapat meningkatkandalam "&amp;FG29,IF(ER29&lt;1," ",””))))))</f>
        <v>#N/A</v>
      </c>
      <c r="FJ29" s="58"/>
      <c r="FK29" s="57" t="str">
        <f t="shared" si="91"/>
        <v/>
      </c>
      <c r="FL29" s="57" t="str">
        <f t="shared" si="92"/>
        <v/>
      </c>
      <c r="FM29" s="57" t="str">
        <f t="shared" si="93"/>
        <v/>
      </c>
      <c r="FN29" s="57" t="str">
        <f t="shared" si="94"/>
        <v/>
      </c>
      <c r="FO29" s="57" t="str">
        <f t="shared" si="95"/>
        <v/>
      </c>
      <c r="FP29" s="57" t="str">
        <f t="shared" si="96"/>
        <v/>
      </c>
      <c r="FQ29" s="57" t="str">
        <f t="shared" si="97"/>
        <v/>
      </c>
      <c r="FR29" s="57" t="str">
        <f t="shared" si="98"/>
        <v/>
      </c>
      <c r="FS29" s="57" t="str">
        <f t="shared" si="99"/>
        <v/>
      </c>
      <c r="FT29" s="57"/>
      <c r="FU29" s="59" t="e">
        <f t="shared" si="100"/>
        <v>#N/A</v>
      </c>
      <c r="FV29" s="59" t="e">
        <f>IF(ES29&gt;100,"",IF(ES29&gt;DQ$1,"sangat baik dalam "&amp;FU29,IF(ES29&gt;=DQ$2,"baik dalam "&amp;FU29,IF(ES29&gt;=DQ$3,"cukup dalam "&amp;FU29,IF(ES29&lt;DQ$3,"dengan bimbingan dapat meningkatkan dalam "&amp;FU29,IF(ES29&lt;1," ",””))))))</f>
        <v>#N/A</v>
      </c>
      <c r="FW29" s="61"/>
      <c r="FX29" s="62" t="e">
        <f t="shared" si="101"/>
        <v>#N/A</v>
      </c>
      <c r="FY29" s="57" t="str">
        <f t="shared" si="102"/>
        <v/>
      </c>
      <c r="FZ29" s="57" t="str">
        <f t="shared" si="102"/>
        <v/>
      </c>
      <c r="GA29" s="57" t="str">
        <f t="shared" si="102"/>
        <v/>
      </c>
      <c r="GB29" s="57"/>
      <c r="GC29" s="57"/>
      <c r="GD29" s="57"/>
      <c r="GE29" s="59">
        <f t="shared" si="45"/>
        <v>0</v>
      </c>
      <c r="GF29" s="60"/>
      <c r="GG29" s="61"/>
      <c r="GH29" s="62" t="str">
        <f t="shared" si="103"/>
        <v>, 0</v>
      </c>
    </row>
    <row r="30" spans="1:191" ht="42.75" customHeight="1">
      <c r="A30" s="39">
        <v>23</v>
      </c>
      <c r="B30" s="283">
        <f>SISWA!B28</f>
        <v>0</v>
      </c>
      <c r="C30" s="123"/>
      <c r="D30" s="123"/>
      <c r="E30" s="123"/>
      <c r="F30" s="123"/>
      <c r="G30" s="123"/>
      <c r="H30" s="123"/>
      <c r="I30" s="123"/>
      <c r="J30" s="123"/>
      <c r="K30" s="123"/>
      <c r="L30" s="256"/>
      <c r="M30" s="256"/>
      <c r="N30" s="256"/>
      <c r="O30" s="256"/>
      <c r="P30" s="256"/>
      <c r="Q30" s="256"/>
      <c r="R30" s="256"/>
      <c r="S30" s="256"/>
      <c r="T30" s="256"/>
      <c r="U30" s="123"/>
      <c r="V30" s="123"/>
      <c r="W30" s="123"/>
      <c r="X30" s="123"/>
      <c r="Y30" s="123"/>
      <c r="Z30" s="123"/>
      <c r="AA30" s="123"/>
      <c r="AB30" s="123"/>
      <c r="AC30" s="123"/>
      <c r="AD30" s="256"/>
      <c r="AE30" s="256"/>
      <c r="AF30" s="256"/>
      <c r="AG30" s="256"/>
      <c r="AH30" s="256"/>
      <c r="AI30" s="256"/>
      <c r="AJ30" s="256"/>
      <c r="AK30" s="256"/>
      <c r="AL30" s="256"/>
      <c r="AM30" s="123"/>
      <c r="AN30" s="123"/>
      <c r="AO30" s="123"/>
      <c r="AP30" s="123"/>
      <c r="AQ30" s="123"/>
      <c r="AR30" s="123"/>
      <c r="AS30" s="123"/>
      <c r="AT30" s="123"/>
      <c r="AU30" s="123"/>
      <c r="AV30" s="256"/>
      <c r="AW30" s="256"/>
      <c r="AX30" s="256"/>
      <c r="AY30" s="256"/>
      <c r="AZ30" s="256"/>
      <c r="BA30" s="256"/>
      <c r="BB30" s="256"/>
      <c r="BC30" s="256"/>
      <c r="BD30" s="256"/>
      <c r="BE30" s="123"/>
      <c r="BF30" s="123"/>
      <c r="BG30" s="123"/>
      <c r="BH30" s="123"/>
      <c r="BI30" s="123"/>
      <c r="BJ30" s="123"/>
      <c r="BK30" s="123"/>
      <c r="BL30" s="123"/>
      <c r="BM30" s="123"/>
      <c r="BN30" s="256"/>
      <c r="BO30" s="256"/>
      <c r="BP30" s="256"/>
      <c r="BQ30" s="256"/>
      <c r="BR30" s="256"/>
      <c r="BS30" s="256"/>
      <c r="BT30" s="256"/>
      <c r="BU30" s="256"/>
      <c r="BV30" s="256"/>
      <c r="BW30" s="460"/>
      <c r="BX30" s="460"/>
      <c r="BY30" s="460"/>
      <c r="BZ30" s="460"/>
      <c r="CA30" s="460"/>
      <c r="CB30" s="460"/>
      <c r="CC30" s="460"/>
      <c r="CD30" s="460"/>
      <c r="CE30" s="460"/>
      <c r="CF30" s="346"/>
      <c r="CG30" s="346"/>
      <c r="CH30" s="346"/>
      <c r="CI30" s="346"/>
      <c r="CJ30" s="346"/>
      <c r="CK30" s="346"/>
      <c r="CL30" s="346"/>
      <c r="CM30" s="346"/>
      <c r="CN30" s="346"/>
      <c r="CO30" s="260" t="str">
        <f t="shared" si="46"/>
        <v xml:space="preserve"> </v>
      </c>
      <c r="CP30" s="260" t="str">
        <f t="shared" si="47"/>
        <v xml:space="preserve"> </v>
      </c>
      <c r="CQ30" s="260" t="str">
        <f t="shared" si="48"/>
        <v xml:space="preserve"> </v>
      </c>
      <c r="CR30" s="260" t="str">
        <f t="shared" si="49"/>
        <v xml:space="preserve"> </v>
      </c>
      <c r="CS30" s="260" t="str">
        <f t="shared" si="50"/>
        <v xml:space="preserve"> </v>
      </c>
      <c r="CT30" s="260" t="str">
        <f t="shared" si="51"/>
        <v xml:space="preserve"> </v>
      </c>
      <c r="CU30" s="260" t="str">
        <f t="shared" si="52"/>
        <v xml:space="preserve"> </v>
      </c>
      <c r="CV30" s="260" t="str">
        <f t="shared" si="53"/>
        <v xml:space="preserve"> </v>
      </c>
      <c r="CW30" s="260" t="str">
        <f t="shared" si="54"/>
        <v xml:space="preserve"> </v>
      </c>
      <c r="CX30" s="547"/>
      <c r="CY30" s="547"/>
      <c r="CZ30" s="547"/>
      <c r="DA30" s="547"/>
      <c r="DB30" s="547"/>
      <c r="DC30" s="547"/>
      <c r="DD30" s="547"/>
      <c r="DE30" s="547"/>
      <c r="DF30" s="547"/>
      <c r="DG30" s="564"/>
      <c r="DH30" s="564"/>
      <c r="DI30" s="564"/>
      <c r="DJ30" s="564"/>
      <c r="DK30" s="564"/>
      <c r="DL30" s="564"/>
      <c r="DM30" s="564"/>
      <c r="DN30" s="564"/>
      <c r="DO30" s="564"/>
      <c r="DP30" s="549" t="str">
        <f t="shared" si="55"/>
        <v xml:space="preserve"> </v>
      </c>
      <c r="DQ30" s="291" t="str">
        <f t="shared" si="56"/>
        <v xml:space="preserve">  </v>
      </c>
      <c r="DR30" s="50" t="str">
        <f t="shared" si="57"/>
        <v xml:space="preserve"> </v>
      </c>
      <c r="DS30" s="282"/>
      <c r="DT30" s="51"/>
      <c r="DU30" s="46" t="str">
        <f t="shared" si="58"/>
        <v xml:space="preserve"> </v>
      </c>
      <c r="DV30" s="46" t="str">
        <f t="shared" si="59"/>
        <v xml:space="preserve"> </v>
      </c>
      <c r="DW30" s="46" t="str">
        <f t="shared" si="60"/>
        <v xml:space="preserve"> </v>
      </c>
      <c r="DX30" s="46" t="str">
        <f t="shared" si="61"/>
        <v xml:space="preserve"> </v>
      </c>
      <c r="DY30" s="46" t="str">
        <f t="shared" si="62"/>
        <v xml:space="preserve"> </v>
      </c>
      <c r="DZ30" s="46" t="str">
        <f t="shared" si="63"/>
        <v xml:space="preserve"> </v>
      </c>
      <c r="EA30" s="46" t="str">
        <f t="shared" si="64"/>
        <v xml:space="preserve"> </v>
      </c>
      <c r="EB30" s="46" t="str">
        <f t="shared" si="65"/>
        <v xml:space="preserve"> </v>
      </c>
      <c r="EC30" s="46" t="str">
        <f t="shared" si="66"/>
        <v xml:space="preserve"> </v>
      </c>
      <c r="ED30" s="46"/>
      <c r="EE30" s="52">
        <f>[2]uts!J29</f>
        <v>81</v>
      </c>
      <c r="EF30" s="51"/>
      <c r="EG30" s="53" t="str">
        <f t="shared" si="67"/>
        <v xml:space="preserve">  </v>
      </c>
      <c r="EH30" s="53" t="str">
        <f t="shared" si="68"/>
        <v xml:space="preserve">  </v>
      </c>
      <c r="EI30" s="53" t="str">
        <f t="shared" si="69"/>
        <v xml:space="preserve">  </v>
      </c>
      <c r="EJ30" s="53" t="str">
        <f t="shared" si="70"/>
        <v xml:space="preserve">  </v>
      </c>
      <c r="EK30" s="53" t="str">
        <f t="shared" si="71"/>
        <v xml:space="preserve">  </v>
      </c>
      <c r="EL30" s="53" t="str">
        <f t="shared" si="72"/>
        <v xml:space="preserve">  </v>
      </c>
      <c r="EM30" s="53" t="str">
        <f t="shared" si="73"/>
        <v xml:space="preserve">  </v>
      </c>
      <c r="EN30" s="53" t="str">
        <f t="shared" si="74"/>
        <v xml:space="preserve">  </v>
      </c>
      <c r="EO30" s="53" t="str">
        <f t="shared" si="75"/>
        <v xml:space="preserve">  </v>
      </c>
      <c r="EP30" s="53"/>
      <c r="EQ30" s="52" t="str">
        <f t="shared" si="76"/>
        <v xml:space="preserve"> </v>
      </c>
      <c r="ER30" s="55">
        <f t="shared" si="77"/>
        <v>0</v>
      </c>
      <c r="ES30" s="55">
        <f t="shared" si="78"/>
        <v>0</v>
      </c>
      <c r="ET30" s="51">
        <f>SISWA!E28</f>
        <v>0</v>
      </c>
      <c r="EU30" s="51" t="str">
        <f t="shared" si="79"/>
        <v/>
      </c>
      <c r="EV30" s="56" t="str">
        <f t="shared" si="80"/>
        <v/>
      </c>
      <c r="EW30" s="57" t="str">
        <f t="shared" si="81"/>
        <v/>
      </c>
      <c r="EX30" s="57" t="str">
        <f t="shared" si="82"/>
        <v/>
      </c>
      <c r="EY30" s="57" t="str">
        <f t="shared" si="83"/>
        <v/>
      </c>
      <c r="EZ30" s="57" t="str">
        <f t="shared" si="84"/>
        <v/>
      </c>
      <c r="FA30" s="57" t="str">
        <f t="shared" si="85"/>
        <v/>
      </c>
      <c r="FB30" s="57" t="str">
        <f t="shared" si="86"/>
        <v/>
      </c>
      <c r="FC30" s="57" t="str">
        <f t="shared" si="87"/>
        <v/>
      </c>
      <c r="FD30" s="57" t="str">
        <f t="shared" si="88"/>
        <v/>
      </c>
      <c r="FE30" s="57"/>
      <c r="FF30" s="58">
        <f t="shared" si="89"/>
        <v>0</v>
      </c>
      <c r="FG30" s="55" t="e">
        <f t="shared" si="90"/>
        <v>#N/A</v>
      </c>
      <c r="FH30" s="58"/>
      <c r="FI30" s="59" t="e">
        <f>IF(ER30&gt;100,"",IF(ER30&gt;DQ$1,"sangat baik dalam "&amp;FG30,IF(ER30&gt;=DQ$2,"baik dalam "&amp;FG30,IF(ER30&gt;=DQ$3,"cukup dalam "&amp;FG30,IF(ER30&lt;DQ$3,"dengan bimbingan dapat meningkatkandalam "&amp;FG30,IF(ER30&lt;1," ",””))))))</f>
        <v>#N/A</v>
      </c>
      <c r="FJ30" s="58"/>
      <c r="FK30" s="57" t="str">
        <f t="shared" si="91"/>
        <v/>
      </c>
      <c r="FL30" s="57" t="str">
        <f t="shared" si="92"/>
        <v/>
      </c>
      <c r="FM30" s="57" t="str">
        <f t="shared" si="93"/>
        <v/>
      </c>
      <c r="FN30" s="57" t="str">
        <f t="shared" si="94"/>
        <v/>
      </c>
      <c r="FO30" s="57" t="str">
        <f t="shared" si="95"/>
        <v/>
      </c>
      <c r="FP30" s="57" t="str">
        <f t="shared" si="96"/>
        <v/>
      </c>
      <c r="FQ30" s="57" t="str">
        <f t="shared" si="97"/>
        <v/>
      </c>
      <c r="FR30" s="57" t="str">
        <f t="shared" si="98"/>
        <v/>
      </c>
      <c r="FS30" s="57" t="str">
        <f t="shared" si="99"/>
        <v/>
      </c>
      <c r="FT30" s="57"/>
      <c r="FU30" s="59" t="e">
        <f t="shared" si="100"/>
        <v>#N/A</v>
      </c>
      <c r="FV30" s="59" t="e">
        <f>IF(ES30&gt;100,"",IF(ES30&gt;DQ$1,"sangat baik dalam "&amp;FU30,IF(ES30&gt;=DQ$2,"baik dalam "&amp;FU30,IF(ES30&gt;=DQ$3,"cukup dalam "&amp;FU30,IF(ES30&lt;DQ$3,"dengan bimbingan dapat meningkatkan dalam "&amp;FU30,IF(ES30&lt;1," ",””))))))</f>
        <v>#N/A</v>
      </c>
      <c r="FW30" s="61"/>
      <c r="FX30" s="62" t="e">
        <f t="shared" si="101"/>
        <v>#N/A</v>
      </c>
      <c r="FY30" s="57" t="str">
        <f t="shared" si="102"/>
        <v/>
      </c>
      <c r="FZ30" s="57" t="str">
        <f t="shared" si="102"/>
        <v/>
      </c>
      <c r="GA30" s="57" t="str">
        <f t="shared" si="102"/>
        <v/>
      </c>
      <c r="GB30" s="57"/>
      <c r="GC30" s="57"/>
      <c r="GD30" s="57"/>
      <c r="GE30" s="59">
        <f t="shared" si="45"/>
        <v>0</v>
      </c>
      <c r="GF30" s="60"/>
      <c r="GG30" s="61"/>
      <c r="GH30" s="62" t="str">
        <f t="shared" si="103"/>
        <v>, 0</v>
      </c>
    </row>
    <row r="31" spans="1:191" ht="42.75" customHeight="1">
      <c r="A31" s="39">
        <v>24</v>
      </c>
      <c r="B31" s="283">
        <f>SISWA!B29</f>
        <v>0</v>
      </c>
      <c r="C31" s="123"/>
      <c r="D31" s="123"/>
      <c r="E31" s="123"/>
      <c r="F31" s="123"/>
      <c r="G31" s="123"/>
      <c r="H31" s="123"/>
      <c r="I31" s="123"/>
      <c r="J31" s="123"/>
      <c r="K31" s="123"/>
      <c r="L31" s="256"/>
      <c r="M31" s="256"/>
      <c r="N31" s="256"/>
      <c r="O31" s="256"/>
      <c r="P31" s="256"/>
      <c r="Q31" s="256"/>
      <c r="R31" s="256"/>
      <c r="S31" s="256"/>
      <c r="T31" s="256"/>
      <c r="U31" s="123"/>
      <c r="V31" s="123"/>
      <c r="W31" s="123"/>
      <c r="X31" s="123"/>
      <c r="Y31" s="123"/>
      <c r="Z31" s="123"/>
      <c r="AA31" s="123"/>
      <c r="AB31" s="123"/>
      <c r="AC31" s="123"/>
      <c r="AD31" s="256"/>
      <c r="AE31" s="256"/>
      <c r="AF31" s="256"/>
      <c r="AG31" s="256"/>
      <c r="AH31" s="256"/>
      <c r="AI31" s="256"/>
      <c r="AJ31" s="256"/>
      <c r="AK31" s="256"/>
      <c r="AL31" s="256"/>
      <c r="AM31" s="123"/>
      <c r="AN31" s="123"/>
      <c r="AO31" s="123"/>
      <c r="AP31" s="123"/>
      <c r="AQ31" s="123"/>
      <c r="AR31" s="123"/>
      <c r="AS31" s="123"/>
      <c r="AT31" s="123"/>
      <c r="AU31" s="123"/>
      <c r="AV31" s="256"/>
      <c r="AW31" s="256"/>
      <c r="AX31" s="256"/>
      <c r="AY31" s="256"/>
      <c r="AZ31" s="256"/>
      <c r="BA31" s="256"/>
      <c r="BB31" s="256"/>
      <c r="BC31" s="256"/>
      <c r="BD31" s="256"/>
      <c r="BE31" s="123"/>
      <c r="BF31" s="123"/>
      <c r="BG31" s="123"/>
      <c r="BH31" s="123"/>
      <c r="BI31" s="123"/>
      <c r="BJ31" s="123"/>
      <c r="BK31" s="123"/>
      <c r="BL31" s="123"/>
      <c r="BM31" s="123"/>
      <c r="BN31" s="256"/>
      <c r="BO31" s="256"/>
      <c r="BP31" s="256"/>
      <c r="BQ31" s="256"/>
      <c r="BR31" s="256"/>
      <c r="BS31" s="256"/>
      <c r="BT31" s="256"/>
      <c r="BU31" s="256"/>
      <c r="BV31" s="256"/>
      <c r="BW31" s="460"/>
      <c r="BX31" s="460"/>
      <c r="BY31" s="460"/>
      <c r="BZ31" s="460"/>
      <c r="CA31" s="460"/>
      <c r="CB31" s="460"/>
      <c r="CC31" s="460"/>
      <c r="CD31" s="460"/>
      <c r="CE31" s="460"/>
      <c r="CF31" s="346"/>
      <c r="CG31" s="346"/>
      <c r="CH31" s="346"/>
      <c r="CI31" s="346"/>
      <c r="CJ31" s="346"/>
      <c r="CK31" s="346"/>
      <c r="CL31" s="346"/>
      <c r="CM31" s="346"/>
      <c r="CN31" s="346"/>
      <c r="CO31" s="260" t="str">
        <f t="shared" si="46"/>
        <v xml:space="preserve"> </v>
      </c>
      <c r="CP31" s="260" t="str">
        <f t="shared" si="47"/>
        <v xml:space="preserve"> </v>
      </c>
      <c r="CQ31" s="260" t="str">
        <f t="shared" si="48"/>
        <v xml:space="preserve"> </v>
      </c>
      <c r="CR31" s="260" t="str">
        <f t="shared" si="49"/>
        <v xml:space="preserve"> </v>
      </c>
      <c r="CS31" s="260" t="str">
        <f t="shared" si="50"/>
        <v xml:space="preserve"> </v>
      </c>
      <c r="CT31" s="260" t="str">
        <f t="shared" si="51"/>
        <v xml:space="preserve"> </v>
      </c>
      <c r="CU31" s="260" t="str">
        <f t="shared" si="52"/>
        <v xml:space="preserve"> </v>
      </c>
      <c r="CV31" s="260" t="str">
        <f t="shared" si="53"/>
        <v xml:space="preserve"> </v>
      </c>
      <c r="CW31" s="260" t="str">
        <f t="shared" si="54"/>
        <v xml:space="preserve"> </v>
      </c>
      <c r="CX31" s="547"/>
      <c r="CY31" s="547"/>
      <c r="CZ31" s="547"/>
      <c r="DA31" s="547"/>
      <c r="DB31" s="547"/>
      <c r="DC31" s="547"/>
      <c r="DD31" s="547"/>
      <c r="DE31" s="547"/>
      <c r="DF31" s="547"/>
      <c r="DG31" s="564"/>
      <c r="DH31" s="564"/>
      <c r="DI31" s="564"/>
      <c r="DJ31" s="564"/>
      <c r="DK31" s="564"/>
      <c r="DL31" s="564"/>
      <c r="DM31" s="564"/>
      <c r="DN31" s="564"/>
      <c r="DO31" s="564"/>
      <c r="DP31" s="549" t="str">
        <f t="shared" si="55"/>
        <v xml:space="preserve"> </v>
      </c>
      <c r="DQ31" s="291" t="str">
        <f t="shared" si="56"/>
        <v xml:space="preserve">  </v>
      </c>
      <c r="DR31" s="50" t="str">
        <f t="shared" si="57"/>
        <v xml:space="preserve"> </v>
      </c>
      <c r="DS31" s="282"/>
      <c r="DT31" s="51"/>
      <c r="DU31" s="46" t="str">
        <f t="shared" si="58"/>
        <v xml:space="preserve"> </v>
      </c>
      <c r="DV31" s="46" t="str">
        <f t="shared" si="59"/>
        <v xml:space="preserve"> </v>
      </c>
      <c r="DW31" s="46" t="str">
        <f t="shared" si="60"/>
        <v xml:space="preserve"> </v>
      </c>
      <c r="DX31" s="46" t="str">
        <f t="shared" si="61"/>
        <v xml:space="preserve"> </v>
      </c>
      <c r="DY31" s="46" t="str">
        <f t="shared" si="62"/>
        <v xml:space="preserve"> </v>
      </c>
      <c r="DZ31" s="46" t="str">
        <f t="shared" si="63"/>
        <v xml:space="preserve"> </v>
      </c>
      <c r="EA31" s="46" t="str">
        <f t="shared" si="64"/>
        <v xml:space="preserve"> </v>
      </c>
      <c r="EB31" s="46" t="str">
        <f t="shared" si="65"/>
        <v xml:space="preserve"> </v>
      </c>
      <c r="EC31" s="46" t="str">
        <f t="shared" si="66"/>
        <v xml:space="preserve"> </v>
      </c>
      <c r="ED31" s="46"/>
      <c r="EE31" s="52">
        <f>[2]uts!J30</f>
        <v>78.333333333333329</v>
      </c>
      <c r="EF31" s="51"/>
      <c r="EG31" s="53" t="str">
        <f t="shared" si="67"/>
        <v xml:space="preserve">  </v>
      </c>
      <c r="EH31" s="53" t="str">
        <f t="shared" si="68"/>
        <v xml:space="preserve">  </v>
      </c>
      <c r="EI31" s="53" t="str">
        <f t="shared" si="69"/>
        <v xml:space="preserve">  </v>
      </c>
      <c r="EJ31" s="53" t="str">
        <f t="shared" si="70"/>
        <v xml:space="preserve">  </v>
      </c>
      <c r="EK31" s="53" t="str">
        <f t="shared" si="71"/>
        <v xml:space="preserve">  </v>
      </c>
      <c r="EL31" s="53" t="str">
        <f t="shared" si="72"/>
        <v xml:space="preserve">  </v>
      </c>
      <c r="EM31" s="53" t="str">
        <f t="shared" si="73"/>
        <v xml:space="preserve">  </v>
      </c>
      <c r="EN31" s="53" t="str">
        <f t="shared" si="74"/>
        <v xml:space="preserve">  </v>
      </c>
      <c r="EO31" s="53" t="str">
        <f t="shared" si="75"/>
        <v xml:space="preserve">  </v>
      </c>
      <c r="EP31" s="53"/>
      <c r="EQ31" s="52" t="str">
        <f t="shared" si="76"/>
        <v xml:space="preserve"> </v>
      </c>
      <c r="ER31" s="55">
        <f t="shared" si="77"/>
        <v>0</v>
      </c>
      <c r="ES31" s="55">
        <f t="shared" si="78"/>
        <v>0</v>
      </c>
      <c r="ET31" s="51">
        <f>SISWA!E29</f>
        <v>0</v>
      </c>
      <c r="EU31" s="51" t="str">
        <f t="shared" si="79"/>
        <v/>
      </c>
      <c r="EV31" s="56" t="str">
        <f t="shared" si="80"/>
        <v/>
      </c>
      <c r="EW31" s="57" t="str">
        <f t="shared" si="81"/>
        <v/>
      </c>
      <c r="EX31" s="57" t="str">
        <f t="shared" si="82"/>
        <v/>
      </c>
      <c r="EY31" s="57" t="str">
        <f t="shared" si="83"/>
        <v/>
      </c>
      <c r="EZ31" s="57" t="str">
        <f t="shared" si="84"/>
        <v/>
      </c>
      <c r="FA31" s="57" t="str">
        <f t="shared" si="85"/>
        <v/>
      </c>
      <c r="FB31" s="57" t="str">
        <f t="shared" si="86"/>
        <v/>
      </c>
      <c r="FC31" s="57" t="str">
        <f t="shared" si="87"/>
        <v/>
      </c>
      <c r="FD31" s="57" t="str">
        <f t="shared" si="88"/>
        <v/>
      </c>
      <c r="FE31" s="57"/>
      <c r="FF31" s="58">
        <f t="shared" si="89"/>
        <v>0</v>
      </c>
      <c r="FG31" s="55" t="e">
        <f t="shared" si="90"/>
        <v>#N/A</v>
      </c>
      <c r="FH31" s="58"/>
      <c r="FI31" s="59" t="e">
        <f>IF(ER31&gt;100,"",IF(ER31&gt;DQ$1,"sangat baik dalam "&amp;FG31,IF(ER31&gt;=DQ$2,"baik dalam "&amp;FG31,IF(ER31&gt;=DQ$3,"cukup dalam "&amp;FG31,IF(ER31&lt;DQ$3,"dengan bimbingan dapat meningkatkandalam "&amp;FG31,IF(ER31&lt;1," ",””))))))</f>
        <v>#N/A</v>
      </c>
      <c r="FJ31" s="58"/>
      <c r="FK31" s="57" t="str">
        <f t="shared" si="91"/>
        <v/>
      </c>
      <c r="FL31" s="57" t="str">
        <f t="shared" si="92"/>
        <v/>
      </c>
      <c r="FM31" s="57" t="str">
        <f t="shared" si="93"/>
        <v/>
      </c>
      <c r="FN31" s="57" t="str">
        <f t="shared" si="94"/>
        <v/>
      </c>
      <c r="FO31" s="57" t="str">
        <f t="shared" si="95"/>
        <v/>
      </c>
      <c r="FP31" s="57" t="str">
        <f t="shared" si="96"/>
        <v/>
      </c>
      <c r="FQ31" s="57" t="str">
        <f t="shared" si="97"/>
        <v/>
      </c>
      <c r="FR31" s="57" t="str">
        <f t="shared" si="98"/>
        <v/>
      </c>
      <c r="FS31" s="57" t="str">
        <f t="shared" si="99"/>
        <v/>
      </c>
      <c r="FT31" s="57"/>
      <c r="FU31" s="59" t="e">
        <f t="shared" si="100"/>
        <v>#N/A</v>
      </c>
      <c r="FV31" s="59" t="e">
        <f>IF(ES31&gt;100,"",IF(ES31&gt;DQ$1,"sangat baik dalam "&amp;FU31,IF(ES31&gt;=DQ$2,"baik dalam "&amp;FU31,IF(ES31&gt;=DQ$3,"cukup dalam "&amp;FU31,IF(ES31&lt;DQ$3,"dengan bimbingan dapat meningkatkan dalam "&amp;FU31,IF(ES31&lt;1," ",””))))))</f>
        <v>#N/A</v>
      </c>
      <c r="FW31" s="61"/>
      <c r="FX31" s="62" t="e">
        <f t="shared" si="101"/>
        <v>#N/A</v>
      </c>
      <c r="FY31" s="57" t="str">
        <f t="shared" si="102"/>
        <v/>
      </c>
      <c r="FZ31" s="57" t="str">
        <f t="shared" si="102"/>
        <v/>
      </c>
      <c r="GA31" s="57" t="str">
        <f t="shared" si="102"/>
        <v/>
      </c>
      <c r="GB31" s="57"/>
      <c r="GC31" s="57"/>
      <c r="GD31" s="57"/>
      <c r="GE31" s="59">
        <f t="shared" si="45"/>
        <v>0</v>
      </c>
      <c r="GF31" s="60"/>
      <c r="GG31" s="61"/>
      <c r="GH31" s="62" t="str">
        <f t="shared" si="103"/>
        <v>, 0</v>
      </c>
    </row>
    <row r="32" spans="1:191" ht="42.75" customHeight="1">
      <c r="A32" s="39">
        <v>25</v>
      </c>
      <c r="B32" s="283">
        <f>SISWA!B30</f>
        <v>0</v>
      </c>
      <c r="C32" s="123"/>
      <c r="D32" s="123"/>
      <c r="E32" s="123"/>
      <c r="F32" s="123"/>
      <c r="G32" s="123"/>
      <c r="H32" s="123"/>
      <c r="I32" s="123"/>
      <c r="J32" s="123"/>
      <c r="K32" s="123"/>
      <c r="L32" s="256"/>
      <c r="M32" s="256"/>
      <c r="N32" s="256"/>
      <c r="O32" s="256"/>
      <c r="P32" s="256"/>
      <c r="Q32" s="256"/>
      <c r="R32" s="256"/>
      <c r="S32" s="256"/>
      <c r="T32" s="256"/>
      <c r="U32" s="123"/>
      <c r="V32" s="123"/>
      <c r="W32" s="123"/>
      <c r="X32" s="123"/>
      <c r="Y32" s="123"/>
      <c r="Z32" s="123"/>
      <c r="AA32" s="123"/>
      <c r="AB32" s="123"/>
      <c r="AC32" s="123"/>
      <c r="AD32" s="256"/>
      <c r="AE32" s="256"/>
      <c r="AF32" s="256"/>
      <c r="AG32" s="256"/>
      <c r="AH32" s="256"/>
      <c r="AI32" s="256"/>
      <c r="AJ32" s="256"/>
      <c r="AK32" s="256"/>
      <c r="AL32" s="256"/>
      <c r="AM32" s="123"/>
      <c r="AN32" s="123"/>
      <c r="AO32" s="123"/>
      <c r="AP32" s="123"/>
      <c r="AQ32" s="123"/>
      <c r="AR32" s="123"/>
      <c r="AS32" s="123"/>
      <c r="AT32" s="123"/>
      <c r="AU32" s="123"/>
      <c r="AV32" s="256"/>
      <c r="AW32" s="256"/>
      <c r="AX32" s="256"/>
      <c r="AY32" s="256"/>
      <c r="AZ32" s="256"/>
      <c r="BA32" s="256"/>
      <c r="BB32" s="256"/>
      <c r="BC32" s="256"/>
      <c r="BD32" s="256"/>
      <c r="BE32" s="123"/>
      <c r="BF32" s="123"/>
      <c r="BG32" s="123"/>
      <c r="BH32" s="123"/>
      <c r="BI32" s="123"/>
      <c r="BJ32" s="123"/>
      <c r="BK32" s="123"/>
      <c r="BL32" s="123"/>
      <c r="BM32" s="123"/>
      <c r="BN32" s="256"/>
      <c r="BO32" s="256"/>
      <c r="BP32" s="256"/>
      <c r="BQ32" s="256"/>
      <c r="BR32" s="256"/>
      <c r="BS32" s="256"/>
      <c r="BT32" s="256"/>
      <c r="BU32" s="256"/>
      <c r="BV32" s="256"/>
      <c r="BW32" s="460"/>
      <c r="BX32" s="460"/>
      <c r="BY32" s="460"/>
      <c r="BZ32" s="460"/>
      <c r="CA32" s="460"/>
      <c r="CB32" s="460"/>
      <c r="CC32" s="460"/>
      <c r="CD32" s="460"/>
      <c r="CE32" s="460"/>
      <c r="CF32" s="346"/>
      <c r="CG32" s="346"/>
      <c r="CH32" s="346"/>
      <c r="CI32" s="346"/>
      <c r="CJ32" s="346"/>
      <c r="CK32" s="346"/>
      <c r="CL32" s="346"/>
      <c r="CM32" s="346"/>
      <c r="CN32" s="346"/>
      <c r="CO32" s="260" t="str">
        <f t="shared" si="46"/>
        <v xml:space="preserve"> </v>
      </c>
      <c r="CP32" s="260" t="str">
        <f t="shared" si="47"/>
        <v xml:space="preserve"> </v>
      </c>
      <c r="CQ32" s="260" t="str">
        <f t="shared" si="48"/>
        <v xml:space="preserve"> </v>
      </c>
      <c r="CR32" s="260" t="str">
        <f t="shared" si="49"/>
        <v xml:space="preserve"> </v>
      </c>
      <c r="CS32" s="260" t="str">
        <f t="shared" si="50"/>
        <v xml:space="preserve"> </v>
      </c>
      <c r="CT32" s="260" t="str">
        <f t="shared" si="51"/>
        <v xml:space="preserve"> </v>
      </c>
      <c r="CU32" s="260" t="str">
        <f t="shared" si="52"/>
        <v xml:space="preserve"> </v>
      </c>
      <c r="CV32" s="260" t="str">
        <f t="shared" si="53"/>
        <v xml:space="preserve"> </v>
      </c>
      <c r="CW32" s="260" t="str">
        <f t="shared" si="54"/>
        <v xml:space="preserve"> </v>
      </c>
      <c r="CX32" s="547"/>
      <c r="CY32" s="547"/>
      <c r="CZ32" s="547"/>
      <c r="DA32" s="547"/>
      <c r="DB32" s="547"/>
      <c r="DC32" s="547"/>
      <c r="DD32" s="547"/>
      <c r="DE32" s="547"/>
      <c r="DF32" s="547"/>
      <c r="DG32" s="564"/>
      <c r="DH32" s="564"/>
      <c r="DI32" s="564"/>
      <c r="DJ32" s="564"/>
      <c r="DK32" s="564"/>
      <c r="DL32" s="564"/>
      <c r="DM32" s="564"/>
      <c r="DN32" s="564"/>
      <c r="DO32" s="564"/>
      <c r="DP32" s="549" t="str">
        <f t="shared" si="55"/>
        <v xml:space="preserve"> </v>
      </c>
      <c r="DQ32" s="291" t="str">
        <f t="shared" si="56"/>
        <v xml:space="preserve">  </v>
      </c>
      <c r="DR32" s="50" t="str">
        <f t="shared" si="57"/>
        <v xml:space="preserve"> </v>
      </c>
      <c r="DS32" s="282"/>
      <c r="DT32" s="51"/>
      <c r="DU32" s="46" t="str">
        <f t="shared" si="58"/>
        <v xml:space="preserve"> </v>
      </c>
      <c r="DV32" s="46" t="str">
        <f t="shared" si="59"/>
        <v xml:space="preserve"> </v>
      </c>
      <c r="DW32" s="46" t="str">
        <f t="shared" si="60"/>
        <v xml:space="preserve"> </v>
      </c>
      <c r="DX32" s="46" t="str">
        <f t="shared" si="61"/>
        <v xml:space="preserve"> </v>
      </c>
      <c r="DY32" s="46" t="str">
        <f t="shared" si="62"/>
        <v xml:space="preserve"> </v>
      </c>
      <c r="DZ32" s="46" t="str">
        <f t="shared" si="63"/>
        <v xml:space="preserve"> </v>
      </c>
      <c r="EA32" s="46" t="str">
        <f t="shared" si="64"/>
        <v xml:space="preserve"> </v>
      </c>
      <c r="EB32" s="46" t="str">
        <f t="shared" si="65"/>
        <v xml:space="preserve"> </v>
      </c>
      <c r="EC32" s="46" t="str">
        <f t="shared" si="66"/>
        <v xml:space="preserve"> </v>
      </c>
      <c r="ED32" s="46"/>
      <c r="EE32" s="52">
        <f>[2]uts!J31</f>
        <v>68.666666666666671</v>
      </c>
      <c r="EF32" s="51"/>
      <c r="EG32" s="53" t="str">
        <f t="shared" si="67"/>
        <v xml:space="preserve">  </v>
      </c>
      <c r="EH32" s="53" t="str">
        <f t="shared" si="68"/>
        <v xml:space="preserve">  </v>
      </c>
      <c r="EI32" s="53" t="str">
        <f t="shared" si="69"/>
        <v xml:space="preserve">  </v>
      </c>
      <c r="EJ32" s="53" t="str">
        <f t="shared" si="70"/>
        <v xml:space="preserve">  </v>
      </c>
      <c r="EK32" s="53" t="str">
        <f t="shared" si="71"/>
        <v xml:space="preserve">  </v>
      </c>
      <c r="EL32" s="53" t="str">
        <f t="shared" si="72"/>
        <v xml:space="preserve">  </v>
      </c>
      <c r="EM32" s="53" t="str">
        <f t="shared" si="73"/>
        <v xml:space="preserve">  </v>
      </c>
      <c r="EN32" s="53" t="str">
        <f t="shared" si="74"/>
        <v xml:space="preserve">  </v>
      </c>
      <c r="EO32" s="53" t="str">
        <f t="shared" si="75"/>
        <v xml:space="preserve">  </v>
      </c>
      <c r="EP32" s="53"/>
      <c r="EQ32" s="52" t="str">
        <f t="shared" si="76"/>
        <v xml:space="preserve"> </v>
      </c>
      <c r="ER32" s="55">
        <f t="shared" si="77"/>
        <v>0</v>
      </c>
      <c r="ES32" s="55">
        <f t="shared" si="78"/>
        <v>0</v>
      </c>
      <c r="ET32" s="51">
        <f>SISWA!E30</f>
        <v>0</v>
      </c>
      <c r="EU32" s="51" t="str">
        <f t="shared" si="79"/>
        <v/>
      </c>
      <c r="EV32" s="56" t="str">
        <f t="shared" si="80"/>
        <v/>
      </c>
      <c r="EW32" s="57" t="str">
        <f t="shared" si="81"/>
        <v/>
      </c>
      <c r="EX32" s="57" t="str">
        <f t="shared" si="82"/>
        <v/>
      </c>
      <c r="EY32" s="57" t="str">
        <f t="shared" si="83"/>
        <v/>
      </c>
      <c r="EZ32" s="57" t="str">
        <f t="shared" si="84"/>
        <v/>
      </c>
      <c r="FA32" s="57" t="str">
        <f t="shared" si="85"/>
        <v/>
      </c>
      <c r="FB32" s="57" t="str">
        <f t="shared" si="86"/>
        <v/>
      </c>
      <c r="FC32" s="57" t="str">
        <f t="shared" si="87"/>
        <v/>
      </c>
      <c r="FD32" s="57" t="str">
        <f t="shared" si="88"/>
        <v/>
      </c>
      <c r="FE32" s="57"/>
      <c r="FF32" s="58">
        <f t="shared" si="89"/>
        <v>0</v>
      </c>
      <c r="FG32" s="55" t="e">
        <f t="shared" si="90"/>
        <v>#N/A</v>
      </c>
      <c r="FH32" s="58"/>
      <c r="FI32" s="59" t="e">
        <f>IF(ER32&gt;100,"",IF(ER32&gt;DQ$1,"sangat baik dalam "&amp;FG32,IF(ER32&gt;=DQ$2,"baik dalam "&amp;FG32,IF(ER32&gt;=DQ$3,"cukup dalam "&amp;FG32,IF(ER32&lt;DQ$3,"dengan bimbingan dapat meningkatkandalam "&amp;FG32,IF(ER32&lt;1," ",””))))))</f>
        <v>#N/A</v>
      </c>
      <c r="FJ32" s="58"/>
      <c r="FK32" s="57" t="str">
        <f t="shared" si="91"/>
        <v/>
      </c>
      <c r="FL32" s="57" t="str">
        <f t="shared" si="92"/>
        <v/>
      </c>
      <c r="FM32" s="57" t="str">
        <f t="shared" si="93"/>
        <v/>
      </c>
      <c r="FN32" s="57" t="str">
        <f t="shared" si="94"/>
        <v/>
      </c>
      <c r="FO32" s="57" t="str">
        <f t="shared" si="95"/>
        <v/>
      </c>
      <c r="FP32" s="57" t="str">
        <f t="shared" si="96"/>
        <v/>
      </c>
      <c r="FQ32" s="57" t="str">
        <f t="shared" si="97"/>
        <v/>
      </c>
      <c r="FR32" s="57" t="str">
        <f t="shared" si="98"/>
        <v/>
      </c>
      <c r="FS32" s="57" t="str">
        <f t="shared" si="99"/>
        <v/>
      </c>
      <c r="FT32" s="57"/>
      <c r="FU32" s="59" t="e">
        <f t="shared" si="100"/>
        <v>#N/A</v>
      </c>
      <c r="FV32" s="59" t="e">
        <f>IF(ES32&gt;100,"",IF(ES32&gt;DQ$1,"sangat baik dalam "&amp;FU32,IF(ES32&gt;=DQ$2,"baik dalam "&amp;FU32,IF(ES32&gt;=DQ$3,"cukup dalam "&amp;FU32,IF(ES32&lt;DQ$3,"dengan bimbingan dapat meningkatkan dalam "&amp;FU32,IF(ES32&lt;1," ",””))))))</f>
        <v>#N/A</v>
      </c>
      <c r="FW32" s="61"/>
      <c r="FX32" s="62" t="e">
        <f t="shared" si="101"/>
        <v>#N/A</v>
      </c>
      <c r="FY32" s="57" t="str">
        <f t="shared" si="102"/>
        <v/>
      </c>
      <c r="FZ32" s="57" t="str">
        <f t="shared" si="102"/>
        <v/>
      </c>
      <c r="GA32" s="57" t="str">
        <f t="shared" si="102"/>
        <v/>
      </c>
      <c r="GB32" s="57"/>
      <c r="GC32" s="57"/>
      <c r="GD32" s="57"/>
      <c r="GE32" s="59">
        <f t="shared" si="45"/>
        <v>0</v>
      </c>
      <c r="GF32" s="60"/>
      <c r="GG32" s="61"/>
      <c r="GH32" s="62" t="str">
        <f t="shared" si="103"/>
        <v>, 0</v>
      </c>
    </row>
    <row r="33" spans="1:190" ht="42.75" customHeight="1">
      <c r="A33" s="39">
        <v>26</v>
      </c>
      <c r="B33" s="283">
        <f>SISWA!B31</f>
        <v>0</v>
      </c>
      <c r="C33" s="123"/>
      <c r="D33" s="123"/>
      <c r="E33" s="123"/>
      <c r="F33" s="123"/>
      <c r="G33" s="123"/>
      <c r="H33" s="123"/>
      <c r="I33" s="123"/>
      <c r="J33" s="123"/>
      <c r="K33" s="123"/>
      <c r="L33" s="256"/>
      <c r="M33" s="256"/>
      <c r="N33" s="256"/>
      <c r="O33" s="256"/>
      <c r="P33" s="256"/>
      <c r="Q33" s="256"/>
      <c r="R33" s="256"/>
      <c r="S33" s="256"/>
      <c r="T33" s="256"/>
      <c r="U33" s="123"/>
      <c r="V33" s="123"/>
      <c r="W33" s="123"/>
      <c r="X33" s="123"/>
      <c r="Y33" s="123"/>
      <c r="Z33" s="123"/>
      <c r="AA33" s="123"/>
      <c r="AB33" s="123"/>
      <c r="AC33" s="123"/>
      <c r="AD33" s="256"/>
      <c r="AE33" s="256"/>
      <c r="AF33" s="256"/>
      <c r="AG33" s="256"/>
      <c r="AH33" s="256"/>
      <c r="AI33" s="256"/>
      <c r="AJ33" s="256"/>
      <c r="AK33" s="256"/>
      <c r="AL33" s="256"/>
      <c r="AM33" s="123"/>
      <c r="AN33" s="123"/>
      <c r="AO33" s="123"/>
      <c r="AP33" s="123"/>
      <c r="AQ33" s="123"/>
      <c r="AR33" s="123"/>
      <c r="AS33" s="123"/>
      <c r="AT33" s="123"/>
      <c r="AU33" s="123"/>
      <c r="AV33" s="256"/>
      <c r="AW33" s="256"/>
      <c r="AX33" s="256"/>
      <c r="AY33" s="256"/>
      <c r="AZ33" s="256"/>
      <c r="BA33" s="256"/>
      <c r="BB33" s="256"/>
      <c r="BC33" s="256"/>
      <c r="BD33" s="256"/>
      <c r="BE33" s="123"/>
      <c r="BF33" s="123"/>
      <c r="BG33" s="123"/>
      <c r="BH33" s="123"/>
      <c r="BI33" s="123"/>
      <c r="BJ33" s="123"/>
      <c r="BK33" s="123"/>
      <c r="BL33" s="123"/>
      <c r="BM33" s="123"/>
      <c r="BN33" s="256"/>
      <c r="BO33" s="256"/>
      <c r="BP33" s="256"/>
      <c r="BQ33" s="256"/>
      <c r="BR33" s="256"/>
      <c r="BS33" s="256"/>
      <c r="BT33" s="256"/>
      <c r="BU33" s="256"/>
      <c r="BV33" s="256"/>
      <c r="BW33" s="460"/>
      <c r="BX33" s="460"/>
      <c r="BY33" s="460"/>
      <c r="BZ33" s="460"/>
      <c r="CA33" s="460"/>
      <c r="CB33" s="460"/>
      <c r="CC33" s="460"/>
      <c r="CD33" s="460"/>
      <c r="CE33" s="460"/>
      <c r="CF33" s="346"/>
      <c r="CG33" s="346"/>
      <c r="CH33" s="346"/>
      <c r="CI33" s="346"/>
      <c r="CJ33" s="346"/>
      <c r="CK33" s="346"/>
      <c r="CL33" s="346"/>
      <c r="CM33" s="346"/>
      <c r="CN33" s="346"/>
      <c r="CO33" s="260" t="str">
        <f t="shared" si="46"/>
        <v xml:space="preserve"> </v>
      </c>
      <c r="CP33" s="260" t="str">
        <f t="shared" si="47"/>
        <v xml:space="preserve"> </v>
      </c>
      <c r="CQ33" s="260" t="str">
        <f t="shared" si="48"/>
        <v xml:space="preserve"> </v>
      </c>
      <c r="CR33" s="260" t="str">
        <f t="shared" si="49"/>
        <v xml:space="preserve"> </v>
      </c>
      <c r="CS33" s="260" t="str">
        <f t="shared" si="50"/>
        <v xml:space="preserve"> </v>
      </c>
      <c r="CT33" s="260" t="str">
        <f t="shared" si="51"/>
        <v xml:space="preserve"> </v>
      </c>
      <c r="CU33" s="260" t="str">
        <f t="shared" si="52"/>
        <v xml:space="preserve"> </v>
      </c>
      <c r="CV33" s="260" t="str">
        <f t="shared" si="53"/>
        <v xml:space="preserve"> </v>
      </c>
      <c r="CW33" s="260" t="str">
        <f t="shared" si="54"/>
        <v xml:space="preserve"> </v>
      </c>
      <c r="CX33" s="547"/>
      <c r="CY33" s="547"/>
      <c r="CZ33" s="547"/>
      <c r="DA33" s="547"/>
      <c r="DB33" s="547"/>
      <c r="DC33" s="547"/>
      <c r="DD33" s="547"/>
      <c r="DE33" s="547"/>
      <c r="DF33" s="547"/>
      <c r="DG33" s="564"/>
      <c r="DH33" s="564"/>
      <c r="DI33" s="564"/>
      <c r="DJ33" s="564"/>
      <c r="DK33" s="564"/>
      <c r="DL33" s="564"/>
      <c r="DM33" s="564"/>
      <c r="DN33" s="564"/>
      <c r="DO33" s="564"/>
      <c r="DP33" s="549" t="str">
        <f t="shared" si="55"/>
        <v xml:space="preserve"> </v>
      </c>
      <c r="DQ33" s="291" t="str">
        <f t="shared" si="56"/>
        <v xml:space="preserve">  </v>
      </c>
      <c r="DR33" s="50" t="str">
        <f t="shared" si="57"/>
        <v xml:space="preserve"> </v>
      </c>
      <c r="DS33" s="282"/>
      <c r="DT33" s="51"/>
      <c r="DU33" s="46" t="str">
        <f t="shared" si="58"/>
        <v xml:space="preserve"> </v>
      </c>
      <c r="DV33" s="46" t="str">
        <f t="shared" si="59"/>
        <v xml:space="preserve"> </v>
      </c>
      <c r="DW33" s="46" t="str">
        <f t="shared" si="60"/>
        <v xml:space="preserve"> </v>
      </c>
      <c r="DX33" s="46" t="str">
        <f t="shared" si="61"/>
        <v xml:space="preserve"> </v>
      </c>
      <c r="DY33" s="46" t="str">
        <f t="shared" si="62"/>
        <v xml:space="preserve"> </v>
      </c>
      <c r="DZ33" s="46" t="str">
        <f t="shared" si="63"/>
        <v xml:space="preserve"> </v>
      </c>
      <c r="EA33" s="46" t="str">
        <f t="shared" si="64"/>
        <v xml:space="preserve"> </v>
      </c>
      <c r="EB33" s="46" t="str">
        <f t="shared" si="65"/>
        <v xml:space="preserve"> </v>
      </c>
      <c r="EC33" s="46" t="str">
        <f t="shared" si="66"/>
        <v xml:space="preserve"> </v>
      </c>
      <c r="ED33" s="46"/>
      <c r="EE33" s="52">
        <f>[2]uts!J32</f>
        <v>75</v>
      </c>
      <c r="EF33" s="51"/>
      <c r="EG33" s="53" t="str">
        <f t="shared" si="67"/>
        <v xml:space="preserve">  </v>
      </c>
      <c r="EH33" s="53" t="str">
        <f t="shared" si="68"/>
        <v xml:space="preserve">  </v>
      </c>
      <c r="EI33" s="53" t="str">
        <f t="shared" si="69"/>
        <v xml:space="preserve">  </v>
      </c>
      <c r="EJ33" s="53" t="str">
        <f t="shared" si="70"/>
        <v xml:space="preserve">  </v>
      </c>
      <c r="EK33" s="53" t="str">
        <f t="shared" si="71"/>
        <v xml:space="preserve">  </v>
      </c>
      <c r="EL33" s="53" t="str">
        <f t="shared" si="72"/>
        <v xml:space="preserve">  </v>
      </c>
      <c r="EM33" s="53" t="str">
        <f t="shared" si="73"/>
        <v xml:space="preserve">  </v>
      </c>
      <c r="EN33" s="53" t="str">
        <f t="shared" si="74"/>
        <v xml:space="preserve">  </v>
      </c>
      <c r="EO33" s="53" t="str">
        <f t="shared" si="75"/>
        <v xml:space="preserve">  </v>
      </c>
      <c r="EP33" s="53"/>
      <c r="EQ33" s="52" t="str">
        <f t="shared" si="76"/>
        <v xml:space="preserve"> </v>
      </c>
      <c r="ER33" s="55">
        <f t="shared" si="77"/>
        <v>0</v>
      </c>
      <c r="ES33" s="55">
        <f t="shared" si="78"/>
        <v>0</v>
      </c>
      <c r="ET33" s="51">
        <f>SISWA!E31</f>
        <v>0</v>
      </c>
      <c r="EU33" s="51" t="str">
        <f t="shared" si="79"/>
        <v/>
      </c>
      <c r="EV33" s="56" t="str">
        <f t="shared" si="80"/>
        <v/>
      </c>
      <c r="EW33" s="57" t="str">
        <f t="shared" si="81"/>
        <v/>
      </c>
      <c r="EX33" s="57" t="str">
        <f t="shared" si="82"/>
        <v/>
      </c>
      <c r="EY33" s="57" t="str">
        <f t="shared" si="83"/>
        <v/>
      </c>
      <c r="EZ33" s="57" t="str">
        <f t="shared" si="84"/>
        <v/>
      </c>
      <c r="FA33" s="57" t="str">
        <f t="shared" si="85"/>
        <v/>
      </c>
      <c r="FB33" s="57" t="str">
        <f t="shared" si="86"/>
        <v/>
      </c>
      <c r="FC33" s="57" t="str">
        <f t="shared" si="87"/>
        <v/>
      </c>
      <c r="FD33" s="57" t="str">
        <f t="shared" si="88"/>
        <v/>
      </c>
      <c r="FE33" s="57"/>
      <c r="FF33" s="58">
        <f t="shared" si="89"/>
        <v>0</v>
      </c>
      <c r="FG33" s="55" t="e">
        <f t="shared" si="90"/>
        <v>#N/A</v>
      </c>
      <c r="FH33" s="58"/>
      <c r="FI33" s="59" t="e">
        <f>IF(ER33&gt;100,"",IF(ER33&gt;DQ$1,"sangat baik dalam "&amp;FG33,IF(ER33&gt;=DQ$2,"baik dalam "&amp;FG33,IF(ER33&gt;=DQ$3,"cukup dalam "&amp;FG33,IF(ER33&lt;DQ$3,"dengan bimbingan dapat meningkatkandalam "&amp;FG33,IF(ER33&lt;1," ",””))))))</f>
        <v>#N/A</v>
      </c>
      <c r="FJ33" s="58"/>
      <c r="FK33" s="57" t="str">
        <f t="shared" si="91"/>
        <v/>
      </c>
      <c r="FL33" s="57" t="str">
        <f t="shared" si="92"/>
        <v/>
      </c>
      <c r="FM33" s="57" t="str">
        <f t="shared" si="93"/>
        <v/>
      </c>
      <c r="FN33" s="57" t="str">
        <f t="shared" si="94"/>
        <v/>
      </c>
      <c r="FO33" s="57" t="str">
        <f t="shared" si="95"/>
        <v/>
      </c>
      <c r="FP33" s="57" t="str">
        <f t="shared" si="96"/>
        <v/>
      </c>
      <c r="FQ33" s="57" t="str">
        <f t="shared" si="97"/>
        <v/>
      </c>
      <c r="FR33" s="57" t="str">
        <f t="shared" si="98"/>
        <v/>
      </c>
      <c r="FS33" s="57" t="str">
        <f t="shared" si="99"/>
        <v/>
      </c>
      <c r="FT33" s="57"/>
      <c r="FU33" s="59" t="e">
        <f t="shared" si="100"/>
        <v>#N/A</v>
      </c>
      <c r="FV33" s="59" t="e">
        <f>IF(ES33&gt;100,"",IF(ES33&gt;DQ$1,"sangat baik dalam "&amp;FU33,IF(ES33&gt;=DQ$2,"baik dalam "&amp;FU33,IF(ES33&gt;=DQ$3,"cukup dalam "&amp;FU33,IF(ES33&lt;DQ$3,"dengan bimbingan dapat meningkatkan dalam "&amp;FU33,IF(ES33&lt;1," ",””))))))</f>
        <v>#N/A</v>
      </c>
      <c r="FW33" s="61"/>
      <c r="FX33" s="62" t="e">
        <f t="shared" si="101"/>
        <v>#N/A</v>
      </c>
      <c r="FY33" s="57" t="str">
        <f t="shared" si="102"/>
        <v/>
      </c>
      <c r="FZ33" s="57" t="str">
        <f t="shared" si="102"/>
        <v/>
      </c>
      <c r="GA33" s="57" t="str">
        <f t="shared" si="102"/>
        <v/>
      </c>
      <c r="GB33" s="57"/>
      <c r="GC33" s="57"/>
      <c r="GD33" s="57"/>
      <c r="GE33" s="59">
        <f t="shared" si="45"/>
        <v>0</v>
      </c>
      <c r="GF33" s="60"/>
      <c r="GG33" s="61"/>
      <c r="GH33" s="62" t="str">
        <f t="shared" si="103"/>
        <v>, 0</v>
      </c>
    </row>
    <row r="34" spans="1:190" ht="42.75" customHeight="1">
      <c r="A34" s="39">
        <v>27</v>
      </c>
      <c r="B34" s="283">
        <f>SISWA!B32</f>
        <v>0</v>
      </c>
      <c r="C34" s="123"/>
      <c r="D34" s="123"/>
      <c r="E34" s="123"/>
      <c r="F34" s="123"/>
      <c r="G34" s="123"/>
      <c r="H34" s="123"/>
      <c r="I34" s="123"/>
      <c r="J34" s="123"/>
      <c r="K34" s="123"/>
      <c r="L34" s="256"/>
      <c r="M34" s="256"/>
      <c r="N34" s="256"/>
      <c r="O34" s="256"/>
      <c r="P34" s="256"/>
      <c r="Q34" s="256"/>
      <c r="R34" s="256"/>
      <c r="S34" s="256"/>
      <c r="T34" s="256"/>
      <c r="U34" s="123"/>
      <c r="V34" s="123"/>
      <c r="W34" s="123"/>
      <c r="X34" s="123"/>
      <c r="Y34" s="123"/>
      <c r="Z34" s="123"/>
      <c r="AA34" s="123"/>
      <c r="AB34" s="123"/>
      <c r="AC34" s="123"/>
      <c r="AD34" s="256"/>
      <c r="AE34" s="256"/>
      <c r="AF34" s="256"/>
      <c r="AG34" s="256"/>
      <c r="AH34" s="256"/>
      <c r="AI34" s="256"/>
      <c r="AJ34" s="256"/>
      <c r="AK34" s="256"/>
      <c r="AL34" s="256"/>
      <c r="AM34" s="123"/>
      <c r="AN34" s="123"/>
      <c r="AO34" s="123"/>
      <c r="AP34" s="123"/>
      <c r="AQ34" s="123"/>
      <c r="AR34" s="123"/>
      <c r="AS34" s="123"/>
      <c r="AT34" s="123"/>
      <c r="AU34" s="123"/>
      <c r="AV34" s="256"/>
      <c r="AW34" s="256"/>
      <c r="AX34" s="256"/>
      <c r="AY34" s="256"/>
      <c r="AZ34" s="256"/>
      <c r="BA34" s="256"/>
      <c r="BB34" s="256"/>
      <c r="BC34" s="256"/>
      <c r="BD34" s="256"/>
      <c r="BE34" s="123"/>
      <c r="BF34" s="123"/>
      <c r="BG34" s="123"/>
      <c r="BH34" s="123"/>
      <c r="BI34" s="123"/>
      <c r="BJ34" s="123"/>
      <c r="BK34" s="123"/>
      <c r="BL34" s="123"/>
      <c r="BM34" s="123"/>
      <c r="BN34" s="256"/>
      <c r="BO34" s="256"/>
      <c r="BP34" s="256"/>
      <c r="BQ34" s="256"/>
      <c r="BR34" s="256"/>
      <c r="BS34" s="256"/>
      <c r="BT34" s="256"/>
      <c r="BU34" s="256"/>
      <c r="BV34" s="256"/>
      <c r="BW34" s="460"/>
      <c r="BX34" s="460"/>
      <c r="BY34" s="460"/>
      <c r="BZ34" s="460"/>
      <c r="CA34" s="460"/>
      <c r="CB34" s="460"/>
      <c r="CC34" s="460"/>
      <c r="CD34" s="460"/>
      <c r="CE34" s="460"/>
      <c r="CF34" s="346"/>
      <c r="CG34" s="346"/>
      <c r="CH34" s="346"/>
      <c r="CI34" s="346"/>
      <c r="CJ34" s="346"/>
      <c r="CK34" s="346"/>
      <c r="CL34" s="346"/>
      <c r="CM34" s="346"/>
      <c r="CN34" s="346"/>
      <c r="CO34" s="260" t="str">
        <f t="shared" si="46"/>
        <v xml:space="preserve"> </v>
      </c>
      <c r="CP34" s="260" t="str">
        <f t="shared" si="47"/>
        <v xml:space="preserve"> </v>
      </c>
      <c r="CQ34" s="260" t="str">
        <f t="shared" si="48"/>
        <v xml:space="preserve"> </v>
      </c>
      <c r="CR34" s="260" t="str">
        <f t="shared" si="49"/>
        <v xml:space="preserve"> </v>
      </c>
      <c r="CS34" s="260" t="str">
        <f t="shared" si="50"/>
        <v xml:space="preserve"> </v>
      </c>
      <c r="CT34" s="260" t="str">
        <f t="shared" si="51"/>
        <v xml:space="preserve"> </v>
      </c>
      <c r="CU34" s="260" t="str">
        <f t="shared" si="52"/>
        <v xml:space="preserve"> </v>
      </c>
      <c r="CV34" s="260" t="str">
        <f t="shared" si="53"/>
        <v xml:space="preserve"> </v>
      </c>
      <c r="CW34" s="260" t="str">
        <f t="shared" si="54"/>
        <v xml:space="preserve"> </v>
      </c>
      <c r="CX34" s="547"/>
      <c r="CY34" s="547"/>
      <c r="CZ34" s="547"/>
      <c r="DA34" s="547"/>
      <c r="DB34" s="547"/>
      <c r="DC34" s="547"/>
      <c r="DD34" s="547"/>
      <c r="DE34" s="547"/>
      <c r="DF34" s="547"/>
      <c r="DG34" s="564"/>
      <c r="DH34" s="564"/>
      <c r="DI34" s="564"/>
      <c r="DJ34" s="564"/>
      <c r="DK34" s="564"/>
      <c r="DL34" s="564"/>
      <c r="DM34" s="564"/>
      <c r="DN34" s="564"/>
      <c r="DO34" s="564"/>
      <c r="DP34" s="549" t="str">
        <f t="shared" si="55"/>
        <v xml:space="preserve"> </v>
      </c>
      <c r="DQ34" s="291" t="str">
        <f t="shared" si="56"/>
        <v xml:space="preserve">  </v>
      </c>
      <c r="DR34" s="50" t="str">
        <f t="shared" si="57"/>
        <v xml:space="preserve"> </v>
      </c>
      <c r="DS34" s="282"/>
      <c r="DT34" s="51"/>
      <c r="DU34" s="46" t="str">
        <f t="shared" si="58"/>
        <v xml:space="preserve"> </v>
      </c>
      <c r="DV34" s="46" t="str">
        <f t="shared" si="59"/>
        <v xml:space="preserve"> </v>
      </c>
      <c r="DW34" s="46" t="str">
        <f t="shared" si="60"/>
        <v xml:space="preserve"> </v>
      </c>
      <c r="DX34" s="46" t="str">
        <f t="shared" si="61"/>
        <v xml:space="preserve"> </v>
      </c>
      <c r="DY34" s="46" t="str">
        <f t="shared" si="62"/>
        <v xml:space="preserve"> </v>
      </c>
      <c r="DZ34" s="46" t="str">
        <f t="shared" si="63"/>
        <v xml:space="preserve"> </v>
      </c>
      <c r="EA34" s="46" t="str">
        <f t="shared" si="64"/>
        <v xml:space="preserve"> </v>
      </c>
      <c r="EB34" s="46" t="str">
        <f t="shared" si="65"/>
        <v xml:space="preserve"> </v>
      </c>
      <c r="EC34" s="46" t="str">
        <f t="shared" si="66"/>
        <v xml:space="preserve"> </v>
      </c>
      <c r="ED34" s="46"/>
      <c r="EE34" s="52">
        <f>[2]uts!J33</f>
        <v>76.333333333333329</v>
      </c>
      <c r="EF34" s="51"/>
      <c r="EG34" s="53" t="str">
        <f t="shared" si="67"/>
        <v xml:space="preserve">  </v>
      </c>
      <c r="EH34" s="53" t="str">
        <f t="shared" si="68"/>
        <v xml:space="preserve">  </v>
      </c>
      <c r="EI34" s="53" t="str">
        <f t="shared" si="69"/>
        <v xml:space="preserve">  </v>
      </c>
      <c r="EJ34" s="53" t="str">
        <f t="shared" si="70"/>
        <v xml:space="preserve">  </v>
      </c>
      <c r="EK34" s="53" t="str">
        <f t="shared" si="71"/>
        <v xml:space="preserve">  </v>
      </c>
      <c r="EL34" s="53" t="str">
        <f t="shared" si="72"/>
        <v xml:space="preserve">  </v>
      </c>
      <c r="EM34" s="53" t="str">
        <f t="shared" si="73"/>
        <v xml:space="preserve">  </v>
      </c>
      <c r="EN34" s="53" t="str">
        <f t="shared" si="74"/>
        <v xml:space="preserve">  </v>
      </c>
      <c r="EO34" s="53" t="str">
        <f t="shared" si="75"/>
        <v xml:space="preserve">  </v>
      </c>
      <c r="EP34" s="53"/>
      <c r="EQ34" s="52" t="str">
        <f t="shared" si="76"/>
        <v xml:space="preserve"> </v>
      </c>
      <c r="ER34" s="55">
        <f t="shared" si="77"/>
        <v>0</v>
      </c>
      <c r="ES34" s="55">
        <f t="shared" si="78"/>
        <v>0</v>
      </c>
      <c r="ET34" s="51">
        <f>SISWA!E32</f>
        <v>0</v>
      </c>
      <c r="EU34" s="51" t="str">
        <f t="shared" si="79"/>
        <v/>
      </c>
      <c r="EV34" s="56" t="str">
        <f t="shared" si="80"/>
        <v/>
      </c>
      <c r="EW34" s="57" t="str">
        <f t="shared" si="81"/>
        <v/>
      </c>
      <c r="EX34" s="57" t="str">
        <f t="shared" si="82"/>
        <v/>
      </c>
      <c r="EY34" s="57" t="str">
        <f t="shared" si="83"/>
        <v/>
      </c>
      <c r="EZ34" s="57" t="str">
        <f t="shared" si="84"/>
        <v/>
      </c>
      <c r="FA34" s="57" t="str">
        <f t="shared" si="85"/>
        <v/>
      </c>
      <c r="FB34" s="57" t="str">
        <f t="shared" si="86"/>
        <v/>
      </c>
      <c r="FC34" s="57" t="str">
        <f t="shared" si="87"/>
        <v/>
      </c>
      <c r="FD34" s="57" t="str">
        <f t="shared" si="88"/>
        <v/>
      </c>
      <c r="FE34" s="57"/>
      <c r="FF34" s="58">
        <f t="shared" si="89"/>
        <v>0</v>
      </c>
      <c r="FG34" s="55" t="e">
        <f t="shared" si="90"/>
        <v>#N/A</v>
      </c>
      <c r="FH34" s="58"/>
      <c r="FI34" s="59" t="e">
        <f>IF(ER34&gt;100,"",IF(ER34&gt;DQ$1,"sangat baik dalam "&amp;FG34,IF(ER34&gt;=DQ$2,"baik dalam "&amp;FG34,IF(ER34&gt;=DQ$3,"cukup dalam "&amp;FG34,IF(ER34&lt;DQ$3,"dengan bimbingan dapat meningkatkandalam "&amp;FG34,IF(ER34&lt;1," ",””))))))</f>
        <v>#N/A</v>
      </c>
      <c r="FJ34" s="58"/>
      <c r="FK34" s="57" t="str">
        <f t="shared" si="91"/>
        <v/>
      </c>
      <c r="FL34" s="57" t="str">
        <f t="shared" si="92"/>
        <v/>
      </c>
      <c r="FM34" s="57" t="str">
        <f t="shared" si="93"/>
        <v/>
      </c>
      <c r="FN34" s="57" t="str">
        <f t="shared" si="94"/>
        <v/>
      </c>
      <c r="FO34" s="57" t="str">
        <f t="shared" si="95"/>
        <v/>
      </c>
      <c r="FP34" s="57" t="str">
        <f t="shared" si="96"/>
        <v/>
      </c>
      <c r="FQ34" s="57" t="str">
        <f t="shared" si="97"/>
        <v/>
      </c>
      <c r="FR34" s="57" t="str">
        <f t="shared" si="98"/>
        <v/>
      </c>
      <c r="FS34" s="57" t="str">
        <f t="shared" si="99"/>
        <v/>
      </c>
      <c r="FT34" s="57"/>
      <c r="FU34" s="59" t="e">
        <f t="shared" si="100"/>
        <v>#N/A</v>
      </c>
      <c r="FV34" s="59" t="e">
        <f>IF(ES34&gt;100,"",IF(ES34&gt;DQ$1,"sangat baik dalam "&amp;FU34,IF(ES34&gt;=DQ$2,"baik dalam "&amp;FU34,IF(ES34&gt;=DQ$3,"cukup dalam "&amp;FU34,IF(ES34&lt;DQ$3,"dengan bimbingan dapat meningkatkan dalam "&amp;FU34,IF(ES34&lt;1," ",””))))))</f>
        <v>#N/A</v>
      </c>
      <c r="FW34" s="61"/>
      <c r="FX34" s="62" t="e">
        <f t="shared" si="101"/>
        <v>#N/A</v>
      </c>
      <c r="FY34" s="57" t="str">
        <f t="shared" si="102"/>
        <v/>
      </c>
      <c r="FZ34" s="57" t="str">
        <f t="shared" si="102"/>
        <v/>
      </c>
      <c r="GA34" s="57" t="str">
        <f t="shared" si="102"/>
        <v/>
      </c>
      <c r="GB34" s="57"/>
      <c r="GC34" s="57"/>
      <c r="GD34" s="57"/>
      <c r="GE34" s="59">
        <f t="shared" si="45"/>
        <v>0</v>
      </c>
      <c r="GF34" s="60"/>
      <c r="GG34" s="61"/>
      <c r="GH34" s="62" t="str">
        <f t="shared" si="103"/>
        <v>, 0</v>
      </c>
    </row>
    <row r="35" spans="1:190" ht="42.75" customHeight="1">
      <c r="A35" s="39">
        <v>28</v>
      </c>
      <c r="B35" s="283">
        <f>SISWA!B33</f>
        <v>0</v>
      </c>
      <c r="C35" s="123"/>
      <c r="D35" s="123"/>
      <c r="E35" s="123"/>
      <c r="F35" s="123"/>
      <c r="G35" s="123"/>
      <c r="H35" s="123"/>
      <c r="I35" s="123"/>
      <c r="J35" s="123"/>
      <c r="K35" s="123"/>
      <c r="L35" s="256"/>
      <c r="M35" s="256"/>
      <c r="N35" s="256"/>
      <c r="O35" s="256"/>
      <c r="P35" s="256"/>
      <c r="Q35" s="256"/>
      <c r="R35" s="256"/>
      <c r="S35" s="256"/>
      <c r="T35" s="256"/>
      <c r="U35" s="123"/>
      <c r="V35" s="123"/>
      <c r="W35" s="123"/>
      <c r="X35" s="123"/>
      <c r="Y35" s="123"/>
      <c r="Z35" s="123"/>
      <c r="AA35" s="123"/>
      <c r="AB35" s="123"/>
      <c r="AC35" s="123"/>
      <c r="AD35" s="256"/>
      <c r="AE35" s="256"/>
      <c r="AF35" s="256"/>
      <c r="AG35" s="256"/>
      <c r="AH35" s="256"/>
      <c r="AI35" s="256"/>
      <c r="AJ35" s="256"/>
      <c r="AK35" s="256"/>
      <c r="AL35" s="256"/>
      <c r="AM35" s="123"/>
      <c r="AN35" s="123"/>
      <c r="AO35" s="123"/>
      <c r="AP35" s="123"/>
      <c r="AQ35" s="123"/>
      <c r="AR35" s="123"/>
      <c r="AS35" s="123"/>
      <c r="AT35" s="123"/>
      <c r="AU35" s="123"/>
      <c r="AV35" s="256"/>
      <c r="AW35" s="256"/>
      <c r="AX35" s="256"/>
      <c r="AY35" s="256"/>
      <c r="AZ35" s="256"/>
      <c r="BA35" s="256"/>
      <c r="BB35" s="256"/>
      <c r="BC35" s="256"/>
      <c r="BD35" s="256"/>
      <c r="BE35" s="123"/>
      <c r="BF35" s="123"/>
      <c r="BG35" s="123"/>
      <c r="BH35" s="123"/>
      <c r="BI35" s="123"/>
      <c r="BJ35" s="123"/>
      <c r="BK35" s="123"/>
      <c r="BL35" s="123"/>
      <c r="BM35" s="123"/>
      <c r="BN35" s="256"/>
      <c r="BO35" s="256"/>
      <c r="BP35" s="256"/>
      <c r="BQ35" s="256"/>
      <c r="BR35" s="256"/>
      <c r="BS35" s="256"/>
      <c r="BT35" s="256"/>
      <c r="BU35" s="256"/>
      <c r="BV35" s="256"/>
      <c r="BW35" s="460"/>
      <c r="BX35" s="460"/>
      <c r="BY35" s="460"/>
      <c r="BZ35" s="460"/>
      <c r="CA35" s="460"/>
      <c r="CB35" s="460"/>
      <c r="CC35" s="460"/>
      <c r="CD35" s="460"/>
      <c r="CE35" s="460"/>
      <c r="CF35" s="346"/>
      <c r="CG35" s="346"/>
      <c r="CH35" s="346"/>
      <c r="CI35" s="346"/>
      <c r="CJ35" s="346"/>
      <c r="CK35" s="346"/>
      <c r="CL35" s="346"/>
      <c r="CM35" s="346"/>
      <c r="CN35" s="346"/>
      <c r="CO35" s="260" t="str">
        <f t="shared" si="46"/>
        <v xml:space="preserve"> </v>
      </c>
      <c r="CP35" s="260" t="str">
        <f t="shared" si="47"/>
        <v xml:space="preserve"> </v>
      </c>
      <c r="CQ35" s="260" t="str">
        <f t="shared" si="48"/>
        <v xml:space="preserve"> </v>
      </c>
      <c r="CR35" s="260" t="str">
        <f t="shared" si="49"/>
        <v xml:space="preserve"> </v>
      </c>
      <c r="CS35" s="260" t="str">
        <f t="shared" si="50"/>
        <v xml:space="preserve"> </v>
      </c>
      <c r="CT35" s="260" t="str">
        <f t="shared" si="51"/>
        <v xml:space="preserve"> </v>
      </c>
      <c r="CU35" s="260" t="str">
        <f t="shared" si="52"/>
        <v xml:space="preserve"> </v>
      </c>
      <c r="CV35" s="260" t="str">
        <f t="shared" si="53"/>
        <v xml:space="preserve"> </v>
      </c>
      <c r="CW35" s="260" t="str">
        <f t="shared" si="54"/>
        <v xml:space="preserve"> </v>
      </c>
      <c r="CX35" s="547"/>
      <c r="CY35" s="547"/>
      <c r="CZ35" s="547"/>
      <c r="DA35" s="547"/>
      <c r="DB35" s="547"/>
      <c r="DC35" s="547"/>
      <c r="DD35" s="547"/>
      <c r="DE35" s="547"/>
      <c r="DF35" s="547"/>
      <c r="DG35" s="564"/>
      <c r="DH35" s="564"/>
      <c r="DI35" s="564"/>
      <c r="DJ35" s="564"/>
      <c r="DK35" s="564"/>
      <c r="DL35" s="564"/>
      <c r="DM35" s="564"/>
      <c r="DN35" s="564"/>
      <c r="DO35" s="564"/>
      <c r="DP35" s="549" t="str">
        <f t="shared" si="55"/>
        <v xml:space="preserve"> </v>
      </c>
      <c r="DQ35" s="291" t="str">
        <f t="shared" si="56"/>
        <v xml:space="preserve">  </v>
      </c>
      <c r="DR35" s="50" t="str">
        <f t="shared" si="57"/>
        <v xml:space="preserve"> </v>
      </c>
      <c r="DS35" s="282"/>
      <c r="DT35" s="51"/>
      <c r="DU35" s="46" t="str">
        <f t="shared" si="58"/>
        <v xml:space="preserve"> </v>
      </c>
      <c r="DV35" s="46" t="str">
        <f t="shared" si="59"/>
        <v xml:space="preserve"> </v>
      </c>
      <c r="DW35" s="46" t="str">
        <f t="shared" si="60"/>
        <v xml:space="preserve"> </v>
      </c>
      <c r="DX35" s="46" t="str">
        <f t="shared" si="61"/>
        <v xml:space="preserve"> </v>
      </c>
      <c r="DY35" s="46" t="str">
        <f t="shared" si="62"/>
        <v xml:space="preserve"> </v>
      </c>
      <c r="DZ35" s="46" t="str">
        <f t="shared" si="63"/>
        <v xml:space="preserve"> </v>
      </c>
      <c r="EA35" s="46" t="str">
        <f t="shared" si="64"/>
        <v xml:space="preserve"> </v>
      </c>
      <c r="EB35" s="46" t="str">
        <f t="shared" si="65"/>
        <v xml:space="preserve"> </v>
      </c>
      <c r="EC35" s="46" t="str">
        <f t="shared" si="66"/>
        <v xml:space="preserve"> </v>
      </c>
      <c r="ED35" s="46"/>
      <c r="EE35" s="52">
        <f>[2]uts!J34</f>
        <v>73</v>
      </c>
      <c r="EF35" s="51"/>
      <c r="EG35" s="53" t="str">
        <f t="shared" si="67"/>
        <v xml:space="preserve">  </v>
      </c>
      <c r="EH35" s="53" t="str">
        <f t="shared" si="68"/>
        <v xml:space="preserve">  </v>
      </c>
      <c r="EI35" s="53" t="str">
        <f t="shared" si="69"/>
        <v xml:space="preserve">  </v>
      </c>
      <c r="EJ35" s="53" t="str">
        <f t="shared" si="70"/>
        <v xml:space="preserve">  </v>
      </c>
      <c r="EK35" s="53" t="str">
        <f t="shared" si="71"/>
        <v xml:space="preserve">  </v>
      </c>
      <c r="EL35" s="53" t="str">
        <f t="shared" si="72"/>
        <v xml:space="preserve">  </v>
      </c>
      <c r="EM35" s="53" t="str">
        <f t="shared" si="73"/>
        <v xml:space="preserve">  </v>
      </c>
      <c r="EN35" s="53" t="str">
        <f t="shared" si="74"/>
        <v xml:space="preserve">  </v>
      </c>
      <c r="EO35" s="53" t="str">
        <f t="shared" si="75"/>
        <v xml:space="preserve">  </v>
      </c>
      <c r="EP35" s="53"/>
      <c r="EQ35" s="52" t="str">
        <f t="shared" si="76"/>
        <v xml:space="preserve"> </v>
      </c>
      <c r="ER35" s="55">
        <f t="shared" si="77"/>
        <v>0</v>
      </c>
      <c r="ES35" s="55">
        <f t="shared" si="78"/>
        <v>0</v>
      </c>
      <c r="ET35" s="51">
        <f>SISWA!E33</f>
        <v>0</v>
      </c>
      <c r="EU35" s="51" t="str">
        <f t="shared" si="79"/>
        <v/>
      </c>
      <c r="EV35" s="56" t="str">
        <f t="shared" si="80"/>
        <v/>
      </c>
      <c r="EW35" s="57" t="str">
        <f t="shared" si="81"/>
        <v/>
      </c>
      <c r="EX35" s="57" t="str">
        <f t="shared" si="82"/>
        <v/>
      </c>
      <c r="EY35" s="57" t="str">
        <f t="shared" si="83"/>
        <v/>
      </c>
      <c r="EZ35" s="57" t="str">
        <f t="shared" si="84"/>
        <v/>
      </c>
      <c r="FA35" s="57" t="str">
        <f t="shared" si="85"/>
        <v/>
      </c>
      <c r="FB35" s="57" t="str">
        <f t="shared" si="86"/>
        <v/>
      </c>
      <c r="FC35" s="57" t="str">
        <f t="shared" si="87"/>
        <v/>
      </c>
      <c r="FD35" s="57" t="str">
        <f t="shared" si="88"/>
        <v/>
      </c>
      <c r="FE35" s="57"/>
      <c r="FF35" s="58">
        <f t="shared" si="89"/>
        <v>0</v>
      </c>
      <c r="FG35" s="55" t="e">
        <f t="shared" si="90"/>
        <v>#N/A</v>
      </c>
      <c r="FH35" s="58"/>
      <c r="FI35" s="59" t="e">
        <f>IF(ER35&gt;100,"",IF(ER35&gt;DQ$1,"sangat baik dalam "&amp;FG35,IF(ER35&gt;=DQ$2,"baik dalam "&amp;FG35,IF(ER35&gt;=DQ$3,"cukup dalam "&amp;FG35,IF(ER35&lt;DQ$3,"dengan bimbingan dapat meningkatkandalam "&amp;FG35,IF(ER35&lt;1," ",””))))))</f>
        <v>#N/A</v>
      </c>
      <c r="FJ35" s="58"/>
      <c r="FK35" s="57" t="str">
        <f t="shared" si="91"/>
        <v/>
      </c>
      <c r="FL35" s="57" t="str">
        <f t="shared" si="92"/>
        <v/>
      </c>
      <c r="FM35" s="57" t="str">
        <f t="shared" si="93"/>
        <v/>
      </c>
      <c r="FN35" s="57" t="str">
        <f t="shared" si="94"/>
        <v/>
      </c>
      <c r="FO35" s="57" t="str">
        <f t="shared" si="95"/>
        <v/>
      </c>
      <c r="FP35" s="57" t="str">
        <f t="shared" si="96"/>
        <v/>
      </c>
      <c r="FQ35" s="57" t="str">
        <f t="shared" si="97"/>
        <v/>
      </c>
      <c r="FR35" s="57" t="str">
        <f t="shared" si="98"/>
        <v/>
      </c>
      <c r="FS35" s="57" t="str">
        <f t="shared" si="99"/>
        <v/>
      </c>
      <c r="FT35" s="57"/>
      <c r="FU35" s="59" t="e">
        <f t="shared" si="100"/>
        <v>#N/A</v>
      </c>
      <c r="FV35" s="59" t="e">
        <f>IF(ES35&gt;100,"",IF(ES35&gt;DQ$1,"sangat baik dalam "&amp;FU35,IF(ES35&gt;=DQ$2,"baik dalam "&amp;FU35,IF(ES35&gt;=DQ$3,"cukup dalam "&amp;FU35,IF(ES35&lt;DQ$3,"dengan bimbingan dapat meningkatkan dalam "&amp;FU35,IF(ES35&lt;1," ",””))))))</f>
        <v>#N/A</v>
      </c>
      <c r="FW35" s="61"/>
      <c r="FX35" s="62" t="e">
        <f t="shared" si="101"/>
        <v>#N/A</v>
      </c>
      <c r="FY35" s="57" t="str">
        <f t="shared" si="102"/>
        <v/>
      </c>
      <c r="FZ35" s="57" t="str">
        <f t="shared" si="102"/>
        <v/>
      </c>
      <c r="GA35" s="57" t="str">
        <f t="shared" si="102"/>
        <v/>
      </c>
      <c r="GB35" s="57"/>
      <c r="GC35" s="57"/>
      <c r="GD35" s="57"/>
      <c r="GE35" s="59">
        <f t="shared" si="45"/>
        <v>0</v>
      </c>
      <c r="GF35" s="60"/>
      <c r="GG35" s="61"/>
      <c r="GH35" s="62" t="str">
        <f t="shared" si="103"/>
        <v>, 0</v>
      </c>
    </row>
    <row r="36" spans="1:190" ht="42.75" customHeight="1">
      <c r="A36" s="39">
        <v>29</v>
      </c>
      <c r="B36" s="283">
        <f>SISWA!B34</f>
        <v>0</v>
      </c>
      <c r="C36" s="123"/>
      <c r="D36" s="123"/>
      <c r="E36" s="123"/>
      <c r="F36" s="123"/>
      <c r="G36" s="123"/>
      <c r="H36" s="123"/>
      <c r="I36" s="123"/>
      <c r="J36" s="123"/>
      <c r="K36" s="123"/>
      <c r="L36" s="256"/>
      <c r="M36" s="256"/>
      <c r="N36" s="256"/>
      <c r="O36" s="256"/>
      <c r="P36" s="256"/>
      <c r="Q36" s="256"/>
      <c r="R36" s="256"/>
      <c r="S36" s="256"/>
      <c r="T36" s="256"/>
      <c r="U36" s="123"/>
      <c r="V36" s="123"/>
      <c r="W36" s="123"/>
      <c r="X36" s="123"/>
      <c r="Y36" s="123"/>
      <c r="Z36" s="123"/>
      <c r="AA36" s="123"/>
      <c r="AB36" s="123"/>
      <c r="AC36" s="123"/>
      <c r="AD36" s="256"/>
      <c r="AE36" s="256"/>
      <c r="AF36" s="256"/>
      <c r="AG36" s="256"/>
      <c r="AH36" s="256"/>
      <c r="AI36" s="256"/>
      <c r="AJ36" s="256"/>
      <c r="AK36" s="256"/>
      <c r="AL36" s="256"/>
      <c r="AM36" s="123"/>
      <c r="AN36" s="123"/>
      <c r="AO36" s="123"/>
      <c r="AP36" s="123"/>
      <c r="AQ36" s="123"/>
      <c r="AR36" s="123"/>
      <c r="AS36" s="123"/>
      <c r="AT36" s="123"/>
      <c r="AU36" s="123"/>
      <c r="AV36" s="256"/>
      <c r="AW36" s="256"/>
      <c r="AX36" s="256"/>
      <c r="AY36" s="256"/>
      <c r="AZ36" s="256"/>
      <c r="BA36" s="256"/>
      <c r="BB36" s="256"/>
      <c r="BC36" s="256"/>
      <c r="BD36" s="256"/>
      <c r="BE36" s="123"/>
      <c r="BF36" s="123"/>
      <c r="BG36" s="123"/>
      <c r="BH36" s="123"/>
      <c r="BI36" s="123"/>
      <c r="BJ36" s="123"/>
      <c r="BK36" s="123"/>
      <c r="BL36" s="123"/>
      <c r="BM36" s="123"/>
      <c r="BN36" s="256"/>
      <c r="BO36" s="256"/>
      <c r="BP36" s="256"/>
      <c r="BQ36" s="256"/>
      <c r="BR36" s="256"/>
      <c r="BS36" s="256"/>
      <c r="BT36" s="256"/>
      <c r="BU36" s="256"/>
      <c r="BV36" s="256"/>
      <c r="BW36" s="460"/>
      <c r="BX36" s="460"/>
      <c r="BY36" s="460"/>
      <c r="BZ36" s="460"/>
      <c r="CA36" s="460"/>
      <c r="CB36" s="460"/>
      <c r="CC36" s="460"/>
      <c r="CD36" s="460"/>
      <c r="CE36" s="460"/>
      <c r="CF36" s="346"/>
      <c r="CG36" s="346"/>
      <c r="CH36" s="346"/>
      <c r="CI36" s="346"/>
      <c r="CJ36" s="346"/>
      <c r="CK36" s="346"/>
      <c r="CL36" s="346"/>
      <c r="CM36" s="346"/>
      <c r="CN36" s="346"/>
      <c r="CO36" s="260" t="str">
        <f t="shared" si="46"/>
        <v xml:space="preserve"> </v>
      </c>
      <c r="CP36" s="260" t="str">
        <f t="shared" si="47"/>
        <v xml:space="preserve"> </v>
      </c>
      <c r="CQ36" s="260" t="str">
        <f t="shared" si="48"/>
        <v xml:space="preserve"> </v>
      </c>
      <c r="CR36" s="260" t="str">
        <f t="shared" si="49"/>
        <v xml:space="preserve"> </v>
      </c>
      <c r="CS36" s="260" t="str">
        <f t="shared" si="50"/>
        <v xml:space="preserve"> </v>
      </c>
      <c r="CT36" s="260" t="str">
        <f t="shared" si="51"/>
        <v xml:space="preserve"> </v>
      </c>
      <c r="CU36" s="260" t="str">
        <f t="shared" si="52"/>
        <v xml:space="preserve"> </v>
      </c>
      <c r="CV36" s="260" t="str">
        <f t="shared" si="53"/>
        <v xml:space="preserve"> </v>
      </c>
      <c r="CW36" s="260" t="str">
        <f t="shared" si="54"/>
        <v xml:space="preserve"> </v>
      </c>
      <c r="CX36" s="547"/>
      <c r="CY36" s="547"/>
      <c r="CZ36" s="547"/>
      <c r="DA36" s="547"/>
      <c r="DB36" s="547"/>
      <c r="DC36" s="547"/>
      <c r="DD36" s="547"/>
      <c r="DE36" s="547"/>
      <c r="DF36" s="547"/>
      <c r="DG36" s="564"/>
      <c r="DH36" s="564"/>
      <c r="DI36" s="564"/>
      <c r="DJ36" s="564"/>
      <c r="DK36" s="564"/>
      <c r="DL36" s="564"/>
      <c r="DM36" s="564"/>
      <c r="DN36" s="564"/>
      <c r="DO36" s="564"/>
      <c r="DP36" s="549" t="str">
        <f t="shared" si="55"/>
        <v xml:space="preserve"> </v>
      </c>
      <c r="DQ36" s="291" t="str">
        <f t="shared" si="56"/>
        <v xml:space="preserve">  </v>
      </c>
      <c r="DR36" s="50" t="str">
        <f t="shared" si="57"/>
        <v xml:space="preserve"> </v>
      </c>
      <c r="DS36" s="282"/>
      <c r="DT36" s="51"/>
      <c r="DU36" s="46" t="str">
        <f t="shared" si="58"/>
        <v xml:space="preserve"> </v>
      </c>
      <c r="DV36" s="46" t="str">
        <f t="shared" si="59"/>
        <v xml:space="preserve"> </v>
      </c>
      <c r="DW36" s="46" t="str">
        <f t="shared" si="60"/>
        <v xml:space="preserve"> </v>
      </c>
      <c r="DX36" s="46" t="str">
        <f t="shared" si="61"/>
        <v xml:space="preserve"> </v>
      </c>
      <c r="DY36" s="46" t="str">
        <f t="shared" si="62"/>
        <v xml:space="preserve"> </v>
      </c>
      <c r="DZ36" s="46" t="str">
        <f t="shared" si="63"/>
        <v xml:space="preserve"> </v>
      </c>
      <c r="EA36" s="46" t="str">
        <f t="shared" si="64"/>
        <v xml:space="preserve"> </v>
      </c>
      <c r="EB36" s="46" t="str">
        <f t="shared" si="65"/>
        <v xml:space="preserve"> </v>
      </c>
      <c r="EC36" s="46" t="str">
        <f t="shared" si="66"/>
        <v xml:space="preserve"> </v>
      </c>
      <c r="ED36" s="46"/>
      <c r="EE36" s="52" t="str">
        <f>[2]uts!J35</f>
        <v/>
      </c>
      <c r="EF36" s="51"/>
      <c r="EG36" s="53" t="str">
        <f t="shared" si="67"/>
        <v xml:space="preserve">  </v>
      </c>
      <c r="EH36" s="53" t="str">
        <f t="shared" si="68"/>
        <v xml:space="preserve">  </v>
      </c>
      <c r="EI36" s="53" t="str">
        <f t="shared" si="69"/>
        <v xml:space="preserve">  </v>
      </c>
      <c r="EJ36" s="53" t="str">
        <f t="shared" si="70"/>
        <v xml:space="preserve">  </v>
      </c>
      <c r="EK36" s="53" t="str">
        <f t="shared" si="71"/>
        <v xml:space="preserve">  </v>
      </c>
      <c r="EL36" s="53" t="str">
        <f t="shared" si="72"/>
        <v xml:space="preserve">  </v>
      </c>
      <c r="EM36" s="53" t="str">
        <f t="shared" si="73"/>
        <v xml:space="preserve">  </v>
      </c>
      <c r="EN36" s="53" t="str">
        <f t="shared" si="74"/>
        <v xml:space="preserve">  </v>
      </c>
      <c r="EO36" s="53" t="str">
        <f t="shared" si="75"/>
        <v xml:space="preserve">  </v>
      </c>
      <c r="EP36" s="53"/>
      <c r="EQ36" s="52" t="str">
        <f t="shared" si="76"/>
        <v xml:space="preserve"> </v>
      </c>
      <c r="ER36" s="55">
        <f t="shared" si="77"/>
        <v>0</v>
      </c>
      <c r="ES36" s="55">
        <f t="shared" si="78"/>
        <v>0</v>
      </c>
      <c r="ET36" s="51">
        <f>SISWA!E34</f>
        <v>0</v>
      </c>
      <c r="EU36" s="51" t="str">
        <f t="shared" si="79"/>
        <v/>
      </c>
      <c r="EV36" s="56" t="str">
        <f t="shared" si="80"/>
        <v/>
      </c>
      <c r="EW36" s="57" t="str">
        <f t="shared" si="81"/>
        <v/>
      </c>
      <c r="EX36" s="57" t="str">
        <f t="shared" si="82"/>
        <v/>
      </c>
      <c r="EY36" s="57" t="str">
        <f t="shared" si="83"/>
        <v/>
      </c>
      <c r="EZ36" s="57" t="str">
        <f t="shared" si="84"/>
        <v/>
      </c>
      <c r="FA36" s="57" t="str">
        <f t="shared" si="85"/>
        <v/>
      </c>
      <c r="FB36" s="57" t="str">
        <f t="shared" si="86"/>
        <v/>
      </c>
      <c r="FC36" s="57" t="str">
        <f t="shared" si="87"/>
        <v/>
      </c>
      <c r="FD36" s="57" t="str">
        <f t="shared" si="88"/>
        <v/>
      </c>
      <c r="FE36" s="57"/>
      <c r="FF36" s="58">
        <f t="shared" si="89"/>
        <v>0</v>
      </c>
      <c r="FG36" s="55" t="e">
        <f t="shared" si="90"/>
        <v>#N/A</v>
      </c>
      <c r="FH36" s="58"/>
      <c r="FI36" s="59" t="e">
        <f>IF(ER36&gt;100,"",IF(ER36&gt;DQ$1,"sangat baik dalam "&amp;FG36,IF(ER36&gt;=DQ$2,"baik dalam "&amp;FG36,IF(ER36&gt;=DQ$3,"cukup dalam "&amp;FG36,IF(ER36&lt;DQ$3,"dengan bimbingan dapat meningkatkandalam "&amp;FG36,IF(ER36&lt;1," ",””))))))</f>
        <v>#N/A</v>
      </c>
      <c r="FJ36" s="58"/>
      <c r="FK36" s="57" t="str">
        <f t="shared" si="91"/>
        <v/>
      </c>
      <c r="FL36" s="57" t="str">
        <f t="shared" si="92"/>
        <v/>
      </c>
      <c r="FM36" s="57" t="str">
        <f t="shared" si="93"/>
        <v/>
      </c>
      <c r="FN36" s="57" t="str">
        <f t="shared" si="94"/>
        <v/>
      </c>
      <c r="FO36" s="57" t="str">
        <f t="shared" si="95"/>
        <v/>
      </c>
      <c r="FP36" s="57" t="str">
        <f t="shared" si="96"/>
        <v/>
      </c>
      <c r="FQ36" s="57" t="str">
        <f t="shared" si="97"/>
        <v/>
      </c>
      <c r="FR36" s="57" t="str">
        <f t="shared" si="98"/>
        <v/>
      </c>
      <c r="FS36" s="57" t="str">
        <f t="shared" si="99"/>
        <v/>
      </c>
      <c r="FT36" s="57"/>
      <c r="FU36" s="59" t="e">
        <f t="shared" si="100"/>
        <v>#N/A</v>
      </c>
      <c r="FV36" s="59" t="e">
        <f>IF(ES36&gt;100,"",IF(ES36&gt;DQ$1,"sangat baik dalam "&amp;FU36,IF(ES36&gt;=DQ$2,"baik dalam "&amp;FU36,IF(ES36&gt;=DQ$3,"cukup dalam "&amp;FU36,IF(ES36&lt;DQ$3,"dengan bimbingan dapat meningkatkan dalam "&amp;FU36,IF(ES36&lt;1," ",””))))))</f>
        <v>#N/A</v>
      </c>
      <c r="FW36" s="61"/>
      <c r="FX36" s="62" t="e">
        <f t="shared" si="101"/>
        <v>#N/A</v>
      </c>
      <c r="FY36" s="57" t="str">
        <f t="shared" si="102"/>
        <v/>
      </c>
      <c r="FZ36" s="57" t="str">
        <f t="shared" si="102"/>
        <v/>
      </c>
      <c r="GA36" s="57" t="str">
        <f t="shared" si="102"/>
        <v/>
      </c>
      <c r="GB36" s="57"/>
      <c r="GC36" s="57"/>
      <c r="GD36" s="57"/>
      <c r="GE36" s="59">
        <f t="shared" si="45"/>
        <v>0</v>
      </c>
      <c r="GF36" s="60"/>
      <c r="GG36" s="61"/>
      <c r="GH36" s="62" t="str">
        <f t="shared" si="103"/>
        <v>, 0</v>
      </c>
    </row>
    <row r="37" spans="1:190" ht="42.75" customHeight="1">
      <c r="A37" s="39">
        <v>30</v>
      </c>
      <c r="B37" s="283">
        <f>SISWA!B35</f>
        <v>0</v>
      </c>
      <c r="C37" s="123"/>
      <c r="D37" s="123"/>
      <c r="E37" s="123"/>
      <c r="F37" s="123"/>
      <c r="G37" s="123"/>
      <c r="H37" s="123"/>
      <c r="I37" s="123"/>
      <c r="J37" s="123"/>
      <c r="K37" s="123"/>
      <c r="L37" s="256"/>
      <c r="M37" s="256"/>
      <c r="N37" s="256"/>
      <c r="O37" s="256"/>
      <c r="P37" s="256"/>
      <c r="Q37" s="256"/>
      <c r="R37" s="256"/>
      <c r="S37" s="256"/>
      <c r="T37" s="256"/>
      <c r="U37" s="123"/>
      <c r="V37" s="123"/>
      <c r="W37" s="123"/>
      <c r="X37" s="123"/>
      <c r="Y37" s="123"/>
      <c r="Z37" s="123"/>
      <c r="AA37" s="123"/>
      <c r="AB37" s="123"/>
      <c r="AC37" s="123"/>
      <c r="AD37" s="256"/>
      <c r="AE37" s="256"/>
      <c r="AF37" s="256"/>
      <c r="AG37" s="256"/>
      <c r="AH37" s="256"/>
      <c r="AI37" s="256"/>
      <c r="AJ37" s="256"/>
      <c r="AK37" s="256"/>
      <c r="AL37" s="256"/>
      <c r="AM37" s="123"/>
      <c r="AN37" s="123"/>
      <c r="AO37" s="123"/>
      <c r="AP37" s="123"/>
      <c r="AQ37" s="123"/>
      <c r="AR37" s="123"/>
      <c r="AS37" s="123"/>
      <c r="AT37" s="123"/>
      <c r="AU37" s="123"/>
      <c r="AV37" s="256"/>
      <c r="AW37" s="256"/>
      <c r="AX37" s="256"/>
      <c r="AY37" s="256"/>
      <c r="AZ37" s="256"/>
      <c r="BA37" s="256"/>
      <c r="BB37" s="256"/>
      <c r="BC37" s="256"/>
      <c r="BD37" s="256"/>
      <c r="BE37" s="123"/>
      <c r="BF37" s="123"/>
      <c r="BG37" s="123"/>
      <c r="BH37" s="123"/>
      <c r="BI37" s="123"/>
      <c r="BJ37" s="123"/>
      <c r="BK37" s="123"/>
      <c r="BL37" s="123"/>
      <c r="BM37" s="123"/>
      <c r="BN37" s="256"/>
      <c r="BO37" s="256"/>
      <c r="BP37" s="256"/>
      <c r="BQ37" s="256"/>
      <c r="BR37" s="256"/>
      <c r="BS37" s="256"/>
      <c r="BT37" s="256"/>
      <c r="BU37" s="256"/>
      <c r="BV37" s="256"/>
      <c r="BW37" s="460"/>
      <c r="BX37" s="460"/>
      <c r="BY37" s="460"/>
      <c r="BZ37" s="460"/>
      <c r="CA37" s="460"/>
      <c r="CB37" s="460"/>
      <c r="CC37" s="460"/>
      <c r="CD37" s="460"/>
      <c r="CE37" s="460"/>
      <c r="CF37" s="346"/>
      <c r="CG37" s="346"/>
      <c r="CH37" s="346"/>
      <c r="CI37" s="346"/>
      <c r="CJ37" s="346"/>
      <c r="CK37" s="346"/>
      <c r="CL37" s="346"/>
      <c r="CM37" s="346"/>
      <c r="CN37" s="346"/>
      <c r="CO37" s="260" t="str">
        <f t="shared" si="46"/>
        <v xml:space="preserve"> </v>
      </c>
      <c r="CP37" s="260" t="str">
        <f t="shared" si="47"/>
        <v xml:space="preserve"> </v>
      </c>
      <c r="CQ37" s="260" t="str">
        <f t="shared" si="48"/>
        <v xml:space="preserve"> </v>
      </c>
      <c r="CR37" s="260" t="str">
        <f t="shared" si="49"/>
        <v xml:space="preserve"> </v>
      </c>
      <c r="CS37" s="260" t="str">
        <f t="shared" si="50"/>
        <v xml:space="preserve"> </v>
      </c>
      <c r="CT37" s="260" t="str">
        <f t="shared" si="51"/>
        <v xml:space="preserve"> </v>
      </c>
      <c r="CU37" s="260" t="str">
        <f t="shared" si="52"/>
        <v xml:space="preserve"> </v>
      </c>
      <c r="CV37" s="260" t="str">
        <f t="shared" si="53"/>
        <v xml:space="preserve"> </v>
      </c>
      <c r="CW37" s="260" t="str">
        <f t="shared" si="54"/>
        <v xml:space="preserve"> </v>
      </c>
      <c r="CX37" s="547"/>
      <c r="CY37" s="547"/>
      <c r="CZ37" s="547"/>
      <c r="DA37" s="547"/>
      <c r="DB37" s="547"/>
      <c r="DC37" s="547"/>
      <c r="DD37" s="547"/>
      <c r="DE37" s="547"/>
      <c r="DF37" s="547"/>
      <c r="DG37" s="564"/>
      <c r="DH37" s="564"/>
      <c r="DI37" s="564"/>
      <c r="DJ37" s="564"/>
      <c r="DK37" s="564"/>
      <c r="DL37" s="564"/>
      <c r="DM37" s="564"/>
      <c r="DN37" s="564"/>
      <c r="DO37" s="564"/>
      <c r="DP37" s="549" t="str">
        <f t="shared" si="55"/>
        <v xml:space="preserve"> </v>
      </c>
      <c r="DQ37" s="291" t="str">
        <f t="shared" si="56"/>
        <v xml:space="preserve">  </v>
      </c>
      <c r="DR37" s="50" t="str">
        <f t="shared" si="57"/>
        <v xml:space="preserve"> </v>
      </c>
      <c r="DS37" s="282"/>
      <c r="DT37" s="51"/>
      <c r="DU37" s="46" t="str">
        <f t="shared" si="58"/>
        <v xml:space="preserve"> </v>
      </c>
      <c r="DV37" s="46" t="str">
        <f t="shared" si="59"/>
        <v xml:space="preserve"> </v>
      </c>
      <c r="DW37" s="46" t="str">
        <f t="shared" si="60"/>
        <v xml:space="preserve"> </v>
      </c>
      <c r="DX37" s="46" t="str">
        <f t="shared" si="61"/>
        <v xml:space="preserve"> </v>
      </c>
      <c r="DY37" s="46" t="str">
        <f t="shared" si="62"/>
        <v xml:space="preserve"> </v>
      </c>
      <c r="DZ37" s="46" t="str">
        <f t="shared" si="63"/>
        <v xml:space="preserve"> </v>
      </c>
      <c r="EA37" s="46" t="str">
        <f t="shared" si="64"/>
        <v xml:space="preserve"> </v>
      </c>
      <c r="EB37" s="46" t="str">
        <f t="shared" si="65"/>
        <v xml:space="preserve"> </v>
      </c>
      <c r="EC37" s="46" t="str">
        <f t="shared" si="66"/>
        <v xml:space="preserve"> </v>
      </c>
      <c r="ED37" s="46"/>
      <c r="EE37" s="52" t="str">
        <f>[2]uts!J36</f>
        <v/>
      </c>
      <c r="EF37" s="51"/>
      <c r="EG37" s="53" t="str">
        <f t="shared" si="67"/>
        <v xml:space="preserve">  </v>
      </c>
      <c r="EH37" s="53" t="str">
        <f t="shared" si="68"/>
        <v xml:space="preserve">  </v>
      </c>
      <c r="EI37" s="53" t="str">
        <f t="shared" si="69"/>
        <v xml:space="preserve">  </v>
      </c>
      <c r="EJ37" s="53" t="str">
        <f t="shared" si="70"/>
        <v xml:space="preserve">  </v>
      </c>
      <c r="EK37" s="53" t="str">
        <f t="shared" si="71"/>
        <v xml:space="preserve">  </v>
      </c>
      <c r="EL37" s="53" t="str">
        <f t="shared" si="72"/>
        <v xml:space="preserve">  </v>
      </c>
      <c r="EM37" s="53" t="str">
        <f t="shared" si="73"/>
        <v xml:space="preserve">  </v>
      </c>
      <c r="EN37" s="53" t="str">
        <f t="shared" si="74"/>
        <v xml:space="preserve">  </v>
      </c>
      <c r="EO37" s="53" t="str">
        <f t="shared" si="75"/>
        <v xml:space="preserve">  </v>
      </c>
      <c r="EP37" s="53"/>
      <c r="EQ37" s="52" t="str">
        <f t="shared" si="76"/>
        <v xml:space="preserve"> </v>
      </c>
      <c r="ER37" s="55">
        <f t="shared" si="77"/>
        <v>0</v>
      </c>
      <c r="ES37" s="55">
        <f t="shared" si="78"/>
        <v>0</v>
      </c>
      <c r="ET37" s="51">
        <f>SISWA!E35</f>
        <v>0</v>
      </c>
      <c r="EU37" s="51" t="str">
        <f t="shared" si="79"/>
        <v/>
      </c>
      <c r="EV37" s="56" t="str">
        <f t="shared" si="80"/>
        <v/>
      </c>
      <c r="EW37" s="57" t="str">
        <f t="shared" si="81"/>
        <v/>
      </c>
      <c r="EX37" s="57" t="str">
        <f t="shared" si="82"/>
        <v/>
      </c>
      <c r="EY37" s="57" t="str">
        <f t="shared" si="83"/>
        <v/>
      </c>
      <c r="EZ37" s="57" t="str">
        <f t="shared" si="84"/>
        <v/>
      </c>
      <c r="FA37" s="57" t="str">
        <f t="shared" si="85"/>
        <v/>
      </c>
      <c r="FB37" s="57" t="str">
        <f t="shared" si="86"/>
        <v/>
      </c>
      <c r="FC37" s="57" t="str">
        <f t="shared" si="87"/>
        <v/>
      </c>
      <c r="FD37" s="57" t="str">
        <f t="shared" si="88"/>
        <v/>
      </c>
      <c r="FE37" s="57"/>
      <c r="FF37" s="58">
        <f t="shared" si="89"/>
        <v>0</v>
      </c>
      <c r="FG37" s="55" t="e">
        <f t="shared" si="90"/>
        <v>#N/A</v>
      </c>
      <c r="FH37" s="58"/>
      <c r="FI37" s="59" t="e">
        <f>IF(ER37&gt;100,"",IF(ER37&gt;DQ$1,"sangat baik dalam "&amp;FG37,IF(ER37&gt;=DQ$2,"baik dalam "&amp;FG37,IF(ER37&gt;=DQ$3,"cukup dalam "&amp;FG37,IF(ER37&lt;DQ$3,"dengan bimbingan dapat meningkatkandalam "&amp;FG37,IF(ER37&lt;1," ",””))))))</f>
        <v>#N/A</v>
      </c>
      <c r="FJ37" s="58"/>
      <c r="FK37" s="57" t="str">
        <f t="shared" si="91"/>
        <v/>
      </c>
      <c r="FL37" s="57" t="str">
        <f t="shared" si="92"/>
        <v/>
      </c>
      <c r="FM37" s="57" t="str">
        <f t="shared" si="93"/>
        <v/>
      </c>
      <c r="FN37" s="57" t="str">
        <f t="shared" si="94"/>
        <v/>
      </c>
      <c r="FO37" s="57" t="str">
        <f t="shared" si="95"/>
        <v/>
      </c>
      <c r="FP37" s="57" t="str">
        <f t="shared" si="96"/>
        <v/>
      </c>
      <c r="FQ37" s="57" t="str">
        <f t="shared" si="97"/>
        <v/>
      </c>
      <c r="FR37" s="57" t="str">
        <f t="shared" si="98"/>
        <v/>
      </c>
      <c r="FS37" s="57" t="str">
        <f t="shared" si="99"/>
        <v/>
      </c>
      <c r="FT37" s="57"/>
      <c r="FU37" s="59" t="e">
        <f t="shared" si="100"/>
        <v>#N/A</v>
      </c>
      <c r="FV37" s="59" t="e">
        <f>IF(ES37&gt;100,"",IF(ES37&gt;DQ$1,"sangat baik dalam "&amp;FU37,IF(ES37&gt;=DQ$2,"baik dalam "&amp;FU37,IF(ES37&gt;=DQ$3,"cukup dalam "&amp;FU37,IF(ES37&lt;DQ$3,"dengan bimbingan dapat meningkatkan dalam "&amp;FU37,IF(ES37&lt;1," ",””))))))</f>
        <v>#N/A</v>
      </c>
      <c r="FW37" s="61"/>
      <c r="FX37" s="62" t="e">
        <f t="shared" si="101"/>
        <v>#N/A</v>
      </c>
      <c r="FY37" s="57" t="str">
        <f t="shared" si="102"/>
        <v/>
      </c>
      <c r="FZ37" s="57" t="str">
        <f t="shared" si="102"/>
        <v/>
      </c>
      <c r="GA37" s="57" t="str">
        <f t="shared" si="102"/>
        <v/>
      </c>
      <c r="GB37" s="57"/>
      <c r="GC37" s="57"/>
      <c r="GD37" s="57"/>
      <c r="GE37" s="59">
        <f t="shared" si="45"/>
        <v>0</v>
      </c>
      <c r="GF37" s="60"/>
      <c r="GG37" s="61"/>
      <c r="GH37" s="62" t="str">
        <f t="shared" si="103"/>
        <v>, 0</v>
      </c>
    </row>
    <row r="38" spans="1:190">
      <c r="A38" s="39">
        <v>31</v>
      </c>
      <c r="B38" s="283">
        <f>SISWA!B36</f>
        <v>0</v>
      </c>
      <c r="C38" s="123"/>
      <c r="D38" s="123"/>
      <c r="E38" s="123"/>
      <c r="F38" s="123"/>
      <c r="G38" s="123"/>
      <c r="H38" s="123"/>
      <c r="I38" s="123"/>
      <c r="J38" s="123"/>
      <c r="K38" s="123"/>
      <c r="L38" s="256"/>
      <c r="M38" s="256"/>
      <c r="N38" s="256"/>
      <c r="O38" s="256"/>
      <c r="P38" s="256"/>
      <c r="Q38" s="256"/>
      <c r="R38" s="256"/>
      <c r="S38" s="256"/>
      <c r="T38" s="256"/>
      <c r="U38" s="123"/>
      <c r="V38" s="123"/>
      <c r="W38" s="123"/>
      <c r="X38" s="123"/>
      <c r="Y38" s="123"/>
      <c r="Z38" s="123"/>
      <c r="AA38" s="123"/>
      <c r="AB38" s="123"/>
      <c r="AC38" s="123"/>
      <c r="AD38" s="256"/>
      <c r="AE38" s="256"/>
      <c r="AF38" s="256"/>
      <c r="AG38" s="256"/>
      <c r="AH38" s="256"/>
      <c r="AI38" s="256"/>
      <c r="AJ38" s="256"/>
      <c r="AK38" s="256"/>
      <c r="AL38" s="256"/>
      <c r="AM38" s="123"/>
      <c r="AN38" s="123"/>
      <c r="AO38" s="123"/>
      <c r="AP38" s="123"/>
      <c r="AQ38" s="123"/>
      <c r="AR38" s="123"/>
      <c r="AS38" s="123"/>
      <c r="AT38" s="123"/>
      <c r="AU38" s="123"/>
      <c r="AV38" s="256"/>
      <c r="AW38" s="256"/>
      <c r="AX38" s="256"/>
      <c r="AY38" s="256"/>
      <c r="AZ38" s="256"/>
      <c r="BA38" s="256"/>
      <c r="BB38" s="256"/>
      <c r="BC38" s="256"/>
      <c r="BD38" s="256"/>
      <c r="BE38" s="123"/>
      <c r="BF38" s="123"/>
      <c r="BG38" s="123"/>
      <c r="BH38" s="123"/>
      <c r="BI38" s="123"/>
      <c r="BJ38" s="123"/>
      <c r="BK38" s="123"/>
      <c r="BL38" s="123"/>
      <c r="BM38" s="123"/>
      <c r="BN38" s="256"/>
      <c r="BO38" s="256"/>
      <c r="BP38" s="256"/>
      <c r="BQ38" s="256"/>
      <c r="BR38" s="256"/>
      <c r="BS38" s="256"/>
      <c r="BT38" s="256"/>
      <c r="BU38" s="256"/>
      <c r="BV38" s="256"/>
      <c r="BW38" s="460"/>
      <c r="BX38" s="460"/>
      <c r="BY38" s="460"/>
      <c r="BZ38" s="460"/>
      <c r="CA38" s="460"/>
      <c r="CB38" s="460"/>
      <c r="CC38" s="460"/>
      <c r="CD38" s="460"/>
      <c r="CE38" s="460"/>
      <c r="CF38" s="346"/>
      <c r="CG38" s="346"/>
      <c r="CH38" s="346"/>
      <c r="CI38" s="346"/>
      <c r="CJ38" s="346"/>
      <c r="CK38" s="346"/>
      <c r="CL38" s="346"/>
      <c r="CM38" s="346"/>
      <c r="CN38" s="346"/>
      <c r="CO38" s="260" t="str">
        <f t="shared" si="46"/>
        <v xml:space="preserve"> </v>
      </c>
      <c r="CP38" s="260" t="str">
        <f t="shared" si="47"/>
        <v xml:space="preserve"> </v>
      </c>
      <c r="CQ38" s="260" t="str">
        <f t="shared" si="48"/>
        <v xml:space="preserve"> </v>
      </c>
      <c r="CR38" s="260" t="str">
        <f t="shared" si="49"/>
        <v xml:space="preserve"> </v>
      </c>
      <c r="CS38" s="260" t="str">
        <f t="shared" si="50"/>
        <v xml:space="preserve"> </v>
      </c>
      <c r="CT38" s="260" t="str">
        <f t="shared" si="51"/>
        <v xml:space="preserve"> </v>
      </c>
      <c r="CU38" s="260" t="str">
        <f t="shared" si="52"/>
        <v xml:space="preserve"> </v>
      </c>
      <c r="CV38" s="260" t="str">
        <f t="shared" si="53"/>
        <v xml:space="preserve"> </v>
      </c>
      <c r="CW38" s="260" t="str">
        <f t="shared" si="54"/>
        <v xml:space="preserve"> </v>
      </c>
      <c r="CX38" s="547"/>
      <c r="CY38" s="547"/>
      <c r="CZ38" s="547"/>
      <c r="DA38" s="547"/>
      <c r="DB38" s="547"/>
      <c r="DC38" s="547"/>
      <c r="DD38" s="547"/>
      <c r="DE38" s="547"/>
      <c r="DF38" s="547"/>
      <c r="DG38" s="564"/>
      <c r="DH38" s="564"/>
      <c r="DI38" s="564"/>
      <c r="DJ38" s="564"/>
      <c r="DK38" s="564"/>
      <c r="DL38" s="564"/>
      <c r="DM38" s="564"/>
      <c r="DN38" s="564"/>
      <c r="DO38" s="564"/>
      <c r="DP38" s="549" t="str">
        <f t="shared" si="55"/>
        <v xml:space="preserve"> </v>
      </c>
      <c r="DQ38" s="291" t="str">
        <f t="shared" si="56"/>
        <v xml:space="preserve">  </v>
      </c>
      <c r="DR38" s="50" t="str">
        <f t="shared" si="57"/>
        <v xml:space="preserve"> </v>
      </c>
      <c r="DS38" s="282"/>
      <c r="DT38" s="51"/>
      <c r="DU38" s="46" t="str">
        <f t="shared" si="58"/>
        <v xml:space="preserve"> </v>
      </c>
      <c r="DV38" s="46" t="str">
        <f t="shared" si="59"/>
        <v xml:space="preserve"> </v>
      </c>
      <c r="DW38" s="46" t="str">
        <f t="shared" si="60"/>
        <v xml:space="preserve"> </v>
      </c>
      <c r="DX38" s="46" t="str">
        <f t="shared" si="61"/>
        <v xml:space="preserve"> </v>
      </c>
      <c r="DY38" s="46" t="str">
        <f t="shared" si="62"/>
        <v xml:space="preserve"> </v>
      </c>
      <c r="DZ38" s="46" t="str">
        <f t="shared" si="63"/>
        <v xml:space="preserve"> </v>
      </c>
      <c r="EA38" s="46" t="str">
        <f t="shared" si="64"/>
        <v xml:space="preserve"> </v>
      </c>
      <c r="EB38" s="46" t="str">
        <f t="shared" si="65"/>
        <v xml:space="preserve"> </v>
      </c>
      <c r="EC38" s="46" t="str">
        <f t="shared" si="66"/>
        <v xml:space="preserve"> </v>
      </c>
      <c r="ED38" s="46"/>
      <c r="EE38" s="52" t="str">
        <f>[2]uts!J37</f>
        <v/>
      </c>
      <c r="EF38" s="51"/>
      <c r="EG38" s="53" t="str">
        <f t="shared" si="67"/>
        <v xml:space="preserve">  </v>
      </c>
      <c r="EH38" s="53" t="str">
        <f t="shared" si="68"/>
        <v xml:space="preserve">  </v>
      </c>
      <c r="EI38" s="53" t="str">
        <f t="shared" si="69"/>
        <v xml:space="preserve">  </v>
      </c>
      <c r="EJ38" s="53" t="str">
        <f t="shared" si="70"/>
        <v xml:space="preserve">  </v>
      </c>
      <c r="EK38" s="53" t="str">
        <f t="shared" si="71"/>
        <v xml:space="preserve">  </v>
      </c>
      <c r="EL38" s="53" t="str">
        <f t="shared" si="72"/>
        <v xml:space="preserve">  </v>
      </c>
      <c r="EM38" s="53" t="str">
        <f t="shared" si="73"/>
        <v xml:space="preserve">  </v>
      </c>
      <c r="EN38" s="53" t="str">
        <f t="shared" si="74"/>
        <v xml:space="preserve">  </v>
      </c>
      <c r="EO38" s="53" t="str">
        <f t="shared" si="75"/>
        <v xml:space="preserve">  </v>
      </c>
      <c r="EP38" s="53"/>
      <c r="EQ38" s="52" t="str">
        <f t="shared" si="76"/>
        <v xml:space="preserve"> </v>
      </c>
      <c r="ER38" s="55">
        <f t="shared" si="77"/>
        <v>0</v>
      </c>
      <c r="ES38" s="55">
        <f t="shared" si="78"/>
        <v>0</v>
      </c>
      <c r="ET38" s="51">
        <f>SISWA!E36</f>
        <v>0</v>
      </c>
      <c r="EU38" s="51" t="str">
        <f t="shared" si="79"/>
        <v/>
      </c>
      <c r="EV38" s="56" t="str">
        <f t="shared" si="80"/>
        <v/>
      </c>
      <c r="EW38" s="57" t="str">
        <f t="shared" si="81"/>
        <v/>
      </c>
      <c r="EX38" s="57" t="str">
        <f t="shared" si="82"/>
        <v/>
      </c>
      <c r="EY38" s="57" t="str">
        <f t="shared" si="83"/>
        <v/>
      </c>
      <c r="EZ38" s="57" t="str">
        <f t="shared" si="84"/>
        <v/>
      </c>
      <c r="FA38" s="57" t="str">
        <f t="shared" si="85"/>
        <v/>
      </c>
      <c r="FB38" s="57" t="str">
        <f t="shared" si="86"/>
        <v/>
      </c>
      <c r="FC38" s="57" t="str">
        <f t="shared" si="87"/>
        <v/>
      </c>
      <c r="FD38" s="57" t="str">
        <f t="shared" si="88"/>
        <v/>
      </c>
      <c r="FE38" s="57"/>
      <c r="FF38" s="58">
        <f t="shared" si="89"/>
        <v>0</v>
      </c>
      <c r="FG38" s="55" t="e">
        <f t="shared" si="90"/>
        <v>#N/A</v>
      </c>
      <c r="FH38" s="58"/>
      <c r="FI38" s="59" t="e">
        <f>IF(ER38&gt;100,"",IF(ER38&gt;DQ$1,"sangat baik dalam "&amp;FG38,IF(ER38&gt;=DQ$2,"baik dalam "&amp;FG38,IF(ER38&gt;=DQ$3,"cukup dalam "&amp;FG38,IF(ER38&lt;DQ$3,"dengan bimbingan dapat meningkatkandalam "&amp;FG38,IF(ER38&lt;1," ",””))))))</f>
        <v>#N/A</v>
      </c>
      <c r="FJ38" s="58"/>
      <c r="FK38" s="57" t="str">
        <f t="shared" si="91"/>
        <v/>
      </c>
      <c r="FL38" s="57" t="str">
        <f t="shared" si="92"/>
        <v/>
      </c>
      <c r="FM38" s="57" t="str">
        <f t="shared" si="93"/>
        <v/>
      </c>
      <c r="FN38" s="57" t="str">
        <f t="shared" si="94"/>
        <v/>
      </c>
      <c r="FO38" s="57" t="str">
        <f t="shared" si="95"/>
        <v/>
      </c>
      <c r="FP38" s="57" t="str">
        <f t="shared" si="96"/>
        <v/>
      </c>
      <c r="FQ38" s="57" t="str">
        <f t="shared" si="97"/>
        <v/>
      </c>
      <c r="FR38" s="57" t="str">
        <f t="shared" si="98"/>
        <v/>
      </c>
      <c r="FS38" s="57" t="str">
        <f t="shared" si="99"/>
        <v/>
      </c>
      <c r="FT38" s="57"/>
      <c r="FU38" s="59" t="e">
        <f t="shared" si="100"/>
        <v>#N/A</v>
      </c>
      <c r="FV38" s="59" t="e">
        <f>IF(ES38&gt;100,"",IF(ES38&gt;DQ$1,"sangat baik dalam "&amp;FU38,IF(ES38&gt;=DQ$2,"baik dalam "&amp;FU38,IF(ES38&gt;=DQ$3,"cukup dalam "&amp;FU38,IF(ES38&lt;DQ$3,"dengan bimbingan dapat meningkatkan dalam "&amp;FU38,IF(ES38&lt;1," ",””))))))</f>
        <v>#N/A</v>
      </c>
      <c r="FW38" s="61"/>
      <c r="FX38" s="62" t="e">
        <f t="shared" si="101"/>
        <v>#N/A</v>
      </c>
      <c r="FY38" s="57" t="str">
        <f t="shared" si="102"/>
        <v/>
      </c>
      <c r="FZ38" s="57" t="str">
        <f t="shared" si="102"/>
        <v/>
      </c>
      <c r="GA38" s="57" t="str">
        <f t="shared" si="102"/>
        <v/>
      </c>
      <c r="GB38" s="57"/>
      <c r="GC38" s="57"/>
      <c r="GD38" s="57"/>
      <c r="GE38" s="59">
        <f t="shared" si="45"/>
        <v>0</v>
      </c>
      <c r="GF38" s="60"/>
      <c r="GG38" s="61"/>
      <c r="GH38" s="62" t="str">
        <f t="shared" si="103"/>
        <v>, 0</v>
      </c>
    </row>
    <row r="39" spans="1:190">
      <c r="A39" s="39">
        <v>32</v>
      </c>
      <c r="B39" s="283">
        <f>SISWA!B37</f>
        <v>0</v>
      </c>
      <c r="C39" s="123"/>
      <c r="D39" s="123"/>
      <c r="E39" s="123"/>
      <c r="F39" s="123"/>
      <c r="G39" s="123"/>
      <c r="H39" s="123"/>
      <c r="I39" s="123"/>
      <c r="J39" s="123"/>
      <c r="K39" s="123"/>
      <c r="L39" s="256"/>
      <c r="M39" s="256"/>
      <c r="N39" s="256"/>
      <c r="O39" s="256"/>
      <c r="P39" s="256"/>
      <c r="Q39" s="256"/>
      <c r="R39" s="256"/>
      <c r="S39" s="256"/>
      <c r="T39" s="256"/>
      <c r="U39" s="123"/>
      <c r="V39" s="123"/>
      <c r="W39" s="123"/>
      <c r="X39" s="123"/>
      <c r="Y39" s="123"/>
      <c r="Z39" s="123"/>
      <c r="AA39" s="123"/>
      <c r="AB39" s="123"/>
      <c r="AC39" s="123"/>
      <c r="AD39" s="256"/>
      <c r="AE39" s="256"/>
      <c r="AF39" s="256"/>
      <c r="AG39" s="256"/>
      <c r="AH39" s="256"/>
      <c r="AI39" s="256"/>
      <c r="AJ39" s="256"/>
      <c r="AK39" s="256"/>
      <c r="AL39" s="256"/>
      <c r="AM39" s="123"/>
      <c r="AN39" s="123"/>
      <c r="AO39" s="123"/>
      <c r="AP39" s="123"/>
      <c r="AQ39" s="123"/>
      <c r="AR39" s="123"/>
      <c r="AS39" s="123"/>
      <c r="AT39" s="123"/>
      <c r="AU39" s="123"/>
      <c r="AV39" s="256"/>
      <c r="AW39" s="256"/>
      <c r="AX39" s="256"/>
      <c r="AY39" s="256"/>
      <c r="AZ39" s="256"/>
      <c r="BA39" s="256"/>
      <c r="BB39" s="256"/>
      <c r="BC39" s="256"/>
      <c r="BD39" s="256"/>
      <c r="BE39" s="123"/>
      <c r="BF39" s="123"/>
      <c r="BG39" s="123"/>
      <c r="BH39" s="123"/>
      <c r="BI39" s="123"/>
      <c r="BJ39" s="123"/>
      <c r="BK39" s="123"/>
      <c r="BL39" s="123"/>
      <c r="BM39" s="123"/>
      <c r="BN39" s="256"/>
      <c r="BO39" s="256"/>
      <c r="BP39" s="256"/>
      <c r="BQ39" s="256"/>
      <c r="BR39" s="256"/>
      <c r="BS39" s="256"/>
      <c r="BT39" s="256"/>
      <c r="BU39" s="256"/>
      <c r="BV39" s="256"/>
      <c r="BW39" s="460"/>
      <c r="BX39" s="460"/>
      <c r="BY39" s="460"/>
      <c r="BZ39" s="460"/>
      <c r="CA39" s="460"/>
      <c r="CB39" s="460"/>
      <c r="CC39" s="460"/>
      <c r="CD39" s="460"/>
      <c r="CE39" s="460"/>
      <c r="CF39" s="346"/>
      <c r="CG39" s="346"/>
      <c r="CH39" s="346"/>
      <c r="CI39" s="346"/>
      <c r="CJ39" s="346"/>
      <c r="CK39" s="346"/>
      <c r="CL39" s="346"/>
      <c r="CM39" s="346"/>
      <c r="CN39" s="346"/>
      <c r="CO39" s="260" t="str">
        <f t="shared" si="46"/>
        <v xml:space="preserve"> </v>
      </c>
      <c r="CP39" s="260" t="str">
        <f t="shared" si="47"/>
        <v xml:space="preserve"> </v>
      </c>
      <c r="CQ39" s="260" t="str">
        <f t="shared" si="48"/>
        <v xml:space="preserve"> </v>
      </c>
      <c r="CR39" s="260" t="str">
        <f t="shared" si="49"/>
        <v xml:space="preserve"> </v>
      </c>
      <c r="CS39" s="260" t="str">
        <f t="shared" si="50"/>
        <v xml:space="preserve"> </v>
      </c>
      <c r="CT39" s="260" t="str">
        <f t="shared" si="51"/>
        <v xml:space="preserve"> </v>
      </c>
      <c r="CU39" s="260" t="str">
        <f t="shared" si="52"/>
        <v xml:space="preserve"> </v>
      </c>
      <c r="CV39" s="260" t="str">
        <f t="shared" si="53"/>
        <v xml:space="preserve"> </v>
      </c>
      <c r="CW39" s="260" t="str">
        <f t="shared" si="54"/>
        <v xml:space="preserve"> </v>
      </c>
      <c r="CX39" s="547"/>
      <c r="CY39" s="547"/>
      <c r="CZ39" s="547"/>
      <c r="DA39" s="547"/>
      <c r="DB39" s="547"/>
      <c r="DC39" s="547"/>
      <c r="DD39" s="547"/>
      <c r="DE39" s="547"/>
      <c r="DF39" s="547"/>
      <c r="DG39" s="564"/>
      <c r="DH39" s="564"/>
      <c r="DI39" s="564"/>
      <c r="DJ39" s="564"/>
      <c r="DK39" s="564"/>
      <c r="DL39" s="564"/>
      <c r="DM39" s="564"/>
      <c r="DN39" s="564"/>
      <c r="DO39" s="564"/>
      <c r="DP39" s="549" t="str">
        <f t="shared" si="55"/>
        <v xml:space="preserve"> </v>
      </c>
      <c r="DQ39" s="291" t="str">
        <f t="shared" si="56"/>
        <v xml:space="preserve">  </v>
      </c>
      <c r="DR39" s="50" t="str">
        <f t="shared" si="57"/>
        <v xml:space="preserve"> </v>
      </c>
      <c r="DS39" s="282"/>
      <c r="DT39" s="51"/>
      <c r="DU39" s="46" t="str">
        <f t="shared" si="58"/>
        <v xml:space="preserve"> </v>
      </c>
      <c r="DV39" s="46" t="str">
        <f t="shared" si="59"/>
        <v xml:space="preserve"> </v>
      </c>
      <c r="DW39" s="46" t="str">
        <f t="shared" si="60"/>
        <v xml:space="preserve"> </v>
      </c>
      <c r="DX39" s="46" t="str">
        <f t="shared" si="61"/>
        <v xml:space="preserve"> </v>
      </c>
      <c r="DY39" s="46" t="str">
        <f t="shared" si="62"/>
        <v xml:space="preserve"> </v>
      </c>
      <c r="DZ39" s="46" t="str">
        <f t="shared" si="63"/>
        <v xml:space="preserve"> </v>
      </c>
      <c r="EA39" s="46" t="str">
        <f t="shared" si="64"/>
        <v xml:space="preserve"> </v>
      </c>
      <c r="EB39" s="46" t="str">
        <f t="shared" si="65"/>
        <v xml:space="preserve"> </v>
      </c>
      <c r="EC39" s="46" t="str">
        <f t="shared" si="66"/>
        <v xml:space="preserve"> </v>
      </c>
      <c r="ED39" s="46"/>
      <c r="EE39" s="52" t="str">
        <f>[2]uts!J38</f>
        <v/>
      </c>
      <c r="EF39" s="51"/>
      <c r="EG39" s="53" t="str">
        <f t="shared" si="67"/>
        <v xml:space="preserve">  </v>
      </c>
      <c r="EH39" s="53" t="str">
        <f t="shared" si="68"/>
        <v xml:space="preserve">  </v>
      </c>
      <c r="EI39" s="53" t="str">
        <f t="shared" si="69"/>
        <v xml:space="preserve">  </v>
      </c>
      <c r="EJ39" s="53" t="str">
        <f t="shared" si="70"/>
        <v xml:space="preserve">  </v>
      </c>
      <c r="EK39" s="53" t="str">
        <f t="shared" si="71"/>
        <v xml:space="preserve">  </v>
      </c>
      <c r="EL39" s="53" t="str">
        <f t="shared" si="72"/>
        <v xml:space="preserve">  </v>
      </c>
      <c r="EM39" s="53" t="str">
        <f t="shared" si="73"/>
        <v xml:space="preserve">  </v>
      </c>
      <c r="EN39" s="53" t="str">
        <f t="shared" si="74"/>
        <v xml:space="preserve">  </v>
      </c>
      <c r="EO39" s="53" t="str">
        <f t="shared" si="75"/>
        <v xml:space="preserve">  </v>
      </c>
      <c r="EP39" s="53"/>
      <c r="EQ39" s="52" t="str">
        <f t="shared" si="76"/>
        <v xml:space="preserve"> </v>
      </c>
      <c r="ER39" s="55">
        <f t="shared" si="77"/>
        <v>0</v>
      </c>
      <c r="ES39" s="55">
        <f t="shared" si="78"/>
        <v>0</v>
      </c>
      <c r="ET39" s="51">
        <f>SISWA!E37</f>
        <v>0</v>
      </c>
      <c r="EU39" s="51" t="str">
        <f t="shared" si="79"/>
        <v/>
      </c>
      <c r="EV39" s="56" t="str">
        <f t="shared" si="80"/>
        <v/>
      </c>
      <c r="EW39" s="57" t="str">
        <f t="shared" si="81"/>
        <v/>
      </c>
      <c r="EX39" s="57" t="str">
        <f t="shared" si="82"/>
        <v/>
      </c>
      <c r="EY39" s="57" t="str">
        <f t="shared" si="83"/>
        <v/>
      </c>
      <c r="EZ39" s="57" t="str">
        <f t="shared" si="84"/>
        <v/>
      </c>
      <c r="FA39" s="57" t="str">
        <f t="shared" si="85"/>
        <v/>
      </c>
      <c r="FB39" s="57" t="str">
        <f t="shared" si="86"/>
        <v/>
      </c>
      <c r="FC39" s="57" t="str">
        <f t="shared" si="87"/>
        <v/>
      </c>
      <c r="FD39" s="57" t="str">
        <f t="shared" si="88"/>
        <v/>
      </c>
      <c r="FE39" s="57"/>
      <c r="FF39" s="58">
        <f t="shared" si="89"/>
        <v>0</v>
      </c>
      <c r="FG39" s="55" t="e">
        <f t="shared" si="90"/>
        <v>#N/A</v>
      </c>
      <c r="FH39" s="58"/>
      <c r="FI39" s="59" t="e">
        <f>IF(ER39&gt;100,"",IF(ER39&gt;DQ$1,"sangat baik dalam "&amp;FG39,IF(ER39&gt;=DQ$2,"baik dalam "&amp;FG39,IF(ER39&gt;=DQ$3,"cukup dalam "&amp;FG39,IF(ER39&lt;DQ$3,"dengan bimbingan dapat meningkatkandalam "&amp;FG39,IF(ER39&lt;1," ",””))))))</f>
        <v>#N/A</v>
      </c>
      <c r="FJ39" s="58"/>
      <c r="FK39" s="57" t="str">
        <f t="shared" si="91"/>
        <v/>
      </c>
      <c r="FL39" s="57" t="str">
        <f t="shared" si="92"/>
        <v/>
      </c>
      <c r="FM39" s="57" t="str">
        <f t="shared" si="93"/>
        <v/>
      </c>
      <c r="FN39" s="57" t="str">
        <f t="shared" si="94"/>
        <v/>
      </c>
      <c r="FO39" s="57" t="str">
        <f t="shared" si="95"/>
        <v/>
      </c>
      <c r="FP39" s="57" t="str">
        <f t="shared" si="96"/>
        <v/>
      </c>
      <c r="FQ39" s="57" t="str">
        <f t="shared" si="97"/>
        <v/>
      </c>
      <c r="FR39" s="57" t="str">
        <f t="shared" si="98"/>
        <v/>
      </c>
      <c r="FS39" s="57" t="str">
        <f t="shared" si="99"/>
        <v/>
      </c>
      <c r="FT39" s="57"/>
      <c r="FU39" s="59" t="e">
        <f t="shared" si="100"/>
        <v>#N/A</v>
      </c>
      <c r="FV39" s="59" t="e">
        <f>IF(ES39&gt;100,"",IF(ES39&gt;DQ$1,"sangat baik dalam "&amp;FU39,IF(ES39&gt;=DQ$2,"baik dalam "&amp;FU39,IF(ES39&gt;=DQ$3,"cukup dalam "&amp;FU39,IF(ES39&lt;DQ$3,"dengan bimbingan dapat meningkatkan dalam "&amp;FU39,IF(ES39&lt;1," ",””))))))</f>
        <v>#N/A</v>
      </c>
      <c r="FW39" s="61"/>
      <c r="FX39" s="62" t="e">
        <f t="shared" si="101"/>
        <v>#N/A</v>
      </c>
      <c r="FY39" s="57" t="str">
        <f t="shared" si="102"/>
        <v/>
      </c>
      <c r="FZ39" s="57" t="str">
        <f t="shared" si="102"/>
        <v/>
      </c>
      <c r="GA39" s="57" t="str">
        <f t="shared" si="102"/>
        <v/>
      </c>
      <c r="GB39" s="57"/>
      <c r="GC39" s="57"/>
      <c r="GD39" s="57"/>
      <c r="GE39" s="59">
        <f t="shared" si="45"/>
        <v>0</v>
      </c>
      <c r="GF39" s="60"/>
      <c r="GG39" s="61"/>
      <c r="GH39" s="62" t="str">
        <f t="shared" si="103"/>
        <v>, 0</v>
      </c>
    </row>
    <row r="40" spans="1:190">
      <c r="A40" s="39">
        <v>33</v>
      </c>
      <c r="B40" s="283">
        <f>SISWA!B38</f>
        <v>0</v>
      </c>
      <c r="C40" s="123"/>
      <c r="D40" s="123"/>
      <c r="E40" s="123"/>
      <c r="F40" s="123"/>
      <c r="G40" s="123"/>
      <c r="H40" s="123"/>
      <c r="I40" s="123"/>
      <c r="J40" s="123"/>
      <c r="K40" s="123"/>
      <c r="L40" s="256"/>
      <c r="M40" s="256"/>
      <c r="N40" s="256"/>
      <c r="O40" s="256"/>
      <c r="P40" s="256"/>
      <c r="Q40" s="256"/>
      <c r="R40" s="256"/>
      <c r="S40" s="256"/>
      <c r="T40" s="256"/>
      <c r="U40" s="123"/>
      <c r="V40" s="123"/>
      <c r="W40" s="123"/>
      <c r="X40" s="123"/>
      <c r="Y40" s="123"/>
      <c r="Z40" s="123"/>
      <c r="AA40" s="123"/>
      <c r="AB40" s="123"/>
      <c r="AC40" s="123"/>
      <c r="AD40" s="256"/>
      <c r="AE40" s="256"/>
      <c r="AF40" s="256"/>
      <c r="AG40" s="256"/>
      <c r="AH40" s="256"/>
      <c r="AI40" s="256"/>
      <c r="AJ40" s="256"/>
      <c r="AK40" s="256"/>
      <c r="AL40" s="256"/>
      <c r="AM40" s="123"/>
      <c r="AN40" s="123"/>
      <c r="AO40" s="123"/>
      <c r="AP40" s="123"/>
      <c r="AQ40" s="123"/>
      <c r="AR40" s="123"/>
      <c r="AS40" s="123"/>
      <c r="AT40" s="123"/>
      <c r="AU40" s="123"/>
      <c r="AV40" s="256"/>
      <c r="AW40" s="256"/>
      <c r="AX40" s="256"/>
      <c r="AY40" s="256"/>
      <c r="AZ40" s="256"/>
      <c r="BA40" s="256"/>
      <c r="BB40" s="256"/>
      <c r="BC40" s="256"/>
      <c r="BD40" s="256"/>
      <c r="BE40" s="123"/>
      <c r="BF40" s="123"/>
      <c r="BG40" s="123"/>
      <c r="BH40" s="123"/>
      <c r="BI40" s="123"/>
      <c r="BJ40" s="123"/>
      <c r="BK40" s="123"/>
      <c r="BL40" s="123"/>
      <c r="BM40" s="123"/>
      <c r="BN40" s="256"/>
      <c r="BO40" s="256"/>
      <c r="BP40" s="256"/>
      <c r="BQ40" s="256"/>
      <c r="BR40" s="256"/>
      <c r="BS40" s="256"/>
      <c r="BT40" s="256"/>
      <c r="BU40" s="256"/>
      <c r="BV40" s="256"/>
      <c r="BW40" s="460"/>
      <c r="BX40" s="460"/>
      <c r="BY40" s="460"/>
      <c r="BZ40" s="460"/>
      <c r="CA40" s="460"/>
      <c r="CB40" s="460"/>
      <c r="CC40" s="460"/>
      <c r="CD40" s="460"/>
      <c r="CE40" s="460"/>
      <c r="CF40" s="346"/>
      <c r="CG40" s="346"/>
      <c r="CH40" s="346"/>
      <c r="CI40" s="346"/>
      <c r="CJ40" s="346"/>
      <c r="CK40" s="346"/>
      <c r="CL40" s="346"/>
      <c r="CM40" s="346"/>
      <c r="CN40" s="346"/>
      <c r="CO40" s="260" t="str">
        <f t="shared" si="46"/>
        <v xml:space="preserve"> </v>
      </c>
      <c r="CP40" s="260" t="str">
        <f t="shared" si="47"/>
        <v xml:space="preserve"> </v>
      </c>
      <c r="CQ40" s="260" t="str">
        <f t="shared" si="48"/>
        <v xml:space="preserve"> </v>
      </c>
      <c r="CR40" s="260" t="str">
        <f t="shared" si="49"/>
        <v xml:space="preserve"> </v>
      </c>
      <c r="CS40" s="260" t="str">
        <f t="shared" si="50"/>
        <v xml:space="preserve"> </v>
      </c>
      <c r="CT40" s="260" t="str">
        <f t="shared" si="51"/>
        <v xml:space="preserve"> </v>
      </c>
      <c r="CU40" s="260" t="str">
        <f t="shared" si="52"/>
        <v xml:space="preserve"> </v>
      </c>
      <c r="CV40" s="260" t="str">
        <f t="shared" si="53"/>
        <v xml:space="preserve"> </v>
      </c>
      <c r="CW40" s="260" t="str">
        <f t="shared" si="54"/>
        <v xml:space="preserve"> </v>
      </c>
      <c r="CX40" s="547"/>
      <c r="CY40" s="547"/>
      <c r="CZ40" s="547"/>
      <c r="DA40" s="547"/>
      <c r="DB40" s="547"/>
      <c r="DC40" s="547"/>
      <c r="DD40" s="547"/>
      <c r="DE40" s="547"/>
      <c r="DF40" s="547"/>
      <c r="DG40" s="564"/>
      <c r="DH40" s="564"/>
      <c r="DI40" s="564"/>
      <c r="DJ40" s="564"/>
      <c r="DK40" s="564"/>
      <c r="DL40" s="564"/>
      <c r="DM40" s="564"/>
      <c r="DN40" s="564"/>
      <c r="DO40" s="564"/>
      <c r="DP40" s="549" t="str">
        <f t="shared" si="55"/>
        <v xml:space="preserve"> </v>
      </c>
      <c r="DQ40" s="291" t="str">
        <f t="shared" si="56"/>
        <v xml:space="preserve">  </v>
      </c>
      <c r="DR40" s="50" t="str">
        <f t="shared" si="57"/>
        <v xml:space="preserve"> </v>
      </c>
      <c r="DS40" s="282"/>
      <c r="DT40" s="51"/>
      <c r="DU40" s="46" t="str">
        <f t="shared" si="58"/>
        <v xml:space="preserve"> </v>
      </c>
      <c r="DV40" s="46" t="str">
        <f t="shared" si="59"/>
        <v xml:space="preserve"> </v>
      </c>
      <c r="DW40" s="46" t="str">
        <f t="shared" si="60"/>
        <v xml:space="preserve"> </v>
      </c>
      <c r="DX40" s="46" t="str">
        <f t="shared" si="61"/>
        <v xml:space="preserve"> </v>
      </c>
      <c r="DY40" s="46" t="str">
        <f t="shared" si="62"/>
        <v xml:space="preserve"> </v>
      </c>
      <c r="DZ40" s="46" t="str">
        <f t="shared" si="63"/>
        <v xml:space="preserve"> </v>
      </c>
      <c r="EA40" s="46" t="str">
        <f t="shared" si="64"/>
        <v xml:space="preserve"> </v>
      </c>
      <c r="EB40" s="46" t="str">
        <f t="shared" si="65"/>
        <v xml:space="preserve"> </v>
      </c>
      <c r="EC40" s="46" t="str">
        <f t="shared" si="66"/>
        <v xml:space="preserve"> </v>
      </c>
      <c r="ED40" s="46"/>
      <c r="EE40" s="52" t="str">
        <f>[2]uts!J39</f>
        <v/>
      </c>
      <c r="EF40" s="51"/>
      <c r="EG40" s="53" t="str">
        <f t="shared" si="67"/>
        <v xml:space="preserve">  </v>
      </c>
      <c r="EH40" s="53" t="str">
        <f t="shared" si="68"/>
        <v xml:space="preserve">  </v>
      </c>
      <c r="EI40" s="53" t="str">
        <f t="shared" si="69"/>
        <v xml:space="preserve">  </v>
      </c>
      <c r="EJ40" s="53" t="str">
        <f t="shared" si="70"/>
        <v xml:space="preserve">  </v>
      </c>
      <c r="EK40" s="53" t="str">
        <f t="shared" si="71"/>
        <v xml:space="preserve">  </v>
      </c>
      <c r="EL40" s="53" t="str">
        <f t="shared" si="72"/>
        <v xml:space="preserve">  </v>
      </c>
      <c r="EM40" s="53" t="str">
        <f t="shared" si="73"/>
        <v xml:space="preserve">  </v>
      </c>
      <c r="EN40" s="53" t="str">
        <f t="shared" si="74"/>
        <v xml:space="preserve">  </v>
      </c>
      <c r="EO40" s="53" t="str">
        <f t="shared" si="75"/>
        <v xml:space="preserve">  </v>
      </c>
      <c r="EP40" s="53"/>
      <c r="EQ40" s="52" t="str">
        <f t="shared" si="76"/>
        <v xml:space="preserve"> </v>
      </c>
      <c r="ER40" s="55">
        <f t="shared" si="77"/>
        <v>0</v>
      </c>
      <c r="ES40" s="55">
        <f t="shared" si="78"/>
        <v>0</v>
      </c>
      <c r="ET40" s="51">
        <f>SISWA!E38</f>
        <v>0</v>
      </c>
      <c r="EU40" s="51" t="str">
        <f t="shared" si="79"/>
        <v/>
      </c>
      <c r="EV40" s="56" t="str">
        <f t="shared" si="80"/>
        <v/>
      </c>
      <c r="EW40" s="57" t="str">
        <f t="shared" si="81"/>
        <v/>
      </c>
      <c r="EX40" s="57" t="str">
        <f t="shared" si="82"/>
        <v/>
      </c>
      <c r="EY40" s="57" t="str">
        <f t="shared" si="83"/>
        <v/>
      </c>
      <c r="EZ40" s="57" t="str">
        <f t="shared" si="84"/>
        <v/>
      </c>
      <c r="FA40" s="57" t="str">
        <f t="shared" si="85"/>
        <v/>
      </c>
      <c r="FB40" s="57" t="str">
        <f t="shared" si="86"/>
        <v/>
      </c>
      <c r="FC40" s="57" t="str">
        <f t="shared" si="87"/>
        <v/>
      </c>
      <c r="FD40" s="57" t="str">
        <f t="shared" si="88"/>
        <v/>
      </c>
      <c r="FE40" s="57"/>
      <c r="FF40" s="58">
        <f t="shared" si="89"/>
        <v>0</v>
      </c>
      <c r="FG40" s="55" t="e">
        <f t="shared" si="90"/>
        <v>#N/A</v>
      </c>
      <c r="FH40" s="58"/>
      <c r="FI40" s="59" t="e">
        <f>IF(ER40&gt;100,"",IF(ER40&gt;DQ$1,"sangat baik dalam "&amp;FG40,IF(ER40&gt;=DQ$2,"baik dalam "&amp;FG40,IF(ER40&gt;=DQ$3,"cukup dalam "&amp;FG40,IF(ER40&lt;DQ$3,"dengan bimbingan dapat meningkatkandalam "&amp;FG40,IF(ER40&lt;1," ",””))))))</f>
        <v>#N/A</v>
      </c>
      <c r="FJ40" s="58"/>
      <c r="FK40" s="57" t="str">
        <f t="shared" si="91"/>
        <v/>
      </c>
      <c r="FL40" s="57" t="str">
        <f t="shared" si="92"/>
        <v/>
      </c>
      <c r="FM40" s="57" t="str">
        <f t="shared" si="93"/>
        <v/>
      </c>
      <c r="FN40" s="57" t="str">
        <f t="shared" si="94"/>
        <v/>
      </c>
      <c r="FO40" s="57" t="str">
        <f t="shared" si="95"/>
        <v/>
      </c>
      <c r="FP40" s="57" t="str">
        <f t="shared" si="96"/>
        <v/>
      </c>
      <c r="FQ40" s="57" t="str">
        <f t="shared" si="97"/>
        <v/>
      </c>
      <c r="FR40" s="57" t="str">
        <f t="shared" si="98"/>
        <v/>
      </c>
      <c r="FS40" s="57" t="str">
        <f t="shared" si="99"/>
        <v/>
      </c>
      <c r="FT40" s="57"/>
      <c r="FU40" s="59" t="e">
        <f t="shared" si="100"/>
        <v>#N/A</v>
      </c>
      <c r="FV40" s="59" t="e">
        <f>IF(ES40&gt;100,"",IF(ES40&gt;DQ$1,"sangat baik dalam "&amp;FU40,IF(ES40&gt;=DQ$2,"baik dalam "&amp;FU40,IF(ES40&gt;=DQ$3,"cukup dalam "&amp;FU40,IF(ES40&lt;DQ$3,"dengan bimbingan dapat meningkatkan dalam "&amp;FU40,IF(ES40&lt;1," ",””))))))</f>
        <v>#N/A</v>
      </c>
      <c r="FW40" s="61"/>
      <c r="FX40" s="62" t="e">
        <f t="shared" si="101"/>
        <v>#N/A</v>
      </c>
      <c r="FY40" s="57" t="str">
        <f t="shared" si="102"/>
        <v/>
      </c>
      <c r="FZ40" s="57" t="str">
        <f t="shared" si="102"/>
        <v/>
      </c>
      <c r="GA40" s="57" t="str">
        <f t="shared" si="102"/>
        <v/>
      </c>
      <c r="GB40" s="57"/>
      <c r="GC40" s="57"/>
      <c r="GD40" s="57"/>
      <c r="GE40" s="59">
        <f t="shared" si="45"/>
        <v>0</v>
      </c>
      <c r="GF40" s="60"/>
      <c r="GG40" s="61"/>
      <c r="GH40" s="62" t="str">
        <f t="shared" si="103"/>
        <v>, 0</v>
      </c>
    </row>
    <row r="41" spans="1:190">
      <c r="A41" s="39">
        <v>34</v>
      </c>
      <c r="B41" s="283">
        <f>SISWA!B39</f>
        <v>0</v>
      </c>
      <c r="C41" s="123"/>
      <c r="D41" s="123"/>
      <c r="E41" s="123"/>
      <c r="F41" s="123"/>
      <c r="G41" s="123"/>
      <c r="H41" s="123"/>
      <c r="I41" s="123"/>
      <c r="J41" s="123"/>
      <c r="K41" s="123"/>
      <c r="L41" s="256"/>
      <c r="M41" s="256"/>
      <c r="N41" s="256"/>
      <c r="O41" s="256"/>
      <c r="P41" s="256"/>
      <c r="Q41" s="256"/>
      <c r="R41" s="256"/>
      <c r="S41" s="256"/>
      <c r="T41" s="256"/>
      <c r="U41" s="123"/>
      <c r="V41" s="123"/>
      <c r="W41" s="123"/>
      <c r="X41" s="123"/>
      <c r="Y41" s="123"/>
      <c r="Z41" s="123"/>
      <c r="AA41" s="123"/>
      <c r="AB41" s="123"/>
      <c r="AC41" s="123"/>
      <c r="AD41" s="256"/>
      <c r="AE41" s="256"/>
      <c r="AF41" s="256"/>
      <c r="AG41" s="256"/>
      <c r="AH41" s="256"/>
      <c r="AI41" s="256"/>
      <c r="AJ41" s="256"/>
      <c r="AK41" s="256"/>
      <c r="AL41" s="256"/>
      <c r="AM41" s="123"/>
      <c r="AN41" s="123"/>
      <c r="AO41" s="123"/>
      <c r="AP41" s="123"/>
      <c r="AQ41" s="123"/>
      <c r="AR41" s="123"/>
      <c r="AS41" s="123"/>
      <c r="AT41" s="123"/>
      <c r="AU41" s="123"/>
      <c r="AV41" s="256"/>
      <c r="AW41" s="256"/>
      <c r="AX41" s="256"/>
      <c r="AY41" s="256"/>
      <c r="AZ41" s="256"/>
      <c r="BA41" s="256"/>
      <c r="BB41" s="256"/>
      <c r="BC41" s="256"/>
      <c r="BD41" s="256"/>
      <c r="BE41" s="123"/>
      <c r="BF41" s="123"/>
      <c r="BG41" s="123"/>
      <c r="BH41" s="123"/>
      <c r="BI41" s="123"/>
      <c r="BJ41" s="123"/>
      <c r="BK41" s="123"/>
      <c r="BL41" s="123"/>
      <c r="BM41" s="123"/>
      <c r="BN41" s="256"/>
      <c r="BO41" s="256"/>
      <c r="BP41" s="256"/>
      <c r="BQ41" s="256"/>
      <c r="BR41" s="256"/>
      <c r="BS41" s="256"/>
      <c r="BT41" s="256"/>
      <c r="BU41" s="256"/>
      <c r="BV41" s="256"/>
      <c r="BW41" s="460"/>
      <c r="BX41" s="460"/>
      <c r="BY41" s="460"/>
      <c r="BZ41" s="460"/>
      <c r="CA41" s="460"/>
      <c r="CB41" s="460"/>
      <c r="CC41" s="460"/>
      <c r="CD41" s="460"/>
      <c r="CE41" s="460"/>
      <c r="CF41" s="346"/>
      <c r="CG41" s="346"/>
      <c r="CH41" s="346"/>
      <c r="CI41" s="346"/>
      <c r="CJ41" s="346"/>
      <c r="CK41" s="346"/>
      <c r="CL41" s="346"/>
      <c r="CM41" s="346"/>
      <c r="CN41" s="346"/>
      <c r="CO41" s="260" t="str">
        <f t="shared" si="46"/>
        <v xml:space="preserve"> </v>
      </c>
      <c r="CP41" s="260" t="str">
        <f t="shared" si="47"/>
        <v xml:space="preserve"> </v>
      </c>
      <c r="CQ41" s="260" t="str">
        <f t="shared" si="48"/>
        <v xml:space="preserve"> </v>
      </c>
      <c r="CR41" s="260" t="str">
        <f t="shared" si="49"/>
        <v xml:space="preserve"> </v>
      </c>
      <c r="CS41" s="260" t="str">
        <f t="shared" si="50"/>
        <v xml:space="preserve"> </v>
      </c>
      <c r="CT41" s="260" t="str">
        <f t="shared" si="51"/>
        <v xml:space="preserve"> </v>
      </c>
      <c r="CU41" s="260" t="str">
        <f t="shared" si="52"/>
        <v xml:space="preserve"> </v>
      </c>
      <c r="CV41" s="260" t="str">
        <f t="shared" si="53"/>
        <v xml:space="preserve"> </v>
      </c>
      <c r="CW41" s="260" t="str">
        <f t="shared" si="54"/>
        <v xml:space="preserve"> </v>
      </c>
      <c r="CX41" s="547"/>
      <c r="CY41" s="547"/>
      <c r="CZ41" s="547"/>
      <c r="DA41" s="547"/>
      <c r="DB41" s="547"/>
      <c r="DC41" s="547"/>
      <c r="DD41" s="547"/>
      <c r="DE41" s="547"/>
      <c r="DF41" s="547"/>
      <c r="DG41" s="564"/>
      <c r="DH41" s="564"/>
      <c r="DI41" s="564"/>
      <c r="DJ41" s="564"/>
      <c r="DK41" s="564"/>
      <c r="DL41" s="564"/>
      <c r="DM41" s="564"/>
      <c r="DN41" s="564"/>
      <c r="DO41" s="564"/>
      <c r="DP41" s="549" t="str">
        <f t="shared" si="55"/>
        <v xml:space="preserve"> </v>
      </c>
      <c r="DQ41" s="291" t="str">
        <f t="shared" si="56"/>
        <v xml:space="preserve">  </v>
      </c>
      <c r="DR41" s="50" t="str">
        <f t="shared" si="57"/>
        <v xml:space="preserve"> </v>
      </c>
      <c r="DS41" s="282"/>
      <c r="DT41" s="51"/>
      <c r="DU41" s="46" t="str">
        <f t="shared" si="58"/>
        <v xml:space="preserve"> </v>
      </c>
      <c r="DV41" s="46" t="str">
        <f t="shared" si="59"/>
        <v xml:space="preserve"> </v>
      </c>
      <c r="DW41" s="46" t="str">
        <f t="shared" si="60"/>
        <v xml:space="preserve"> </v>
      </c>
      <c r="DX41" s="46" t="str">
        <f t="shared" si="61"/>
        <v xml:space="preserve"> </v>
      </c>
      <c r="DY41" s="46" t="str">
        <f t="shared" si="62"/>
        <v xml:space="preserve"> </v>
      </c>
      <c r="DZ41" s="46" t="str">
        <f t="shared" si="63"/>
        <v xml:space="preserve"> </v>
      </c>
      <c r="EA41" s="46" t="str">
        <f t="shared" si="64"/>
        <v xml:space="preserve"> </v>
      </c>
      <c r="EB41" s="46" t="str">
        <f t="shared" si="65"/>
        <v xml:space="preserve"> </v>
      </c>
      <c r="EC41" s="46" t="str">
        <f t="shared" si="66"/>
        <v xml:space="preserve"> </v>
      </c>
      <c r="ED41" s="46"/>
      <c r="EE41" s="52" t="str">
        <f>[2]uts!J40</f>
        <v/>
      </c>
      <c r="EF41" s="51"/>
      <c r="EG41" s="53" t="str">
        <f t="shared" si="67"/>
        <v xml:space="preserve">  </v>
      </c>
      <c r="EH41" s="53" t="str">
        <f t="shared" si="68"/>
        <v xml:space="preserve">  </v>
      </c>
      <c r="EI41" s="53" t="str">
        <f t="shared" si="69"/>
        <v xml:space="preserve">  </v>
      </c>
      <c r="EJ41" s="53" t="str">
        <f t="shared" si="70"/>
        <v xml:space="preserve">  </v>
      </c>
      <c r="EK41" s="53" t="str">
        <f t="shared" si="71"/>
        <v xml:space="preserve">  </v>
      </c>
      <c r="EL41" s="53" t="str">
        <f t="shared" si="72"/>
        <v xml:space="preserve">  </v>
      </c>
      <c r="EM41" s="53" t="str">
        <f t="shared" si="73"/>
        <v xml:space="preserve">  </v>
      </c>
      <c r="EN41" s="53" t="str">
        <f t="shared" si="74"/>
        <v xml:space="preserve">  </v>
      </c>
      <c r="EO41" s="53" t="str">
        <f t="shared" si="75"/>
        <v xml:space="preserve">  </v>
      </c>
      <c r="EP41" s="53"/>
      <c r="EQ41" s="52" t="str">
        <f t="shared" si="76"/>
        <v xml:space="preserve"> </v>
      </c>
      <c r="ER41" s="55">
        <f t="shared" si="77"/>
        <v>0</v>
      </c>
      <c r="ES41" s="55">
        <f t="shared" si="78"/>
        <v>0</v>
      </c>
      <c r="ET41" s="51">
        <f>SISWA!E39</f>
        <v>0</v>
      </c>
      <c r="EU41" s="51" t="str">
        <f t="shared" si="79"/>
        <v/>
      </c>
      <c r="EV41" s="56" t="str">
        <f t="shared" si="80"/>
        <v/>
      </c>
      <c r="EW41" s="57" t="str">
        <f t="shared" si="81"/>
        <v/>
      </c>
      <c r="EX41" s="57" t="str">
        <f t="shared" si="82"/>
        <v/>
      </c>
      <c r="EY41" s="57" t="str">
        <f t="shared" si="83"/>
        <v/>
      </c>
      <c r="EZ41" s="57" t="str">
        <f t="shared" si="84"/>
        <v/>
      </c>
      <c r="FA41" s="57" t="str">
        <f t="shared" si="85"/>
        <v/>
      </c>
      <c r="FB41" s="57" t="str">
        <f t="shared" si="86"/>
        <v/>
      </c>
      <c r="FC41" s="57" t="str">
        <f t="shared" si="87"/>
        <v/>
      </c>
      <c r="FD41" s="57" t="str">
        <f t="shared" si="88"/>
        <v/>
      </c>
      <c r="FE41" s="57"/>
      <c r="FF41" s="58">
        <f t="shared" si="89"/>
        <v>0</v>
      </c>
      <c r="FG41" s="55" t="e">
        <f t="shared" si="90"/>
        <v>#N/A</v>
      </c>
      <c r="FH41" s="58"/>
      <c r="FI41" s="59" t="e">
        <f>IF(ER41&gt;100,"",IF(ER41&gt;DQ$1,"sangat baik dalam "&amp;FG41,IF(ER41&gt;=DQ$2,"baik dalam "&amp;FG41,IF(ER41&gt;=DQ$3,"cukup dalam "&amp;FG41,IF(ER41&lt;DQ$3,"dengan bimbingan dapat meningkatkandalam "&amp;FG41,IF(ER41&lt;1," ",””))))))</f>
        <v>#N/A</v>
      </c>
      <c r="FJ41" s="58"/>
      <c r="FK41" s="57" t="str">
        <f t="shared" si="91"/>
        <v/>
      </c>
      <c r="FL41" s="57" t="str">
        <f t="shared" si="92"/>
        <v/>
      </c>
      <c r="FM41" s="57" t="str">
        <f t="shared" si="93"/>
        <v/>
      </c>
      <c r="FN41" s="57" t="str">
        <f t="shared" si="94"/>
        <v/>
      </c>
      <c r="FO41" s="57" t="str">
        <f t="shared" si="95"/>
        <v/>
      </c>
      <c r="FP41" s="57" t="str">
        <f t="shared" si="96"/>
        <v/>
      </c>
      <c r="FQ41" s="57" t="str">
        <f t="shared" si="97"/>
        <v/>
      </c>
      <c r="FR41" s="57" t="str">
        <f t="shared" si="98"/>
        <v/>
      </c>
      <c r="FS41" s="57" t="str">
        <f t="shared" si="99"/>
        <v/>
      </c>
      <c r="FT41" s="57"/>
      <c r="FU41" s="59" t="e">
        <f t="shared" si="100"/>
        <v>#N/A</v>
      </c>
      <c r="FV41" s="59" t="e">
        <f>IF(ES41&gt;100,"",IF(ES41&gt;DQ$1,"sangat baik dalam "&amp;FU41,IF(ES41&gt;=DQ$2,"baik dalam "&amp;FU41,IF(ES41&gt;=DQ$3,"cukup dalam "&amp;FU41,IF(ES41&lt;DQ$3,"dengan bimbingan dapat meningkatkan dalam "&amp;FU41,IF(ES41&lt;1," ",””))))))</f>
        <v>#N/A</v>
      </c>
      <c r="FW41" s="61"/>
      <c r="FX41" s="62" t="e">
        <f t="shared" si="101"/>
        <v>#N/A</v>
      </c>
      <c r="FY41" s="57" t="str">
        <f t="shared" si="102"/>
        <v/>
      </c>
      <c r="FZ41" s="57" t="str">
        <f t="shared" si="102"/>
        <v/>
      </c>
      <c r="GA41" s="57" t="str">
        <f t="shared" si="102"/>
        <v/>
      </c>
      <c r="GB41" s="57"/>
      <c r="GC41" s="57"/>
      <c r="GD41" s="57"/>
      <c r="GE41" s="59">
        <f t="shared" si="45"/>
        <v>0</v>
      </c>
      <c r="GF41" s="60"/>
      <c r="GG41" s="61"/>
      <c r="GH41" s="62" t="str">
        <f t="shared" si="103"/>
        <v>, 0</v>
      </c>
    </row>
    <row r="42" spans="1:190">
      <c r="A42" s="39">
        <v>35</v>
      </c>
      <c r="B42" s="283">
        <f>SISWA!B40</f>
        <v>0</v>
      </c>
      <c r="C42" s="123"/>
      <c r="D42" s="123"/>
      <c r="E42" s="123"/>
      <c r="F42" s="123"/>
      <c r="G42" s="123"/>
      <c r="H42" s="123"/>
      <c r="I42" s="123"/>
      <c r="J42" s="123"/>
      <c r="K42" s="123"/>
      <c r="L42" s="256"/>
      <c r="M42" s="256"/>
      <c r="N42" s="256"/>
      <c r="O42" s="256"/>
      <c r="P42" s="256"/>
      <c r="Q42" s="256"/>
      <c r="R42" s="256"/>
      <c r="S42" s="256"/>
      <c r="T42" s="256"/>
      <c r="U42" s="123"/>
      <c r="V42" s="123"/>
      <c r="W42" s="123"/>
      <c r="X42" s="123"/>
      <c r="Y42" s="123"/>
      <c r="Z42" s="123"/>
      <c r="AA42" s="123"/>
      <c r="AB42" s="123"/>
      <c r="AC42" s="123"/>
      <c r="AD42" s="256"/>
      <c r="AE42" s="256"/>
      <c r="AF42" s="256"/>
      <c r="AG42" s="256"/>
      <c r="AH42" s="256"/>
      <c r="AI42" s="256"/>
      <c r="AJ42" s="256"/>
      <c r="AK42" s="256"/>
      <c r="AL42" s="256"/>
      <c r="AM42" s="123"/>
      <c r="AN42" s="123"/>
      <c r="AO42" s="123"/>
      <c r="AP42" s="123"/>
      <c r="AQ42" s="123"/>
      <c r="AR42" s="123"/>
      <c r="AS42" s="123"/>
      <c r="AT42" s="123"/>
      <c r="AU42" s="123"/>
      <c r="AV42" s="256"/>
      <c r="AW42" s="256"/>
      <c r="AX42" s="256"/>
      <c r="AY42" s="256"/>
      <c r="AZ42" s="256"/>
      <c r="BA42" s="256"/>
      <c r="BB42" s="256"/>
      <c r="BC42" s="256"/>
      <c r="BD42" s="256"/>
      <c r="BE42" s="123"/>
      <c r="BF42" s="123"/>
      <c r="BG42" s="123"/>
      <c r="BH42" s="123"/>
      <c r="BI42" s="123"/>
      <c r="BJ42" s="123"/>
      <c r="BK42" s="123"/>
      <c r="BL42" s="123"/>
      <c r="BM42" s="123"/>
      <c r="BN42" s="256"/>
      <c r="BO42" s="256"/>
      <c r="BP42" s="256"/>
      <c r="BQ42" s="256"/>
      <c r="BR42" s="256"/>
      <c r="BS42" s="256"/>
      <c r="BT42" s="256"/>
      <c r="BU42" s="256"/>
      <c r="BV42" s="256"/>
      <c r="BW42" s="460"/>
      <c r="BX42" s="460"/>
      <c r="BY42" s="460"/>
      <c r="BZ42" s="460"/>
      <c r="CA42" s="460"/>
      <c r="CB42" s="460"/>
      <c r="CC42" s="460"/>
      <c r="CD42" s="460"/>
      <c r="CE42" s="460"/>
      <c r="CF42" s="346"/>
      <c r="CG42" s="346"/>
      <c r="CH42" s="346"/>
      <c r="CI42" s="346"/>
      <c r="CJ42" s="346"/>
      <c r="CK42" s="346"/>
      <c r="CL42" s="346"/>
      <c r="CM42" s="346"/>
      <c r="CN42" s="346"/>
      <c r="CO42" s="260" t="str">
        <f t="shared" si="46"/>
        <v xml:space="preserve"> </v>
      </c>
      <c r="CP42" s="260" t="str">
        <f t="shared" si="47"/>
        <v xml:space="preserve"> </v>
      </c>
      <c r="CQ42" s="260" t="str">
        <f t="shared" si="48"/>
        <v xml:space="preserve"> </v>
      </c>
      <c r="CR42" s="260" t="str">
        <f t="shared" si="49"/>
        <v xml:space="preserve"> </v>
      </c>
      <c r="CS42" s="260" t="str">
        <f t="shared" si="50"/>
        <v xml:space="preserve"> </v>
      </c>
      <c r="CT42" s="260" t="str">
        <f t="shared" si="51"/>
        <v xml:space="preserve"> </v>
      </c>
      <c r="CU42" s="260" t="str">
        <f t="shared" si="52"/>
        <v xml:space="preserve"> </v>
      </c>
      <c r="CV42" s="260" t="str">
        <f t="shared" si="53"/>
        <v xml:space="preserve"> </v>
      </c>
      <c r="CW42" s="260" t="str">
        <f t="shared" si="54"/>
        <v xml:space="preserve"> </v>
      </c>
      <c r="CX42" s="547"/>
      <c r="CY42" s="547"/>
      <c r="CZ42" s="547"/>
      <c r="DA42" s="547"/>
      <c r="DB42" s="547"/>
      <c r="DC42" s="547"/>
      <c r="DD42" s="547"/>
      <c r="DE42" s="547"/>
      <c r="DF42" s="547"/>
      <c r="DG42" s="564"/>
      <c r="DH42" s="564"/>
      <c r="DI42" s="564"/>
      <c r="DJ42" s="564"/>
      <c r="DK42" s="564"/>
      <c r="DL42" s="564"/>
      <c r="DM42" s="564"/>
      <c r="DN42" s="564"/>
      <c r="DO42" s="564"/>
      <c r="DP42" s="549" t="str">
        <f t="shared" si="55"/>
        <v xml:space="preserve"> </v>
      </c>
      <c r="DQ42" s="291" t="str">
        <f t="shared" si="56"/>
        <v xml:space="preserve">  </v>
      </c>
      <c r="DR42" s="50" t="str">
        <f t="shared" si="57"/>
        <v xml:space="preserve"> </v>
      </c>
      <c r="DS42" s="282"/>
      <c r="DT42" s="51"/>
      <c r="DU42" s="46" t="str">
        <f t="shared" si="58"/>
        <v xml:space="preserve"> </v>
      </c>
      <c r="DV42" s="46" t="str">
        <f t="shared" si="59"/>
        <v xml:space="preserve"> </v>
      </c>
      <c r="DW42" s="46" t="str">
        <f t="shared" si="60"/>
        <v xml:space="preserve"> </v>
      </c>
      <c r="DX42" s="46" t="str">
        <f t="shared" si="61"/>
        <v xml:space="preserve"> </v>
      </c>
      <c r="DY42" s="46" t="str">
        <f t="shared" si="62"/>
        <v xml:space="preserve"> </v>
      </c>
      <c r="DZ42" s="46" t="str">
        <f t="shared" si="63"/>
        <v xml:space="preserve"> </v>
      </c>
      <c r="EA42" s="46" t="str">
        <f t="shared" si="64"/>
        <v xml:space="preserve"> </v>
      </c>
      <c r="EB42" s="46" t="str">
        <f t="shared" si="65"/>
        <v xml:space="preserve"> </v>
      </c>
      <c r="EC42" s="46" t="str">
        <f t="shared" si="66"/>
        <v xml:space="preserve"> </v>
      </c>
      <c r="ED42" s="46"/>
      <c r="EE42" s="52" t="str">
        <f>[2]uts!J41</f>
        <v/>
      </c>
      <c r="EF42" s="51"/>
      <c r="EG42" s="53" t="str">
        <f t="shared" si="67"/>
        <v xml:space="preserve">  </v>
      </c>
      <c r="EH42" s="53" t="str">
        <f t="shared" si="68"/>
        <v xml:space="preserve">  </v>
      </c>
      <c r="EI42" s="53" t="str">
        <f t="shared" si="69"/>
        <v xml:space="preserve">  </v>
      </c>
      <c r="EJ42" s="53" t="str">
        <f t="shared" si="70"/>
        <v xml:space="preserve">  </v>
      </c>
      <c r="EK42" s="53" t="str">
        <f t="shared" si="71"/>
        <v xml:space="preserve">  </v>
      </c>
      <c r="EL42" s="53" t="str">
        <f t="shared" si="72"/>
        <v xml:space="preserve">  </v>
      </c>
      <c r="EM42" s="53" t="str">
        <f t="shared" si="73"/>
        <v xml:space="preserve">  </v>
      </c>
      <c r="EN42" s="53" t="str">
        <f t="shared" si="74"/>
        <v xml:space="preserve">  </v>
      </c>
      <c r="EO42" s="53" t="str">
        <f t="shared" si="75"/>
        <v xml:space="preserve">  </v>
      </c>
      <c r="EP42" s="53"/>
      <c r="EQ42" s="52" t="str">
        <f t="shared" si="76"/>
        <v xml:space="preserve"> </v>
      </c>
      <c r="ER42" s="55">
        <f t="shared" si="77"/>
        <v>0</v>
      </c>
      <c r="ES42" s="55">
        <f t="shared" si="78"/>
        <v>0</v>
      </c>
      <c r="ET42" s="51">
        <f>SISWA!E40</f>
        <v>0</v>
      </c>
      <c r="EU42" s="51" t="str">
        <f t="shared" si="79"/>
        <v/>
      </c>
      <c r="EV42" s="56" t="str">
        <f t="shared" si="80"/>
        <v/>
      </c>
      <c r="EW42" s="57" t="str">
        <f t="shared" si="81"/>
        <v/>
      </c>
      <c r="EX42" s="57" t="str">
        <f t="shared" si="82"/>
        <v/>
      </c>
      <c r="EY42" s="57" t="str">
        <f t="shared" si="83"/>
        <v/>
      </c>
      <c r="EZ42" s="57" t="str">
        <f t="shared" si="84"/>
        <v/>
      </c>
      <c r="FA42" s="57" t="str">
        <f t="shared" si="85"/>
        <v/>
      </c>
      <c r="FB42" s="57" t="str">
        <f t="shared" si="86"/>
        <v/>
      </c>
      <c r="FC42" s="57" t="str">
        <f t="shared" si="87"/>
        <v/>
      </c>
      <c r="FD42" s="57" t="str">
        <f t="shared" si="88"/>
        <v/>
      </c>
      <c r="FE42" s="57"/>
      <c r="FF42" s="58">
        <f t="shared" si="89"/>
        <v>0</v>
      </c>
      <c r="FG42" s="55" t="e">
        <f t="shared" si="90"/>
        <v>#N/A</v>
      </c>
      <c r="FH42" s="58"/>
      <c r="FI42" s="59" t="e">
        <f>IF(ER42&gt;100,"",IF(ER42&gt;DQ$1,"sangat baik dalam "&amp;FG42,IF(ER42&gt;=DQ$2,"baik dalam "&amp;FG42,IF(ER42&gt;=DQ$3,"cukup dalam "&amp;FG42,IF(ER42&lt;DQ$3,"dengan bimbingan dapat meningkatkandalam "&amp;FG42,IF(ER42&lt;1," ",””))))))</f>
        <v>#N/A</v>
      </c>
      <c r="FJ42" s="58"/>
      <c r="FK42" s="57" t="str">
        <f t="shared" si="91"/>
        <v/>
      </c>
      <c r="FL42" s="57" t="str">
        <f t="shared" si="92"/>
        <v/>
      </c>
      <c r="FM42" s="57" t="str">
        <f t="shared" si="93"/>
        <v/>
      </c>
      <c r="FN42" s="57" t="str">
        <f t="shared" si="94"/>
        <v/>
      </c>
      <c r="FO42" s="57" t="str">
        <f t="shared" si="95"/>
        <v/>
      </c>
      <c r="FP42" s="57" t="str">
        <f t="shared" si="96"/>
        <v/>
      </c>
      <c r="FQ42" s="57" t="str">
        <f t="shared" si="97"/>
        <v/>
      </c>
      <c r="FR42" s="57" t="str">
        <f t="shared" si="98"/>
        <v/>
      </c>
      <c r="FS42" s="57" t="str">
        <f t="shared" si="99"/>
        <v/>
      </c>
      <c r="FT42" s="57"/>
      <c r="FU42" s="59" t="e">
        <f t="shared" si="100"/>
        <v>#N/A</v>
      </c>
      <c r="FV42" s="59" t="e">
        <f>IF(ES42&gt;100,"",IF(ES42&gt;DQ$1,"sangat baik dalam "&amp;FU42,IF(ES42&gt;=DQ$2,"baik dalam "&amp;FU42,IF(ES42&gt;=DQ$3,"cukup dalam "&amp;FU42,IF(ES42&lt;DQ$3,"dengan bimbingan dapat meningkatkan dalam "&amp;FU42,IF(ES42&lt;1," ",””))))))</f>
        <v>#N/A</v>
      </c>
      <c r="FW42" s="61"/>
      <c r="FX42" s="62" t="e">
        <f t="shared" si="101"/>
        <v>#N/A</v>
      </c>
      <c r="FY42" s="57" t="str">
        <f t="shared" si="102"/>
        <v/>
      </c>
      <c r="FZ42" s="57" t="str">
        <f t="shared" si="102"/>
        <v/>
      </c>
      <c r="GA42" s="57" t="str">
        <f t="shared" si="102"/>
        <v/>
      </c>
      <c r="GB42" s="57"/>
      <c r="GC42" s="57"/>
      <c r="GD42" s="57"/>
      <c r="GE42" s="59">
        <f t="shared" si="45"/>
        <v>0</v>
      </c>
      <c r="GF42" s="60"/>
      <c r="GG42" s="61"/>
      <c r="GH42" s="62" t="str">
        <f t="shared" si="103"/>
        <v>, 0</v>
      </c>
    </row>
    <row r="43" spans="1:190">
      <c r="A43" s="39">
        <v>40</v>
      </c>
      <c r="B43" s="283" t="e">
        <f>SISWA!#REF!</f>
        <v>#REF!</v>
      </c>
      <c r="C43" s="123"/>
      <c r="D43" s="123"/>
      <c r="E43" s="123"/>
      <c r="F43" s="123"/>
      <c r="G43" s="123"/>
      <c r="H43" s="123"/>
      <c r="I43" s="123"/>
      <c r="J43" s="123"/>
      <c r="K43" s="123"/>
      <c r="L43" s="256"/>
      <c r="M43" s="256"/>
      <c r="N43" s="256"/>
      <c r="O43" s="256"/>
      <c r="P43" s="256"/>
      <c r="Q43" s="256"/>
      <c r="R43" s="256"/>
      <c r="S43" s="256"/>
      <c r="T43" s="256"/>
      <c r="U43" s="123"/>
      <c r="V43" s="123"/>
      <c r="W43" s="123"/>
      <c r="X43" s="123"/>
      <c r="Y43" s="123"/>
      <c r="Z43" s="123"/>
      <c r="AA43" s="123"/>
      <c r="AB43" s="123"/>
      <c r="AC43" s="123"/>
      <c r="AD43" s="256"/>
      <c r="AE43" s="256"/>
      <c r="AF43" s="256"/>
      <c r="AG43" s="256"/>
      <c r="AH43" s="256"/>
      <c r="AI43" s="256"/>
      <c r="AJ43" s="256"/>
      <c r="AK43" s="256"/>
      <c r="AL43" s="256"/>
      <c r="AM43" s="123"/>
      <c r="AN43" s="123"/>
      <c r="AO43" s="123"/>
      <c r="AP43" s="123"/>
      <c r="AQ43" s="123"/>
      <c r="AR43" s="123"/>
      <c r="AS43" s="123"/>
      <c r="AT43" s="123"/>
      <c r="AU43" s="123"/>
      <c r="AV43" s="256"/>
      <c r="AW43" s="256"/>
      <c r="AX43" s="256"/>
      <c r="AY43" s="256"/>
      <c r="AZ43" s="256"/>
      <c r="BA43" s="256"/>
      <c r="BB43" s="256"/>
      <c r="BC43" s="256"/>
      <c r="BD43" s="256"/>
      <c r="BE43" s="123"/>
      <c r="BF43" s="123"/>
      <c r="BG43" s="123"/>
      <c r="BH43" s="123"/>
      <c r="BI43" s="123"/>
      <c r="BJ43" s="123"/>
      <c r="BK43" s="123"/>
      <c r="BL43" s="123"/>
      <c r="BM43" s="123"/>
      <c r="BN43" s="256"/>
      <c r="BO43" s="256"/>
      <c r="BP43" s="256"/>
      <c r="BQ43" s="256"/>
      <c r="BR43" s="256"/>
      <c r="BS43" s="256"/>
      <c r="BT43" s="256"/>
      <c r="BU43" s="256"/>
      <c r="BV43" s="256"/>
      <c r="BW43" s="460"/>
      <c r="BX43" s="460"/>
      <c r="BY43" s="460"/>
      <c r="BZ43" s="460"/>
      <c r="CA43" s="460"/>
      <c r="CB43" s="460"/>
      <c r="CC43" s="460"/>
      <c r="CD43" s="460"/>
      <c r="CE43" s="460"/>
      <c r="CF43" s="346"/>
      <c r="CG43" s="346"/>
      <c r="CH43" s="346"/>
      <c r="CI43" s="346"/>
      <c r="CJ43" s="346"/>
      <c r="CK43" s="346"/>
      <c r="CL43" s="346"/>
      <c r="CM43" s="346"/>
      <c r="CN43" s="346"/>
      <c r="CO43" s="260" t="str">
        <f t="shared" si="46"/>
        <v xml:space="preserve"> </v>
      </c>
      <c r="CP43" s="260" t="str">
        <f t="shared" si="47"/>
        <v xml:space="preserve"> </v>
      </c>
      <c r="CQ43" s="260" t="str">
        <f t="shared" si="48"/>
        <v xml:space="preserve"> </v>
      </c>
      <c r="CR43" s="260" t="str">
        <f t="shared" si="49"/>
        <v xml:space="preserve"> </v>
      </c>
      <c r="CS43" s="260" t="str">
        <f t="shared" si="50"/>
        <v xml:space="preserve"> </v>
      </c>
      <c r="CT43" s="260" t="str">
        <f t="shared" si="51"/>
        <v xml:space="preserve"> </v>
      </c>
      <c r="CU43" s="260" t="str">
        <f t="shared" si="52"/>
        <v xml:space="preserve"> </v>
      </c>
      <c r="CV43" s="260" t="str">
        <f t="shared" si="53"/>
        <v xml:space="preserve"> </v>
      </c>
      <c r="CW43" s="260" t="str">
        <f t="shared" si="54"/>
        <v xml:space="preserve"> </v>
      </c>
      <c r="CX43" s="547"/>
      <c r="CY43" s="547"/>
      <c r="CZ43" s="547"/>
      <c r="DA43" s="547"/>
      <c r="DB43" s="547"/>
      <c r="DC43" s="547"/>
      <c r="DD43" s="547"/>
      <c r="DE43" s="547"/>
      <c r="DF43" s="547"/>
      <c r="DG43" s="564"/>
      <c r="DH43" s="564"/>
      <c r="DI43" s="564"/>
      <c r="DJ43" s="564"/>
      <c r="DK43" s="564"/>
      <c r="DL43" s="564"/>
      <c r="DM43" s="564"/>
      <c r="DN43" s="564"/>
      <c r="DO43" s="564"/>
      <c r="DP43" s="549" t="str">
        <f t="shared" si="55"/>
        <v xml:space="preserve"> </v>
      </c>
      <c r="DQ43" s="291" t="str">
        <f t="shared" si="56"/>
        <v xml:space="preserve">  </v>
      </c>
      <c r="DR43" s="50" t="str">
        <f t="shared" si="57"/>
        <v xml:space="preserve"> </v>
      </c>
      <c r="DS43" s="282"/>
      <c r="DT43" s="51"/>
      <c r="DU43" s="46" t="str">
        <f t="shared" si="58"/>
        <v xml:space="preserve"> </v>
      </c>
      <c r="DV43" s="46" t="str">
        <f t="shared" si="59"/>
        <v xml:space="preserve"> </v>
      </c>
      <c r="DW43" s="46" t="str">
        <f t="shared" si="60"/>
        <v xml:space="preserve"> </v>
      </c>
      <c r="DX43" s="46" t="str">
        <f t="shared" si="61"/>
        <v xml:space="preserve"> </v>
      </c>
      <c r="DY43" s="46" t="str">
        <f t="shared" si="62"/>
        <v xml:space="preserve"> </v>
      </c>
      <c r="DZ43" s="46" t="str">
        <f t="shared" si="63"/>
        <v xml:space="preserve"> </v>
      </c>
      <c r="EA43" s="46" t="str">
        <f t="shared" si="64"/>
        <v xml:space="preserve"> </v>
      </c>
      <c r="EB43" s="46" t="str">
        <f t="shared" si="65"/>
        <v xml:space="preserve"> </v>
      </c>
      <c r="EC43" s="46" t="str">
        <f t="shared" si="66"/>
        <v xml:space="preserve"> </v>
      </c>
      <c r="ED43" s="46"/>
      <c r="EE43" s="52" t="str">
        <f>[2]uts!J46</f>
        <v/>
      </c>
      <c r="EF43" s="51"/>
      <c r="EG43" s="53" t="str">
        <f t="shared" si="67"/>
        <v xml:space="preserve">  </v>
      </c>
      <c r="EH43" s="53" t="str">
        <f t="shared" si="68"/>
        <v xml:space="preserve">  </v>
      </c>
      <c r="EI43" s="53" t="str">
        <f t="shared" si="69"/>
        <v xml:space="preserve">  </v>
      </c>
      <c r="EJ43" s="53" t="str">
        <f t="shared" si="70"/>
        <v xml:space="preserve">  </v>
      </c>
      <c r="EK43" s="53" t="str">
        <f t="shared" si="71"/>
        <v xml:space="preserve">  </v>
      </c>
      <c r="EL43" s="53" t="str">
        <f t="shared" si="72"/>
        <v xml:space="preserve">  </v>
      </c>
      <c r="EM43" s="53" t="str">
        <f t="shared" si="73"/>
        <v xml:space="preserve">  </v>
      </c>
      <c r="EN43" s="53" t="str">
        <f t="shared" si="74"/>
        <v xml:space="preserve">  </v>
      </c>
      <c r="EO43" s="53" t="str">
        <f t="shared" si="75"/>
        <v xml:space="preserve">  </v>
      </c>
      <c r="EP43" s="53"/>
      <c r="EQ43" s="52" t="str">
        <f t="shared" si="76"/>
        <v xml:space="preserve"> </v>
      </c>
      <c r="ER43" s="55">
        <f t="shared" si="77"/>
        <v>0</v>
      </c>
      <c r="ES43" s="55">
        <f t="shared" si="78"/>
        <v>0</v>
      </c>
      <c r="ET43" s="51">
        <f>SISWA!E41</f>
        <v>0</v>
      </c>
      <c r="EU43" s="51" t="str">
        <f t="shared" si="79"/>
        <v/>
      </c>
      <c r="EV43" s="56" t="str">
        <f t="shared" si="80"/>
        <v/>
      </c>
      <c r="EW43" s="57" t="str">
        <f t="shared" si="81"/>
        <v/>
      </c>
      <c r="EX43" s="57" t="str">
        <f t="shared" si="82"/>
        <v/>
      </c>
      <c r="EY43" s="57" t="str">
        <f t="shared" si="83"/>
        <v/>
      </c>
      <c r="EZ43" s="57" t="str">
        <f t="shared" si="84"/>
        <v/>
      </c>
      <c r="FA43" s="57" t="str">
        <f t="shared" si="85"/>
        <v/>
      </c>
      <c r="FB43" s="57" t="str">
        <f t="shared" si="86"/>
        <v/>
      </c>
      <c r="FC43" s="57" t="str">
        <f t="shared" si="87"/>
        <v/>
      </c>
      <c r="FD43" s="57" t="str">
        <f t="shared" si="88"/>
        <v/>
      </c>
      <c r="FE43" s="57"/>
      <c r="FF43" s="58">
        <f t="shared" si="89"/>
        <v>0</v>
      </c>
      <c r="FG43" s="55" t="e">
        <f t="shared" si="90"/>
        <v>#N/A</v>
      </c>
      <c r="FH43" s="58"/>
      <c r="FI43" s="59" t="e">
        <f>IF(ER43&gt;100,"",IF(ER43&gt;DQ$1,"sangat baik dalam "&amp;FG43,IF(ER43&gt;=DQ$2,"baik dalam "&amp;FG43,IF(ER43&gt;=DQ$3,"cukup dalam "&amp;FG43,IF(ER43&lt;DQ$3,"dengan bimbingan dapat meningkatkandalam "&amp;FG43,IF(ER43&lt;1," ",””))))))</f>
        <v>#N/A</v>
      </c>
      <c r="FJ43" s="58"/>
      <c r="FK43" s="57" t="str">
        <f t="shared" si="91"/>
        <v/>
      </c>
      <c r="FL43" s="57" t="str">
        <f t="shared" si="92"/>
        <v/>
      </c>
      <c r="FM43" s="57" t="str">
        <f t="shared" si="93"/>
        <v/>
      </c>
      <c r="FN43" s="57" t="str">
        <f t="shared" si="94"/>
        <v/>
      </c>
      <c r="FO43" s="57" t="str">
        <f t="shared" si="95"/>
        <v/>
      </c>
      <c r="FP43" s="57" t="str">
        <f t="shared" si="96"/>
        <v/>
      </c>
      <c r="FQ43" s="57" t="str">
        <f t="shared" si="97"/>
        <v/>
      </c>
      <c r="FR43" s="57" t="str">
        <f t="shared" si="98"/>
        <v/>
      </c>
      <c r="FS43" s="57" t="str">
        <f t="shared" si="99"/>
        <v/>
      </c>
      <c r="FT43" s="57"/>
      <c r="FU43" s="59" t="e">
        <f t="shared" si="100"/>
        <v>#N/A</v>
      </c>
      <c r="FV43" s="59" t="e">
        <f>IF(ES43&gt;100,"",IF(ES43&gt;DQ$1,"sangat baik dalam "&amp;FU43,IF(ES43&gt;=DQ$2,"baik dalam "&amp;FU43,IF(ES43&gt;=DQ$3,"cukup dalam "&amp;FU43,IF(ES43&lt;DQ$3,"dengan bimbingan dapat meningkatkan dalam "&amp;FU43,IF(ES43&lt;1," ",””))))))</f>
        <v>#N/A</v>
      </c>
      <c r="FW43" s="61"/>
      <c r="FX43" s="62" t="e">
        <f t="shared" si="101"/>
        <v>#N/A</v>
      </c>
      <c r="FY43" s="57" t="str">
        <f t="shared" ref="FY43:GA43" si="105">IF(EU43=$FC43,$FC43,"")</f>
        <v/>
      </c>
      <c r="FZ43" s="57" t="str">
        <f t="shared" si="105"/>
        <v/>
      </c>
      <c r="GA43" s="57" t="str">
        <f t="shared" si="105"/>
        <v/>
      </c>
      <c r="GB43" s="57"/>
      <c r="GC43" s="57"/>
      <c r="GD43" s="57"/>
      <c r="GE43" s="59">
        <f t="shared" si="45"/>
        <v>0</v>
      </c>
      <c r="GF43" s="60"/>
      <c r="GG43" s="61"/>
      <c r="GH43" s="62" t="str">
        <f t="shared" si="103"/>
        <v>, 0</v>
      </c>
    </row>
    <row r="44" spans="1:190">
      <c r="BW44" s="221"/>
      <c r="BX44" s="221"/>
      <c r="BY44" s="221"/>
      <c r="BZ44" s="221"/>
      <c r="CA44" s="221"/>
      <c r="CB44" s="221"/>
      <c r="CC44" s="221"/>
      <c r="CD44" s="221"/>
      <c r="CE44" s="221"/>
    </row>
    <row r="45" spans="1:190">
      <c r="B45" s="1167" t="str">
        <f>"Kompetensi Dasar "&amp;C2&amp;" :"</f>
        <v>Kompetensi Dasar I P A :</v>
      </c>
      <c r="C45" s="1168"/>
      <c r="D45" s="1168"/>
      <c r="E45" s="1168"/>
      <c r="F45" s="1168"/>
      <c r="G45" s="1168"/>
      <c r="H45" s="1168"/>
      <c r="I45" s="1168"/>
      <c r="J45" s="1168"/>
      <c r="K45" s="1168"/>
      <c r="L45" s="1168"/>
      <c r="M45" s="1168"/>
      <c r="N45" s="1168"/>
      <c r="O45" s="1168"/>
      <c r="P45" s="1168"/>
      <c r="Q45" s="1168"/>
      <c r="R45" s="1168"/>
      <c r="S45" s="1168"/>
      <c r="T45" s="1168"/>
      <c r="U45" s="1168"/>
      <c r="V45" s="1168"/>
      <c r="W45" s="1168"/>
      <c r="X45" s="1168"/>
      <c r="Y45" s="1168"/>
      <c r="Z45" s="1168"/>
      <c r="AA45" s="1168"/>
      <c r="AB45" s="1168"/>
      <c r="AC45" s="1168"/>
      <c r="AD45" s="1168"/>
      <c r="AE45" s="1168"/>
      <c r="AF45" s="1168"/>
      <c r="BW45" s="221"/>
      <c r="BX45" s="221"/>
      <c r="BY45" s="221"/>
      <c r="BZ45" s="221"/>
      <c r="CA45" s="221"/>
      <c r="CB45" s="221"/>
      <c r="CC45" s="221"/>
      <c r="CD45" s="221"/>
      <c r="CE45" s="221"/>
    </row>
    <row r="46" spans="1:190">
      <c r="A46" s="357" t="str">
        <f>'KDKI-3'!A39</f>
        <v>3.1</v>
      </c>
      <c r="B46" s="357" t="str">
        <f>'KDKI-3'!B39</f>
        <v>menjelaskan alat gerak dan fungsinya pada hewan dan manusia serta cara memelihara kesehatan alat gerak manusia</v>
      </c>
      <c r="C46" s="284"/>
      <c r="D46" s="284"/>
      <c r="E46" s="284"/>
      <c r="F46" s="284"/>
      <c r="G46" s="284"/>
      <c r="H46" s="284"/>
      <c r="I46" s="284"/>
      <c r="J46" s="284"/>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70"/>
      <c r="AI46" s="70"/>
      <c r="AJ46" s="70"/>
      <c r="AK46" s="70"/>
      <c r="AL46" s="70"/>
      <c r="AM46" s="70"/>
      <c r="AN46" s="70"/>
      <c r="AO46" s="70"/>
      <c r="AP46" s="70"/>
      <c r="AQ46" s="70"/>
      <c r="AR46" s="70"/>
      <c r="AS46" s="71"/>
      <c r="AT46" s="72"/>
      <c r="AU46" s="72"/>
      <c r="BW46" s="221"/>
      <c r="BX46" s="221"/>
      <c r="BY46" s="221"/>
      <c r="BZ46" s="221"/>
      <c r="CA46" s="221"/>
      <c r="CB46" s="221"/>
      <c r="CC46" s="221"/>
      <c r="CD46" s="221"/>
      <c r="CE46" s="221"/>
    </row>
    <row r="47" spans="1:190">
      <c r="A47" s="357" t="str">
        <f>'KDKI-3'!A40</f>
        <v>3.2</v>
      </c>
      <c r="B47" s="357" t="str">
        <f>'KDKI-3'!B40</f>
        <v>menjelaskan organ pernafasan dan fungsinya pada hewan dan manusia, serta cara memelihara kesehatan organ pernapasan manusia</v>
      </c>
      <c r="C47" s="285"/>
      <c r="D47" s="285"/>
      <c r="E47" s="285"/>
      <c r="F47" s="285"/>
      <c r="G47" s="285"/>
      <c r="H47" s="285"/>
      <c r="I47" s="285"/>
      <c r="J47" s="285"/>
      <c r="K47" s="285"/>
      <c r="L47" s="285"/>
      <c r="M47" s="285"/>
      <c r="N47" s="285"/>
      <c r="O47" s="285"/>
      <c r="P47" s="285"/>
      <c r="Q47" s="285"/>
      <c r="R47" s="285"/>
      <c r="S47" s="285"/>
      <c r="T47" s="285"/>
      <c r="U47" s="285"/>
      <c r="V47" s="285"/>
      <c r="W47" s="285"/>
      <c r="X47" s="285"/>
      <c r="Y47" s="285"/>
      <c r="Z47" s="285"/>
      <c r="AA47" s="285"/>
      <c r="AB47" s="285"/>
      <c r="AC47" s="285"/>
      <c r="AD47" s="285"/>
      <c r="AE47" s="285"/>
      <c r="AF47" s="285"/>
      <c r="AG47" s="285"/>
      <c r="AH47" s="74"/>
      <c r="AI47" s="74"/>
      <c r="AJ47" s="74"/>
      <c r="AK47" s="74"/>
      <c r="AL47" s="74"/>
      <c r="AM47" s="74"/>
      <c r="AN47" s="74"/>
      <c r="AO47" s="74"/>
      <c r="AP47" s="74"/>
      <c r="AQ47" s="74"/>
      <c r="AR47" s="74"/>
      <c r="AS47" s="75"/>
      <c r="AT47" s="72"/>
      <c r="AU47" s="72"/>
      <c r="BW47" s="221"/>
      <c r="BX47" s="221"/>
      <c r="BY47" s="221"/>
      <c r="BZ47" s="221"/>
      <c r="CA47" s="221"/>
      <c r="CB47" s="221"/>
      <c r="CC47" s="221"/>
      <c r="CD47" s="221"/>
      <c r="CE47" s="221"/>
    </row>
    <row r="48" spans="1:190">
      <c r="A48" s="357" t="str">
        <f>'KDKI-3'!A41</f>
        <v>3.3</v>
      </c>
      <c r="B48" s="357" t="str">
        <f>'KDKI-3'!B41</f>
        <v>menjelaskan organ pencernaan dan fungsinya pada hewan dan manusia serta cara memelihara kesehatan organ pencernaan manusia</v>
      </c>
      <c r="C48" s="286"/>
      <c r="D48" s="286"/>
      <c r="E48" s="286"/>
      <c r="F48" s="286"/>
      <c r="G48" s="286"/>
      <c r="H48" s="286"/>
      <c r="I48" s="286"/>
      <c r="J48" s="286"/>
      <c r="K48" s="286"/>
      <c r="L48" s="286"/>
      <c r="M48" s="286"/>
      <c r="N48" s="286"/>
      <c r="O48" s="286"/>
      <c r="P48" s="286"/>
      <c r="Q48" s="286"/>
      <c r="R48" s="286"/>
      <c r="S48" s="286"/>
      <c r="T48" s="286"/>
      <c r="U48" s="286"/>
      <c r="V48" s="286"/>
      <c r="W48" s="286"/>
      <c r="X48" s="286"/>
      <c r="Y48" s="286"/>
      <c r="Z48" s="286"/>
      <c r="AA48" s="286"/>
      <c r="AB48" s="286"/>
      <c r="AC48" s="286"/>
      <c r="AD48" s="286"/>
      <c r="AE48" s="286"/>
      <c r="AF48" s="286"/>
      <c r="AG48" s="286"/>
      <c r="AH48" s="72"/>
      <c r="AI48" s="72"/>
      <c r="AJ48" s="72"/>
      <c r="AK48" s="72"/>
      <c r="AL48" s="72"/>
      <c r="AM48" s="72"/>
      <c r="AN48" s="72"/>
      <c r="AO48" s="72"/>
      <c r="AP48" s="72"/>
      <c r="AQ48" s="72"/>
      <c r="AR48" s="72"/>
      <c r="AS48" s="76"/>
      <c r="AT48" s="72"/>
      <c r="AU48" s="72"/>
      <c r="BW48" s="221"/>
      <c r="BX48" s="221"/>
      <c r="BY48" s="221"/>
      <c r="BZ48" s="221"/>
      <c r="CA48" s="221"/>
      <c r="CB48" s="221"/>
      <c r="CC48" s="221"/>
      <c r="CD48" s="221"/>
      <c r="CE48" s="221"/>
    </row>
    <row r="49" spans="1:83">
      <c r="A49" s="357" t="str">
        <f>'KDKI-3'!A42</f>
        <v>3.4</v>
      </c>
      <c r="B49" s="357" t="str">
        <f>'KDKI-3'!B42</f>
        <v>menjelaskan organ peredaran darah dan fungsinya pada hewan dan manusia serta cara memelihara kesehatan organ peredaran darah manusia</v>
      </c>
      <c r="C49" s="285"/>
      <c r="D49" s="285"/>
      <c r="E49" s="285"/>
      <c r="F49" s="285"/>
      <c r="G49" s="285"/>
      <c r="H49" s="285"/>
      <c r="I49" s="285"/>
      <c r="J49" s="285"/>
      <c r="K49" s="285"/>
      <c r="L49" s="285"/>
      <c r="M49" s="285"/>
      <c r="N49" s="285"/>
      <c r="O49" s="285"/>
      <c r="P49" s="285"/>
      <c r="Q49" s="285"/>
      <c r="R49" s="285"/>
      <c r="S49" s="285"/>
      <c r="T49" s="285"/>
      <c r="U49" s="285"/>
      <c r="V49" s="285"/>
      <c r="W49" s="285"/>
      <c r="X49" s="285"/>
      <c r="Y49" s="285"/>
      <c r="Z49" s="285"/>
      <c r="AA49" s="285"/>
      <c r="AB49" s="285"/>
      <c r="AC49" s="285"/>
      <c r="AD49" s="285"/>
      <c r="AE49" s="285"/>
      <c r="AF49" s="285"/>
      <c r="AG49" s="285"/>
      <c r="AH49" s="74"/>
      <c r="AI49" s="74"/>
      <c r="AJ49" s="74"/>
      <c r="AK49" s="74"/>
      <c r="AL49" s="74"/>
      <c r="AM49" s="74"/>
      <c r="AN49" s="74"/>
      <c r="AO49" s="74"/>
      <c r="AP49" s="74"/>
      <c r="AQ49" s="74"/>
      <c r="AR49" s="74"/>
      <c r="AS49" s="75"/>
      <c r="AT49" s="72"/>
      <c r="AU49" s="72"/>
      <c r="BW49" s="221"/>
      <c r="BX49" s="221"/>
      <c r="BY49" s="221"/>
      <c r="BZ49" s="221"/>
      <c r="CA49" s="221"/>
      <c r="CB49" s="221"/>
      <c r="CC49" s="221"/>
      <c r="CD49" s="221"/>
      <c r="CE49" s="221"/>
    </row>
    <row r="50" spans="1:83">
      <c r="A50" s="357" t="str">
        <f>'KDKI-3'!A43</f>
        <v>3.5</v>
      </c>
      <c r="B50" s="357" t="str">
        <f>'KDKI-3'!B43</f>
        <v>menganalisis hubungan antar komponen ekosistem dan jaring-jaring makanan di lingkungan sekitar</v>
      </c>
      <c r="C50" s="285"/>
      <c r="D50" s="285"/>
      <c r="E50" s="285"/>
      <c r="F50" s="285"/>
      <c r="G50" s="285"/>
      <c r="H50" s="285"/>
      <c r="I50" s="285"/>
      <c r="J50" s="285"/>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74"/>
      <c r="AI50" s="74"/>
      <c r="AJ50" s="74"/>
      <c r="AK50" s="74"/>
      <c r="AL50" s="74"/>
      <c r="AM50" s="74"/>
      <c r="AN50" s="74"/>
      <c r="AO50" s="74"/>
      <c r="AP50" s="74"/>
      <c r="AQ50" s="74"/>
      <c r="AR50" s="74"/>
      <c r="AS50" s="75"/>
      <c r="AT50" s="72"/>
      <c r="AU50" s="72"/>
      <c r="BW50" s="221"/>
      <c r="BX50" s="221"/>
      <c r="BY50" s="221"/>
      <c r="BZ50" s="221"/>
      <c r="CA50" s="221"/>
      <c r="CB50" s="221"/>
      <c r="CC50" s="221"/>
      <c r="CD50" s="221"/>
      <c r="CE50" s="221"/>
    </row>
    <row r="51" spans="1:83">
      <c r="A51" s="357" t="str">
        <f>'KDKI-3'!A44</f>
        <v>3.6</v>
      </c>
      <c r="B51" s="357" t="str">
        <f>'KDKI-3'!B44</f>
        <v>menerapkan konsep perpindahan kalor dalam kehidupan sehari-hari</v>
      </c>
      <c r="C51" s="286"/>
      <c r="D51" s="286"/>
      <c r="E51" s="286"/>
      <c r="F51" s="286"/>
      <c r="G51" s="286"/>
      <c r="H51" s="286"/>
      <c r="I51" s="286"/>
      <c r="J51" s="286"/>
      <c r="K51" s="286"/>
      <c r="L51" s="286"/>
      <c r="M51" s="286"/>
      <c r="N51" s="286"/>
      <c r="O51" s="286"/>
      <c r="P51" s="286"/>
      <c r="Q51" s="286"/>
      <c r="R51" s="286"/>
      <c r="S51" s="286"/>
      <c r="T51" s="286"/>
      <c r="U51" s="286"/>
      <c r="V51" s="286"/>
      <c r="W51" s="286"/>
      <c r="X51" s="286"/>
      <c r="Y51" s="286"/>
      <c r="Z51" s="286"/>
      <c r="AA51" s="286"/>
      <c r="AB51" s="286"/>
      <c r="AC51" s="286"/>
      <c r="AD51" s="286"/>
      <c r="AE51" s="286"/>
      <c r="AF51" s="286"/>
      <c r="AG51" s="286"/>
      <c r="AH51" s="72"/>
      <c r="AI51" s="72"/>
      <c r="AJ51" s="72"/>
      <c r="AK51" s="72"/>
      <c r="AL51" s="72"/>
      <c r="AM51" s="72"/>
      <c r="AN51" s="72"/>
      <c r="AO51" s="72"/>
      <c r="AP51" s="72"/>
      <c r="AQ51" s="72"/>
      <c r="AR51" s="72"/>
      <c r="AS51" s="76"/>
      <c r="AT51" s="72"/>
      <c r="AU51" s="72"/>
      <c r="BW51" s="221"/>
      <c r="BX51" s="221"/>
      <c r="BY51" s="221"/>
      <c r="BZ51" s="221"/>
      <c r="CA51" s="221"/>
      <c r="CB51" s="221"/>
      <c r="CC51" s="221"/>
      <c r="CD51" s="221"/>
      <c r="CE51" s="221"/>
    </row>
    <row r="52" spans="1:83">
      <c r="A52" s="357" t="str">
        <f>'KDKI-3'!A45</f>
        <v>3.7</v>
      </c>
      <c r="B52" s="357" t="str">
        <f>'KDKI-3'!B45</f>
        <v xml:space="preserve"> menganalisis pengaruh kalor terhadap perubahan suhu dan wujud benda dalam kehidupan sehari-hari</v>
      </c>
      <c r="C52" s="285"/>
      <c r="D52" s="285"/>
      <c r="E52" s="285"/>
      <c r="F52" s="285"/>
      <c r="G52" s="285"/>
      <c r="H52" s="285"/>
      <c r="I52" s="285"/>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74"/>
      <c r="AI52" s="74"/>
      <c r="AJ52" s="74"/>
      <c r="AK52" s="74"/>
      <c r="AL52" s="74"/>
      <c r="AM52" s="74"/>
      <c r="AN52" s="74"/>
      <c r="AO52" s="74"/>
      <c r="AP52" s="74"/>
      <c r="AQ52" s="74"/>
      <c r="AR52" s="74"/>
      <c r="AS52" s="75"/>
      <c r="AT52" s="72"/>
      <c r="AU52" s="72"/>
    </row>
    <row r="53" spans="1:83">
      <c r="A53" s="357" t="str">
        <f>'KDKI-3'!A46</f>
        <v>3.8</v>
      </c>
      <c r="B53" s="357" t="str">
        <f>'KDKI-3'!B46</f>
        <v>menganalisis siklus air dan dampaknya pada peristiwa di bumi serta kelangsungan mahluk hidup</v>
      </c>
      <c r="C53" s="286"/>
      <c r="D53" s="286"/>
      <c r="E53" s="286"/>
      <c r="F53" s="286"/>
      <c r="G53" s="286"/>
      <c r="H53" s="286"/>
      <c r="I53" s="286"/>
      <c r="J53" s="286"/>
      <c r="K53" s="286"/>
      <c r="L53" s="286"/>
      <c r="M53" s="286"/>
      <c r="N53" s="286"/>
      <c r="O53" s="286"/>
      <c r="P53" s="286"/>
      <c r="Q53" s="286"/>
      <c r="R53" s="286"/>
      <c r="S53" s="286"/>
      <c r="T53" s="286"/>
      <c r="U53" s="286"/>
      <c r="V53" s="286"/>
      <c r="W53" s="286"/>
      <c r="X53" s="286"/>
      <c r="Y53" s="286"/>
      <c r="Z53" s="286"/>
      <c r="AA53" s="286"/>
      <c r="AB53" s="286"/>
      <c r="AC53" s="286"/>
      <c r="AD53" s="286"/>
      <c r="AE53" s="286"/>
      <c r="AF53" s="286"/>
      <c r="AG53" s="286"/>
      <c r="AH53" s="72"/>
      <c r="AI53" s="72"/>
      <c r="AJ53" s="72"/>
      <c r="AK53" s="72"/>
      <c r="AL53" s="72"/>
      <c r="AM53" s="72"/>
      <c r="AN53" s="72"/>
      <c r="AO53" s="72"/>
      <c r="AP53" s="72"/>
      <c r="AQ53" s="72"/>
      <c r="AR53" s="72"/>
      <c r="AS53" s="76"/>
      <c r="AT53" s="72"/>
      <c r="AU53" s="72"/>
    </row>
    <row r="54" spans="1:83">
      <c r="A54" s="357" t="str">
        <f>'KDKI-3'!A47</f>
        <v>3.9</v>
      </c>
      <c r="B54" s="358" t="str">
        <f>'KDKI-3'!B47</f>
        <v>mengelompokkan materi dalam kehidupan sehari-hari berdasarkan komponen penyusunnya (zat tunggal dan campuran)</v>
      </c>
      <c r="C54" s="285"/>
      <c r="D54" s="285"/>
      <c r="E54" s="285"/>
      <c r="F54" s="285"/>
      <c r="G54" s="285"/>
      <c r="H54" s="285"/>
      <c r="I54" s="285"/>
      <c r="J54" s="285"/>
      <c r="K54" s="285"/>
      <c r="L54" s="285"/>
      <c r="M54" s="285"/>
      <c r="N54" s="285"/>
      <c r="O54" s="285"/>
      <c r="P54" s="285"/>
      <c r="Q54" s="285"/>
      <c r="R54" s="285"/>
      <c r="S54" s="285"/>
      <c r="T54" s="285"/>
      <c r="U54" s="285"/>
      <c r="V54" s="285"/>
      <c r="W54" s="285"/>
      <c r="X54" s="285"/>
      <c r="Y54" s="285"/>
      <c r="Z54" s="285"/>
      <c r="AA54" s="285"/>
      <c r="AB54" s="285"/>
      <c r="AC54" s="285"/>
      <c r="AD54" s="285"/>
      <c r="AE54" s="285"/>
      <c r="AF54" s="285"/>
      <c r="AG54" s="285"/>
      <c r="AH54" s="74"/>
      <c r="AI54" s="74"/>
      <c r="AJ54" s="74"/>
      <c r="AK54" s="74"/>
      <c r="AL54" s="74"/>
      <c r="AM54" s="74"/>
      <c r="AN54" s="74"/>
      <c r="AO54" s="74"/>
      <c r="AP54" s="74"/>
      <c r="AQ54" s="74"/>
      <c r="AR54" s="74"/>
      <c r="AS54" s="75"/>
      <c r="AT54" s="72"/>
      <c r="AU54" s="72"/>
    </row>
    <row r="55" spans="1:83">
      <c r="A55" s="360"/>
      <c r="B55" s="361"/>
      <c r="C55" s="287"/>
      <c r="D55" s="287"/>
      <c r="E55" s="287"/>
      <c r="F55" s="287"/>
      <c r="G55" s="287"/>
      <c r="H55" s="287"/>
      <c r="I55" s="287"/>
      <c r="J55" s="287"/>
      <c r="K55" s="287"/>
      <c r="L55" s="287"/>
      <c r="M55" s="287"/>
      <c r="N55" s="287"/>
      <c r="O55" s="287"/>
      <c r="P55" s="287"/>
      <c r="Q55" s="287"/>
      <c r="R55" s="287"/>
      <c r="S55" s="287"/>
      <c r="T55" s="287"/>
      <c r="U55" s="287"/>
      <c r="V55" s="287"/>
      <c r="W55" s="287"/>
      <c r="X55" s="287"/>
      <c r="Y55" s="287"/>
      <c r="Z55" s="287"/>
      <c r="AA55" s="287"/>
      <c r="AB55" s="287"/>
      <c r="AC55" s="287"/>
      <c r="AD55" s="287"/>
      <c r="AE55" s="287"/>
      <c r="AF55" s="287"/>
      <c r="AG55" s="287"/>
      <c r="AH55" s="84"/>
      <c r="AI55" s="84"/>
      <c r="AJ55" s="84"/>
      <c r="AK55" s="84"/>
      <c r="AL55" s="84"/>
      <c r="AM55" s="84"/>
      <c r="AN55" s="84"/>
      <c r="AO55" s="84"/>
      <c r="AP55" s="84"/>
      <c r="AQ55" s="84"/>
      <c r="AR55" s="84"/>
      <c r="AS55" s="85"/>
      <c r="AT55" s="72"/>
      <c r="AU55" s="72"/>
    </row>
    <row r="56" spans="1:83"/>
    <row r="57" spans="1:83"/>
    <row r="58" spans="1:83"/>
    <row r="59" spans="1:83"/>
    <row r="60" spans="1:83"/>
    <row r="61" spans="1:83"/>
  </sheetData>
  <sheetProtection password="CA9C" sheet="1" objects="1" scenarios="1" formatCells="0" formatRows="0"/>
  <mergeCells count="59">
    <mergeCell ref="FE6:FE7"/>
    <mergeCell ref="EZ6:EZ7"/>
    <mergeCell ref="FA6:FA7"/>
    <mergeCell ref="FB6:FB7"/>
    <mergeCell ref="FC6:FC7"/>
    <mergeCell ref="FD6:FD7"/>
    <mergeCell ref="EG5:EO5"/>
    <mergeCell ref="EV6:EV7"/>
    <mergeCell ref="EW6:EW7"/>
    <mergeCell ref="EX6:EX7"/>
    <mergeCell ref="EY6:EY7"/>
    <mergeCell ref="DG5:DO5"/>
    <mergeCell ref="CX5:DF5"/>
    <mergeCell ref="GD6:GD7"/>
    <mergeCell ref="AM6:AU6"/>
    <mergeCell ref="AV6:BD6"/>
    <mergeCell ref="BE6:BM6"/>
    <mergeCell ref="BN6:BV6"/>
    <mergeCell ref="CO5:CW5"/>
    <mergeCell ref="BW6:CE6"/>
    <mergeCell ref="CF6:CN6"/>
    <mergeCell ref="BW5:CN5"/>
    <mergeCell ref="FP6:FP7"/>
    <mergeCell ref="FR6:FR7"/>
    <mergeCell ref="FT6:FT7"/>
    <mergeCell ref="FX4:FX7"/>
    <mergeCell ref="DU5:ED5"/>
    <mergeCell ref="GE6:GE7"/>
    <mergeCell ref="B45:AF45"/>
    <mergeCell ref="FU6:FU7"/>
    <mergeCell ref="FV6:FV7"/>
    <mergeCell ref="FG6:FG7"/>
    <mergeCell ref="FI6:FI7"/>
    <mergeCell ref="FK6:FK7"/>
    <mergeCell ref="DQ5:DQ7"/>
    <mergeCell ref="DR5:DR7"/>
    <mergeCell ref="EE5:EE7"/>
    <mergeCell ref="FL6:FL7"/>
    <mergeCell ref="FM6:FM7"/>
    <mergeCell ref="FN6:FN7"/>
    <mergeCell ref="FO6:FO7"/>
    <mergeCell ref="FQ6:FQ7"/>
    <mergeCell ref="FS6:FS7"/>
    <mergeCell ref="B1:AF1"/>
    <mergeCell ref="C2:L2"/>
    <mergeCell ref="AG3:AN3"/>
    <mergeCell ref="ET3:FD3"/>
    <mergeCell ref="A5:A7"/>
    <mergeCell ref="B5:B7"/>
    <mergeCell ref="C5:T5"/>
    <mergeCell ref="U5:AL5"/>
    <mergeCell ref="AM5:BD5"/>
    <mergeCell ref="BE5:BV5"/>
    <mergeCell ref="C6:K6"/>
    <mergeCell ref="L6:T6"/>
    <mergeCell ref="U6:AC6"/>
    <mergeCell ref="AD6:AL6"/>
    <mergeCell ref="C4:T4"/>
    <mergeCell ref="C3:W3"/>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JV62"/>
  <sheetViews>
    <sheetView showRowColHeaders="0" showZeros="0" workbookViewId="0">
      <pane xSplit="2" ySplit="7" topLeftCell="DL9" activePane="bottomRight" state="frozen"/>
      <selection pane="topRight" activeCell="C1" sqref="C1"/>
      <selection pane="bottomLeft" activeCell="A8" sqref="A8"/>
      <selection pane="bottomRight" activeCell="DL13" sqref="DL13"/>
    </sheetView>
  </sheetViews>
  <sheetFormatPr defaultColWidth="0" defaultRowHeight="15" zeroHeight="1"/>
  <cols>
    <col min="1" max="1" width="4.7109375" customWidth="1"/>
    <col min="2" max="2" width="31" customWidth="1"/>
    <col min="3" max="146" width="3.7109375" customWidth="1"/>
    <col min="147" max="147" width="7.140625" customWidth="1"/>
    <col min="148" max="148" width="4.140625" customWidth="1"/>
    <col min="149" max="149" width="90.28515625" customWidth="1"/>
    <col min="150" max="150" width="3.7109375" customWidth="1"/>
    <col min="151" max="282" width="3.7109375" hidden="1" customWidth="1"/>
    <col min="283" max="16384" width="9.140625" hidden="1"/>
  </cols>
  <sheetData>
    <row r="1" spans="1:282">
      <c r="A1" s="352"/>
      <c r="B1" s="894" t="s">
        <v>176</v>
      </c>
      <c r="C1" s="894"/>
      <c r="D1" s="894"/>
      <c r="E1" s="894"/>
      <c r="F1" s="894"/>
      <c r="G1" s="894"/>
      <c r="H1" s="894"/>
      <c r="I1" s="894"/>
      <c r="J1" s="894"/>
      <c r="K1" s="894"/>
      <c r="L1" s="894"/>
      <c r="M1" s="894"/>
      <c r="N1" s="894"/>
      <c r="O1" s="894"/>
      <c r="P1" s="894"/>
      <c r="Q1" s="894"/>
      <c r="R1" s="894"/>
      <c r="S1" s="894"/>
      <c r="T1" s="894"/>
      <c r="U1" s="894"/>
      <c r="V1" s="894"/>
      <c r="W1" s="894"/>
      <c r="X1" s="894"/>
      <c r="Y1" s="894"/>
      <c r="Z1" s="894"/>
      <c r="AA1" s="894"/>
      <c r="AB1" s="894"/>
      <c r="AC1" s="894"/>
      <c r="AD1" s="894"/>
      <c r="AE1" s="894"/>
      <c r="AF1" s="894"/>
      <c r="AG1" s="894"/>
      <c r="AH1" s="894"/>
      <c r="AI1" s="894"/>
      <c r="AJ1" s="894"/>
      <c r="AK1" s="894"/>
      <c r="AL1" s="894"/>
      <c r="AM1" s="894"/>
      <c r="AN1" s="894"/>
      <c r="AO1" s="894"/>
      <c r="AP1" s="894"/>
      <c r="AQ1" s="894"/>
      <c r="AR1" s="894"/>
      <c r="AS1" s="894"/>
      <c r="AT1" s="894"/>
      <c r="AU1" s="894"/>
      <c r="AV1" s="894"/>
      <c r="AW1" s="894"/>
      <c r="AX1" s="894"/>
      <c r="EU1" t="s">
        <v>255</v>
      </c>
      <c r="EV1">
        <f>KKM!D29</f>
        <v>92</v>
      </c>
      <c r="EY1">
        <v>100</v>
      </c>
    </row>
    <row r="2" spans="1:282">
      <c r="A2" s="352"/>
      <c r="B2" s="7" t="s">
        <v>3</v>
      </c>
      <c r="C2" s="943" t="s">
        <v>203</v>
      </c>
      <c r="D2" s="943"/>
      <c r="E2" s="943"/>
      <c r="F2" s="943"/>
      <c r="G2" s="943"/>
      <c r="H2" s="943"/>
      <c r="I2" s="943"/>
      <c r="J2" s="943"/>
      <c r="K2" s="943"/>
      <c r="L2" s="943"/>
      <c r="M2" s="943"/>
      <c r="N2" s="943"/>
      <c r="O2" s="943"/>
      <c r="P2" s="943"/>
      <c r="Q2" s="943"/>
      <c r="R2" s="943"/>
      <c r="S2" s="943"/>
      <c r="T2" s="943"/>
      <c r="U2" s="943"/>
      <c r="V2" s="8"/>
      <c r="W2" s="9"/>
      <c r="X2" s="9"/>
      <c r="Y2" s="9"/>
      <c r="Z2" s="9"/>
      <c r="AA2" s="9"/>
      <c r="AB2" s="9"/>
      <c r="AC2" s="9"/>
      <c r="AD2" s="9"/>
      <c r="AE2" s="9"/>
      <c r="AF2" s="9"/>
      <c r="AG2" s="9"/>
      <c r="AH2" s="9"/>
      <c r="AI2" s="9"/>
      <c r="AJ2" s="9"/>
      <c r="AK2" s="9"/>
      <c r="AL2" s="9"/>
      <c r="AM2" s="9"/>
      <c r="AN2" s="9"/>
      <c r="AO2" s="10"/>
      <c r="AP2" s="10"/>
      <c r="AV2" s="9"/>
      <c r="AW2" s="11"/>
      <c r="AX2" s="12"/>
      <c r="EU2" t="s">
        <v>207</v>
      </c>
      <c r="EV2">
        <f>KKM!D30</f>
        <v>83</v>
      </c>
      <c r="EY2">
        <f>(EY1-EV2)/2</f>
        <v>8.5</v>
      </c>
    </row>
    <row r="3" spans="1:282">
      <c r="A3" s="352"/>
      <c r="B3" s="7" t="s">
        <v>177</v>
      </c>
      <c r="C3" s="1241" t="str">
        <f>MENU!N20&amp;" sem : "&amp;MENU!N21</f>
        <v>V ( Lima ) sem : 1 ( satu )</v>
      </c>
      <c r="D3" s="1241"/>
      <c r="E3" s="1241"/>
      <c r="F3" s="1241"/>
      <c r="G3" s="1241"/>
      <c r="H3" s="1241"/>
      <c r="I3" s="1241"/>
      <c r="J3" s="1241"/>
      <c r="K3" s="1241"/>
      <c r="L3" s="1241"/>
      <c r="M3" s="1241"/>
      <c r="N3" s="1241"/>
      <c r="O3" s="1241"/>
      <c r="P3" s="1241"/>
      <c r="Q3" s="1241"/>
      <c r="R3" s="1241"/>
      <c r="S3" s="1241"/>
      <c r="T3" s="1241"/>
      <c r="U3" s="1241"/>
      <c r="V3" s="1241"/>
      <c r="W3" s="1241"/>
      <c r="X3" s="1241"/>
      <c r="Y3" s="1241"/>
      <c r="Z3" s="1241"/>
      <c r="AA3" s="1241"/>
      <c r="AB3" s="787"/>
      <c r="AC3" s="787"/>
      <c r="AM3" s="9"/>
      <c r="AN3" s="8"/>
      <c r="AO3" s="21"/>
      <c r="AP3" s="8"/>
      <c r="AQ3" s="238"/>
      <c r="AR3" s="238"/>
      <c r="AS3" s="238"/>
      <c r="AT3" s="238"/>
      <c r="AU3" s="238"/>
      <c r="AV3" s="352"/>
      <c r="AW3" s="352"/>
      <c r="AX3" s="352"/>
      <c r="AY3" s="352"/>
      <c r="AZ3" s="352"/>
      <c r="BA3" s="352"/>
      <c r="BB3" s="352"/>
      <c r="BC3" s="786"/>
      <c r="BD3" s="786"/>
      <c r="BE3" s="352"/>
      <c r="BF3" s="352"/>
      <c r="BG3" s="352"/>
      <c r="BW3" s="8"/>
      <c r="BX3" s="23"/>
      <c r="EU3" t="s">
        <v>394</v>
      </c>
      <c r="EV3">
        <f>KKM!D31</f>
        <v>75</v>
      </c>
    </row>
    <row r="4" spans="1:282">
      <c r="B4" s="419" t="s">
        <v>304</v>
      </c>
      <c r="C4" s="1232">
        <f>KKM!D21</f>
        <v>75</v>
      </c>
      <c r="D4" s="942"/>
      <c r="E4" s="942"/>
      <c r="F4" s="942"/>
      <c r="G4" s="942"/>
      <c r="H4" s="942"/>
      <c r="I4" s="942"/>
      <c r="J4" s="942"/>
      <c r="K4" s="942"/>
      <c r="L4" s="942"/>
      <c r="M4" s="942"/>
      <c r="N4" s="942"/>
      <c r="O4" s="942"/>
      <c r="P4" s="942"/>
      <c r="Q4" s="942"/>
      <c r="R4" s="942"/>
      <c r="S4" s="942"/>
      <c r="T4" s="942"/>
      <c r="U4" s="942"/>
      <c r="V4" s="942"/>
      <c r="W4" s="942"/>
      <c r="X4" s="942"/>
      <c r="Y4" s="942"/>
      <c r="Z4" s="942"/>
      <c r="AA4" s="942"/>
      <c r="AB4" s="792"/>
      <c r="AC4" s="792"/>
      <c r="AD4" s="27"/>
      <c r="AE4" s="27"/>
      <c r="AF4" s="27"/>
      <c r="AG4" s="27"/>
      <c r="AH4" s="27"/>
      <c r="AI4" s="27"/>
      <c r="AJ4" s="27"/>
      <c r="AK4" s="27"/>
      <c r="AL4" s="27"/>
      <c r="AM4" s="27"/>
      <c r="AN4" s="27"/>
      <c r="AO4" s="27"/>
      <c r="ES4" s="46"/>
      <c r="EU4" t="s">
        <v>395</v>
      </c>
      <c r="EV4">
        <f>KKM!D32</f>
        <v>75</v>
      </c>
    </row>
    <row r="5" spans="1:282" ht="15" customHeight="1">
      <c r="A5" s="900" t="s">
        <v>9</v>
      </c>
      <c r="B5" s="900" t="s">
        <v>10</v>
      </c>
      <c r="C5" s="962" t="s">
        <v>269</v>
      </c>
      <c r="D5" s="963"/>
      <c r="E5" s="963"/>
      <c r="F5" s="963"/>
      <c r="G5" s="963"/>
      <c r="H5" s="963"/>
      <c r="I5" s="963"/>
      <c r="J5" s="963"/>
      <c r="K5" s="963"/>
      <c r="L5" s="963"/>
      <c r="M5" s="963"/>
      <c r="N5" s="963"/>
      <c r="O5" s="963"/>
      <c r="P5" s="963"/>
      <c r="Q5" s="963"/>
      <c r="R5" s="963"/>
      <c r="S5" s="963"/>
      <c r="T5" s="963"/>
      <c r="U5" s="963"/>
      <c r="V5" s="963"/>
      <c r="W5" s="963"/>
      <c r="X5" s="963"/>
      <c r="Y5" s="963"/>
      <c r="Z5" s="963"/>
      <c r="AA5" s="963"/>
      <c r="AB5" s="782"/>
      <c r="AC5" s="782"/>
      <c r="AD5" s="964" t="s">
        <v>270</v>
      </c>
      <c r="AE5" s="965"/>
      <c r="AF5" s="965"/>
      <c r="AG5" s="965"/>
      <c r="AH5" s="965"/>
      <c r="AI5" s="965"/>
      <c r="AJ5" s="965"/>
      <c r="AK5" s="965"/>
      <c r="AL5" s="965"/>
      <c r="AM5" s="965"/>
      <c r="AN5" s="965"/>
      <c r="AO5" s="965"/>
      <c r="AP5" s="965"/>
      <c r="AQ5" s="965"/>
      <c r="AR5" s="965"/>
      <c r="AS5" s="965"/>
      <c r="AT5" s="965"/>
      <c r="AU5" s="965"/>
      <c r="AV5" s="965"/>
      <c r="AW5" s="965"/>
      <c r="AX5" s="965"/>
      <c r="AY5" s="965"/>
      <c r="AZ5" s="965"/>
      <c r="BA5" s="965"/>
      <c r="BB5" s="965"/>
      <c r="BC5" s="783"/>
      <c r="BD5" s="783"/>
      <c r="BE5" s="952" t="s">
        <v>271</v>
      </c>
      <c r="BF5" s="953"/>
      <c r="BG5" s="953"/>
      <c r="BH5" s="953"/>
      <c r="BI5" s="953"/>
      <c r="BJ5" s="953"/>
      <c r="BK5" s="953"/>
      <c r="BL5" s="953"/>
      <c r="BM5" s="953"/>
      <c r="BN5" s="953"/>
      <c r="BO5" s="953"/>
      <c r="BP5" s="953"/>
      <c r="BQ5" s="953"/>
      <c r="BR5" s="953"/>
      <c r="BS5" s="953"/>
      <c r="BT5" s="953"/>
      <c r="BU5" s="953"/>
      <c r="BV5" s="953"/>
      <c r="BW5" s="953"/>
      <c r="BX5" s="953"/>
      <c r="BY5" s="953"/>
      <c r="BZ5" s="953"/>
      <c r="CA5" s="953"/>
      <c r="CB5" s="953"/>
      <c r="CC5" s="953"/>
      <c r="CD5" s="784"/>
      <c r="CE5" s="784"/>
      <c r="CF5" s="954" t="s">
        <v>272</v>
      </c>
      <c r="CG5" s="955"/>
      <c r="CH5" s="955"/>
      <c r="CI5" s="955"/>
      <c r="CJ5" s="955"/>
      <c r="CK5" s="955"/>
      <c r="CL5" s="955"/>
      <c r="CM5" s="955"/>
      <c r="CN5" s="955"/>
      <c r="CO5" s="955"/>
      <c r="CP5" s="955"/>
      <c r="CQ5" s="955"/>
      <c r="CR5" s="955"/>
      <c r="CS5" s="955"/>
      <c r="CT5" s="955"/>
      <c r="CU5" s="955"/>
      <c r="CV5" s="955"/>
      <c r="CW5" s="955"/>
      <c r="CX5" s="955"/>
      <c r="CY5" s="955"/>
      <c r="CZ5" s="955"/>
      <c r="DA5" s="955"/>
      <c r="DB5" s="955"/>
      <c r="DC5" s="955"/>
      <c r="DD5" s="955"/>
      <c r="DE5" s="785"/>
      <c r="DF5" s="785"/>
      <c r="DG5" s="1187" t="s">
        <v>61</v>
      </c>
      <c r="DH5" s="1187"/>
      <c r="DI5" s="1187"/>
      <c r="DJ5" s="1187"/>
      <c r="DK5" s="1187"/>
      <c r="DL5" s="1187"/>
      <c r="DM5" s="1187"/>
      <c r="DN5" s="1187"/>
      <c r="DO5" s="1187"/>
      <c r="DP5" s="1187"/>
      <c r="DQ5" s="1187"/>
      <c r="DR5" s="1187"/>
      <c r="DS5" s="1187"/>
      <c r="DT5" s="1187"/>
      <c r="DU5" s="1187"/>
      <c r="DV5" s="1187"/>
      <c r="DW5" s="1187"/>
      <c r="DX5" s="1187"/>
      <c r="DY5" s="1187"/>
      <c r="DZ5" s="1187"/>
      <c r="EA5" s="1187"/>
      <c r="EB5" s="1187"/>
      <c r="EC5" s="1187"/>
      <c r="ED5" s="1187"/>
      <c r="EE5" s="1187"/>
      <c r="EF5" s="1187"/>
      <c r="EG5" s="1188"/>
      <c r="EH5" s="1227" t="s">
        <v>13</v>
      </c>
      <c r="EI5" s="1228"/>
      <c r="EJ5" s="1228"/>
      <c r="EK5" s="1228"/>
      <c r="EL5" s="1228"/>
      <c r="EM5" s="1228"/>
      <c r="EN5" s="1228"/>
      <c r="EO5" s="1228"/>
      <c r="EP5" s="1206"/>
      <c r="EQ5" s="968" t="s">
        <v>179</v>
      </c>
      <c r="ER5" s="966" t="s">
        <v>15</v>
      </c>
      <c r="ES5" s="944" t="s">
        <v>180</v>
      </c>
      <c r="FG5" t="s">
        <v>398</v>
      </c>
      <c r="IT5">
        <v>1</v>
      </c>
      <c r="IU5">
        <v>2</v>
      </c>
      <c r="IV5">
        <v>3</v>
      </c>
      <c r="IW5">
        <v>4</v>
      </c>
      <c r="IX5">
        <v>5</v>
      </c>
      <c r="IY5">
        <v>6</v>
      </c>
      <c r="IZ5">
        <v>7</v>
      </c>
      <c r="JA5">
        <v>8</v>
      </c>
      <c r="JB5">
        <v>9</v>
      </c>
    </row>
    <row r="6" spans="1:282" ht="15" customHeight="1">
      <c r="A6" s="900"/>
      <c r="B6" s="900"/>
      <c r="C6" s="931" t="s">
        <v>181</v>
      </c>
      <c r="D6" s="932"/>
      <c r="E6" s="932"/>
      <c r="F6" s="932"/>
      <c r="G6" s="932"/>
      <c r="H6" s="932"/>
      <c r="I6" s="932"/>
      <c r="J6" s="932"/>
      <c r="K6" s="933"/>
      <c r="L6" s="946" t="s">
        <v>532</v>
      </c>
      <c r="M6" s="947"/>
      <c r="N6" s="947"/>
      <c r="O6" s="947"/>
      <c r="P6" s="947"/>
      <c r="Q6" s="947"/>
      <c r="R6" s="947"/>
      <c r="S6" s="947"/>
      <c r="T6" s="948"/>
      <c r="U6" s="949" t="s">
        <v>182</v>
      </c>
      <c r="V6" s="950"/>
      <c r="W6" s="950"/>
      <c r="X6" s="950"/>
      <c r="Y6" s="950"/>
      <c r="Z6" s="950"/>
      <c r="AA6" s="950"/>
      <c r="AB6" s="950"/>
      <c r="AC6" s="951"/>
      <c r="AD6" s="931" t="s">
        <v>181</v>
      </c>
      <c r="AE6" s="932"/>
      <c r="AF6" s="932"/>
      <c r="AG6" s="932"/>
      <c r="AH6" s="932"/>
      <c r="AI6" s="932"/>
      <c r="AJ6" s="932"/>
      <c r="AK6" s="932"/>
      <c r="AL6" s="933"/>
      <c r="AM6" s="946" t="s">
        <v>532</v>
      </c>
      <c r="AN6" s="947"/>
      <c r="AO6" s="947"/>
      <c r="AP6" s="947"/>
      <c r="AQ6" s="947"/>
      <c r="AR6" s="947"/>
      <c r="AS6" s="947"/>
      <c r="AT6" s="947"/>
      <c r="AU6" s="948"/>
      <c r="AV6" s="949" t="s">
        <v>182</v>
      </c>
      <c r="AW6" s="950"/>
      <c r="AX6" s="950"/>
      <c r="AY6" s="950"/>
      <c r="AZ6" s="950"/>
      <c r="BA6" s="950"/>
      <c r="BB6" s="950"/>
      <c r="BC6" s="950"/>
      <c r="BD6" s="951"/>
      <c r="BE6" s="931" t="s">
        <v>181</v>
      </c>
      <c r="BF6" s="932"/>
      <c r="BG6" s="932"/>
      <c r="BH6" s="932"/>
      <c r="BI6" s="932"/>
      <c r="BJ6" s="932"/>
      <c r="BK6" s="932"/>
      <c r="BL6" s="932"/>
      <c r="BM6" s="933"/>
      <c r="BN6" s="946" t="s">
        <v>532</v>
      </c>
      <c r="BO6" s="947"/>
      <c r="BP6" s="947"/>
      <c r="BQ6" s="947"/>
      <c r="BR6" s="947"/>
      <c r="BS6" s="947"/>
      <c r="BT6" s="947"/>
      <c r="BU6" s="947"/>
      <c r="BV6" s="948"/>
      <c r="BW6" s="949" t="s">
        <v>182</v>
      </c>
      <c r="BX6" s="950"/>
      <c r="BY6" s="950"/>
      <c r="BZ6" s="950"/>
      <c r="CA6" s="950"/>
      <c r="CB6" s="950"/>
      <c r="CC6" s="950"/>
      <c r="CD6" s="950"/>
      <c r="CE6" s="951"/>
      <c r="CF6" s="931" t="s">
        <v>181</v>
      </c>
      <c r="CG6" s="932"/>
      <c r="CH6" s="932"/>
      <c r="CI6" s="932"/>
      <c r="CJ6" s="932"/>
      <c r="CK6" s="932"/>
      <c r="CL6" s="932"/>
      <c r="CM6" s="932"/>
      <c r="CN6" s="933"/>
      <c r="CO6" s="946" t="s">
        <v>532</v>
      </c>
      <c r="CP6" s="947"/>
      <c r="CQ6" s="947"/>
      <c r="CR6" s="947"/>
      <c r="CS6" s="947"/>
      <c r="CT6" s="947"/>
      <c r="CU6" s="947"/>
      <c r="CV6" s="947"/>
      <c r="CW6" s="948"/>
      <c r="CX6" s="949" t="s">
        <v>182</v>
      </c>
      <c r="CY6" s="950"/>
      <c r="CZ6" s="950"/>
      <c r="DA6" s="950"/>
      <c r="DB6" s="950"/>
      <c r="DC6" s="950"/>
      <c r="DD6" s="950"/>
      <c r="DE6" s="950"/>
      <c r="DF6" s="951"/>
      <c r="DG6" s="931" t="s">
        <v>181</v>
      </c>
      <c r="DH6" s="932"/>
      <c r="DI6" s="932"/>
      <c r="DJ6" s="932"/>
      <c r="DK6" s="932"/>
      <c r="DL6" s="932"/>
      <c r="DM6" s="932"/>
      <c r="DN6" s="932"/>
      <c r="DO6" s="933"/>
      <c r="DP6" s="946" t="s">
        <v>532</v>
      </c>
      <c r="DQ6" s="947"/>
      <c r="DR6" s="947"/>
      <c r="DS6" s="947"/>
      <c r="DT6" s="947"/>
      <c r="DU6" s="947"/>
      <c r="DV6" s="947"/>
      <c r="DW6" s="947"/>
      <c r="DX6" s="948"/>
      <c r="DY6" s="949" t="s">
        <v>182</v>
      </c>
      <c r="DZ6" s="950"/>
      <c r="EA6" s="950"/>
      <c r="EB6" s="950"/>
      <c r="EC6" s="950"/>
      <c r="ED6" s="950"/>
      <c r="EE6" s="950"/>
      <c r="EF6" s="950"/>
      <c r="EG6" s="951"/>
      <c r="EH6" s="239" t="s">
        <v>19</v>
      </c>
      <c r="EI6" s="239" t="s">
        <v>19</v>
      </c>
      <c r="EJ6" s="239" t="s">
        <v>19</v>
      </c>
      <c r="EK6" s="239" t="s">
        <v>19</v>
      </c>
      <c r="EL6" s="239" t="s">
        <v>19</v>
      </c>
      <c r="EM6" s="239" t="s">
        <v>19</v>
      </c>
      <c r="EN6" s="239" t="s">
        <v>19</v>
      </c>
      <c r="EO6" s="239" t="s">
        <v>19</v>
      </c>
      <c r="EP6" s="239" t="s">
        <v>19</v>
      </c>
      <c r="EQ6" s="969"/>
      <c r="ER6" s="967"/>
      <c r="ES6" s="944"/>
      <c r="EV6" s="931" t="s">
        <v>279</v>
      </c>
      <c r="EW6" s="932"/>
      <c r="EX6" s="932"/>
      <c r="EY6" s="932"/>
      <c r="EZ6" s="932"/>
      <c r="FA6" s="932"/>
      <c r="FB6" s="932"/>
      <c r="FC6" s="932"/>
      <c r="FD6" s="932"/>
      <c r="FE6" s="933"/>
      <c r="FF6" s="937" t="s">
        <v>399</v>
      </c>
      <c r="FG6" s="934" t="s">
        <v>280</v>
      </c>
      <c r="FH6" s="935"/>
      <c r="FI6" s="935"/>
      <c r="FJ6" s="935"/>
      <c r="FK6" s="935"/>
      <c r="FL6" s="935"/>
      <c r="FM6" s="935"/>
      <c r="FN6" s="935"/>
      <c r="FO6" s="935"/>
      <c r="FP6" s="936"/>
      <c r="FQ6" s="937" t="s">
        <v>399</v>
      </c>
      <c r="FR6" s="939" t="s">
        <v>400</v>
      </c>
      <c r="FS6" s="940"/>
      <c r="FT6" s="940"/>
      <c r="FU6" s="940"/>
      <c r="FV6" s="940"/>
      <c r="FW6" s="940"/>
      <c r="FX6" s="940"/>
      <c r="FY6" s="940"/>
      <c r="FZ6" s="940"/>
      <c r="GA6" s="941"/>
      <c r="GB6" s="971" t="s">
        <v>399</v>
      </c>
      <c r="GC6" s="972">
        <v>1</v>
      </c>
      <c r="GD6" s="973"/>
      <c r="GE6" s="973"/>
      <c r="GF6" s="976"/>
      <c r="GG6" s="976"/>
      <c r="GH6" s="976"/>
      <c r="GI6" s="972">
        <v>2</v>
      </c>
      <c r="GJ6" s="973"/>
      <c r="GK6" s="973"/>
      <c r="GL6" s="976"/>
      <c r="GM6" s="976"/>
      <c r="GN6" s="976"/>
      <c r="GO6" s="972">
        <v>3</v>
      </c>
      <c r="GP6" s="973"/>
      <c r="GQ6" s="973"/>
      <c r="GR6" s="976"/>
      <c r="GS6" s="976"/>
      <c r="GT6" s="976"/>
      <c r="GU6" s="972">
        <v>4</v>
      </c>
      <c r="GV6" s="973"/>
      <c r="GW6" s="973"/>
      <c r="GX6" s="976"/>
      <c r="GY6" s="976"/>
      <c r="GZ6" s="976"/>
      <c r="HA6" s="972">
        <v>5</v>
      </c>
      <c r="HB6" s="973"/>
      <c r="HC6" s="973"/>
      <c r="HD6" s="976"/>
      <c r="HE6" s="976"/>
      <c r="HF6" s="976"/>
      <c r="HG6" s="972">
        <v>6</v>
      </c>
      <c r="HH6" s="973"/>
      <c r="HI6" s="973"/>
      <c r="HJ6" s="976"/>
      <c r="HK6" s="976"/>
      <c r="HL6" s="976"/>
      <c r="HM6" s="972">
        <v>7</v>
      </c>
      <c r="HN6" s="973"/>
      <c r="HO6" s="973"/>
      <c r="HP6" s="976"/>
      <c r="HQ6" s="976"/>
      <c r="HR6" s="976"/>
      <c r="HS6" s="972">
        <v>8</v>
      </c>
      <c r="HT6" s="973"/>
      <c r="HU6" s="973"/>
      <c r="HV6" s="976"/>
      <c r="HW6" s="976"/>
      <c r="HX6" s="976"/>
      <c r="HY6" s="972">
        <v>9</v>
      </c>
      <c r="HZ6" s="973"/>
      <c r="IA6" s="973"/>
      <c r="IB6" s="976"/>
      <c r="IC6" s="976"/>
      <c r="ID6" s="976"/>
      <c r="IP6" s="68" t="s">
        <v>184</v>
      </c>
      <c r="IQ6" s="68" t="s">
        <v>185</v>
      </c>
      <c r="IR6" s="978"/>
      <c r="IS6" s="734"/>
      <c r="IT6" s="979" t="str">
        <f>B45</f>
        <v>membuat model sederhana alat gerak manusia atau hewan</v>
      </c>
      <c r="IU6" s="979" t="str">
        <f>B46</f>
        <v>membuat model sederhana organ pernapasan manusia</v>
      </c>
      <c r="IV6" s="979" t="str">
        <f>B47</f>
        <v>menyajikan karya tentang konsep organ dan fungsi pencernaan pada hewan atau manusia.</v>
      </c>
      <c r="IW6" s="979" t="str">
        <f>B48</f>
        <v>menyajikan karya tentang organ peredaran darah pada manusia</v>
      </c>
      <c r="IX6" s="979" t="str">
        <f>B49</f>
        <v>membuat karya tentang konsep jaring-jaring makanan dalam suatu ekosistem</v>
      </c>
      <c r="IY6" s="979" t="str">
        <f>B50</f>
        <v>melaporkan hasil pengamatan tentang perpindahan kalor</v>
      </c>
      <c r="IZ6" s="979" t="str">
        <f>B51</f>
        <v>melaporkan hasil percobaan pengaruh kalor pada benda</v>
      </c>
      <c r="JA6" s="979" t="str">
        <f>B52</f>
        <v>membuat karya tentang skema siklus air berdasarkan informasi dari berbagai sumber</v>
      </c>
      <c r="JB6" s="979" t="str">
        <f>B53</f>
        <v>melaporkan hasil pengamatan sifat-sifat campuran dan komponen penyusunnya dalam kehidupan sehari-hari</v>
      </c>
      <c r="JC6" s="979">
        <f>B54</f>
        <v>0</v>
      </c>
      <c r="JD6" s="979"/>
      <c r="JE6" s="981"/>
      <c r="JF6" s="981" t="s">
        <v>186</v>
      </c>
      <c r="JG6" s="981" t="s">
        <v>187</v>
      </c>
      <c r="JI6" s="983" t="str">
        <f>IT6</f>
        <v>membuat model sederhana alat gerak manusia atau hewan</v>
      </c>
      <c r="JJ6" s="983" t="str">
        <f t="shared" ref="JJ6:JR6" si="0">IU6</f>
        <v>membuat model sederhana organ pernapasan manusia</v>
      </c>
      <c r="JK6" s="983" t="str">
        <f t="shared" si="0"/>
        <v>menyajikan karya tentang konsep organ dan fungsi pencernaan pada hewan atau manusia.</v>
      </c>
      <c r="JL6" s="983" t="str">
        <f t="shared" si="0"/>
        <v>menyajikan karya tentang organ peredaran darah pada manusia</v>
      </c>
      <c r="JM6" s="983" t="str">
        <f t="shared" si="0"/>
        <v>membuat karya tentang konsep jaring-jaring makanan dalam suatu ekosistem</v>
      </c>
      <c r="JN6" s="983" t="str">
        <f t="shared" si="0"/>
        <v>melaporkan hasil pengamatan tentang perpindahan kalor</v>
      </c>
      <c r="JO6" s="983" t="str">
        <f t="shared" si="0"/>
        <v>melaporkan hasil percobaan pengaruh kalor pada benda</v>
      </c>
      <c r="JP6" s="983" t="str">
        <f t="shared" si="0"/>
        <v>membuat karya tentang skema siklus air berdasarkan informasi dari berbagai sumber</v>
      </c>
      <c r="JQ6" s="983" t="str">
        <f>JB6</f>
        <v>melaporkan hasil pengamatan sifat-sifat campuran dan komponen penyusunnya dalam kehidupan sehari-hari</v>
      </c>
      <c r="JR6" s="983">
        <f t="shared" si="0"/>
        <v>0</v>
      </c>
      <c r="JT6" s="978" t="s">
        <v>401</v>
      </c>
      <c r="JV6" s="985" t="s">
        <v>402</v>
      </c>
    </row>
    <row r="7" spans="1:282" ht="21" customHeight="1">
      <c r="A7" s="900"/>
      <c r="B7" s="961"/>
      <c r="C7" s="240" t="str">
        <f>A45</f>
        <v>4.1</v>
      </c>
      <c r="D7" s="240" t="str">
        <f>A46</f>
        <v>4.2</v>
      </c>
      <c r="E7" s="240" t="str">
        <f>A47</f>
        <v>4.3</v>
      </c>
      <c r="F7" s="240" t="str">
        <f>A48</f>
        <v>4.4</v>
      </c>
      <c r="G7" s="240" t="str">
        <f>A49</f>
        <v>4.5</v>
      </c>
      <c r="H7" s="240" t="str">
        <f>A50</f>
        <v>4.6</v>
      </c>
      <c r="I7" s="240" t="str">
        <f>A51</f>
        <v>4.7</v>
      </c>
      <c r="J7" s="240" t="str">
        <f>A52</f>
        <v>4.8</v>
      </c>
      <c r="K7" s="240" t="str">
        <f>A53</f>
        <v>4.9</v>
      </c>
      <c r="L7" s="240" t="str">
        <f t="shared" ref="L7:R7" si="1">C7</f>
        <v>4.1</v>
      </c>
      <c r="M7" s="240" t="str">
        <f t="shared" si="1"/>
        <v>4.2</v>
      </c>
      <c r="N7" s="240" t="str">
        <f t="shared" si="1"/>
        <v>4.3</v>
      </c>
      <c r="O7" s="240" t="str">
        <f t="shared" si="1"/>
        <v>4.4</v>
      </c>
      <c r="P7" s="240" t="str">
        <f t="shared" si="1"/>
        <v>4.5</v>
      </c>
      <c r="Q7" s="240" t="str">
        <f t="shared" si="1"/>
        <v>4.6</v>
      </c>
      <c r="R7" s="240" t="str">
        <f t="shared" si="1"/>
        <v>4.7</v>
      </c>
      <c r="S7" s="240" t="str">
        <f t="shared" ref="S7:T7" si="2">J7</f>
        <v>4.8</v>
      </c>
      <c r="T7" s="240" t="str">
        <f t="shared" si="2"/>
        <v>4.9</v>
      </c>
      <c r="U7" s="240" t="str">
        <f t="shared" ref="U7:AA7" si="3">L7</f>
        <v>4.1</v>
      </c>
      <c r="V7" s="240" t="str">
        <f t="shared" si="3"/>
        <v>4.2</v>
      </c>
      <c r="W7" s="240" t="str">
        <f t="shared" si="3"/>
        <v>4.3</v>
      </c>
      <c r="X7" s="240" t="str">
        <f t="shared" si="3"/>
        <v>4.4</v>
      </c>
      <c r="Y7" s="240" t="str">
        <f t="shared" si="3"/>
        <v>4.5</v>
      </c>
      <c r="Z7" s="240" t="str">
        <f t="shared" si="3"/>
        <v>4.6</v>
      </c>
      <c r="AA7" s="240" t="str">
        <f t="shared" si="3"/>
        <v>4.7</v>
      </c>
      <c r="AB7" s="240" t="str">
        <f t="shared" ref="AB7:AC7" si="4">S7</f>
        <v>4.8</v>
      </c>
      <c r="AC7" s="240" t="str">
        <f t="shared" si="4"/>
        <v>4.9</v>
      </c>
      <c r="AD7" s="240" t="str">
        <f t="shared" ref="AD7:AJ7" si="5">U7</f>
        <v>4.1</v>
      </c>
      <c r="AE7" s="240" t="str">
        <f t="shared" si="5"/>
        <v>4.2</v>
      </c>
      <c r="AF7" s="240" t="str">
        <f t="shared" si="5"/>
        <v>4.3</v>
      </c>
      <c r="AG7" s="240" t="str">
        <f t="shared" si="5"/>
        <v>4.4</v>
      </c>
      <c r="AH7" s="240" t="str">
        <f t="shared" si="5"/>
        <v>4.5</v>
      </c>
      <c r="AI7" s="240" t="str">
        <f t="shared" si="5"/>
        <v>4.6</v>
      </c>
      <c r="AJ7" s="240" t="str">
        <f t="shared" si="5"/>
        <v>4.7</v>
      </c>
      <c r="AK7" s="240" t="str">
        <f t="shared" ref="AK7:AL7" si="6">AB7</f>
        <v>4.8</v>
      </c>
      <c r="AL7" s="240" t="str">
        <f t="shared" si="6"/>
        <v>4.9</v>
      </c>
      <c r="AM7" s="240" t="str">
        <f t="shared" ref="AM7:AS7" si="7">AD7</f>
        <v>4.1</v>
      </c>
      <c r="AN7" s="240" t="str">
        <f t="shared" si="7"/>
        <v>4.2</v>
      </c>
      <c r="AO7" s="240" t="str">
        <f t="shared" si="7"/>
        <v>4.3</v>
      </c>
      <c r="AP7" s="240" t="str">
        <f t="shared" si="7"/>
        <v>4.4</v>
      </c>
      <c r="AQ7" s="240" t="str">
        <f t="shared" si="7"/>
        <v>4.5</v>
      </c>
      <c r="AR7" s="240" t="str">
        <f t="shared" si="7"/>
        <v>4.6</v>
      </c>
      <c r="AS7" s="240" t="str">
        <f t="shared" si="7"/>
        <v>4.7</v>
      </c>
      <c r="AT7" s="240" t="str">
        <f t="shared" ref="AT7:AU7" si="8">AK7</f>
        <v>4.8</v>
      </c>
      <c r="AU7" s="240" t="str">
        <f t="shared" si="8"/>
        <v>4.9</v>
      </c>
      <c r="AV7" s="240" t="str">
        <f t="shared" ref="AV7:BB7" si="9">AM7</f>
        <v>4.1</v>
      </c>
      <c r="AW7" s="240" t="str">
        <f t="shared" si="9"/>
        <v>4.2</v>
      </c>
      <c r="AX7" s="240" t="str">
        <f t="shared" si="9"/>
        <v>4.3</v>
      </c>
      <c r="AY7" s="240" t="str">
        <f t="shared" si="9"/>
        <v>4.4</v>
      </c>
      <c r="AZ7" s="240" t="str">
        <f t="shared" si="9"/>
        <v>4.5</v>
      </c>
      <c r="BA7" s="240" t="str">
        <f t="shared" si="9"/>
        <v>4.6</v>
      </c>
      <c r="BB7" s="240" t="str">
        <f t="shared" si="9"/>
        <v>4.7</v>
      </c>
      <c r="BC7" s="240" t="str">
        <f t="shared" ref="BC7:BD7" si="10">AT7</f>
        <v>4.8</v>
      </c>
      <c r="BD7" s="240" t="str">
        <f t="shared" si="10"/>
        <v>4.9</v>
      </c>
      <c r="BE7" s="240" t="str">
        <f t="shared" ref="BE7:BK7" si="11">AV7</f>
        <v>4.1</v>
      </c>
      <c r="BF7" s="240" t="str">
        <f t="shared" si="11"/>
        <v>4.2</v>
      </c>
      <c r="BG7" s="240" t="str">
        <f t="shared" si="11"/>
        <v>4.3</v>
      </c>
      <c r="BH7" s="240" t="str">
        <f t="shared" si="11"/>
        <v>4.4</v>
      </c>
      <c r="BI7" s="240" t="str">
        <f t="shared" si="11"/>
        <v>4.5</v>
      </c>
      <c r="BJ7" s="240" t="str">
        <f t="shared" si="11"/>
        <v>4.6</v>
      </c>
      <c r="BK7" s="240" t="str">
        <f t="shared" si="11"/>
        <v>4.7</v>
      </c>
      <c r="BL7" s="240" t="str">
        <f t="shared" ref="BL7" si="12">BC7</f>
        <v>4.8</v>
      </c>
      <c r="BM7" s="240" t="str">
        <f t="shared" ref="BM7" si="13">BD7</f>
        <v>4.9</v>
      </c>
      <c r="BN7" s="240" t="str">
        <f t="shared" ref="BN7:BT7" si="14">BE7</f>
        <v>4.1</v>
      </c>
      <c r="BO7" s="240" t="str">
        <f t="shared" si="14"/>
        <v>4.2</v>
      </c>
      <c r="BP7" s="240" t="str">
        <f t="shared" si="14"/>
        <v>4.3</v>
      </c>
      <c r="BQ7" s="240" t="str">
        <f t="shared" si="14"/>
        <v>4.4</v>
      </c>
      <c r="BR7" s="240" t="str">
        <f t="shared" si="14"/>
        <v>4.5</v>
      </c>
      <c r="BS7" s="240" t="str">
        <f t="shared" si="14"/>
        <v>4.6</v>
      </c>
      <c r="BT7" s="240" t="str">
        <f t="shared" si="14"/>
        <v>4.7</v>
      </c>
      <c r="BU7" s="240" t="str">
        <f t="shared" ref="BU7" si="15">BL7</f>
        <v>4.8</v>
      </c>
      <c r="BV7" s="240" t="str">
        <f t="shared" ref="BV7" si="16">BM7</f>
        <v>4.9</v>
      </c>
      <c r="BW7" s="240" t="str">
        <f t="shared" ref="BW7:CC7" si="17">BN7</f>
        <v>4.1</v>
      </c>
      <c r="BX7" s="240" t="str">
        <f t="shared" si="17"/>
        <v>4.2</v>
      </c>
      <c r="BY7" s="240" t="str">
        <f t="shared" si="17"/>
        <v>4.3</v>
      </c>
      <c r="BZ7" s="240" t="str">
        <f t="shared" si="17"/>
        <v>4.4</v>
      </c>
      <c r="CA7" s="240" t="str">
        <f t="shared" si="17"/>
        <v>4.5</v>
      </c>
      <c r="CB7" s="240" t="str">
        <f t="shared" si="17"/>
        <v>4.6</v>
      </c>
      <c r="CC7" s="240" t="str">
        <f t="shared" si="17"/>
        <v>4.7</v>
      </c>
      <c r="CD7" s="240" t="str">
        <f t="shared" ref="CD7" si="18">BU7</f>
        <v>4.8</v>
      </c>
      <c r="CE7" s="240" t="str">
        <f t="shared" ref="CE7" si="19">BV7</f>
        <v>4.9</v>
      </c>
      <c r="CF7" s="240" t="str">
        <f t="shared" ref="CF7:CL7" si="20">BW7</f>
        <v>4.1</v>
      </c>
      <c r="CG7" s="240" t="str">
        <f t="shared" si="20"/>
        <v>4.2</v>
      </c>
      <c r="CH7" s="240" t="str">
        <f t="shared" si="20"/>
        <v>4.3</v>
      </c>
      <c r="CI7" s="240" t="str">
        <f t="shared" si="20"/>
        <v>4.4</v>
      </c>
      <c r="CJ7" s="240" t="str">
        <f t="shared" si="20"/>
        <v>4.5</v>
      </c>
      <c r="CK7" s="240" t="str">
        <f t="shared" si="20"/>
        <v>4.6</v>
      </c>
      <c r="CL7" s="240" t="str">
        <f t="shared" si="20"/>
        <v>4.7</v>
      </c>
      <c r="CM7" s="240" t="str">
        <f t="shared" ref="CM7" si="21">CD7</f>
        <v>4.8</v>
      </c>
      <c r="CN7" s="240" t="str">
        <f t="shared" ref="CN7" si="22">CE7</f>
        <v>4.9</v>
      </c>
      <c r="CO7" s="240" t="str">
        <f t="shared" ref="CO7:CU7" si="23">CF7</f>
        <v>4.1</v>
      </c>
      <c r="CP7" s="240" t="str">
        <f t="shared" si="23"/>
        <v>4.2</v>
      </c>
      <c r="CQ7" s="240" t="str">
        <f t="shared" si="23"/>
        <v>4.3</v>
      </c>
      <c r="CR7" s="240" t="str">
        <f t="shared" si="23"/>
        <v>4.4</v>
      </c>
      <c r="CS7" s="240" t="str">
        <f t="shared" si="23"/>
        <v>4.5</v>
      </c>
      <c r="CT7" s="240" t="str">
        <f t="shared" si="23"/>
        <v>4.6</v>
      </c>
      <c r="CU7" s="240" t="str">
        <f t="shared" si="23"/>
        <v>4.7</v>
      </c>
      <c r="CV7" s="240" t="str">
        <f t="shared" ref="CV7" si="24">CM7</f>
        <v>4.8</v>
      </c>
      <c r="CW7" s="240" t="str">
        <f t="shared" ref="CW7" si="25">CN7</f>
        <v>4.9</v>
      </c>
      <c r="CX7" s="240" t="str">
        <f t="shared" ref="CX7:DD7" si="26">CO7</f>
        <v>4.1</v>
      </c>
      <c r="CY7" s="240" t="str">
        <f t="shared" si="26"/>
        <v>4.2</v>
      </c>
      <c r="CZ7" s="240" t="str">
        <f t="shared" si="26"/>
        <v>4.3</v>
      </c>
      <c r="DA7" s="240" t="str">
        <f t="shared" si="26"/>
        <v>4.4</v>
      </c>
      <c r="DB7" s="240" t="str">
        <f t="shared" si="26"/>
        <v>4.5</v>
      </c>
      <c r="DC7" s="240" t="str">
        <f t="shared" si="26"/>
        <v>4.6</v>
      </c>
      <c r="DD7" s="240" t="str">
        <f t="shared" si="26"/>
        <v>4.7</v>
      </c>
      <c r="DE7" s="240" t="str">
        <f t="shared" ref="DE7" si="27">CV7</f>
        <v>4.8</v>
      </c>
      <c r="DF7" s="240" t="str">
        <f t="shared" ref="DF7" si="28">CW7</f>
        <v>4.9</v>
      </c>
      <c r="DG7" s="240" t="str">
        <f t="shared" ref="DG7:DM7" si="29">CX7</f>
        <v>4.1</v>
      </c>
      <c r="DH7" s="240" t="str">
        <f t="shared" si="29"/>
        <v>4.2</v>
      </c>
      <c r="DI7" s="240" t="str">
        <f t="shared" si="29"/>
        <v>4.3</v>
      </c>
      <c r="DJ7" s="240" t="str">
        <f t="shared" si="29"/>
        <v>4.4</v>
      </c>
      <c r="DK7" s="240" t="str">
        <f t="shared" si="29"/>
        <v>4.5</v>
      </c>
      <c r="DL7" s="240" t="str">
        <f t="shared" si="29"/>
        <v>4.6</v>
      </c>
      <c r="DM7" s="240" t="str">
        <f t="shared" si="29"/>
        <v>4.7</v>
      </c>
      <c r="DN7" s="240" t="str">
        <f t="shared" ref="DN7" si="30">DE7</f>
        <v>4.8</v>
      </c>
      <c r="DO7" s="240" t="str">
        <f t="shared" ref="DO7" si="31">DF7</f>
        <v>4.9</v>
      </c>
      <c r="DP7" s="240" t="str">
        <f t="shared" ref="DP7:DV7" si="32">DG7</f>
        <v>4.1</v>
      </c>
      <c r="DQ7" s="240" t="str">
        <f t="shared" si="32"/>
        <v>4.2</v>
      </c>
      <c r="DR7" s="240" t="str">
        <f t="shared" si="32"/>
        <v>4.3</v>
      </c>
      <c r="DS7" s="240" t="str">
        <f t="shared" si="32"/>
        <v>4.4</v>
      </c>
      <c r="DT7" s="240" t="str">
        <f t="shared" si="32"/>
        <v>4.5</v>
      </c>
      <c r="DU7" s="240" t="str">
        <f t="shared" si="32"/>
        <v>4.6</v>
      </c>
      <c r="DV7" s="240" t="str">
        <f t="shared" si="32"/>
        <v>4.7</v>
      </c>
      <c r="DW7" s="240" t="str">
        <f t="shared" ref="DW7" si="33">DN7</f>
        <v>4.8</v>
      </c>
      <c r="DX7" s="240" t="str">
        <f t="shared" ref="DX7" si="34">DO7</f>
        <v>4.9</v>
      </c>
      <c r="DY7" s="240" t="str">
        <f t="shared" ref="DY7:EE7" si="35">DP7</f>
        <v>4.1</v>
      </c>
      <c r="DZ7" s="240" t="str">
        <f t="shared" si="35"/>
        <v>4.2</v>
      </c>
      <c r="EA7" s="240" t="str">
        <f t="shared" si="35"/>
        <v>4.3</v>
      </c>
      <c r="EB7" s="240" t="str">
        <f t="shared" si="35"/>
        <v>4.4</v>
      </c>
      <c r="EC7" s="240" t="str">
        <f t="shared" si="35"/>
        <v>4.5</v>
      </c>
      <c r="ED7" s="240" t="str">
        <f t="shared" si="35"/>
        <v>4.6</v>
      </c>
      <c r="EE7" s="240" t="str">
        <f t="shared" si="35"/>
        <v>4.7</v>
      </c>
      <c r="EF7" s="240" t="str">
        <f t="shared" ref="EF7" si="36">DW7</f>
        <v>4.8</v>
      </c>
      <c r="EG7" s="240" t="str">
        <f t="shared" ref="EG7" si="37">DX7</f>
        <v>4.9</v>
      </c>
      <c r="EH7" s="241" t="str">
        <f>CX7</f>
        <v>4.1</v>
      </c>
      <c r="EI7" s="241" t="str">
        <f t="shared" ref="EI7:EN7" si="38">CY7</f>
        <v>4.2</v>
      </c>
      <c r="EJ7" s="241" t="str">
        <f t="shared" si="38"/>
        <v>4.3</v>
      </c>
      <c r="EK7" s="241" t="str">
        <f t="shared" si="38"/>
        <v>4.4</v>
      </c>
      <c r="EL7" s="241" t="str">
        <f t="shared" si="38"/>
        <v>4.5</v>
      </c>
      <c r="EM7" s="241" t="str">
        <f t="shared" si="38"/>
        <v>4.6</v>
      </c>
      <c r="EN7" s="241" t="str">
        <f t="shared" si="38"/>
        <v>4.7</v>
      </c>
      <c r="EO7" s="241" t="str">
        <f t="shared" ref="EO7" si="39">DE7</f>
        <v>4.8</v>
      </c>
      <c r="EP7" s="241" t="str">
        <f t="shared" ref="EP7" si="40">DF7</f>
        <v>4.9</v>
      </c>
      <c r="EQ7" s="969"/>
      <c r="ER7" s="967"/>
      <c r="ES7" s="945"/>
      <c r="EV7" s="39">
        <v>1</v>
      </c>
      <c r="EW7" s="39">
        <v>2</v>
      </c>
      <c r="EX7" s="39">
        <v>3</v>
      </c>
      <c r="EY7" s="39">
        <v>4</v>
      </c>
      <c r="EZ7" s="39">
        <v>5</v>
      </c>
      <c r="FA7" s="39">
        <v>6</v>
      </c>
      <c r="FB7" s="39">
        <v>7</v>
      </c>
      <c r="FC7" s="39">
        <v>8</v>
      </c>
      <c r="FD7" s="39">
        <v>9</v>
      </c>
      <c r="FE7" s="39"/>
      <c r="FF7" s="938"/>
      <c r="FG7" s="39">
        <v>1</v>
      </c>
      <c r="FH7" s="39">
        <v>2</v>
      </c>
      <c r="FI7" s="39">
        <v>3</v>
      </c>
      <c r="FJ7" s="39">
        <v>4</v>
      </c>
      <c r="FK7" s="39">
        <v>5</v>
      </c>
      <c r="FL7" s="39">
        <v>6</v>
      </c>
      <c r="FM7" s="39">
        <v>7</v>
      </c>
      <c r="FN7" s="39"/>
      <c r="FO7" s="39"/>
      <c r="FP7" s="39"/>
      <c r="FQ7" s="938"/>
      <c r="FR7" s="39">
        <v>1</v>
      </c>
      <c r="FS7" s="39">
        <v>2</v>
      </c>
      <c r="FT7" s="39">
        <v>3</v>
      </c>
      <c r="FU7" s="39">
        <v>4</v>
      </c>
      <c r="FV7" s="39">
        <v>5</v>
      </c>
      <c r="FW7" s="39">
        <v>6</v>
      </c>
      <c r="FX7" s="39">
        <v>7</v>
      </c>
      <c r="FY7" s="39"/>
      <c r="FZ7" s="39"/>
      <c r="GA7" s="39"/>
      <c r="GB7" s="971"/>
      <c r="GC7" s="974"/>
      <c r="GD7" s="975"/>
      <c r="GE7" s="975"/>
      <c r="GF7" s="977"/>
      <c r="GG7" s="977"/>
      <c r="GH7" s="977"/>
      <c r="GI7" s="974"/>
      <c r="GJ7" s="975"/>
      <c r="GK7" s="975"/>
      <c r="GL7" s="977"/>
      <c r="GM7" s="977"/>
      <c r="GN7" s="977"/>
      <c r="GO7" s="974"/>
      <c r="GP7" s="975"/>
      <c r="GQ7" s="975"/>
      <c r="GR7" s="977"/>
      <c r="GS7" s="977"/>
      <c r="GT7" s="977"/>
      <c r="GU7" s="974"/>
      <c r="GV7" s="975"/>
      <c r="GW7" s="975"/>
      <c r="GX7" s="977"/>
      <c r="GY7" s="977"/>
      <c r="GZ7" s="977"/>
      <c r="HA7" s="974"/>
      <c r="HB7" s="975"/>
      <c r="HC7" s="975"/>
      <c r="HD7" s="977"/>
      <c r="HE7" s="977"/>
      <c r="HF7" s="977"/>
      <c r="HG7" s="974"/>
      <c r="HH7" s="975"/>
      <c r="HI7" s="975"/>
      <c r="HJ7" s="977"/>
      <c r="HK7" s="977"/>
      <c r="HL7" s="977"/>
      <c r="HM7" s="974"/>
      <c r="HN7" s="975"/>
      <c r="HO7" s="975"/>
      <c r="HP7" s="977"/>
      <c r="HQ7" s="977"/>
      <c r="HR7" s="977"/>
      <c r="HS7" s="974"/>
      <c r="HT7" s="975"/>
      <c r="HU7" s="975"/>
      <c r="HV7" s="977"/>
      <c r="HW7" s="977"/>
      <c r="HX7" s="977"/>
      <c r="HY7" s="974"/>
      <c r="HZ7" s="975"/>
      <c r="IA7" s="975"/>
      <c r="IB7" s="977"/>
      <c r="IC7" s="977"/>
      <c r="ID7" s="977"/>
      <c r="IE7" s="578"/>
      <c r="IF7" s="581">
        <v>1</v>
      </c>
      <c r="IG7" s="581">
        <v>2</v>
      </c>
      <c r="IH7" s="581">
        <v>3</v>
      </c>
      <c r="II7" s="581">
        <v>4</v>
      </c>
      <c r="IJ7" s="581">
        <v>5</v>
      </c>
      <c r="IK7" s="581">
        <v>6</v>
      </c>
      <c r="IL7" s="581">
        <v>7</v>
      </c>
      <c r="IM7" s="581">
        <v>8</v>
      </c>
      <c r="IN7" s="581">
        <v>9</v>
      </c>
      <c r="IO7" s="578"/>
      <c r="IP7" s="242"/>
      <c r="IQ7" s="242"/>
      <c r="IR7" s="978"/>
      <c r="IS7" s="734"/>
      <c r="IT7" s="980"/>
      <c r="IU7" s="980"/>
      <c r="IV7" s="980"/>
      <c r="IW7" s="980"/>
      <c r="IX7" s="980"/>
      <c r="IY7" s="980"/>
      <c r="IZ7" s="980"/>
      <c r="JA7" s="980"/>
      <c r="JB7" s="980"/>
      <c r="JC7" s="980"/>
      <c r="JD7" s="980"/>
      <c r="JE7" s="982"/>
      <c r="JF7" s="982"/>
      <c r="JG7" s="982"/>
      <c r="JI7" s="984"/>
      <c r="JJ7" s="984"/>
      <c r="JK7" s="984"/>
      <c r="JL7" s="984"/>
      <c r="JM7" s="984"/>
      <c r="JN7" s="984"/>
      <c r="JO7" s="984"/>
      <c r="JP7" s="984"/>
      <c r="JQ7" s="984"/>
      <c r="JR7" s="984"/>
      <c r="JT7" s="978"/>
      <c r="JV7" s="986"/>
    </row>
    <row r="8" spans="1:282" ht="30" customHeight="1">
      <c r="A8" s="223">
        <v>1</v>
      </c>
      <c r="B8" s="223" t="str">
        <f>SISWA!B6</f>
        <v>Afif Rafiudin</v>
      </c>
      <c r="C8" s="123">
        <v>80</v>
      </c>
      <c r="D8" s="123"/>
      <c r="E8" s="123"/>
      <c r="F8" s="123"/>
      <c r="G8" s="123"/>
      <c r="H8" s="123"/>
      <c r="I8" s="123"/>
      <c r="J8" s="123"/>
      <c r="K8" s="123"/>
      <c r="L8" s="255">
        <v>90</v>
      </c>
      <c r="M8" s="255"/>
      <c r="N8" s="255"/>
      <c r="O8" s="255"/>
      <c r="P8" s="255"/>
      <c r="Q8" s="255"/>
      <c r="R8" s="255"/>
      <c r="S8" s="255"/>
      <c r="T8" s="255"/>
      <c r="U8" s="256">
        <v>75</v>
      </c>
      <c r="V8" s="256"/>
      <c r="W8" s="256"/>
      <c r="X8" s="256"/>
      <c r="Y8" s="256"/>
      <c r="Z8" s="256"/>
      <c r="AA8" s="256"/>
      <c r="AB8" s="256"/>
      <c r="AC8" s="256"/>
      <c r="AD8" s="123"/>
      <c r="AE8" s="123">
        <v>90</v>
      </c>
      <c r="AF8" s="123"/>
      <c r="AG8" s="123"/>
      <c r="AH8" s="123"/>
      <c r="AI8" s="123"/>
      <c r="AJ8" s="123"/>
      <c r="AK8" s="123"/>
      <c r="AL8" s="123"/>
      <c r="AM8" s="255"/>
      <c r="AN8" s="255">
        <v>90</v>
      </c>
      <c r="AO8" s="255"/>
      <c r="AP8" s="255"/>
      <c r="AQ8" s="255"/>
      <c r="AR8" s="255"/>
      <c r="AS8" s="255"/>
      <c r="AT8" s="255"/>
      <c r="AU8" s="255"/>
      <c r="AV8" s="256"/>
      <c r="AW8" s="256">
        <v>75</v>
      </c>
      <c r="AX8" s="256"/>
      <c r="AY8" s="256"/>
      <c r="AZ8" s="256"/>
      <c r="BA8" s="256"/>
      <c r="BB8" s="256"/>
      <c r="BC8" s="256"/>
      <c r="BD8" s="256"/>
      <c r="BE8" s="123"/>
      <c r="BF8" s="123"/>
      <c r="BG8" s="123">
        <v>85</v>
      </c>
      <c r="BH8" s="123"/>
      <c r="BI8" s="123"/>
      <c r="BJ8" s="123"/>
      <c r="BK8" s="123"/>
      <c r="BL8" s="123"/>
      <c r="BM8" s="123"/>
      <c r="BN8" s="255"/>
      <c r="BO8" s="255"/>
      <c r="BP8" s="255">
        <v>75</v>
      </c>
      <c r="BQ8" s="255"/>
      <c r="BR8" s="255"/>
      <c r="BS8" s="255"/>
      <c r="BT8" s="255"/>
      <c r="BU8" s="255"/>
      <c r="BV8" s="255"/>
      <c r="BW8" s="256"/>
      <c r="BX8" s="256"/>
      <c r="BY8" s="256">
        <v>80</v>
      </c>
      <c r="BZ8" s="256"/>
      <c r="CA8" s="256"/>
      <c r="CB8" s="256"/>
      <c r="CC8" s="256"/>
      <c r="CD8" s="256"/>
      <c r="CE8" s="256"/>
      <c r="CF8" s="123"/>
      <c r="CG8" s="123"/>
      <c r="CH8" s="123"/>
      <c r="CI8" s="123">
        <v>85</v>
      </c>
      <c r="CJ8" s="123"/>
      <c r="CK8" s="123"/>
      <c r="CL8" s="123"/>
      <c r="CM8" s="123"/>
      <c r="CN8" s="123"/>
      <c r="CO8" s="255"/>
      <c r="CP8" s="255"/>
      <c r="CQ8" s="255"/>
      <c r="CR8" s="255">
        <v>85</v>
      </c>
      <c r="CS8" s="255"/>
      <c r="CT8" s="255"/>
      <c r="CU8" s="255"/>
      <c r="CV8" s="255"/>
      <c r="CW8" s="255"/>
      <c r="CX8" s="256"/>
      <c r="CY8" s="256"/>
      <c r="CZ8" s="256"/>
      <c r="DA8" s="256">
        <v>80</v>
      </c>
      <c r="DB8" s="256"/>
      <c r="DC8" s="256"/>
      <c r="DD8" s="256"/>
      <c r="DE8" s="256"/>
      <c r="DF8" s="256"/>
      <c r="DG8" s="458">
        <v>85</v>
      </c>
      <c r="DH8" s="458"/>
      <c r="DI8" s="458"/>
      <c r="DJ8" s="458"/>
      <c r="DK8" s="458"/>
      <c r="DL8" s="458"/>
      <c r="DM8" s="458"/>
      <c r="DN8" s="458"/>
      <c r="DO8" s="458"/>
      <c r="DP8" s="457">
        <v>90</v>
      </c>
      <c r="DQ8" s="457"/>
      <c r="DR8" s="457"/>
      <c r="DS8" s="457"/>
      <c r="DT8" s="457"/>
      <c r="DU8" s="457"/>
      <c r="DV8" s="457"/>
      <c r="DW8" s="457"/>
      <c r="DX8" s="457"/>
      <c r="DY8" s="256">
        <v>75</v>
      </c>
      <c r="DZ8" s="256"/>
      <c r="EA8" s="256"/>
      <c r="EB8" s="256"/>
      <c r="EC8" s="256"/>
      <c r="ED8" s="256"/>
      <c r="EE8" s="256"/>
      <c r="EF8" s="256"/>
      <c r="EG8" s="256"/>
      <c r="EH8" s="257">
        <f t="shared" ref="EH8:EP8" si="41">IFERROR(IF8," ")</f>
        <v>83.333333333333329</v>
      </c>
      <c r="EI8" s="257">
        <f t="shared" si="41"/>
        <v>85</v>
      </c>
      <c r="EJ8" s="257">
        <f t="shared" si="41"/>
        <v>80</v>
      </c>
      <c r="EK8" s="257">
        <f t="shared" si="41"/>
        <v>83.333333333333329</v>
      </c>
      <c r="EL8" s="257" t="str">
        <f t="shared" si="41"/>
        <v/>
      </c>
      <c r="EM8" s="257" t="str">
        <f t="shared" si="41"/>
        <v/>
      </c>
      <c r="EN8" s="257" t="str">
        <f t="shared" si="41"/>
        <v/>
      </c>
      <c r="EO8" s="257" t="str">
        <f t="shared" si="41"/>
        <v/>
      </c>
      <c r="EP8" s="257" t="str">
        <f t="shared" si="41"/>
        <v/>
      </c>
      <c r="EQ8" s="756">
        <f t="shared" ref="EQ8:EQ23" si="42">IFERROR(IO8," ")</f>
        <v>83</v>
      </c>
      <c r="ER8" s="291" t="str">
        <f>IF(EQ8&gt;100,"  ",IF(EQ8&gt;=EV$1,"A",IF(EQ8&gt;=EV$2,"B",IF(EQ8&gt;=EV$3,"C",IF(EQ8&gt;=1,"D","")))))</f>
        <v>B</v>
      </c>
      <c r="ES8" s="243" t="str">
        <f>IFERROR(JV8," ")</f>
        <v>Ananda Afif baik dalam membuat model sederhana organ pernapasan manusia, cukup dalam menyajikan karya tentang konsep organ dan fungsi pencernaan pada hewan atau manusia..</v>
      </c>
      <c r="ET8" s="39"/>
      <c r="EU8" s="39"/>
      <c r="EV8" s="257">
        <f t="shared" ref="EV8:FD8" si="43">IFERROR(MAX(C8,AD8,BE8,CF8,DG8)," ")</f>
        <v>85</v>
      </c>
      <c r="EW8" s="257">
        <f t="shared" si="43"/>
        <v>90</v>
      </c>
      <c r="EX8" s="257">
        <f t="shared" si="43"/>
        <v>85</v>
      </c>
      <c r="EY8" s="257">
        <f t="shared" si="43"/>
        <v>85</v>
      </c>
      <c r="EZ8" s="257">
        <f t="shared" si="43"/>
        <v>0</v>
      </c>
      <c r="FA8" s="257">
        <f t="shared" si="43"/>
        <v>0</v>
      </c>
      <c r="FB8" s="257">
        <f t="shared" si="43"/>
        <v>0</v>
      </c>
      <c r="FC8" s="257">
        <f t="shared" si="43"/>
        <v>0</v>
      </c>
      <c r="FD8" s="257">
        <f t="shared" si="43"/>
        <v>0</v>
      </c>
      <c r="FE8" s="257"/>
      <c r="FF8" s="289">
        <f>MAX(EV8:FE8)</f>
        <v>90</v>
      </c>
      <c r="FG8" s="257">
        <f t="shared" ref="FG8:FM8" si="44">IFERROR(MAX(L8,AM8,BN8,CO8,DP8)," ")</f>
        <v>90</v>
      </c>
      <c r="FH8" s="257">
        <f t="shared" si="44"/>
        <v>90</v>
      </c>
      <c r="FI8" s="257">
        <f t="shared" si="44"/>
        <v>75</v>
      </c>
      <c r="FJ8" s="257">
        <f t="shared" si="44"/>
        <v>85</v>
      </c>
      <c r="FK8" s="257">
        <f t="shared" si="44"/>
        <v>0</v>
      </c>
      <c r="FL8" s="257">
        <f t="shared" si="44"/>
        <v>0</v>
      </c>
      <c r="FM8" s="257">
        <f t="shared" si="44"/>
        <v>0</v>
      </c>
      <c r="FN8" s="257">
        <f t="shared" ref="FN8:FO8" si="45">IFERROR(MAX(S8,AT8,BU8,CV8,DW8)," ")</f>
        <v>0</v>
      </c>
      <c r="FO8" s="257">
        <f t="shared" si="45"/>
        <v>0</v>
      </c>
      <c r="FP8" s="223"/>
      <c r="FQ8" s="289">
        <f>MAX(FG8:FP8)</f>
        <v>90</v>
      </c>
      <c r="FR8" s="257">
        <f t="shared" ref="FR8:FX8" si="46">IFERROR(MAX(U8,AV8,BW8,CX8,DY8)," ")</f>
        <v>75</v>
      </c>
      <c r="FS8" s="257">
        <f t="shared" si="46"/>
        <v>75</v>
      </c>
      <c r="FT8" s="257">
        <f t="shared" si="46"/>
        <v>80</v>
      </c>
      <c r="FU8" s="257">
        <f t="shared" si="46"/>
        <v>80</v>
      </c>
      <c r="FV8" s="257">
        <f t="shared" si="46"/>
        <v>0</v>
      </c>
      <c r="FW8" s="257">
        <f t="shared" si="46"/>
        <v>0</v>
      </c>
      <c r="FX8" s="257">
        <f t="shared" si="46"/>
        <v>0</v>
      </c>
      <c r="FY8" s="257">
        <f t="shared" ref="FY8:FZ8" si="47">IFERROR(MAX(AB8,BC8,CD8,DE8,EF8)," ")</f>
        <v>0</v>
      </c>
      <c r="FZ8" s="257">
        <f t="shared" si="47"/>
        <v>0</v>
      </c>
      <c r="GA8" s="223"/>
      <c r="GB8" s="289">
        <f>MAX(FR8:GA8)</f>
        <v>80</v>
      </c>
      <c r="GC8" s="257">
        <f>EV8</f>
        <v>85</v>
      </c>
      <c r="GD8" s="257">
        <f>FG8</f>
        <v>90</v>
      </c>
      <c r="GE8" s="257">
        <f>FR8</f>
        <v>75</v>
      </c>
      <c r="GF8" s="575">
        <f>COUNTIF(GC8:GE8,)</f>
        <v>0</v>
      </c>
      <c r="GG8" s="506">
        <f>3-GF8</f>
        <v>3</v>
      </c>
      <c r="GH8" s="39">
        <f>IFERROR(SUM(GC8:GE8)/GG8,"")</f>
        <v>83.333333333333329</v>
      </c>
      <c r="GI8" s="257">
        <f>EW8</f>
        <v>90</v>
      </c>
      <c r="GJ8" s="257">
        <f>FH8</f>
        <v>90</v>
      </c>
      <c r="GK8" s="257">
        <f>FS8</f>
        <v>75</v>
      </c>
      <c r="GL8" s="575">
        <f>COUNTIF(GI8:GK8,)</f>
        <v>0</v>
      </c>
      <c r="GM8" s="506">
        <f>3-GL8</f>
        <v>3</v>
      </c>
      <c r="GN8" s="39">
        <f>IFERROR(SUM(GI8:GK8)/GM8,"")</f>
        <v>85</v>
      </c>
      <c r="GO8" s="257">
        <f>EX8</f>
        <v>85</v>
      </c>
      <c r="GP8" s="257">
        <f>FI8</f>
        <v>75</v>
      </c>
      <c r="GQ8" s="257">
        <f>FT8</f>
        <v>80</v>
      </c>
      <c r="GR8" s="575">
        <f>COUNTIF(GO8:GQ8,)</f>
        <v>0</v>
      </c>
      <c r="GS8" s="506">
        <f>3-GR8</f>
        <v>3</v>
      </c>
      <c r="GT8" s="39">
        <f>IFERROR(SUM(GO8:GQ8)/GS8,"")</f>
        <v>80</v>
      </c>
      <c r="GU8" s="257">
        <f>EY8</f>
        <v>85</v>
      </c>
      <c r="GV8" s="257">
        <f>FJ8</f>
        <v>85</v>
      </c>
      <c r="GW8" s="257">
        <f>FU8</f>
        <v>80</v>
      </c>
      <c r="GX8" s="575">
        <f>COUNTIF(GU8:GW8,)</f>
        <v>0</v>
      </c>
      <c r="GY8" s="506">
        <f>3-GX8</f>
        <v>3</v>
      </c>
      <c r="GZ8" s="39">
        <f>IFERROR(SUM(GU8:GW8)/GY8,"")</f>
        <v>83.333333333333329</v>
      </c>
      <c r="HA8" s="257">
        <f>EZ8</f>
        <v>0</v>
      </c>
      <c r="HB8" s="257">
        <f>FK8</f>
        <v>0</v>
      </c>
      <c r="HC8" s="257">
        <f>FV8</f>
        <v>0</v>
      </c>
      <c r="HD8" s="575">
        <f>COUNTIF(HA8:HC8,)</f>
        <v>3</v>
      </c>
      <c r="HE8" s="506">
        <f>3-HD8</f>
        <v>0</v>
      </c>
      <c r="HF8" s="39" t="str">
        <f>IFERROR(SUM(HA8:HC8)/HE8,"")</f>
        <v/>
      </c>
      <c r="HG8" s="257">
        <f>FA8</f>
        <v>0</v>
      </c>
      <c r="HH8" s="257">
        <f>FL8</f>
        <v>0</v>
      </c>
      <c r="HI8" s="257">
        <f>FW8</f>
        <v>0</v>
      </c>
      <c r="HJ8" s="575">
        <f>COUNTIF(HG8:HI8,)</f>
        <v>3</v>
      </c>
      <c r="HK8" s="506">
        <f>3-HJ8</f>
        <v>0</v>
      </c>
      <c r="HL8" s="39" t="str">
        <f>IFERROR(SUM(HG8:HI8)/HK8,"")</f>
        <v/>
      </c>
      <c r="HM8" s="257">
        <f>FB8</f>
        <v>0</v>
      </c>
      <c r="HN8" s="257">
        <f>FM8</f>
        <v>0</v>
      </c>
      <c r="HO8" s="257">
        <f>FX8</f>
        <v>0</v>
      </c>
      <c r="HP8" s="575">
        <f>COUNTIF(HM8:HO8,)</f>
        <v>3</v>
      </c>
      <c r="HQ8" s="506">
        <f>3-HP8</f>
        <v>0</v>
      </c>
      <c r="HR8" s="39" t="str">
        <f>IFERROR(SUM(HM8:HO8)/HQ8,"")</f>
        <v/>
      </c>
      <c r="HS8" s="257">
        <f>FC8</f>
        <v>0</v>
      </c>
      <c r="HT8" s="257">
        <f>FN8</f>
        <v>0</v>
      </c>
      <c r="HU8" s="257">
        <f>FY8</f>
        <v>0</v>
      </c>
      <c r="HV8" s="575">
        <f>COUNTIF(HS8:HU8,)</f>
        <v>3</v>
      </c>
      <c r="HW8" s="506">
        <f>3-HV8</f>
        <v>0</v>
      </c>
      <c r="HX8" s="39" t="str">
        <f>IFERROR(SUM(HS8:HU8)/HW8,"")</f>
        <v/>
      </c>
      <c r="HY8" s="257">
        <f>FD8</f>
        <v>0</v>
      </c>
      <c r="HZ8" s="257">
        <f>FO8</f>
        <v>0</v>
      </c>
      <c r="IA8" s="257">
        <f>FZ8</f>
        <v>0</v>
      </c>
      <c r="IB8" s="575">
        <f>COUNTIF(HY8:IA8,)</f>
        <v>3</v>
      </c>
      <c r="IC8" s="506">
        <f>3-IB8</f>
        <v>0</v>
      </c>
      <c r="ID8" s="39" t="str">
        <f>IFERROR(SUM(HY8:IA8)/IC8,"")</f>
        <v/>
      </c>
      <c r="IE8" s="39"/>
      <c r="IF8" s="39">
        <f>GH8</f>
        <v>83.333333333333329</v>
      </c>
      <c r="IG8" s="39">
        <f>GN8</f>
        <v>85</v>
      </c>
      <c r="IH8" s="39">
        <f>GT8</f>
        <v>80</v>
      </c>
      <c r="II8" s="39">
        <f>GZ8</f>
        <v>83.333333333333329</v>
      </c>
      <c r="IJ8" s="39" t="str">
        <f>HF8</f>
        <v/>
      </c>
      <c r="IK8" s="39" t="str">
        <f>HL8</f>
        <v/>
      </c>
      <c r="IL8" s="257" t="str">
        <f>HR8</f>
        <v/>
      </c>
      <c r="IM8" s="257" t="str">
        <f>HX8</f>
        <v/>
      </c>
      <c r="IN8" s="257" t="str">
        <f>ID8</f>
        <v/>
      </c>
      <c r="IO8" s="579">
        <f>IFERROR(ROUND(AVERAGE(IF8:IN8),0),"")</f>
        <v>83</v>
      </c>
      <c r="IP8" s="289">
        <f>MAX(IF8:IN8)</f>
        <v>85</v>
      </c>
      <c r="IQ8" s="289">
        <f>MIN(IF8:IN8)</f>
        <v>80</v>
      </c>
      <c r="IR8" s="223" t="str">
        <f>SISWA!E6</f>
        <v>Afif</v>
      </c>
      <c r="IS8" s="223" t="str">
        <f>IF(JE8&gt;1,"Ananda "&amp;IR8&amp;" ","")</f>
        <v xml:space="preserve">Ananda Afif </v>
      </c>
      <c r="IT8" s="580" t="str">
        <f t="shared" ref="IT8:IZ8" si="48">IF(IF8=$IP8,$IP8,"")</f>
        <v/>
      </c>
      <c r="IU8" s="580">
        <f t="shared" si="48"/>
        <v>85</v>
      </c>
      <c r="IV8" s="580" t="str">
        <f t="shared" si="48"/>
        <v/>
      </c>
      <c r="IW8" s="580" t="str">
        <f t="shared" si="48"/>
        <v/>
      </c>
      <c r="IX8" s="580" t="str">
        <f t="shared" si="48"/>
        <v/>
      </c>
      <c r="IY8" s="580" t="str">
        <f t="shared" si="48"/>
        <v/>
      </c>
      <c r="IZ8" s="580" t="str">
        <f t="shared" si="48"/>
        <v/>
      </c>
      <c r="JA8" s="580" t="str">
        <f t="shared" ref="JA8:JB8" si="49">IF(IM8=$IP8,$IP8,"")</f>
        <v/>
      </c>
      <c r="JB8" s="580" t="str">
        <f t="shared" si="49"/>
        <v/>
      </c>
      <c r="JC8" s="580"/>
      <c r="JD8" s="580"/>
      <c r="JE8" s="223">
        <f>SUM(IT8:JB8)</f>
        <v>85</v>
      </c>
      <c r="JF8" s="289" t="str">
        <f>LOOKUP(IP8,(IT8:JC8),($IT$6:$JC$6))</f>
        <v>membuat model sederhana organ pernapasan manusia</v>
      </c>
      <c r="JG8" s="576" t="str">
        <f>IF(IP8&gt;100,"",IF(IP8&gt;EV$1,"sangat baik dalam "&amp;JF8,IF(IP8&gt;=EV$2,"baik dalam "&amp;JF8,IF(IP8&gt;=EV$3,"cukup dalam "&amp;JF8,IF(IP8&lt;EV$3,"dengan bimbingan dapat meningkatkan dalam "&amp;JF8,IF(IP8&lt;1," ",””))))))</f>
        <v>baik dalam membuat model sederhana organ pernapasan manusia</v>
      </c>
      <c r="JH8" s="223"/>
      <c r="JI8" s="223" t="str">
        <f t="shared" ref="JI8:JQ8" si="50">IF(IF8=$IQ8,$IQ8,"")</f>
        <v/>
      </c>
      <c r="JJ8" s="223" t="str">
        <f t="shared" si="50"/>
        <v/>
      </c>
      <c r="JK8" s="223">
        <f t="shared" si="50"/>
        <v>80</v>
      </c>
      <c r="JL8" s="223" t="str">
        <f t="shared" si="50"/>
        <v/>
      </c>
      <c r="JM8" s="223" t="str">
        <f t="shared" si="50"/>
        <v/>
      </c>
      <c r="JN8" s="223" t="str">
        <f t="shared" si="50"/>
        <v/>
      </c>
      <c r="JO8" s="223" t="str">
        <f t="shared" si="50"/>
        <v/>
      </c>
      <c r="JP8" s="223" t="str">
        <f t="shared" si="50"/>
        <v/>
      </c>
      <c r="JQ8" s="223" t="str">
        <f t="shared" si="50"/>
        <v/>
      </c>
      <c r="JR8" s="223"/>
      <c r="JS8" s="223"/>
      <c r="JT8" s="223" t="str">
        <f>LOOKUP(IQ8,(JI8:JR8),($JI$6:$JR$6))</f>
        <v>menyajikan karya tentang konsep organ dan fungsi pencernaan pada hewan atau manusia.</v>
      </c>
      <c r="JU8" s="577" t="str">
        <f>IF(IQ8&gt;100,"",IF(IQ8&gt;=EV$1,"sangat baik dalam "&amp;JT8,IF(IQ8&gt;=EV$2,"baik dalam "&amp;JT8,IF(IQ8&gt;=EV$3,"cukup dalam "&amp;JT8,IF(IQ8&lt;EV$3,"dengan bimbingan dapat meningkatkan dalam "&amp;JT8,IF(IQ8&lt;1," ",””))))))</f>
        <v>cukup dalam menyajikan karya tentang konsep organ dan fungsi pencernaan pada hewan atau manusia.</v>
      </c>
      <c r="JV8" s="223" t="str">
        <f>CONCATENATE(IS8&amp;JG8&amp;", "&amp;JU8&amp;".")</f>
        <v>Ananda Afif baik dalam membuat model sederhana organ pernapasan manusia, cukup dalam menyajikan karya tentang konsep organ dan fungsi pencernaan pada hewan atau manusia..</v>
      </c>
    </row>
    <row r="9" spans="1:282" ht="30">
      <c r="A9" s="39">
        <v>2</v>
      </c>
      <c r="B9" s="223" t="str">
        <f>SISWA!B7</f>
        <v>Ahmad Faiq Athaya</v>
      </c>
      <c r="C9" s="123">
        <v>90</v>
      </c>
      <c r="D9" s="123"/>
      <c r="E9" s="123"/>
      <c r="F9" s="123"/>
      <c r="G9" s="123"/>
      <c r="H9" s="123"/>
      <c r="I9" s="123"/>
      <c r="J9" s="123"/>
      <c r="K9" s="123"/>
      <c r="L9" s="255">
        <v>80</v>
      </c>
      <c r="M9" s="255"/>
      <c r="N9" s="255"/>
      <c r="O9" s="255"/>
      <c r="P9" s="255"/>
      <c r="Q9" s="255"/>
      <c r="R9" s="255"/>
      <c r="S9" s="255"/>
      <c r="T9" s="255"/>
      <c r="U9" s="256">
        <v>80</v>
      </c>
      <c r="V9" s="256"/>
      <c r="W9" s="256"/>
      <c r="X9" s="256"/>
      <c r="Y9" s="256"/>
      <c r="Z9" s="256"/>
      <c r="AA9" s="256"/>
      <c r="AB9" s="256"/>
      <c r="AC9" s="256"/>
      <c r="AD9" s="123"/>
      <c r="AE9" s="123">
        <v>90</v>
      </c>
      <c r="AF9" s="123"/>
      <c r="AG9" s="123"/>
      <c r="AH9" s="123"/>
      <c r="AI9" s="123"/>
      <c r="AJ9" s="123"/>
      <c r="AK9" s="123"/>
      <c r="AL9" s="123"/>
      <c r="AM9" s="255"/>
      <c r="AN9" s="255">
        <v>90</v>
      </c>
      <c r="AO9" s="255"/>
      <c r="AP9" s="255"/>
      <c r="AQ9" s="255"/>
      <c r="AR9" s="255"/>
      <c r="AS9" s="255"/>
      <c r="AT9" s="255"/>
      <c r="AU9" s="255"/>
      <c r="AV9" s="256"/>
      <c r="AW9" s="256">
        <v>90</v>
      </c>
      <c r="AX9" s="256"/>
      <c r="AY9" s="256"/>
      <c r="AZ9" s="256"/>
      <c r="BA9" s="256"/>
      <c r="BB9" s="256"/>
      <c r="BC9" s="256"/>
      <c r="BD9" s="256"/>
      <c r="BE9" s="123"/>
      <c r="BF9" s="123"/>
      <c r="BG9" s="123">
        <v>90</v>
      </c>
      <c r="BH9" s="123"/>
      <c r="BI9" s="123"/>
      <c r="BJ9" s="123"/>
      <c r="BK9" s="123"/>
      <c r="BL9" s="123"/>
      <c r="BM9" s="123"/>
      <c r="BN9" s="255"/>
      <c r="BO9" s="255"/>
      <c r="BP9" s="255">
        <v>75</v>
      </c>
      <c r="BQ9" s="255"/>
      <c r="BR9" s="255"/>
      <c r="BS9" s="255"/>
      <c r="BT9" s="255"/>
      <c r="BU9" s="255"/>
      <c r="BV9" s="255"/>
      <c r="BW9" s="256"/>
      <c r="BX9" s="256"/>
      <c r="BY9" s="256">
        <v>85</v>
      </c>
      <c r="BZ9" s="256"/>
      <c r="CA9" s="256"/>
      <c r="CB9" s="256"/>
      <c r="CC9" s="256"/>
      <c r="CD9" s="256"/>
      <c r="CE9" s="256"/>
      <c r="CF9" s="123"/>
      <c r="CG9" s="123"/>
      <c r="CH9" s="123"/>
      <c r="CI9" s="123">
        <v>85</v>
      </c>
      <c r="CJ9" s="123"/>
      <c r="CK9" s="123"/>
      <c r="CL9" s="123"/>
      <c r="CM9" s="123"/>
      <c r="CN9" s="123"/>
      <c r="CO9" s="255"/>
      <c r="CP9" s="255"/>
      <c r="CQ9" s="255"/>
      <c r="CR9" s="255">
        <v>90</v>
      </c>
      <c r="CS9" s="255"/>
      <c r="CT9" s="255"/>
      <c r="CU9" s="255"/>
      <c r="CV9" s="255"/>
      <c r="CW9" s="255"/>
      <c r="CX9" s="256"/>
      <c r="CY9" s="256"/>
      <c r="CZ9" s="256"/>
      <c r="DA9" s="256">
        <v>85</v>
      </c>
      <c r="DB9" s="256"/>
      <c r="DC9" s="256"/>
      <c r="DD9" s="256"/>
      <c r="DE9" s="256"/>
      <c r="DF9" s="256"/>
      <c r="DG9" s="458">
        <v>90</v>
      </c>
      <c r="DH9" s="458"/>
      <c r="DI9" s="458"/>
      <c r="DJ9" s="458"/>
      <c r="DK9" s="458"/>
      <c r="DL9" s="458"/>
      <c r="DM9" s="458"/>
      <c r="DN9" s="458"/>
      <c r="DO9" s="458"/>
      <c r="DP9" s="457">
        <v>90</v>
      </c>
      <c r="DQ9" s="457"/>
      <c r="DR9" s="457"/>
      <c r="DS9" s="457"/>
      <c r="DT9" s="457"/>
      <c r="DU9" s="457"/>
      <c r="DV9" s="457"/>
      <c r="DW9" s="457"/>
      <c r="DX9" s="457"/>
      <c r="DY9" s="256">
        <v>90</v>
      </c>
      <c r="DZ9" s="256"/>
      <c r="EA9" s="256"/>
      <c r="EB9" s="256"/>
      <c r="EC9" s="256"/>
      <c r="ED9" s="256"/>
      <c r="EE9" s="256"/>
      <c r="EF9" s="256"/>
      <c r="EG9" s="256"/>
      <c r="EH9" s="257">
        <f t="shared" ref="EH9:EH42" si="51">IFERROR(IF9," ")</f>
        <v>90</v>
      </c>
      <c r="EI9" s="257">
        <f t="shared" ref="EI9:EI42" si="52">IFERROR(IG9," ")</f>
        <v>90</v>
      </c>
      <c r="EJ9" s="257">
        <f t="shared" ref="EJ9:EJ42" si="53">IFERROR(IH9," ")</f>
        <v>83.333333333333329</v>
      </c>
      <c r="EK9" s="257">
        <f t="shared" ref="EK9:EK42" si="54">IFERROR(II9," ")</f>
        <v>86.666666666666671</v>
      </c>
      <c r="EL9" s="257" t="str">
        <f t="shared" ref="EL9:EL42" si="55">IFERROR(IJ9," ")</f>
        <v/>
      </c>
      <c r="EM9" s="257" t="str">
        <f t="shared" ref="EM9:EM42" si="56">IFERROR(IK9," ")</f>
        <v/>
      </c>
      <c r="EN9" s="257" t="str">
        <f t="shared" ref="EN9:EN42" si="57">IFERROR(IL9," ")</f>
        <v/>
      </c>
      <c r="EO9" s="257" t="str">
        <f t="shared" ref="EO9:EO42" si="58">IFERROR(IM9," ")</f>
        <v/>
      </c>
      <c r="EP9" s="257" t="str">
        <f t="shared" ref="EP9:EP42" si="59">IFERROR(IN9," ")</f>
        <v/>
      </c>
      <c r="EQ9" s="756">
        <f t="shared" si="42"/>
        <v>88</v>
      </c>
      <c r="ER9" s="291" t="str">
        <f t="shared" ref="ER9:ER42" si="60">IF(EQ9&gt;100,"  ",IF(EQ9&gt;=EV$1,"A",IF(EQ9&gt;=EV$2,"B",IF(EQ9&gt;=EV$3,"C",IF(EQ9&gt;=1,"D","")))))</f>
        <v>B</v>
      </c>
      <c r="ES9" s="243" t="str">
        <f t="shared" ref="ES9:ES42" si="61">IFERROR(JV9," ")</f>
        <v>Ananda Athaya baik dalam membuat model sederhana organ pernapasan manusia, baik dalam menyajikan karya tentang konsep organ dan fungsi pencernaan pada hewan atau manusia..</v>
      </c>
      <c r="ET9" s="39"/>
      <c r="EU9" s="39"/>
      <c r="EV9" s="257">
        <f t="shared" ref="EV9:EV42" si="62">IFERROR(MAX(C9,AD9,BE9,CF9,DG9)," ")</f>
        <v>90</v>
      </c>
      <c r="EW9" s="257">
        <f t="shared" ref="EW9:EW42" si="63">IFERROR(MAX(D9,AE9,BF9,CG9,DH9)," ")</f>
        <v>90</v>
      </c>
      <c r="EX9" s="257">
        <f t="shared" ref="EX9:EX42" si="64">IFERROR(MAX(E9,AF9,BG9,CH9,DI9)," ")</f>
        <v>90</v>
      </c>
      <c r="EY9" s="257">
        <f t="shared" ref="EY9:EY42" si="65">IFERROR(MAX(F9,AG9,BH9,CI9,DJ9)," ")</f>
        <v>85</v>
      </c>
      <c r="EZ9" s="257">
        <f t="shared" ref="EZ9:EZ42" si="66">IFERROR(MAX(G9,AH9,BI9,CJ9,DK9)," ")</f>
        <v>0</v>
      </c>
      <c r="FA9" s="257">
        <f t="shared" ref="FA9:FA42" si="67">IFERROR(MAX(H9,AI9,BJ9,CK9,DL9)," ")</f>
        <v>0</v>
      </c>
      <c r="FB9" s="257">
        <f t="shared" ref="FB9:FB42" si="68">IFERROR(MAX(I9,AJ9,BK9,CL9,DM9)," ")</f>
        <v>0</v>
      </c>
      <c r="FC9" s="257">
        <f t="shared" ref="FC9:FC42" si="69">IFERROR(MAX(J9,AK9,BL9,CM9,DN9)," ")</f>
        <v>0</v>
      </c>
      <c r="FD9" s="257">
        <f t="shared" ref="FD9:FD42" si="70">IFERROR(MAX(K9,AL9,BM9,CN9,DO9)," ")</f>
        <v>0</v>
      </c>
      <c r="FE9" s="257"/>
      <c r="FF9" s="289">
        <f t="shared" ref="FF9:FF42" si="71">MAX(EV9:FE9)</f>
        <v>90</v>
      </c>
      <c r="FG9" s="257">
        <f t="shared" ref="FG9:FG42" si="72">IFERROR(MAX(L9,AM9,BN9,CO9,DP9)," ")</f>
        <v>90</v>
      </c>
      <c r="FH9" s="257">
        <f t="shared" ref="FH9:FH42" si="73">IFERROR(MAX(M9,AN9,BO9,CP9,DQ9)," ")</f>
        <v>90</v>
      </c>
      <c r="FI9" s="257">
        <f t="shared" ref="FI9:FI42" si="74">IFERROR(MAX(N9,AO9,BP9,CQ9,DR9)," ")</f>
        <v>75</v>
      </c>
      <c r="FJ9" s="257">
        <f t="shared" ref="FJ9:FJ42" si="75">IFERROR(MAX(O9,AP9,BQ9,CR9,DS9)," ")</f>
        <v>90</v>
      </c>
      <c r="FK9" s="257">
        <f t="shared" ref="FK9:FK42" si="76">IFERROR(MAX(P9,AQ9,BR9,CS9,DT9)," ")</f>
        <v>0</v>
      </c>
      <c r="FL9" s="257">
        <f t="shared" ref="FL9:FL42" si="77">IFERROR(MAX(Q9,AR9,BS9,CT9,DU9)," ")</f>
        <v>0</v>
      </c>
      <c r="FM9" s="257">
        <f t="shared" ref="FM9:FM42" si="78">IFERROR(MAX(R9,AS9,BT9,CU9,DV9)," ")</f>
        <v>0</v>
      </c>
      <c r="FN9" s="257">
        <f t="shared" ref="FN9:FN42" si="79">IFERROR(MAX(S9,AT9,BU9,CV9,DW9)," ")</f>
        <v>0</v>
      </c>
      <c r="FO9" s="257">
        <f t="shared" ref="FO9:FO42" si="80">IFERROR(MAX(T9,AU9,BV9,CW9,DX9)," ")</f>
        <v>0</v>
      </c>
      <c r="FP9" s="223"/>
      <c r="FQ9" s="289">
        <f t="shared" ref="FQ9:FQ42" si="81">MAX(FG9:FP9)</f>
        <v>90</v>
      </c>
      <c r="FR9" s="257">
        <f t="shared" ref="FR9:FR42" si="82">IFERROR(MAX(U9,AV9,BW9,CX9,DY9)," ")</f>
        <v>90</v>
      </c>
      <c r="FS9" s="257">
        <f t="shared" ref="FS9:FS42" si="83">IFERROR(MAX(V9,AW9,BX9,CY9,DZ9)," ")</f>
        <v>90</v>
      </c>
      <c r="FT9" s="257">
        <f t="shared" ref="FT9:FT42" si="84">IFERROR(MAX(W9,AX9,BY9,CZ9,EA9)," ")</f>
        <v>85</v>
      </c>
      <c r="FU9" s="257">
        <f t="shared" ref="FU9:FU42" si="85">IFERROR(MAX(X9,AY9,BZ9,DA9,EB9)," ")</f>
        <v>85</v>
      </c>
      <c r="FV9" s="257">
        <f t="shared" ref="FV9:FV42" si="86">IFERROR(MAX(Y9,AZ9,CA9,DB9,EC9)," ")</f>
        <v>0</v>
      </c>
      <c r="FW9" s="257">
        <f t="shared" ref="FW9:FW42" si="87">IFERROR(MAX(Z9,BA9,CB9,DC9,ED9)," ")</f>
        <v>0</v>
      </c>
      <c r="FX9" s="257">
        <f t="shared" ref="FX9:FX42" si="88">IFERROR(MAX(AA9,BB9,CC9,DD9,EE9)," ")</f>
        <v>0</v>
      </c>
      <c r="FY9" s="257">
        <f t="shared" ref="FY9:FY42" si="89">IFERROR(MAX(AB9,BC9,CD9,DE9,EF9)," ")</f>
        <v>0</v>
      </c>
      <c r="FZ9" s="257">
        <f t="shared" ref="FZ9:FZ42" si="90">IFERROR(MAX(AC9,BD9,CE9,DF9,EG9)," ")</f>
        <v>0</v>
      </c>
      <c r="GA9" s="223"/>
      <c r="GB9" s="289">
        <f t="shared" ref="GB9:GB42" si="91">MAX(FR9:GA9)</f>
        <v>90</v>
      </c>
      <c r="GC9" s="257">
        <f t="shared" ref="GC9:GC42" si="92">EV9</f>
        <v>90</v>
      </c>
      <c r="GD9" s="257">
        <f t="shared" ref="GD9:GD42" si="93">FG9</f>
        <v>90</v>
      </c>
      <c r="GE9" s="257">
        <f t="shared" ref="GE9:GE42" si="94">FR9</f>
        <v>90</v>
      </c>
      <c r="GF9" s="575">
        <f t="shared" ref="GF9:GF42" si="95">COUNTIF(GC9:GE9,)</f>
        <v>0</v>
      </c>
      <c r="GG9" s="506">
        <f t="shared" ref="GG9:GG42" si="96">3-GF9</f>
        <v>3</v>
      </c>
      <c r="GH9" s="39">
        <f t="shared" ref="GH9:GH42" si="97">IFERROR(SUM(GC9:GE9)/GG9,"")</f>
        <v>90</v>
      </c>
      <c r="GI9" s="257">
        <f t="shared" ref="GI9:GI42" si="98">EW9</f>
        <v>90</v>
      </c>
      <c r="GJ9" s="257">
        <f t="shared" ref="GJ9:GJ42" si="99">FH9</f>
        <v>90</v>
      </c>
      <c r="GK9" s="257">
        <f t="shared" ref="GK9:GK42" si="100">FS9</f>
        <v>90</v>
      </c>
      <c r="GL9" s="575">
        <f t="shared" ref="GL9:GL42" si="101">COUNTIF(GI9:GK9,)</f>
        <v>0</v>
      </c>
      <c r="GM9" s="506">
        <f t="shared" ref="GM9:GM42" si="102">3-GL9</f>
        <v>3</v>
      </c>
      <c r="GN9" s="39">
        <f t="shared" ref="GN9:GN42" si="103">IFERROR(SUM(GI9:GK9)/GM9,"")</f>
        <v>90</v>
      </c>
      <c r="GO9" s="257">
        <f t="shared" ref="GO9:GO42" si="104">EX9</f>
        <v>90</v>
      </c>
      <c r="GP9" s="257">
        <f t="shared" ref="GP9:GP42" si="105">FI9</f>
        <v>75</v>
      </c>
      <c r="GQ9" s="257">
        <f t="shared" ref="GQ9:GQ42" si="106">FT9</f>
        <v>85</v>
      </c>
      <c r="GR9" s="575">
        <f t="shared" ref="GR9:GR42" si="107">COUNTIF(GO9:GQ9,)</f>
        <v>0</v>
      </c>
      <c r="GS9" s="506">
        <f t="shared" ref="GS9:GS42" si="108">3-GR9</f>
        <v>3</v>
      </c>
      <c r="GT9" s="39">
        <f t="shared" ref="GT9:GT42" si="109">IFERROR(SUM(GO9:GQ9)/GS9,"")</f>
        <v>83.333333333333329</v>
      </c>
      <c r="GU9" s="257">
        <f t="shared" ref="GU9:GU42" si="110">EY9</f>
        <v>85</v>
      </c>
      <c r="GV9" s="257">
        <f t="shared" ref="GV9:GV42" si="111">FJ9</f>
        <v>90</v>
      </c>
      <c r="GW9" s="257">
        <f t="shared" ref="GW9:GW42" si="112">FU9</f>
        <v>85</v>
      </c>
      <c r="GX9" s="575">
        <f t="shared" ref="GX9:GX42" si="113">COUNTIF(GU9:GW9,)</f>
        <v>0</v>
      </c>
      <c r="GY9" s="506">
        <f t="shared" ref="GY9:GY42" si="114">3-GX9</f>
        <v>3</v>
      </c>
      <c r="GZ9" s="39">
        <f t="shared" ref="GZ9:GZ42" si="115">IFERROR(SUM(GU9:GW9)/GY9,"")</f>
        <v>86.666666666666671</v>
      </c>
      <c r="HA9" s="257">
        <f t="shared" ref="HA9:HA42" si="116">EZ9</f>
        <v>0</v>
      </c>
      <c r="HB9" s="257">
        <f t="shared" ref="HB9:HB42" si="117">FK9</f>
        <v>0</v>
      </c>
      <c r="HC9" s="257">
        <f t="shared" ref="HC9:HC42" si="118">FV9</f>
        <v>0</v>
      </c>
      <c r="HD9" s="575">
        <f t="shared" ref="HD9:HD42" si="119">COUNTIF(HA9:HC9,)</f>
        <v>3</v>
      </c>
      <c r="HE9" s="506">
        <f t="shared" ref="HE9:HE42" si="120">3-HD9</f>
        <v>0</v>
      </c>
      <c r="HF9" s="39" t="str">
        <f t="shared" ref="HF9:HF42" si="121">IFERROR(SUM(HA9:HC9)/HE9,"")</f>
        <v/>
      </c>
      <c r="HG9" s="257">
        <f t="shared" ref="HG9:HG42" si="122">FA9</f>
        <v>0</v>
      </c>
      <c r="HH9" s="257">
        <f t="shared" ref="HH9:HH42" si="123">FL9</f>
        <v>0</v>
      </c>
      <c r="HI9" s="257">
        <f t="shared" ref="HI9:HI42" si="124">FW9</f>
        <v>0</v>
      </c>
      <c r="HJ9" s="575">
        <f t="shared" ref="HJ9:HJ42" si="125">COUNTIF(HG9:HI9,)</f>
        <v>3</v>
      </c>
      <c r="HK9" s="506">
        <f t="shared" ref="HK9:HK42" si="126">3-HJ9</f>
        <v>0</v>
      </c>
      <c r="HL9" s="39" t="str">
        <f t="shared" ref="HL9:HL42" si="127">IFERROR(SUM(HG9:HI9)/HK9,"")</f>
        <v/>
      </c>
      <c r="HM9" s="257">
        <f t="shared" ref="HM9:HM42" si="128">FB9</f>
        <v>0</v>
      </c>
      <c r="HN9" s="257">
        <f t="shared" ref="HN9:HN42" si="129">FM9</f>
        <v>0</v>
      </c>
      <c r="HO9" s="257">
        <f t="shared" ref="HO9:HO42" si="130">FX9</f>
        <v>0</v>
      </c>
      <c r="HP9" s="575">
        <f t="shared" ref="HP9:HP42" si="131">COUNTIF(HM9:HO9,)</f>
        <v>3</v>
      </c>
      <c r="HQ9" s="506">
        <f t="shared" ref="HQ9:HQ42" si="132">3-HP9</f>
        <v>0</v>
      </c>
      <c r="HR9" s="39" t="str">
        <f t="shared" ref="HR9:HR42" si="133">IFERROR(SUM(HM9:HO9)/HQ9,"")</f>
        <v/>
      </c>
      <c r="HS9" s="257">
        <f t="shared" ref="HS9:HS42" si="134">FC9</f>
        <v>0</v>
      </c>
      <c r="HT9" s="257">
        <f t="shared" ref="HT9:HT42" si="135">FN9</f>
        <v>0</v>
      </c>
      <c r="HU9" s="257">
        <f t="shared" ref="HU9:HU42" si="136">FY9</f>
        <v>0</v>
      </c>
      <c r="HV9" s="575">
        <f t="shared" ref="HV9:HV42" si="137">COUNTIF(HS9:HU9,)</f>
        <v>3</v>
      </c>
      <c r="HW9" s="506">
        <f t="shared" ref="HW9:HW42" si="138">3-HV9</f>
        <v>0</v>
      </c>
      <c r="HX9" s="39" t="str">
        <f t="shared" ref="HX9:HX42" si="139">IFERROR(SUM(HS9:HU9)/HW9,"")</f>
        <v/>
      </c>
      <c r="HY9" s="257">
        <f t="shared" ref="HY9:HY42" si="140">FD9</f>
        <v>0</v>
      </c>
      <c r="HZ9" s="257">
        <f t="shared" ref="HZ9:HZ42" si="141">FO9</f>
        <v>0</v>
      </c>
      <c r="IA9" s="257">
        <f t="shared" ref="IA9:IA42" si="142">FZ9</f>
        <v>0</v>
      </c>
      <c r="IB9" s="575">
        <f t="shared" ref="IB9:IB42" si="143">COUNTIF(HY9:IA9,)</f>
        <v>3</v>
      </c>
      <c r="IC9" s="506">
        <f t="shared" ref="IC9:IC42" si="144">3-IB9</f>
        <v>0</v>
      </c>
      <c r="ID9" s="39" t="str">
        <f t="shared" ref="ID9:ID42" si="145">IFERROR(SUM(HY9:IA9)/IC9,"")</f>
        <v/>
      </c>
      <c r="IE9" s="39"/>
      <c r="IF9" s="39">
        <f t="shared" ref="IF9:IF42" si="146">GH9</f>
        <v>90</v>
      </c>
      <c r="IG9" s="39">
        <f t="shared" ref="IG9:IG42" si="147">GN9</f>
        <v>90</v>
      </c>
      <c r="IH9" s="39">
        <f t="shared" ref="IH9:IH42" si="148">GT9</f>
        <v>83.333333333333329</v>
      </c>
      <c r="II9" s="39">
        <f t="shared" ref="II9:II42" si="149">GZ9</f>
        <v>86.666666666666671</v>
      </c>
      <c r="IJ9" s="39" t="str">
        <f t="shared" ref="IJ9:IJ42" si="150">HF9</f>
        <v/>
      </c>
      <c r="IK9" s="39" t="str">
        <f t="shared" ref="IK9:IK42" si="151">HL9</f>
        <v/>
      </c>
      <c r="IL9" s="257" t="str">
        <f t="shared" ref="IL9:IL42" si="152">HR9</f>
        <v/>
      </c>
      <c r="IM9" s="257" t="str">
        <f t="shared" ref="IM9:IM42" si="153">HX9</f>
        <v/>
      </c>
      <c r="IN9" s="257" t="str">
        <f t="shared" ref="IN9:IN42" si="154">ID9</f>
        <v/>
      </c>
      <c r="IO9" s="579">
        <f t="shared" ref="IO9:IO42" si="155">IFERROR(ROUND(AVERAGE(IF9:IN9),0),"")</f>
        <v>88</v>
      </c>
      <c r="IP9" s="289">
        <f t="shared" ref="IP9:IP42" si="156">MAX(IF9:IN9)</f>
        <v>90</v>
      </c>
      <c r="IQ9" s="289">
        <f t="shared" ref="IQ9:IQ42" si="157">MIN(IF9:IN9)</f>
        <v>83.333333333333329</v>
      </c>
      <c r="IR9" s="223" t="str">
        <f>SISWA!E7</f>
        <v>Athaya</v>
      </c>
      <c r="IS9" s="223" t="str">
        <f t="shared" ref="IS9:IS42" si="158">IF(JE9&gt;1,"Ananda "&amp;IR9&amp;" ","")</f>
        <v xml:space="preserve">Ananda Athaya </v>
      </c>
      <c r="IT9" s="580">
        <f t="shared" ref="IT9:IT42" si="159">IF(IF9=$IP9,$IP9,"")</f>
        <v>90</v>
      </c>
      <c r="IU9" s="580">
        <f t="shared" ref="IU9:IU42" si="160">IF(IG9=$IP9,$IP9,"")</f>
        <v>90</v>
      </c>
      <c r="IV9" s="580" t="str">
        <f t="shared" ref="IV9:IV42" si="161">IF(IH9=$IP9,$IP9,"")</f>
        <v/>
      </c>
      <c r="IW9" s="580" t="str">
        <f t="shared" ref="IW9:IW42" si="162">IF(II9=$IP9,$IP9,"")</f>
        <v/>
      </c>
      <c r="IX9" s="580" t="str">
        <f t="shared" ref="IX9:IX42" si="163">IF(IJ9=$IP9,$IP9,"")</f>
        <v/>
      </c>
      <c r="IY9" s="580" t="str">
        <f t="shared" ref="IY9:IY42" si="164">IF(IK9=$IP9,$IP9,"")</f>
        <v/>
      </c>
      <c r="IZ9" s="580" t="str">
        <f t="shared" ref="IZ9:IZ42" si="165">IF(IL9=$IP9,$IP9,"")</f>
        <v/>
      </c>
      <c r="JA9" s="580" t="str">
        <f t="shared" ref="JA9:JA42" si="166">IF(IM9=$IP9,$IP9,"")</f>
        <v/>
      </c>
      <c r="JB9" s="580" t="str">
        <f t="shared" ref="JB9:JB42" si="167">IF(IN9=$IP9,$IP9,"")</f>
        <v/>
      </c>
      <c r="JC9" s="580"/>
      <c r="JD9" s="580"/>
      <c r="JE9" s="223">
        <f t="shared" ref="JE9:JE42" si="168">SUM(IT9:JB9)</f>
        <v>180</v>
      </c>
      <c r="JF9" s="289" t="str">
        <f t="shared" ref="JF9:JF42" si="169">LOOKUP(IP9,(IT9:JC9),($IT$6:$JC$6))</f>
        <v>membuat model sederhana organ pernapasan manusia</v>
      </c>
      <c r="JG9" s="576" t="str">
        <f>IF(IP9&gt;100,"",IF(IP9&gt;EV$1,"sangat baik dalam "&amp;JF9,IF(IP9&gt;=EV$2,"baik dalam "&amp;JF9,IF(IP9&gt;=EV$3,"cukup dalam "&amp;JF9,IF(IP9&lt;EV$3,"dengan bimbingan dapat meningkatkan dalam "&amp;JF9,IF(IP9&lt;1," ",””))))))</f>
        <v>baik dalam membuat model sederhana organ pernapasan manusia</v>
      </c>
      <c r="JH9" s="223"/>
      <c r="JI9" s="223" t="str">
        <f t="shared" ref="JI9:JI42" si="170">IF(IF9=$IQ9,$IQ9,"")</f>
        <v/>
      </c>
      <c r="JJ9" s="223" t="str">
        <f t="shared" ref="JJ9:JJ42" si="171">IF(IG9=$IQ9,$IQ9,"")</f>
        <v/>
      </c>
      <c r="JK9" s="223">
        <f t="shared" ref="JK9:JK42" si="172">IF(IH9=$IQ9,$IQ9,"")</f>
        <v>83.333333333333329</v>
      </c>
      <c r="JL9" s="223" t="str">
        <f t="shared" ref="JL9:JL42" si="173">IF(II9=$IQ9,$IQ9,"")</f>
        <v/>
      </c>
      <c r="JM9" s="223" t="str">
        <f t="shared" ref="JM9:JM42" si="174">IF(IJ9=$IQ9,$IQ9,"")</f>
        <v/>
      </c>
      <c r="JN9" s="223" t="str">
        <f t="shared" ref="JN9:JN42" si="175">IF(IK9=$IQ9,$IQ9,"")</f>
        <v/>
      </c>
      <c r="JO9" s="223" t="str">
        <f t="shared" ref="JO9:JO42" si="176">IF(IL9=$IQ9,$IQ9,"")</f>
        <v/>
      </c>
      <c r="JP9" s="223" t="str">
        <f t="shared" ref="JP9:JP42" si="177">IF(IM9=$IQ9,$IQ9,"")</f>
        <v/>
      </c>
      <c r="JQ9" s="223" t="str">
        <f t="shared" ref="JQ9:JQ42" si="178">IF(IN9=$IQ9,$IQ9,"")</f>
        <v/>
      </c>
      <c r="JR9" s="223"/>
      <c r="JS9" s="223"/>
      <c r="JT9" s="223" t="str">
        <f t="shared" ref="JT9:JT42" si="179">LOOKUP(IQ9,(JI9:JR9),($JI$6:$JR$6))</f>
        <v>menyajikan karya tentang konsep organ dan fungsi pencernaan pada hewan atau manusia.</v>
      </c>
      <c r="JU9" s="577" t="str">
        <f>IF(IQ9&gt;100,"",IF(IQ9&gt;=EV$1,"sangat baik dalam "&amp;JT9,IF(IQ9&gt;=EV$2,"baik dalam "&amp;JT9,IF(IQ9&gt;=EV$3,"cukup dalam "&amp;JT9,IF(IQ9&lt;EV$3,"dengan bimbingan dapat meningkatkan dalam "&amp;JT9,IF(IQ9&lt;1," ",””))))))</f>
        <v>baik dalam menyajikan karya tentang konsep organ dan fungsi pencernaan pada hewan atau manusia.</v>
      </c>
      <c r="JV9" s="223" t="str">
        <f t="shared" ref="JV9:JV42" si="180">CONCATENATE(IS9&amp;JG9&amp;", "&amp;JU9&amp;".")</f>
        <v>Ananda Athaya baik dalam membuat model sederhana organ pernapasan manusia, baik dalam menyajikan karya tentang konsep organ dan fungsi pencernaan pada hewan atau manusia..</v>
      </c>
    </row>
    <row r="10" spans="1:282" ht="30">
      <c r="A10" s="39">
        <v>3</v>
      </c>
      <c r="B10" s="223" t="str">
        <f>SISWA!B8</f>
        <v>Amira Zerlinda</v>
      </c>
      <c r="C10" s="123">
        <v>80</v>
      </c>
      <c r="D10" s="123"/>
      <c r="E10" s="123"/>
      <c r="F10" s="123"/>
      <c r="G10" s="123"/>
      <c r="H10" s="123"/>
      <c r="I10" s="123"/>
      <c r="J10" s="123"/>
      <c r="K10" s="123"/>
      <c r="L10" s="255">
        <v>90</v>
      </c>
      <c r="M10" s="255"/>
      <c r="N10" s="255"/>
      <c r="O10" s="255"/>
      <c r="P10" s="255"/>
      <c r="Q10" s="255"/>
      <c r="R10" s="255"/>
      <c r="S10" s="255"/>
      <c r="T10" s="255"/>
      <c r="U10" s="256">
        <v>75</v>
      </c>
      <c r="V10" s="256"/>
      <c r="W10" s="256"/>
      <c r="X10" s="256"/>
      <c r="Y10" s="256"/>
      <c r="Z10" s="256"/>
      <c r="AA10" s="256"/>
      <c r="AB10" s="256"/>
      <c r="AC10" s="256"/>
      <c r="AD10" s="123"/>
      <c r="AE10" s="123">
        <v>90</v>
      </c>
      <c r="AF10" s="123"/>
      <c r="AG10" s="123"/>
      <c r="AH10" s="123"/>
      <c r="AI10" s="123"/>
      <c r="AJ10" s="123"/>
      <c r="AK10" s="123"/>
      <c r="AL10" s="123"/>
      <c r="AM10" s="255"/>
      <c r="AN10" s="255">
        <v>75</v>
      </c>
      <c r="AO10" s="255"/>
      <c r="AP10" s="255"/>
      <c r="AQ10" s="255"/>
      <c r="AR10" s="255"/>
      <c r="AS10" s="255"/>
      <c r="AT10" s="255"/>
      <c r="AU10" s="255"/>
      <c r="AV10" s="256"/>
      <c r="AW10" s="256">
        <v>90</v>
      </c>
      <c r="AX10" s="256"/>
      <c r="AY10" s="256"/>
      <c r="AZ10" s="256"/>
      <c r="BA10" s="256"/>
      <c r="BB10" s="256"/>
      <c r="BC10" s="256"/>
      <c r="BD10" s="256"/>
      <c r="BE10" s="123"/>
      <c r="BF10" s="123"/>
      <c r="BG10" s="123">
        <v>90</v>
      </c>
      <c r="BH10" s="123"/>
      <c r="BI10" s="123"/>
      <c r="BJ10" s="123"/>
      <c r="BK10" s="123"/>
      <c r="BL10" s="123"/>
      <c r="BM10" s="123"/>
      <c r="BN10" s="255"/>
      <c r="BO10" s="255"/>
      <c r="BP10" s="255">
        <v>75</v>
      </c>
      <c r="BQ10" s="255"/>
      <c r="BR10" s="255"/>
      <c r="BS10" s="255"/>
      <c r="BT10" s="255"/>
      <c r="BU10" s="255"/>
      <c r="BV10" s="255"/>
      <c r="BW10" s="256"/>
      <c r="BX10" s="256"/>
      <c r="BY10" s="256">
        <v>85</v>
      </c>
      <c r="BZ10" s="256"/>
      <c r="CA10" s="256"/>
      <c r="CB10" s="256"/>
      <c r="CC10" s="256"/>
      <c r="CD10" s="256"/>
      <c r="CE10" s="256"/>
      <c r="CF10" s="123"/>
      <c r="CG10" s="123"/>
      <c r="CH10" s="123"/>
      <c r="CI10" s="123">
        <v>90</v>
      </c>
      <c r="CJ10" s="123"/>
      <c r="CK10" s="123"/>
      <c r="CL10" s="123"/>
      <c r="CM10" s="123"/>
      <c r="CN10" s="123"/>
      <c r="CO10" s="255"/>
      <c r="CP10" s="255"/>
      <c r="CQ10" s="255"/>
      <c r="CR10" s="255">
        <v>90</v>
      </c>
      <c r="CS10" s="255"/>
      <c r="CT10" s="255"/>
      <c r="CU10" s="255"/>
      <c r="CV10" s="255"/>
      <c r="CW10" s="255"/>
      <c r="CX10" s="256"/>
      <c r="CY10" s="256"/>
      <c r="CZ10" s="256"/>
      <c r="DA10" s="256">
        <v>90</v>
      </c>
      <c r="DB10" s="256"/>
      <c r="DC10" s="256"/>
      <c r="DD10" s="256"/>
      <c r="DE10" s="256"/>
      <c r="DF10" s="256"/>
      <c r="DG10" s="458">
        <v>80</v>
      </c>
      <c r="DH10" s="458"/>
      <c r="DI10" s="458"/>
      <c r="DJ10" s="458"/>
      <c r="DK10" s="458"/>
      <c r="DL10" s="458"/>
      <c r="DM10" s="458"/>
      <c r="DN10" s="458"/>
      <c r="DO10" s="458"/>
      <c r="DP10" s="457">
        <v>75</v>
      </c>
      <c r="DQ10" s="457"/>
      <c r="DR10" s="457"/>
      <c r="DS10" s="457"/>
      <c r="DT10" s="457"/>
      <c r="DU10" s="457"/>
      <c r="DV10" s="457"/>
      <c r="DW10" s="457"/>
      <c r="DX10" s="457"/>
      <c r="DY10" s="256">
        <v>75</v>
      </c>
      <c r="DZ10" s="256"/>
      <c r="EA10" s="256"/>
      <c r="EB10" s="256"/>
      <c r="EC10" s="256"/>
      <c r="ED10" s="256"/>
      <c r="EE10" s="256"/>
      <c r="EF10" s="256"/>
      <c r="EG10" s="256"/>
      <c r="EH10" s="257">
        <f t="shared" si="51"/>
        <v>81.666666666666671</v>
      </c>
      <c r="EI10" s="257">
        <f t="shared" si="52"/>
        <v>85</v>
      </c>
      <c r="EJ10" s="257">
        <f t="shared" si="53"/>
        <v>83.333333333333329</v>
      </c>
      <c r="EK10" s="257">
        <f t="shared" si="54"/>
        <v>90</v>
      </c>
      <c r="EL10" s="257" t="str">
        <f t="shared" si="55"/>
        <v/>
      </c>
      <c r="EM10" s="257" t="str">
        <f t="shared" si="56"/>
        <v/>
      </c>
      <c r="EN10" s="257" t="str">
        <f t="shared" si="57"/>
        <v/>
      </c>
      <c r="EO10" s="257" t="str">
        <f t="shared" si="58"/>
        <v/>
      </c>
      <c r="EP10" s="257" t="str">
        <f t="shared" si="59"/>
        <v/>
      </c>
      <c r="EQ10" s="756">
        <f t="shared" si="42"/>
        <v>85</v>
      </c>
      <c r="ER10" s="291" t="str">
        <f t="shared" si="60"/>
        <v>B</v>
      </c>
      <c r="ES10" s="243" t="str">
        <f t="shared" si="61"/>
        <v>Ananda Amira baik dalam menyajikan karya tentang organ peredaran darah pada manusia, cukup dalam membuat model sederhana alat gerak manusia atau hewan.</v>
      </c>
      <c r="ET10" s="39"/>
      <c r="EU10" s="39"/>
      <c r="EV10" s="257">
        <f t="shared" si="62"/>
        <v>80</v>
      </c>
      <c r="EW10" s="257">
        <f t="shared" si="63"/>
        <v>90</v>
      </c>
      <c r="EX10" s="257">
        <f t="shared" si="64"/>
        <v>90</v>
      </c>
      <c r="EY10" s="257">
        <f t="shared" si="65"/>
        <v>90</v>
      </c>
      <c r="EZ10" s="257">
        <f t="shared" si="66"/>
        <v>0</v>
      </c>
      <c r="FA10" s="257">
        <f t="shared" si="67"/>
        <v>0</v>
      </c>
      <c r="FB10" s="257">
        <f t="shared" si="68"/>
        <v>0</v>
      </c>
      <c r="FC10" s="257">
        <f t="shared" si="69"/>
        <v>0</v>
      </c>
      <c r="FD10" s="257">
        <f t="shared" si="70"/>
        <v>0</v>
      </c>
      <c r="FE10" s="257"/>
      <c r="FF10" s="289">
        <f t="shared" si="71"/>
        <v>90</v>
      </c>
      <c r="FG10" s="257">
        <f t="shared" si="72"/>
        <v>90</v>
      </c>
      <c r="FH10" s="257">
        <f t="shared" si="73"/>
        <v>75</v>
      </c>
      <c r="FI10" s="257">
        <f t="shared" si="74"/>
        <v>75</v>
      </c>
      <c r="FJ10" s="257">
        <f t="shared" si="75"/>
        <v>90</v>
      </c>
      <c r="FK10" s="257">
        <f t="shared" si="76"/>
        <v>0</v>
      </c>
      <c r="FL10" s="257">
        <f t="shared" si="77"/>
        <v>0</v>
      </c>
      <c r="FM10" s="257">
        <f t="shared" si="78"/>
        <v>0</v>
      </c>
      <c r="FN10" s="257">
        <f t="shared" si="79"/>
        <v>0</v>
      </c>
      <c r="FO10" s="257">
        <f t="shared" si="80"/>
        <v>0</v>
      </c>
      <c r="FP10" s="223"/>
      <c r="FQ10" s="289">
        <f t="shared" si="81"/>
        <v>90</v>
      </c>
      <c r="FR10" s="257">
        <f t="shared" si="82"/>
        <v>75</v>
      </c>
      <c r="FS10" s="257">
        <f t="shared" si="83"/>
        <v>90</v>
      </c>
      <c r="FT10" s="257">
        <f t="shared" si="84"/>
        <v>85</v>
      </c>
      <c r="FU10" s="257">
        <f t="shared" si="85"/>
        <v>90</v>
      </c>
      <c r="FV10" s="257">
        <f t="shared" si="86"/>
        <v>0</v>
      </c>
      <c r="FW10" s="257">
        <f t="shared" si="87"/>
        <v>0</v>
      </c>
      <c r="FX10" s="257">
        <f t="shared" si="88"/>
        <v>0</v>
      </c>
      <c r="FY10" s="257">
        <f t="shared" si="89"/>
        <v>0</v>
      </c>
      <c r="FZ10" s="257">
        <f t="shared" si="90"/>
        <v>0</v>
      </c>
      <c r="GA10" s="223"/>
      <c r="GB10" s="289">
        <f t="shared" si="91"/>
        <v>90</v>
      </c>
      <c r="GC10" s="257">
        <f t="shared" si="92"/>
        <v>80</v>
      </c>
      <c r="GD10" s="257">
        <f t="shared" si="93"/>
        <v>90</v>
      </c>
      <c r="GE10" s="257">
        <f t="shared" si="94"/>
        <v>75</v>
      </c>
      <c r="GF10" s="575">
        <f t="shared" si="95"/>
        <v>0</v>
      </c>
      <c r="GG10" s="506">
        <f t="shared" si="96"/>
        <v>3</v>
      </c>
      <c r="GH10" s="39">
        <f t="shared" si="97"/>
        <v>81.666666666666671</v>
      </c>
      <c r="GI10" s="257">
        <f t="shared" si="98"/>
        <v>90</v>
      </c>
      <c r="GJ10" s="257">
        <f t="shared" si="99"/>
        <v>75</v>
      </c>
      <c r="GK10" s="257">
        <f t="shared" si="100"/>
        <v>90</v>
      </c>
      <c r="GL10" s="575">
        <f t="shared" si="101"/>
        <v>0</v>
      </c>
      <c r="GM10" s="506">
        <f t="shared" si="102"/>
        <v>3</v>
      </c>
      <c r="GN10" s="39">
        <f t="shared" si="103"/>
        <v>85</v>
      </c>
      <c r="GO10" s="257">
        <f t="shared" si="104"/>
        <v>90</v>
      </c>
      <c r="GP10" s="257">
        <f t="shared" si="105"/>
        <v>75</v>
      </c>
      <c r="GQ10" s="257">
        <f t="shared" si="106"/>
        <v>85</v>
      </c>
      <c r="GR10" s="575">
        <f t="shared" si="107"/>
        <v>0</v>
      </c>
      <c r="GS10" s="506">
        <f t="shared" si="108"/>
        <v>3</v>
      </c>
      <c r="GT10" s="39">
        <f t="shared" si="109"/>
        <v>83.333333333333329</v>
      </c>
      <c r="GU10" s="257">
        <f t="shared" si="110"/>
        <v>90</v>
      </c>
      <c r="GV10" s="257">
        <f t="shared" si="111"/>
        <v>90</v>
      </c>
      <c r="GW10" s="257">
        <f t="shared" si="112"/>
        <v>90</v>
      </c>
      <c r="GX10" s="575">
        <f t="shared" si="113"/>
        <v>0</v>
      </c>
      <c r="GY10" s="506">
        <f t="shared" si="114"/>
        <v>3</v>
      </c>
      <c r="GZ10" s="39">
        <f t="shared" si="115"/>
        <v>90</v>
      </c>
      <c r="HA10" s="257">
        <f t="shared" si="116"/>
        <v>0</v>
      </c>
      <c r="HB10" s="257">
        <f t="shared" si="117"/>
        <v>0</v>
      </c>
      <c r="HC10" s="257">
        <f t="shared" si="118"/>
        <v>0</v>
      </c>
      <c r="HD10" s="575">
        <f t="shared" si="119"/>
        <v>3</v>
      </c>
      <c r="HE10" s="506">
        <f t="shared" si="120"/>
        <v>0</v>
      </c>
      <c r="HF10" s="39" t="str">
        <f t="shared" si="121"/>
        <v/>
      </c>
      <c r="HG10" s="257">
        <f t="shared" si="122"/>
        <v>0</v>
      </c>
      <c r="HH10" s="257">
        <f t="shared" si="123"/>
        <v>0</v>
      </c>
      <c r="HI10" s="257">
        <f t="shared" si="124"/>
        <v>0</v>
      </c>
      <c r="HJ10" s="575">
        <f t="shared" si="125"/>
        <v>3</v>
      </c>
      <c r="HK10" s="506">
        <f t="shared" si="126"/>
        <v>0</v>
      </c>
      <c r="HL10" s="39" t="str">
        <f t="shared" si="127"/>
        <v/>
      </c>
      <c r="HM10" s="257">
        <f t="shared" si="128"/>
        <v>0</v>
      </c>
      <c r="HN10" s="257">
        <f t="shared" si="129"/>
        <v>0</v>
      </c>
      <c r="HO10" s="257">
        <f t="shared" si="130"/>
        <v>0</v>
      </c>
      <c r="HP10" s="575">
        <f t="shared" si="131"/>
        <v>3</v>
      </c>
      <c r="HQ10" s="506">
        <f t="shared" si="132"/>
        <v>0</v>
      </c>
      <c r="HR10" s="39" t="str">
        <f t="shared" si="133"/>
        <v/>
      </c>
      <c r="HS10" s="257">
        <f t="shared" si="134"/>
        <v>0</v>
      </c>
      <c r="HT10" s="257">
        <f t="shared" si="135"/>
        <v>0</v>
      </c>
      <c r="HU10" s="257">
        <f t="shared" si="136"/>
        <v>0</v>
      </c>
      <c r="HV10" s="575">
        <f t="shared" si="137"/>
        <v>3</v>
      </c>
      <c r="HW10" s="506">
        <f t="shared" si="138"/>
        <v>0</v>
      </c>
      <c r="HX10" s="39" t="str">
        <f t="shared" si="139"/>
        <v/>
      </c>
      <c r="HY10" s="257">
        <f t="shared" si="140"/>
        <v>0</v>
      </c>
      <c r="HZ10" s="257">
        <f t="shared" si="141"/>
        <v>0</v>
      </c>
      <c r="IA10" s="257">
        <f t="shared" si="142"/>
        <v>0</v>
      </c>
      <c r="IB10" s="575">
        <f t="shared" si="143"/>
        <v>3</v>
      </c>
      <c r="IC10" s="506">
        <f t="shared" si="144"/>
        <v>0</v>
      </c>
      <c r="ID10" s="39" t="str">
        <f t="shared" si="145"/>
        <v/>
      </c>
      <c r="IE10" s="39"/>
      <c r="IF10" s="39">
        <f t="shared" si="146"/>
        <v>81.666666666666671</v>
      </c>
      <c r="IG10" s="39">
        <f t="shared" si="147"/>
        <v>85</v>
      </c>
      <c r="IH10" s="39">
        <f t="shared" si="148"/>
        <v>83.333333333333329</v>
      </c>
      <c r="II10" s="39">
        <f t="shared" si="149"/>
        <v>90</v>
      </c>
      <c r="IJ10" s="39" t="str">
        <f t="shared" si="150"/>
        <v/>
      </c>
      <c r="IK10" s="39" t="str">
        <f t="shared" si="151"/>
        <v/>
      </c>
      <c r="IL10" s="257" t="str">
        <f t="shared" si="152"/>
        <v/>
      </c>
      <c r="IM10" s="257" t="str">
        <f t="shared" si="153"/>
        <v/>
      </c>
      <c r="IN10" s="257" t="str">
        <f t="shared" si="154"/>
        <v/>
      </c>
      <c r="IO10" s="579">
        <f t="shared" si="155"/>
        <v>85</v>
      </c>
      <c r="IP10" s="289">
        <f t="shared" si="156"/>
        <v>90</v>
      </c>
      <c r="IQ10" s="289">
        <f t="shared" si="157"/>
        <v>81.666666666666671</v>
      </c>
      <c r="IR10" s="223" t="str">
        <f>SISWA!E8</f>
        <v>Amira</v>
      </c>
      <c r="IS10" s="223" t="str">
        <f t="shared" si="158"/>
        <v xml:space="preserve">Ananda Amira </v>
      </c>
      <c r="IT10" s="580" t="str">
        <f t="shared" si="159"/>
        <v/>
      </c>
      <c r="IU10" s="580" t="str">
        <f t="shared" si="160"/>
        <v/>
      </c>
      <c r="IV10" s="580" t="str">
        <f t="shared" si="161"/>
        <v/>
      </c>
      <c r="IW10" s="580">
        <f t="shared" si="162"/>
        <v>90</v>
      </c>
      <c r="IX10" s="580" t="str">
        <f t="shared" si="163"/>
        <v/>
      </c>
      <c r="IY10" s="580" t="str">
        <f t="shared" si="164"/>
        <v/>
      </c>
      <c r="IZ10" s="580" t="str">
        <f t="shared" si="165"/>
        <v/>
      </c>
      <c r="JA10" s="580" t="str">
        <f t="shared" si="166"/>
        <v/>
      </c>
      <c r="JB10" s="580" t="str">
        <f t="shared" si="167"/>
        <v/>
      </c>
      <c r="JC10" s="580"/>
      <c r="JD10" s="580"/>
      <c r="JE10" s="223">
        <f t="shared" si="168"/>
        <v>90</v>
      </c>
      <c r="JF10" s="289" t="str">
        <f t="shared" si="169"/>
        <v>menyajikan karya tentang organ peredaran darah pada manusia</v>
      </c>
      <c r="JG10" s="576" t="str">
        <f>IF(IP10&gt;100,"",IF(IP10&gt;EV$1,"sangat baik dalam "&amp;JF10,IF(IP10&gt;=EV$2,"baik dalam "&amp;JF10,IF(IP10&gt;=EV$3,"cukup dalam "&amp;JF10,IF(IP10&lt;EV$3,"dengan bimbingan dapat meningkatkan dalam "&amp;JF10,IF(IP10&lt;1," ",””))))))</f>
        <v>baik dalam menyajikan karya tentang organ peredaran darah pada manusia</v>
      </c>
      <c r="JH10" s="223"/>
      <c r="JI10" s="223">
        <f t="shared" si="170"/>
        <v>81.666666666666671</v>
      </c>
      <c r="JJ10" s="223" t="str">
        <f t="shared" si="171"/>
        <v/>
      </c>
      <c r="JK10" s="223" t="str">
        <f t="shared" si="172"/>
        <v/>
      </c>
      <c r="JL10" s="223" t="str">
        <f t="shared" si="173"/>
        <v/>
      </c>
      <c r="JM10" s="223" t="str">
        <f t="shared" si="174"/>
        <v/>
      </c>
      <c r="JN10" s="223" t="str">
        <f t="shared" si="175"/>
        <v/>
      </c>
      <c r="JO10" s="223" t="str">
        <f t="shared" si="176"/>
        <v/>
      </c>
      <c r="JP10" s="223" t="str">
        <f t="shared" si="177"/>
        <v/>
      </c>
      <c r="JQ10" s="223" t="str">
        <f t="shared" si="178"/>
        <v/>
      </c>
      <c r="JR10" s="223"/>
      <c r="JS10" s="223"/>
      <c r="JT10" s="223" t="str">
        <f t="shared" si="179"/>
        <v>membuat model sederhana alat gerak manusia atau hewan</v>
      </c>
      <c r="JU10" s="577" t="str">
        <f>IF(IQ10&gt;100,"",IF(IQ10&gt;=EV$1,"sangat baik dalam "&amp;JT10,IF(IQ10&gt;=EV$2,"baik dalam "&amp;JT10,IF(IQ10&gt;=EV$3,"cukup dalam "&amp;JT10,IF(IQ10&lt;EV$3,"dengan bimbingan dapat meningkatkan dalam "&amp;JT10,IF(IQ10&lt;1," ",””))))))</f>
        <v>cukup dalam membuat model sederhana alat gerak manusia atau hewan</v>
      </c>
      <c r="JV10" s="223" t="str">
        <f t="shared" si="180"/>
        <v>Ananda Amira baik dalam menyajikan karya tentang organ peredaran darah pada manusia, cukup dalam membuat model sederhana alat gerak manusia atau hewan.</v>
      </c>
    </row>
    <row r="11" spans="1:282" ht="30">
      <c r="A11" s="39">
        <v>4</v>
      </c>
      <c r="B11" s="223" t="str">
        <f>SISWA!B9</f>
        <v>Andrian Putra Pangestu</v>
      </c>
      <c r="C11" s="123">
        <v>75</v>
      </c>
      <c r="D11" s="123"/>
      <c r="E11" s="123"/>
      <c r="F11" s="123"/>
      <c r="G11" s="123"/>
      <c r="H11" s="123"/>
      <c r="I11" s="123"/>
      <c r="J11" s="123"/>
      <c r="K11" s="123"/>
      <c r="L11" s="255">
        <v>75</v>
      </c>
      <c r="M11" s="255"/>
      <c r="N11" s="255"/>
      <c r="O11" s="255"/>
      <c r="P11" s="255"/>
      <c r="Q11" s="255"/>
      <c r="R11" s="255"/>
      <c r="S11" s="255"/>
      <c r="T11" s="255"/>
      <c r="U11" s="256">
        <v>75</v>
      </c>
      <c r="V11" s="256"/>
      <c r="W11" s="256"/>
      <c r="X11" s="256"/>
      <c r="Y11" s="256"/>
      <c r="Z11" s="256"/>
      <c r="AA11" s="256"/>
      <c r="AB11" s="256"/>
      <c r="AC11" s="256"/>
      <c r="AD11" s="123"/>
      <c r="AE11" s="123">
        <v>75</v>
      </c>
      <c r="AF11" s="123"/>
      <c r="AG11" s="123"/>
      <c r="AH11" s="123"/>
      <c r="AI11" s="123"/>
      <c r="AJ11" s="123"/>
      <c r="AK11" s="123"/>
      <c r="AL11" s="123"/>
      <c r="AM11" s="255"/>
      <c r="AN11" s="255">
        <v>75</v>
      </c>
      <c r="AO11" s="255"/>
      <c r="AP11" s="255"/>
      <c r="AQ11" s="255"/>
      <c r="AR11" s="255"/>
      <c r="AS11" s="255"/>
      <c r="AT11" s="255"/>
      <c r="AU11" s="255"/>
      <c r="AV11" s="256"/>
      <c r="AW11" s="256">
        <v>75</v>
      </c>
      <c r="AX11" s="256"/>
      <c r="AY11" s="256"/>
      <c r="AZ11" s="256"/>
      <c r="BA11" s="256"/>
      <c r="BB11" s="256"/>
      <c r="BC11" s="256"/>
      <c r="BD11" s="256"/>
      <c r="BE11" s="123"/>
      <c r="BF11" s="123"/>
      <c r="BG11" s="123">
        <v>75</v>
      </c>
      <c r="BH11" s="123"/>
      <c r="BI11" s="123"/>
      <c r="BJ11" s="123"/>
      <c r="BK11" s="123"/>
      <c r="BL11" s="123"/>
      <c r="BM11" s="123"/>
      <c r="BN11" s="255"/>
      <c r="BO11" s="255"/>
      <c r="BP11" s="255">
        <v>75</v>
      </c>
      <c r="BQ11" s="255"/>
      <c r="BR11" s="255"/>
      <c r="BS11" s="255"/>
      <c r="BT11" s="255"/>
      <c r="BU11" s="255"/>
      <c r="BV11" s="255"/>
      <c r="BW11" s="256"/>
      <c r="BX11" s="256"/>
      <c r="BY11" s="256">
        <v>75</v>
      </c>
      <c r="BZ11" s="256"/>
      <c r="CA11" s="256"/>
      <c r="CB11" s="256"/>
      <c r="CC11" s="256"/>
      <c r="CD11" s="256"/>
      <c r="CE11" s="256"/>
      <c r="CF11" s="123"/>
      <c r="CG11" s="123"/>
      <c r="CH11" s="123"/>
      <c r="CI11" s="123">
        <v>80</v>
      </c>
      <c r="CJ11" s="123"/>
      <c r="CK11" s="123"/>
      <c r="CL11" s="123"/>
      <c r="CM11" s="123"/>
      <c r="CN11" s="123"/>
      <c r="CO11" s="255"/>
      <c r="CP11" s="255"/>
      <c r="CQ11" s="255"/>
      <c r="CR11" s="255">
        <v>75</v>
      </c>
      <c r="CS11" s="255"/>
      <c r="CT11" s="255"/>
      <c r="CU11" s="255"/>
      <c r="CV11" s="255"/>
      <c r="CW11" s="255"/>
      <c r="CX11" s="256"/>
      <c r="CY11" s="256"/>
      <c r="CZ11" s="256"/>
      <c r="DA11" s="256">
        <v>75</v>
      </c>
      <c r="DB11" s="256"/>
      <c r="DC11" s="256"/>
      <c r="DD11" s="256"/>
      <c r="DE11" s="256"/>
      <c r="DF11" s="256"/>
      <c r="DG11" s="458">
        <v>80</v>
      </c>
      <c r="DH11" s="458"/>
      <c r="DI11" s="458"/>
      <c r="DJ11" s="458"/>
      <c r="DK11" s="458"/>
      <c r="DL11" s="458"/>
      <c r="DM11" s="458"/>
      <c r="DN11" s="458"/>
      <c r="DO11" s="458"/>
      <c r="DP11" s="457">
        <v>75</v>
      </c>
      <c r="DQ11" s="457"/>
      <c r="DR11" s="457"/>
      <c r="DS11" s="457"/>
      <c r="DT11" s="457"/>
      <c r="DU11" s="457"/>
      <c r="DV11" s="457"/>
      <c r="DW11" s="457"/>
      <c r="DX11" s="457"/>
      <c r="DY11" s="256">
        <v>75</v>
      </c>
      <c r="DZ11" s="256"/>
      <c r="EA11" s="256"/>
      <c r="EB11" s="256"/>
      <c r="EC11" s="256"/>
      <c r="ED11" s="256"/>
      <c r="EE11" s="256"/>
      <c r="EF11" s="256"/>
      <c r="EG11" s="256"/>
      <c r="EH11" s="257">
        <f t="shared" si="51"/>
        <v>76.666666666666671</v>
      </c>
      <c r="EI11" s="257">
        <f t="shared" si="52"/>
        <v>75</v>
      </c>
      <c r="EJ11" s="257">
        <f t="shared" si="53"/>
        <v>75</v>
      </c>
      <c r="EK11" s="257">
        <f t="shared" si="54"/>
        <v>76.666666666666671</v>
      </c>
      <c r="EL11" s="257" t="str">
        <f t="shared" si="55"/>
        <v/>
      </c>
      <c r="EM11" s="257" t="str">
        <f t="shared" si="56"/>
        <v/>
      </c>
      <c r="EN11" s="257" t="str">
        <f t="shared" si="57"/>
        <v/>
      </c>
      <c r="EO11" s="257" t="str">
        <f t="shared" si="58"/>
        <v/>
      </c>
      <c r="EP11" s="257" t="str">
        <f t="shared" si="59"/>
        <v/>
      </c>
      <c r="EQ11" s="756">
        <f t="shared" si="42"/>
        <v>76</v>
      </c>
      <c r="ER11" s="291" t="str">
        <f t="shared" si="60"/>
        <v>C</v>
      </c>
      <c r="ES11" s="243" t="str">
        <f t="shared" si="61"/>
        <v>Ananda Andri cukup dalam menyajikan karya tentang organ peredaran darah pada manusia, cukup dalam menyajikan karya tentang konsep organ dan fungsi pencernaan pada hewan atau manusia..</v>
      </c>
      <c r="ET11" s="39"/>
      <c r="EU11" s="39"/>
      <c r="EV11" s="257">
        <f t="shared" si="62"/>
        <v>80</v>
      </c>
      <c r="EW11" s="257">
        <f t="shared" si="63"/>
        <v>75</v>
      </c>
      <c r="EX11" s="257">
        <f t="shared" si="64"/>
        <v>75</v>
      </c>
      <c r="EY11" s="257">
        <f t="shared" si="65"/>
        <v>80</v>
      </c>
      <c r="EZ11" s="257">
        <f t="shared" si="66"/>
        <v>0</v>
      </c>
      <c r="FA11" s="257">
        <f t="shared" si="67"/>
        <v>0</v>
      </c>
      <c r="FB11" s="257">
        <f t="shared" si="68"/>
        <v>0</v>
      </c>
      <c r="FC11" s="257">
        <f t="shared" si="69"/>
        <v>0</v>
      </c>
      <c r="FD11" s="257">
        <f t="shared" si="70"/>
        <v>0</v>
      </c>
      <c r="FE11" s="257"/>
      <c r="FF11" s="289">
        <f t="shared" si="71"/>
        <v>80</v>
      </c>
      <c r="FG11" s="257">
        <f t="shared" si="72"/>
        <v>75</v>
      </c>
      <c r="FH11" s="257">
        <f t="shared" si="73"/>
        <v>75</v>
      </c>
      <c r="FI11" s="257">
        <f t="shared" si="74"/>
        <v>75</v>
      </c>
      <c r="FJ11" s="257">
        <f t="shared" si="75"/>
        <v>75</v>
      </c>
      <c r="FK11" s="257">
        <f t="shared" si="76"/>
        <v>0</v>
      </c>
      <c r="FL11" s="257">
        <f t="shared" si="77"/>
        <v>0</v>
      </c>
      <c r="FM11" s="257">
        <f t="shared" si="78"/>
        <v>0</v>
      </c>
      <c r="FN11" s="257">
        <f t="shared" si="79"/>
        <v>0</v>
      </c>
      <c r="FO11" s="257">
        <f t="shared" si="80"/>
        <v>0</v>
      </c>
      <c r="FP11" s="223"/>
      <c r="FQ11" s="289">
        <f t="shared" si="81"/>
        <v>75</v>
      </c>
      <c r="FR11" s="257">
        <f t="shared" si="82"/>
        <v>75</v>
      </c>
      <c r="FS11" s="257">
        <f t="shared" si="83"/>
        <v>75</v>
      </c>
      <c r="FT11" s="257">
        <f t="shared" si="84"/>
        <v>75</v>
      </c>
      <c r="FU11" s="257">
        <f t="shared" si="85"/>
        <v>75</v>
      </c>
      <c r="FV11" s="257">
        <f t="shared" si="86"/>
        <v>0</v>
      </c>
      <c r="FW11" s="257">
        <f t="shared" si="87"/>
        <v>0</v>
      </c>
      <c r="FX11" s="257">
        <f t="shared" si="88"/>
        <v>0</v>
      </c>
      <c r="FY11" s="257">
        <f t="shared" si="89"/>
        <v>0</v>
      </c>
      <c r="FZ11" s="257">
        <f t="shared" si="90"/>
        <v>0</v>
      </c>
      <c r="GA11" s="223"/>
      <c r="GB11" s="289">
        <f t="shared" si="91"/>
        <v>75</v>
      </c>
      <c r="GC11" s="257">
        <f t="shared" si="92"/>
        <v>80</v>
      </c>
      <c r="GD11" s="257">
        <f t="shared" si="93"/>
        <v>75</v>
      </c>
      <c r="GE11" s="257">
        <f t="shared" si="94"/>
        <v>75</v>
      </c>
      <c r="GF11" s="575">
        <f t="shared" si="95"/>
        <v>0</v>
      </c>
      <c r="GG11" s="506">
        <f t="shared" si="96"/>
        <v>3</v>
      </c>
      <c r="GH11" s="39">
        <f t="shared" si="97"/>
        <v>76.666666666666671</v>
      </c>
      <c r="GI11" s="257">
        <f t="shared" si="98"/>
        <v>75</v>
      </c>
      <c r="GJ11" s="257">
        <f t="shared" si="99"/>
        <v>75</v>
      </c>
      <c r="GK11" s="257">
        <f t="shared" si="100"/>
        <v>75</v>
      </c>
      <c r="GL11" s="575">
        <f t="shared" si="101"/>
        <v>0</v>
      </c>
      <c r="GM11" s="506">
        <f t="shared" si="102"/>
        <v>3</v>
      </c>
      <c r="GN11" s="39">
        <f t="shared" si="103"/>
        <v>75</v>
      </c>
      <c r="GO11" s="257">
        <f t="shared" si="104"/>
        <v>75</v>
      </c>
      <c r="GP11" s="257">
        <f t="shared" si="105"/>
        <v>75</v>
      </c>
      <c r="GQ11" s="257">
        <f t="shared" si="106"/>
        <v>75</v>
      </c>
      <c r="GR11" s="575">
        <f t="shared" si="107"/>
        <v>0</v>
      </c>
      <c r="GS11" s="506">
        <f t="shared" si="108"/>
        <v>3</v>
      </c>
      <c r="GT11" s="39">
        <f t="shared" si="109"/>
        <v>75</v>
      </c>
      <c r="GU11" s="257">
        <f t="shared" si="110"/>
        <v>80</v>
      </c>
      <c r="GV11" s="257">
        <f t="shared" si="111"/>
        <v>75</v>
      </c>
      <c r="GW11" s="257">
        <f t="shared" si="112"/>
        <v>75</v>
      </c>
      <c r="GX11" s="575">
        <f t="shared" si="113"/>
        <v>0</v>
      </c>
      <c r="GY11" s="506">
        <f t="shared" si="114"/>
        <v>3</v>
      </c>
      <c r="GZ11" s="39">
        <f t="shared" si="115"/>
        <v>76.666666666666671</v>
      </c>
      <c r="HA11" s="257">
        <f t="shared" si="116"/>
        <v>0</v>
      </c>
      <c r="HB11" s="257">
        <f t="shared" si="117"/>
        <v>0</v>
      </c>
      <c r="HC11" s="257">
        <f t="shared" si="118"/>
        <v>0</v>
      </c>
      <c r="HD11" s="575">
        <f t="shared" si="119"/>
        <v>3</v>
      </c>
      <c r="HE11" s="506">
        <f t="shared" si="120"/>
        <v>0</v>
      </c>
      <c r="HF11" s="39" t="str">
        <f t="shared" si="121"/>
        <v/>
      </c>
      <c r="HG11" s="257">
        <f t="shared" si="122"/>
        <v>0</v>
      </c>
      <c r="HH11" s="257">
        <f t="shared" si="123"/>
        <v>0</v>
      </c>
      <c r="HI11" s="257">
        <f t="shared" si="124"/>
        <v>0</v>
      </c>
      <c r="HJ11" s="575">
        <f t="shared" si="125"/>
        <v>3</v>
      </c>
      <c r="HK11" s="506">
        <f t="shared" si="126"/>
        <v>0</v>
      </c>
      <c r="HL11" s="39" t="str">
        <f t="shared" si="127"/>
        <v/>
      </c>
      <c r="HM11" s="257">
        <f t="shared" si="128"/>
        <v>0</v>
      </c>
      <c r="HN11" s="257">
        <f t="shared" si="129"/>
        <v>0</v>
      </c>
      <c r="HO11" s="257">
        <f t="shared" si="130"/>
        <v>0</v>
      </c>
      <c r="HP11" s="575">
        <f t="shared" si="131"/>
        <v>3</v>
      </c>
      <c r="HQ11" s="506">
        <f t="shared" si="132"/>
        <v>0</v>
      </c>
      <c r="HR11" s="39" t="str">
        <f t="shared" si="133"/>
        <v/>
      </c>
      <c r="HS11" s="257">
        <f t="shared" si="134"/>
        <v>0</v>
      </c>
      <c r="HT11" s="257">
        <f t="shared" si="135"/>
        <v>0</v>
      </c>
      <c r="HU11" s="257">
        <f t="shared" si="136"/>
        <v>0</v>
      </c>
      <c r="HV11" s="575">
        <f t="shared" si="137"/>
        <v>3</v>
      </c>
      <c r="HW11" s="506">
        <f t="shared" si="138"/>
        <v>0</v>
      </c>
      <c r="HX11" s="39" t="str">
        <f t="shared" si="139"/>
        <v/>
      </c>
      <c r="HY11" s="257">
        <f t="shared" si="140"/>
        <v>0</v>
      </c>
      <c r="HZ11" s="257">
        <f t="shared" si="141"/>
        <v>0</v>
      </c>
      <c r="IA11" s="257">
        <f t="shared" si="142"/>
        <v>0</v>
      </c>
      <c r="IB11" s="575">
        <f t="shared" si="143"/>
        <v>3</v>
      </c>
      <c r="IC11" s="506">
        <f t="shared" si="144"/>
        <v>0</v>
      </c>
      <c r="ID11" s="39" t="str">
        <f t="shared" si="145"/>
        <v/>
      </c>
      <c r="IE11" s="39"/>
      <c r="IF11" s="39">
        <f t="shared" si="146"/>
        <v>76.666666666666671</v>
      </c>
      <c r="IG11" s="39">
        <f t="shared" si="147"/>
        <v>75</v>
      </c>
      <c r="IH11" s="39">
        <f t="shared" si="148"/>
        <v>75</v>
      </c>
      <c r="II11" s="39">
        <f t="shared" si="149"/>
        <v>76.666666666666671</v>
      </c>
      <c r="IJ11" s="39" t="str">
        <f t="shared" si="150"/>
        <v/>
      </c>
      <c r="IK11" s="39" t="str">
        <f t="shared" si="151"/>
        <v/>
      </c>
      <c r="IL11" s="257" t="str">
        <f t="shared" si="152"/>
        <v/>
      </c>
      <c r="IM11" s="257" t="str">
        <f t="shared" si="153"/>
        <v/>
      </c>
      <c r="IN11" s="257" t="str">
        <f t="shared" si="154"/>
        <v/>
      </c>
      <c r="IO11" s="579">
        <f t="shared" si="155"/>
        <v>76</v>
      </c>
      <c r="IP11" s="289">
        <f t="shared" si="156"/>
        <v>76.666666666666671</v>
      </c>
      <c r="IQ11" s="289">
        <f t="shared" si="157"/>
        <v>75</v>
      </c>
      <c r="IR11" s="223" t="str">
        <f>SISWA!E9</f>
        <v>Andri</v>
      </c>
      <c r="IS11" s="223" t="str">
        <f t="shared" si="158"/>
        <v xml:space="preserve">Ananda Andri </v>
      </c>
      <c r="IT11" s="580">
        <f t="shared" si="159"/>
        <v>76.666666666666671</v>
      </c>
      <c r="IU11" s="580" t="str">
        <f t="shared" si="160"/>
        <v/>
      </c>
      <c r="IV11" s="580" t="str">
        <f t="shared" si="161"/>
        <v/>
      </c>
      <c r="IW11" s="580">
        <f t="shared" si="162"/>
        <v>76.666666666666671</v>
      </c>
      <c r="IX11" s="580" t="str">
        <f t="shared" si="163"/>
        <v/>
      </c>
      <c r="IY11" s="580" t="str">
        <f t="shared" si="164"/>
        <v/>
      </c>
      <c r="IZ11" s="580" t="str">
        <f t="shared" si="165"/>
        <v/>
      </c>
      <c r="JA11" s="580" t="str">
        <f t="shared" si="166"/>
        <v/>
      </c>
      <c r="JB11" s="580" t="str">
        <f t="shared" si="167"/>
        <v/>
      </c>
      <c r="JC11" s="580"/>
      <c r="JD11" s="580"/>
      <c r="JE11" s="223">
        <f t="shared" si="168"/>
        <v>153.33333333333334</v>
      </c>
      <c r="JF11" s="289" t="str">
        <f t="shared" si="169"/>
        <v>menyajikan karya tentang organ peredaran darah pada manusia</v>
      </c>
      <c r="JG11" s="576" t="str">
        <f>IF(IP11&gt;100,"",IF(IP11&gt;EV$1,"sangat baik dalam "&amp;JF11,IF(IP11&gt;=EV$2,"baik dalam "&amp;JF11,IF(IP11&gt;=EV$3,"cukup dalam "&amp;JF11,IF(IP11&lt;EV$3,"dengan bimbingan dapat meningkatkan dalam "&amp;JF11,IF(IP11&lt;1," ",””))))))</f>
        <v>cukup dalam menyajikan karya tentang organ peredaran darah pada manusia</v>
      </c>
      <c r="JH11" s="223"/>
      <c r="JI11" s="223" t="str">
        <f t="shared" si="170"/>
        <v/>
      </c>
      <c r="JJ11" s="223">
        <f t="shared" si="171"/>
        <v>75</v>
      </c>
      <c r="JK11" s="223">
        <f t="shared" si="172"/>
        <v>75</v>
      </c>
      <c r="JL11" s="223" t="str">
        <f t="shared" si="173"/>
        <v/>
      </c>
      <c r="JM11" s="223" t="str">
        <f t="shared" si="174"/>
        <v/>
      </c>
      <c r="JN11" s="223" t="str">
        <f t="shared" si="175"/>
        <v/>
      </c>
      <c r="JO11" s="223" t="str">
        <f t="shared" si="176"/>
        <v/>
      </c>
      <c r="JP11" s="223" t="str">
        <f t="shared" si="177"/>
        <v/>
      </c>
      <c r="JQ11" s="223" t="str">
        <f t="shared" si="178"/>
        <v/>
      </c>
      <c r="JR11" s="223"/>
      <c r="JS11" s="223"/>
      <c r="JT11" s="223" t="str">
        <f t="shared" si="179"/>
        <v>menyajikan karya tentang konsep organ dan fungsi pencernaan pada hewan atau manusia.</v>
      </c>
      <c r="JU11" s="577" t="str">
        <f>IF(IQ11&gt;100,"",IF(IQ11&gt;=EV$1,"sangat baik dalam "&amp;JT11,IF(IQ11&gt;=EV$2,"baik dalam "&amp;JT11,IF(IQ11&gt;=EV$3,"cukup dalam "&amp;JT11,IF(IQ11&lt;EV$3,"dengan bimbingan dapat meningkatkan dalam "&amp;JT11,IF(IQ11&lt;1," ",””))))))</f>
        <v>cukup dalam menyajikan karya tentang konsep organ dan fungsi pencernaan pada hewan atau manusia.</v>
      </c>
      <c r="JV11" s="223" t="str">
        <f t="shared" si="180"/>
        <v>Ananda Andri cukup dalam menyajikan karya tentang organ peredaran darah pada manusia, cukup dalam menyajikan karya tentang konsep organ dan fungsi pencernaan pada hewan atau manusia..</v>
      </c>
    </row>
    <row r="12" spans="1:282" ht="30">
      <c r="A12" s="39">
        <v>5</v>
      </c>
      <c r="B12" s="223" t="str">
        <f>SISWA!B10</f>
        <v>Gresiya Suma Safitri</v>
      </c>
      <c r="C12" s="123">
        <v>90</v>
      </c>
      <c r="D12" s="123"/>
      <c r="E12" s="123"/>
      <c r="F12" s="123"/>
      <c r="G12" s="123"/>
      <c r="H12" s="123"/>
      <c r="I12" s="123"/>
      <c r="J12" s="123"/>
      <c r="K12" s="123"/>
      <c r="L12" s="255">
        <v>75</v>
      </c>
      <c r="M12" s="255"/>
      <c r="N12" s="255"/>
      <c r="O12" s="255"/>
      <c r="P12" s="255"/>
      <c r="Q12" s="255"/>
      <c r="R12" s="255"/>
      <c r="S12" s="255"/>
      <c r="T12" s="255"/>
      <c r="U12" s="256">
        <v>80</v>
      </c>
      <c r="V12" s="256"/>
      <c r="W12" s="256"/>
      <c r="X12" s="256"/>
      <c r="Y12" s="256"/>
      <c r="Z12" s="256"/>
      <c r="AA12" s="256"/>
      <c r="AB12" s="256"/>
      <c r="AC12" s="256"/>
      <c r="AD12" s="123"/>
      <c r="AE12" s="123">
        <v>90</v>
      </c>
      <c r="AF12" s="123"/>
      <c r="AG12" s="123"/>
      <c r="AH12" s="123"/>
      <c r="AI12" s="123"/>
      <c r="AJ12" s="123"/>
      <c r="AK12" s="123"/>
      <c r="AL12" s="123"/>
      <c r="AM12" s="255"/>
      <c r="AN12" s="255">
        <v>85</v>
      </c>
      <c r="AO12" s="255"/>
      <c r="AP12" s="255"/>
      <c r="AQ12" s="255"/>
      <c r="AR12" s="255"/>
      <c r="AS12" s="255"/>
      <c r="AT12" s="255"/>
      <c r="AU12" s="255"/>
      <c r="AV12" s="256"/>
      <c r="AW12" s="256">
        <v>90</v>
      </c>
      <c r="AX12" s="256"/>
      <c r="AY12" s="256"/>
      <c r="AZ12" s="256"/>
      <c r="BA12" s="256"/>
      <c r="BB12" s="256"/>
      <c r="BC12" s="256"/>
      <c r="BD12" s="256"/>
      <c r="BE12" s="123"/>
      <c r="BF12" s="123"/>
      <c r="BG12" s="123">
        <v>85</v>
      </c>
      <c r="BH12" s="123"/>
      <c r="BI12" s="123"/>
      <c r="BJ12" s="123"/>
      <c r="BK12" s="123"/>
      <c r="BL12" s="123"/>
      <c r="BM12" s="123"/>
      <c r="BN12" s="255"/>
      <c r="BO12" s="255"/>
      <c r="BP12" s="255">
        <v>80</v>
      </c>
      <c r="BQ12" s="255"/>
      <c r="BR12" s="255"/>
      <c r="BS12" s="255"/>
      <c r="BT12" s="255"/>
      <c r="BU12" s="255"/>
      <c r="BV12" s="255"/>
      <c r="BW12" s="256"/>
      <c r="BX12" s="256"/>
      <c r="BY12" s="256">
        <v>90</v>
      </c>
      <c r="BZ12" s="256"/>
      <c r="CA12" s="256"/>
      <c r="CB12" s="256"/>
      <c r="CC12" s="256"/>
      <c r="CD12" s="256"/>
      <c r="CE12" s="256"/>
      <c r="CF12" s="123"/>
      <c r="CG12" s="123"/>
      <c r="CH12" s="123"/>
      <c r="CI12" s="123">
        <v>85</v>
      </c>
      <c r="CJ12" s="123"/>
      <c r="CK12" s="123"/>
      <c r="CL12" s="123"/>
      <c r="CM12" s="123"/>
      <c r="CN12" s="123"/>
      <c r="CO12" s="255"/>
      <c r="CP12" s="255"/>
      <c r="CQ12" s="255"/>
      <c r="CR12" s="255">
        <v>90</v>
      </c>
      <c r="CS12" s="255"/>
      <c r="CT12" s="255"/>
      <c r="CU12" s="255"/>
      <c r="CV12" s="255"/>
      <c r="CW12" s="255"/>
      <c r="CX12" s="256"/>
      <c r="CY12" s="256"/>
      <c r="CZ12" s="256"/>
      <c r="DA12" s="256">
        <v>75</v>
      </c>
      <c r="DB12" s="256"/>
      <c r="DC12" s="256"/>
      <c r="DD12" s="256"/>
      <c r="DE12" s="256"/>
      <c r="DF12" s="256"/>
      <c r="DG12" s="458">
        <v>85</v>
      </c>
      <c r="DH12" s="458"/>
      <c r="DI12" s="458"/>
      <c r="DJ12" s="458"/>
      <c r="DK12" s="458"/>
      <c r="DL12" s="458"/>
      <c r="DM12" s="458"/>
      <c r="DN12" s="458"/>
      <c r="DO12" s="458"/>
      <c r="DP12" s="457">
        <v>90</v>
      </c>
      <c r="DQ12" s="457"/>
      <c r="DR12" s="457"/>
      <c r="DS12" s="457"/>
      <c r="DT12" s="457"/>
      <c r="DU12" s="457"/>
      <c r="DV12" s="457"/>
      <c r="DW12" s="457"/>
      <c r="DX12" s="457"/>
      <c r="DY12" s="256">
        <v>75</v>
      </c>
      <c r="DZ12" s="256"/>
      <c r="EA12" s="256"/>
      <c r="EB12" s="256"/>
      <c r="EC12" s="256"/>
      <c r="ED12" s="256"/>
      <c r="EE12" s="256"/>
      <c r="EF12" s="256"/>
      <c r="EG12" s="256"/>
      <c r="EH12" s="257">
        <f t="shared" si="51"/>
        <v>86.666666666666671</v>
      </c>
      <c r="EI12" s="257">
        <f t="shared" si="52"/>
        <v>88.333333333333329</v>
      </c>
      <c r="EJ12" s="257">
        <f t="shared" si="53"/>
        <v>85</v>
      </c>
      <c r="EK12" s="257">
        <f t="shared" si="54"/>
        <v>83.333333333333329</v>
      </c>
      <c r="EL12" s="257" t="str">
        <f t="shared" si="55"/>
        <v/>
      </c>
      <c r="EM12" s="257" t="str">
        <f t="shared" si="56"/>
        <v/>
      </c>
      <c r="EN12" s="257" t="str">
        <f t="shared" si="57"/>
        <v/>
      </c>
      <c r="EO12" s="257" t="str">
        <f t="shared" si="58"/>
        <v/>
      </c>
      <c r="EP12" s="257" t="str">
        <f t="shared" si="59"/>
        <v/>
      </c>
      <c r="EQ12" s="756">
        <f t="shared" si="42"/>
        <v>86</v>
      </c>
      <c r="ER12" s="291" t="str">
        <f t="shared" si="60"/>
        <v>B</v>
      </c>
      <c r="ES12" s="243" t="str">
        <f t="shared" si="61"/>
        <v>Ananda Gresia baik dalam membuat model sederhana organ pernapasan manusia, baik dalam menyajikan karya tentang organ peredaran darah pada manusia.</v>
      </c>
      <c r="ET12" s="39"/>
      <c r="EU12" s="39"/>
      <c r="EV12" s="257">
        <f t="shared" si="62"/>
        <v>90</v>
      </c>
      <c r="EW12" s="257">
        <f t="shared" si="63"/>
        <v>90</v>
      </c>
      <c r="EX12" s="257">
        <f t="shared" si="64"/>
        <v>85</v>
      </c>
      <c r="EY12" s="257">
        <f t="shared" si="65"/>
        <v>85</v>
      </c>
      <c r="EZ12" s="257">
        <f t="shared" si="66"/>
        <v>0</v>
      </c>
      <c r="FA12" s="257">
        <f t="shared" si="67"/>
        <v>0</v>
      </c>
      <c r="FB12" s="257">
        <f t="shared" si="68"/>
        <v>0</v>
      </c>
      <c r="FC12" s="257">
        <f t="shared" si="69"/>
        <v>0</v>
      </c>
      <c r="FD12" s="257">
        <f t="shared" si="70"/>
        <v>0</v>
      </c>
      <c r="FE12" s="257"/>
      <c r="FF12" s="289">
        <f t="shared" si="71"/>
        <v>90</v>
      </c>
      <c r="FG12" s="257">
        <f t="shared" si="72"/>
        <v>90</v>
      </c>
      <c r="FH12" s="257">
        <f t="shared" si="73"/>
        <v>85</v>
      </c>
      <c r="FI12" s="257">
        <f t="shared" si="74"/>
        <v>80</v>
      </c>
      <c r="FJ12" s="257">
        <f t="shared" si="75"/>
        <v>90</v>
      </c>
      <c r="FK12" s="257">
        <f t="shared" si="76"/>
        <v>0</v>
      </c>
      <c r="FL12" s="257">
        <f t="shared" si="77"/>
        <v>0</v>
      </c>
      <c r="FM12" s="257">
        <f t="shared" si="78"/>
        <v>0</v>
      </c>
      <c r="FN12" s="257">
        <f t="shared" si="79"/>
        <v>0</v>
      </c>
      <c r="FO12" s="257">
        <f t="shared" si="80"/>
        <v>0</v>
      </c>
      <c r="FP12" s="223"/>
      <c r="FQ12" s="289">
        <f t="shared" si="81"/>
        <v>90</v>
      </c>
      <c r="FR12" s="257">
        <f t="shared" si="82"/>
        <v>80</v>
      </c>
      <c r="FS12" s="257">
        <f t="shared" si="83"/>
        <v>90</v>
      </c>
      <c r="FT12" s="257">
        <f t="shared" si="84"/>
        <v>90</v>
      </c>
      <c r="FU12" s="257">
        <f t="shared" si="85"/>
        <v>75</v>
      </c>
      <c r="FV12" s="257">
        <f t="shared" si="86"/>
        <v>0</v>
      </c>
      <c r="FW12" s="257">
        <f t="shared" si="87"/>
        <v>0</v>
      </c>
      <c r="FX12" s="257">
        <f t="shared" si="88"/>
        <v>0</v>
      </c>
      <c r="FY12" s="257">
        <f t="shared" si="89"/>
        <v>0</v>
      </c>
      <c r="FZ12" s="257">
        <f t="shared" si="90"/>
        <v>0</v>
      </c>
      <c r="GA12" s="223"/>
      <c r="GB12" s="289">
        <f t="shared" si="91"/>
        <v>90</v>
      </c>
      <c r="GC12" s="257">
        <f t="shared" si="92"/>
        <v>90</v>
      </c>
      <c r="GD12" s="257">
        <f t="shared" si="93"/>
        <v>90</v>
      </c>
      <c r="GE12" s="257">
        <f t="shared" si="94"/>
        <v>80</v>
      </c>
      <c r="GF12" s="575">
        <f t="shared" si="95"/>
        <v>0</v>
      </c>
      <c r="GG12" s="506">
        <f t="shared" si="96"/>
        <v>3</v>
      </c>
      <c r="GH12" s="39">
        <f t="shared" si="97"/>
        <v>86.666666666666671</v>
      </c>
      <c r="GI12" s="257">
        <f t="shared" si="98"/>
        <v>90</v>
      </c>
      <c r="GJ12" s="257">
        <f t="shared" si="99"/>
        <v>85</v>
      </c>
      <c r="GK12" s="257">
        <f t="shared" si="100"/>
        <v>90</v>
      </c>
      <c r="GL12" s="575">
        <f t="shared" si="101"/>
        <v>0</v>
      </c>
      <c r="GM12" s="506">
        <f t="shared" si="102"/>
        <v>3</v>
      </c>
      <c r="GN12" s="39">
        <f t="shared" si="103"/>
        <v>88.333333333333329</v>
      </c>
      <c r="GO12" s="257">
        <f t="shared" si="104"/>
        <v>85</v>
      </c>
      <c r="GP12" s="257">
        <f t="shared" si="105"/>
        <v>80</v>
      </c>
      <c r="GQ12" s="257">
        <f t="shared" si="106"/>
        <v>90</v>
      </c>
      <c r="GR12" s="575">
        <f t="shared" si="107"/>
        <v>0</v>
      </c>
      <c r="GS12" s="506">
        <f t="shared" si="108"/>
        <v>3</v>
      </c>
      <c r="GT12" s="39">
        <f t="shared" si="109"/>
        <v>85</v>
      </c>
      <c r="GU12" s="257">
        <f t="shared" si="110"/>
        <v>85</v>
      </c>
      <c r="GV12" s="257">
        <f t="shared" si="111"/>
        <v>90</v>
      </c>
      <c r="GW12" s="257">
        <f t="shared" si="112"/>
        <v>75</v>
      </c>
      <c r="GX12" s="575">
        <f t="shared" si="113"/>
        <v>0</v>
      </c>
      <c r="GY12" s="506">
        <f t="shared" si="114"/>
        <v>3</v>
      </c>
      <c r="GZ12" s="39">
        <f t="shared" si="115"/>
        <v>83.333333333333329</v>
      </c>
      <c r="HA12" s="257">
        <f t="shared" si="116"/>
        <v>0</v>
      </c>
      <c r="HB12" s="257">
        <f t="shared" si="117"/>
        <v>0</v>
      </c>
      <c r="HC12" s="257">
        <f t="shared" si="118"/>
        <v>0</v>
      </c>
      <c r="HD12" s="575">
        <f t="shared" si="119"/>
        <v>3</v>
      </c>
      <c r="HE12" s="506">
        <f t="shared" si="120"/>
        <v>0</v>
      </c>
      <c r="HF12" s="39" t="str">
        <f t="shared" si="121"/>
        <v/>
      </c>
      <c r="HG12" s="257">
        <f t="shared" si="122"/>
        <v>0</v>
      </c>
      <c r="HH12" s="257">
        <f t="shared" si="123"/>
        <v>0</v>
      </c>
      <c r="HI12" s="257">
        <f t="shared" si="124"/>
        <v>0</v>
      </c>
      <c r="HJ12" s="575">
        <f t="shared" si="125"/>
        <v>3</v>
      </c>
      <c r="HK12" s="506">
        <f t="shared" si="126"/>
        <v>0</v>
      </c>
      <c r="HL12" s="39" t="str">
        <f t="shared" si="127"/>
        <v/>
      </c>
      <c r="HM12" s="257">
        <f t="shared" si="128"/>
        <v>0</v>
      </c>
      <c r="HN12" s="257">
        <f t="shared" si="129"/>
        <v>0</v>
      </c>
      <c r="HO12" s="257">
        <f t="shared" si="130"/>
        <v>0</v>
      </c>
      <c r="HP12" s="575">
        <f t="shared" si="131"/>
        <v>3</v>
      </c>
      <c r="HQ12" s="506">
        <f t="shared" si="132"/>
        <v>0</v>
      </c>
      <c r="HR12" s="39" t="str">
        <f t="shared" si="133"/>
        <v/>
      </c>
      <c r="HS12" s="257">
        <f t="shared" si="134"/>
        <v>0</v>
      </c>
      <c r="HT12" s="257">
        <f t="shared" si="135"/>
        <v>0</v>
      </c>
      <c r="HU12" s="257">
        <f t="shared" si="136"/>
        <v>0</v>
      </c>
      <c r="HV12" s="575">
        <f t="shared" si="137"/>
        <v>3</v>
      </c>
      <c r="HW12" s="506">
        <f t="shared" si="138"/>
        <v>0</v>
      </c>
      <c r="HX12" s="39" t="str">
        <f t="shared" si="139"/>
        <v/>
      </c>
      <c r="HY12" s="257">
        <f t="shared" si="140"/>
        <v>0</v>
      </c>
      <c r="HZ12" s="257">
        <f t="shared" si="141"/>
        <v>0</v>
      </c>
      <c r="IA12" s="257">
        <f t="shared" si="142"/>
        <v>0</v>
      </c>
      <c r="IB12" s="575">
        <f t="shared" si="143"/>
        <v>3</v>
      </c>
      <c r="IC12" s="506">
        <f t="shared" si="144"/>
        <v>0</v>
      </c>
      <c r="ID12" s="39" t="str">
        <f t="shared" si="145"/>
        <v/>
      </c>
      <c r="IE12" s="39"/>
      <c r="IF12" s="39">
        <f t="shared" si="146"/>
        <v>86.666666666666671</v>
      </c>
      <c r="IG12" s="39">
        <f t="shared" si="147"/>
        <v>88.333333333333329</v>
      </c>
      <c r="IH12" s="39">
        <f t="shared" si="148"/>
        <v>85</v>
      </c>
      <c r="II12" s="39">
        <f t="shared" si="149"/>
        <v>83.333333333333329</v>
      </c>
      <c r="IJ12" s="39" t="str">
        <f t="shared" si="150"/>
        <v/>
      </c>
      <c r="IK12" s="39" t="str">
        <f t="shared" si="151"/>
        <v/>
      </c>
      <c r="IL12" s="257" t="str">
        <f t="shared" si="152"/>
        <v/>
      </c>
      <c r="IM12" s="257" t="str">
        <f t="shared" si="153"/>
        <v/>
      </c>
      <c r="IN12" s="257" t="str">
        <f t="shared" si="154"/>
        <v/>
      </c>
      <c r="IO12" s="579">
        <f t="shared" si="155"/>
        <v>86</v>
      </c>
      <c r="IP12" s="289">
        <f t="shared" si="156"/>
        <v>88.333333333333329</v>
      </c>
      <c r="IQ12" s="289">
        <f t="shared" si="157"/>
        <v>83.333333333333329</v>
      </c>
      <c r="IR12" s="223" t="str">
        <f>SISWA!E10</f>
        <v>Gresia</v>
      </c>
      <c r="IS12" s="223" t="str">
        <f t="shared" si="158"/>
        <v xml:space="preserve">Ananda Gresia </v>
      </c>
      <c r="IT12" s="580" t="str">
        <f t="shared" si="159"/>
        <v/>
      </c>
      <c r="IU12" s="580">
        <f t="shared" si="160"/>
        <v>88.333333333333329</v>
      </c>
      <c r="IV12" s="580" t="str">
        <f t="shared" si="161"/>
        <v/>
      </c>
      <c r="IW12" s="580" t="str">
        <f t="shared" si="162"/>
        <v/>
      </c>
      <c r="IX12" s="580" t="str">
        <f t="shared" si="163"/>
        <v/>
      </c>
      <c r="IY12" s="580" t="str">
        <f t="shared" si="164"/>
        <v/>
      </c>
      <c r="IZ12" s="580" t="str">
        <f t="shared" si="165"/>
        <v/>
      </c>
      <c r="JA12" s="580" t="str">
        <f t="shared" si="166"/>
        <v/>
      </c>
      <c r="JB12" s="580" t="str">
        <f t="shared" si="167"/>
        <v/>
      </c>
      <c r="JC12" s="580"/>
      <c r="JD12" s="580"/>
      <c r="JE12" s="223">
        <f t="shared" si="168"/>
        <v>88.333333333333329</v>
      </c>
      <c r="JF12" s="289" t="str">
        <f t="shared" si="169"/>
        <v>membuat model sederhana organ pernapasan manusia</v>
      </c>
      <c r="JG12" s="576" t="str">
        <f>IF(IP12&gt;100,"",IF(IP12&gt;EV$1,"sangat baik dalam "&amp;JF12,IF(IP12&gt;=EV$2,"baik dalam "&amp;JF12,IF(IP12&gt;=EV$3,"cukup dalam "&amp;JF12,IF(IP12&lt;EV$3,"dengan bimbingan dapat meningkatkan dalam "&amp;JF12,IF(IP12&lt;1," ",””))))))</f>
        <v>baik dalam membuat model sederhana organ pernapasan manusia</v>
      </c>
      <c r="JH12" s="223"/>
      <c r="JI12" s="223" t="str">
        <f t="shared" si="170"/>
        <v/>
      </c>
      <c r="JJ12" s="223" t="str">
        <f t="shared" si="171"/>
        <v/>
      </c>
      <c r="JK12" s="223" t="str">
        <f t="shared" si="172"/>
        <v/>
      </c>
      <c r="JL12" s="223">
        <f t="shared" si="173"/>
        <v>83.333333333333329</v>
      </c>
      <c r="JM12" s="223" t="str">
        <f t="shared" si="174"/>
        <v/>
      </c>
      <c r="JN12" s="223" t="str">
        <f t="shared" si="175"/>
        <v/>
      </c>
      <c r="JO12" s="223" t="str">
        <f t="shared" si="176"/>
        <v/>
      </c>
      <c r="JP12" s="223" t="str">
        <f t="shared" si="177"/>
        <v/>
      </c>
      <c r="JQ12" s="223" t="str">
        <f t="shared" si="178"/>
        <v/>
      </c>
      <c r="JR12" s="223"/>
      <c r="JS12" s="223"/>
      <c r="JT12" s="223" t="str">
        <f t="shared" si="179"/>
        <v>menyajikan karya tentang organ peredaran darah pada manusia</v>
      </c>
      <c r="JU12" s="577" t="str">
        <f>IF(IQ12&gt;100,"",IF(IQ12&gt;=EV$1,"sangat baik dalam "&amp;JT12,IF(IQ12&gt;=EV$2,"baik dalam "&amp;JT12,IF(IQ12&gt;=EV$3,"cukup dalam "&amp;JT12,IF(IQ12&lt;EV$3,"dengan bimbingan dapat meningkatkan dalam "&amp;JT12,IF(IQ12&lt;1," ",””))))))</f>
        <v>baik dalam menyajikan karya tentang organ peredaran darah pada manusia</v>
      </c>
      <c r="JV12" s="223" t="str">
        <f t="shared" si="180"/>
        <v>Ananda Gresia baik dalam membuat model sederhana organ pernapasan manusia, baik dalam menyajikan karya tentang organ peredaran darah pada manusia.</v>
      </c>
    </row>
    <row r="13" spans="1:282" ht="30">
      <c r="A13" s="39">
        <v>6</v>
      </c>
      <c r="B13" s="223" t="str">
        <f>SISWA!B11</f>
        <v>Hasna Fathitya Sabrina</v>
      </c>
      <c r="C13" s="123">
        <v>75</v>
      </c>
      <c r="D13" s="123"/>
      <c r="E13" s="123"/>
      <c r="F13" s="123"/>
      <c r="G13" s="123"/>
      <c r="H13" s="123"/>
      <c r="I13" s="123"/>
      <c r="J13" s="123"/>
      <c r="K13" s="123"/>
      <c r="L13" s="255">
        <v>90</v>
      </c>
      <c r="M13" s="255"/>
      <c r="N13" s="255"/>
      <c r="O13" s="255"/>
      <c r="P13" s="255"/>
      <c r="Q13" s="255"/>
      <c r="R13" s="255"/>
      <c r="S13" s="255"/>
      <c r="T13" s="255"/>
      <c r="U13" s="256">
        <v>90</v>
      </c>
      <c r="V13" s="256"/>
      <c r="W13" s="256"/>
      <c r="X13" s="256"/>
      <c r="Y13" s="256"/>
      <c r="Z13" s="256"/>
      <c r="AA13" s="256"/>
      <c r="AB13" s="256"/>
      <c r="AC13" s="256"/>
      <c r="AD13" s="123"/>
      <c r="AE13" s="123">
        <v>90</v>
      </c>
      <c r="AF13" s="123"/>
      <c r="AG13" s="123"/>
      <c r="AH13" s="123"/>
      <c r="AI13" s="123"/>
      <c r="AJ13" s="123"/>
      <c r="AK13" s="123"/>
      <c r="AL13" s="123"/>
      <c r="AM13" s="255"/>
      <c r="AN13" s="255">
        <v>85</v>
      </c>
      <c r="AO13" s="255"/>
      <c r="AP13" s="255"/>
      <c r="AQ13" s="255"/>
      <c r="AR13" s="255"/>
      <c r="AS13" s="255"/>
      <c r="AT13" s="255"/>
      <c r="AU13" s="255"/>
      <c r="AV13" s="256"/>
      <c r="AW13" s="256">
        <v>85</v>
      </c>
      <c r="AX13" s="256"/>
      <c r="AY13" s="256"/>
      <c r="AZ13" s="256"/>
      <c r="BA13" s="256"/>
      <c r="BB13" s="256"/>
      <c r="BC13" s="256"/>
      <c r="BD13" s="256"/>
      <c r="BE13" s="123"/>
      <c r="BF13" s="123"/>
      <c r="BG13" s="123">
        <v>90</v>
      </c>
      <c r="BH13" s="123"/>
      <c r="BI13" s="123"/>
      <c r="BJ13" s="123"/>
      <c r="BK13" s="123"/>
      <c r="BL13" s="123"/>
      <c r="BM13" s="123"/>
      <c r="BN13" s="255"/>
      <c r="BO13" s="255"/>
      <c r="BP13" s="255">
        <v>75</v>
      </c>
      <c r="BQ13" s="255"/>
      <c r="BR13" s="255"/>
      <c r="BS13" s="255"/>
      <c r="BT13" s="255"/>
      <c r="BU13" s="255"/>
      <c r="BV13" s="255"/>
      <c r="BW13" s="256"/>
      <c r="BX13" s="256"/>
      <c r="BY13" s="256">
        <v>85</v>
      </c>
      <c r="BZ13" s="256"/>
      <c r="CA13" s="256"/>
      <c r="CB13" s="256"/>
      <c r="CC13" s="256"/>
      <c r="CD13" s="256"/>
      <c r="CE13" s="256"/>
      <c r="CF13" s="123"/>
      <c r="CG13" s="123"/>
      <c r="CH13" s="123"/>
      <c r="CI13" s="123">
        <v>75</v>
      </c>
      <c r="CJ13" s="123"/>
      <c r="CK13" s="123"/>
      <c r="CL13" s="123"/>
      <c r="CM13" s="123"/>
      <c r="CN13" s="123"/>
      <c r="CO13" s="255"/>
      <c r="CP13" s="255"/>
      <c r="CQ13" s="255"/>
      <c r="CR13" s="255">
        <v>90</v>
      </c>
      <c r="CS13" s="255"/>
      <c r="CT13" s="255"/>
      <c r="CU13" s="255"/>
      <c r="CV13" s="255"/>
      <c r="CW13" s="255"/>
      <c r="CX13" s="256"/>
      <c r="CY13" s="256"/>
      <c r="CZ13" s="256"/>
      <c r="DA13" s="256">
        <v>90</v>
      </c>
      <c r="DB13" s="256"/>
      <c r="DC13" s="256"/>
      <c r="DD13" s="256"/>
      <c r="DE13" s="256"/>
      <c r="DF13" s="256"/>
      <c r="DG13" s="458">
        <v>85</v>
      </c>
      <c r="DH13" s="458"/>
      <c r="DI13" s="458"/>
      <c r="DJ13" s="458"/>
      <c r="DK13" s="458"/>
      <c r="DL13" s="458"/>
      <c r="DM13" s="458"/>
      <c r="DN13" s="458"/>
      <c r="DO13" s="458"/>
      <c r="DP13" s="457">
        <v>75</v>
      </c>
      <c r="DQ13" s="457"/>
      <c r="DR13" s="457"/>
      <c r="DS13" s="457"/>
      <c r="DT13" s="457"/>
      <c r="DU13" s="457"/>
      <c r="DV13" s="457"/>
      <c r="DW13" s="457"/>
      <c r="DX13" s="457"/>
      <c r="DY13" s="256">
        <v>75</v>
      </c>
      <c r="DZ13" s="256"/>
      <c r="EA13" s="256"/>
      <c r="EB13" s="256"/>
      <c r="EC13" s="256"/>
      <c r="ED13" s="256"/>
      <c r="EE13" s="256"/>
      <c r="EF13" s="256"/>
      <c r="EG13" s="256"/>
      <c r="EH13" s="257">
        <f t="shared" si="51"/>
        <v>88.333333333333329</v>
      </c>
      <c r="EI13" s="257">
        <f t="shared" si="52"/>
        <v>86.666666666666671</v>
      </c>
      <c r="EJ13" s="257">
        <f t="shared" si="53"/>
        <v>83.333333333333329</v>
      </c>
      <c r="EK13" s="257">
        <f t="shared" si="54"/>
        <v>85</v>
      </c>
      <c r="EL13" s="257" t="str">
        <f t="shared" si="55"/>
        <v/>
      </c>
      <c r="EM13" s="257" t="str">
        <f t="shared" si="56"/>
        <v/>
      </c>
      <c r="EN13" s="257" t="str">
        <f t="shared" si="57"/>
        <v/>
      </c>
      <c r="EO13" s="257" t="str">
        <f t="shared" si="58"/>
        <v/>
      </c>
      <c r="EP13" s="257" t="str">
        <f t="shared" si="59"/>
        <v/>
      </c>
      <c r="EQ13" s="756">
        <f t="shared" si="42"/>
        <v>86</v>
      </c>
      <c r="ER13" s="291" t="str">
        <f t="shared" si="60"/>
        <v>B</v>
      </c>
      <c r="ES13" s="243" t="str">
        <f t="shared" si="61"/>
        <v>Ananda Hasna baik dalam membuat model sederhana alat gerak manusia atau hewan, baik dalam menyajikan karya tentang konsep organ dan fungsi pencernaan pada hewan atau manusia..</v>
      </c>
      <c r="ET13" s="39"/>
      <c r="EU13" s="39"/>
      <c r="EV13" s="257">
        <f t="shared" si="62"/>
        <v>85</v>
      </c>
      <c r="EW13" s="257">
        <f t="shared" si="63"/>
        <v>90</v>
      </c>
      <c r="EX13" s="257">
        <f t="shared" si="64"/>
        <v>90</v>
      </c>
      <c r="EY13" s="257">
        <f t="shared" si="65"/>
        <v>75</v>
      </c>
      <c r="EZ13" s="257">
        <f t="shared" si="66"/>
        <v>0</v>
      </c>
      <c r="FA13" s="257">
        <f t="shared" si="67"/>
        <v>0</v>
      </c>
      <c r="FB13" s="257">
        <f t="shared" si="68"/>
        <v>0</v>
      </c>
      <c r="FC13" s="257">
        <f t="shared" si="69"/>
        <v>0</v>
      </c>
      <c r="FD13" s="257">
        <f t="shared" si="70"/>
        <v>0</v>
      </c>
      <c r="FE13" s="257"/>
      <c r="FF13" s="289">
        <f t="shared" si="71"/>
        <v>90</v>
      </c>
      <c r="FG13" s="257">
        <f t="shared" si="72"/>
        <v>90</v>
      </c>
      <c r="FH13" s="257">
        <f t="shared" si="73"/>
        <v>85</v>
      </c>
      <c r="FI13" s="257">
        <f t="shared" si="74"/>
        <v>75</v>
      </c>
      <c r="FJ13" s="257">
        <f t="shared" si="75"/>
        <v>90</v>
      </c>
      <c r="FK13" s="257">
        <f t="shared" si="76"/>
        <v>0</v>
      </c>
      <c r="FL13" s="257">
        <f t="shared" si="77"/>
        <v>0</v>
      </c>
      <c r="FM13" s="257">
        <f t="shared" si="78"/>
        <v>0</v>
      </c>
      <c r="FN13" s="257">
        <f t="shared" si="79"/>
        <v>0</v>
      </c>
      <c r="FO13" s="257">
        <f t="shared" si="80"/>
        <v>0</v>
      </c>
      <c r="FP13" s="223"/>
      <c r="FQ13" s="289">
        <f t="shared" si="81"/>
        <v>90</v>
      </c>
      <c r="FR13" s="257">
        <f t="shared" si="82"/>
        <v>90</v>
      </c>
      <c r="FS13" s="257">
        <f t="shared" si="83"/>
        <v>85</v>
      </c>
      <c r="FT13" s="257">
        <f t="shared" si="84"/>
        <v>85</v>
      </c>
      <c r="FU13" s="257">
        <f t="shared" si="85"/>
        <v>90</v>
      </c>
      <c r="FV13" s="257">
        <f t="shared" si="86"/>
        <v>0</v>
      </c>
      <c r="FW13" s="257">
        <f t="shared" si="87"/>
        <v>0</v>
      </c>
      <c r="FX13" s="257">
        <f t="shared" si="88"/>
        <v>0</v>
      </c>
      <c r="FY13" s="257">
        <f t="shared" si="89"/>
        <v>0</v>
      </c>
      <c r="FZ13" s="257">
        <f t="shared" si="90"/>
        <v>0</v>
      </c>
      <c r="GA13" s="223"/>
      <c r="GB13" s="289">
        <f t="shared" si="91"/>
        <v>90</v>
      </c>
      <c r="GC13" s="257">
        <f t="shared" si="92"/>
        <v>85</v>
      </c>
      <c r="GD13" s="257">
        <f t="shared" si="93"/>
        <v>90</v>
      </c>
      <c r="GE13" s="257">
        <f t="shared" si="94"/>
        <v>90</v>
      </c>
      <c r="GF13" s="575">
        <f t="shared" si="95"/>
        <v>0</v>
      </c>
      <c r="GG13" s="506">
        <f t="shared" si="96"/>
        <v>3</v>
      </c>
      <c r="GH13" s="39">
        <f t="shared" si="97"/>
        <v>88.333333333333329</v>
      </c>
      <c r="GI13" s="257">
        <f t="shared" si="98"/>
        <v>90</v>
      </c>
      <c r="GJ13" s="257">
        <f t="shared" si="99"/>
        <v>85</v>
      </c>
      <c r="GK13" s="257">
        <f t="shared" si="100"/>
        <v>85</v>
      </c>
      <c r="GL13" s="575">
        <f t="shared" si="101"/>
        <v>0</v>
      </c>
      <c r="GM13" s="506">
        <f t="shared" si="102"/>
        <v>3</v>
      </c>
      <c r="GN13" s="39">
        <f t="shared" si="103"/>
        <v>86.666666666666671</v>
      </c>
      <c r="GO13" s="257">
        <f t="shared" si="104"/>
        <v>90</v>
      </c>
      <c r="GP13" s="257">
        <f t="shared" si="105"/>
        <v>75</v>
      </c>
      <c r="GQ13" s="257">
        <f t="shared" si="106"/>
        <v>85</v>
      </c>
      <c r="GR13" s="575">
        <f t="shared" si="107"/>
        <v>0</v>
      </c>
      <c r="GS13" s="506">
        <f t="shared" si="108"/>
        <v>3</v>
      </c>
      <c r="GT13" s="39">
        <f t="shared" si="109"/>
        <v>83.333333333333329</v>
      </c>
      <c r="GU13" s="257">
        <f t="shared" si="110"/>
        <v>75</v>
      </c>
      <c r="GV13" s="257">
        <f t="shared" si="111"/>
        <v>90</v>
      </c>
      <c r="GW13" s="257">
        <f t="shared" si="112"/>
        <v>90</v>
      </c>
      <c r="GX13" s="575">
        <f t="shared" si="113"/>
        <v>0</v>
      </c>
      <c r="GY13" s="506">
        <f t="shared" si="114"/>
        <v>3</v>
      </c>
      <c r="GZ13" s="39">
        <f t="shared" si="115"/>
        <v>85</v>
      </c>
      <c r="HA13" s="257">
        <f t="shared" si="116"/>
        <v>0</v>
      </c>
      <c r="HB13" s="257">
        <f t="shared" si="117"/>
        <v>0</v>
      </c>
      <c r="HC13" s="257">
        <f t="shared" si="118"/>
        <v>0</v>
      </c>
      <c r="HD13" s="575">
        <f t="shared" si="119"/>
        <v>3</v>
      </c>
      <c r="HE13" s="506">
        <f t="shared" si="120"/>
        <v>0</v>
      </c>
      <c r="HF13" s="39" t="str">
        <f t="shared" si="121"/>
        <v/>
      </c>
      <c r="HG13" s="257">
        <f t="shared" si="122"/>
        <v>0</v>
      </c>
      <c r="HH13" s="257">
        <f t="shared" si="123"/>
        <v>0</v>
      </c>
      <c r="HI13" s="257">
        <f t="shared" si="124"/>
        <v>0</v>
      </c>
      <c r="HJ13" s="575">
        <f t="shared" si="125"/>
        <v>3</v>
      </c>
      <c r="HK13" s="506">
        <f t="shared" si="126"/>
        <v>0</v>
      </c>
      <c r="HL13" s="39" t="str">
        <f t="shared" si="127"/>
        <v/>
      </c>
      <c r="HM13" s="257">
        <f t="shared" si="128"/>
        <v>0</v>
      </c>
      <c r="HN13" s="257">
        <f t="shared" si="129"/>
        <v>0</v>
      </c>
      <c r="HO13" s="257">
        <f t="shared" si="130"/>
        <v>0</v>
      </c>
      <c r="HP13" s="575">
        <f t="shared" si="131"/>
        <v>3</v>
      </c>
      <c r="HQ13" s="506">
        <f t="shared" si="132"/>
        <v>0</v>
      </c>
      <c r="HR13" s="39" t="str">
        <f t="shared" si="133"/>
        <v/>
      </c>
      <c r="HS13" s="257">
        <f t="shared" si="134"/>
        <v>0</v>
      </c>
      <c r="HT13" s="257">
        <f t="shared" si="135"/>
        <v>0</v>
      </c>
      <c r="HU13" s="257">
        <f t="shared" si="136"/>
        <v>0</v>
      </c>
      <c r="HV13" s="575">
        <f t="shared" si="137"/>
        <v>3</v>
      </c>
      <c r="HW13" s="506">
        <f t="shared" si="138"/>
        <v>0</v>
      </c>
      <c r="HX13" s="39" t="str">
        <f t="shared" si="139"/>
        <v/>
      </c>
      <c r="HY13" s="257">
        <f t="shared" si="140"/>
        <v>0</v>
      </c>
      <c r="HZ13" s="257">
        <f t="shared" si="141"/>
        <v>0</v>
      </c>
      <c r="IA13" s="257">
        <f t="shared" si="142"/>
        <v>0</v>
      </c>
      <c r="IB13" s="575">
        <f t="shared" si="143"/>
        <v>3</v>
      </c>
      <c r="IC13" s="506">
        <f t="shared" si="144"/>
        <v>0</v>
      </c>
      <c r="ID13" s="39" t="str">
        <f t="shared" si="145"/>
        <v/>
      </c>
      <c r="IE13" s="39"/>
      <c r="IF13" s="39">
        <f t="shared" si="146"/>
        <v>88.333333333333329</v>
      </c>
      <c r="IG13" s="39">
        <f t="shared" si="147"/>
        <v>86.666666666666671</v>
      </c>
      <c r="IH13" s="39">
        <f t="shared" si="148"/>
        <v>83.333333333333329</v>
      </c>
      <c r="II13" s="39">
        <f t="shared" si="149"/>
        <v>85</v>
      </c>
      <c r="IJ13" s="39" t="str">
        <f t="shared" si="150"/>
        <v/>
      </c>
      <c r="IK13" s="39" t="str">
        <f t="shared" si="151"/>
        <v/>
      </c>
      <c r="IL13" s="257" t="str">
        <f t="shared" si="152"/>
        <v/>
      </c>
      <c r="IM13" s="257" t="str">
        <f t="shared" si="153"/>
        <v/>
      </c>
      <c r="IN13" s="257" t="str">
        <f t="shared" si="154"/>
        <v/>
      </c>
      <c r="IO13" s="579">
        <f t="shared" si="155"/>
        <v>86</v>
      </c>
      <c r="IP13" s="289">
        <f t="shared" si="156"/>
        <v>88.333333333333329</v>
      </c>
      <c r="IQ13" s="289">
        <f t="shared" si="157"/>
        <v>83.333333333333329</v>
      </c>
      <c r="IR13" s="223" t="str">
        <f>SISWA!E11</f>
        <v>Hasna</v>
      </c>
      <c r="IS13" s="223" t="str">
        <f t="shared" si="158"/>
        <v xml:space="preserve">Ananda Hasna </v>
      </c>
      <c r="IT13" s="580">
        <f t="shared" si="159"/>
        <v>88.333333333333329</v>
      </c>
      <c r="IU13" s="580" t="str">
        <f t="shared" si="160"/>
        <v/>
      </c>
      <c r="IV13" s="580" t="str">
        <f t="shared" si="161"/>
        <v/>
      </c>
      <c r="IW13" s="580" t="str">
        <f t="shared" si="162"/>
        <v/>
      </c>
      <c r="IX13" s="580" t="str">
        <f t="shared" si="163"/>
        <v/>
      </c>
      <c r="IY13" s="580" t="str">
        <f t="shared" si="164"/>
        <v/>
      </c>
      <c r="IZ13" s="580" t="str">
        <f t="shared" si="165"/>
        <v/>
      </c>
      <c r="JA13" s="580" t="str">
        <f t="shared" si="166"/>
        <v/>
      </c>
      <c r="JB13" s="580" t="str">
        <f t="shared" si="167"/>
        <v/>
      </c>
      <c r="JC13" s="580"/>
      <c r="JD13" s="580"/>
      <c r="JE13" s="223">
        <f t="shared" si="168"/>
        <v>88.333333333333329</v>
      </c>
      <c r="JF13" s="289" t="str">
        <f t="shared" si="169"/>
        <v>membuat model sederhana alat gerak manusia atau hewan</v>
      </c>
      <c r="JG13" s="576" t="str">
        <f>IF(IP13&gt;100,"",IF(IP13&gt;EV$1,"sangat baik dalam "&amp;JF13,IF(IP13&gt;=EV$2,"baik dalam "&amp;JF13,IF(IP13&gt;=EV$3,"cukup dalam "&amp;JF13,IF(IP13&lt;EV$3,"dengan bimbingan dapat meningkatkan dalam "&amp;JF13,IF(IP13&lt;1," ",””))))))</f>
        <v>baik dalam membuat model sederhana alat gerak manusia atau hewan</v>
      </c>
      <c r="JH13" s="223"/>
      <c r="JI13" s="223" t="str">
        <f t="shared" si="170"/>
        <v/>
      </c>
      <c r="JJ13" s="223" t="str">
        <f t="shared" si="171"/>
        <v/>
      </c>
      <c r="JK13" s="223">
        <f t="shared" si="172"/>
        <v>83.333333333333329</v>
      </c>
      <c r="JL13" s="223" t="str">
        <f t="shared" si="173"/>
        <v/>
      </c>
      <c r="JM13" s="223" t="str">
        <f t="shared" si="174"/>
        <v/>
      </c>
      <c r="JN13" s="223" t="str">
        <f t="shared" si="175"/>
        <v/>
      </c>
      <c r="JO13" s="223" t="str">
        <f t="shared" si="176"/>
        <v/>
      </c>
      <c r="JP13" s="223" t="str">
        <f t="shared" si="177"/>
        <v/>
      </c>
      <c r="JQ13" s="223" t="str">
        <f t="shared" si="178"/>
        <v/>
      </c>
      <c r="JR13" s="223"/>
      <c r="JS13" s="223"/>
      <c r="JT13" s="223" t="str">
        <f t="shared" si="179"/>
        <v>menyajikan karya tentang konsep organ dan fungsi pencernaan pada hewan atau manusia.</v>
      </c>
      <c r="JU13" s="577" t="str">
        <f>IF(IQ13&gt;100,"",IF(IQ13&gt;=EV$1,"sangat baik dalam "&amp;JT13,IF(IQ13&gt;=EV$2,"baik dalam "&amp;JT13,IF(IQ13&gt;=EV$3,"cukup dalam "&amp;JT13,IF(IQ13&lt;EV$3,"dengan bimbingan dapat meningkatkan dalam "&amp;JT13,IF(IQ13&lt;1," ",””))))))</f>
        <v>baik dalam menyajikan karya tentang konsep organ dan fungsi pencernaan pada hewan atau manusia.</v>
      </c>
      <c r="JV13" s="223" t="str">
        <f t="shared" si="180"/>
        <v>Ananda Hasna baik dalam membuat model sederhana alat gerak manusia atau hewan, baik dalam menyajikan karya tentang konsep organ dan fungsi pencernaan pada hewan atau manusia..</v>
      </c>
    </row>
    <row r="14" spans="1:282" ht="30">
      <c r="A14" s="39">
        <v>7</v>
      </c>
      <c r="B14" s="223" t="str">
        <f>SISWA!B12</f>
        <v>Indah Fitria Ningrum</v>
      </c>
      <c r="C14" s="123">
        <v>90</v>
      </c>
      <c r="D14" s="123"/>
      <c r="E14" s="123"/>
      <c r="F14" s="123"/>
      <c r="G14" s="123"/>
      <c r="H14" s="123"/>
      <c r="I14" s="123"/>
      <c r="J14" s="123"/>
      <c r="K14" s="123"/>
      <c r="L14" s="255">
        <v>75</v>
      </c>
      <c r="M14" s="255"/>
      <c r="N14" s="255"/>
      <c r="O14" s="255"/>
      <c r="P14" s="255"/>
      <c r="Q14" s="255"/>
      <c r="R14" s="255"/>
      <c r="S14" s="255"/>
      <c r="T14" s="255"/>
      <c r="U14" s="256">
        <v>75</v>
      </c>
      <c r="V14" s="256"/>
      <c r="W14" s="256"/>
      <c r="X14" s="256"/>
      <c r="Y14" s="256"/>
      <c r="Z14" s="256"/>
      <c r="AA14" s="256"/>
      <c r="AB14" s="256"/>
      <c r="AC14" s="256"/>
      <c r="AD14" s="123"/>
      <c r="AE14" s="123">
        <v>75</v>
      </c>
      <c r="AF14" s="123"/>
      <c r="AG14" s="123"/>
      <c r="AH14" s="123"/>
      <c r="AI14" s="123"/>
      <c r="AJ14" s="123"/>
      <c r="AK14" s="123"/>
      <c r="AL14" s="123"/>
      <c r="AM14" s="255"/>
      <c r="AN14" s="255">
        <v>90</v>
      </c>
      <c r="AO14" s="255"/>
      <c r="AP14" s="255"/>
      <c r="AQ14" s="255"/>
      <c r="AR14" s="255"/>
      <c r="AS14" s="255"/>
      <c r="AT14" s="255"/>
      <c r="AU14" s="255"/>
      <c r="AV14" s="256"/>
      <c r="AW14" s="256">
        <v>90</v>
      </c>
      <c r="AX14" s="256"/>
      <c r="AY14" s="256"/>
      <c r="AZ14" s="256"/>
      <c r="BA14" s="256"/>
      <c r="BB14" s="256"/>
      <c r="BC14" s="256"/>
      <c r="BD14" s="256"/>
      <c r="BE14" s="123"/>
      <c r="BF14" s="123"/>
      <c r="BG14" s="123">
        <v>80</v>
      </c>
      <c r="BH14" s="123"/>
      <c r="BI14" s="123"/>
      <c r="BJ14" s="123"/>
      <c r="BK14" s="123"/>
      <c r="BL14" s="123"/>
      <c r="BM14" s="123"/>
      <c r="BN14" s="255"/>
      <c r="BO14" s="255"/>
      <c r="BP14" s="255">
        <v>80</v>
      </c>
      <c r="BQ14" s="255"/>
      <c r="BR14" s="255"/>
      <c r="BS14" s="255"/>
      <c r="BT14" s="255"/>
      <c r="BU14" s="255"/>
      <c r="BV14" s="255"/>
      <c r="BW14" s="256"/>
      <c r="BX14" s="256"/>
      <c r="BY14" s="256">
        <v>90</v>
      </c>
      <c r="BZ14" s="256"/>
      <c r="CA14" s="256"/>
      <c r="CB14" s="256"/>
      <c r="CC14" s="256"/>
      <c r="CD14" s="256"/>
      <c r="CE14" s="256"/>
      <c r="CF14" s="123"/>
      <c r="CG14" s="123"/>
      <c r="CH14" s="123"/>
      <c r="CI14" s="123">
        <v>75</v>
      </c>
      <c r="CJ14" s="123"/>
      <c r="CK14" s="123"/>
      <c r="CL14" s="123"/>
      <c r="CM14" s="123"/>
      <c r="CN14" s="123"/>
      <c r="CO14" s="255"/>
      <c r="CP14" s="255"/>
      <c r="CQ14" s="255"/>
      <c r="CR14" s="255">
        <v>90</v>
      </c>
      <c r="CS14" s="255"/>
      <c r="CT14" s="255"/>
      <c r="CU14" s="255"/>
      <c r="CV14" s="255"/>
      <c r="CW14" s="255"/>
      <c r="CX14" s="256"/>
      <c r="CY14" s="256"/>
      <c r="CZ14" s="256"/>
      <c r="DA14" s="256">
        <v>90</v>
      </c>
      <c r="DB14" s="256"/>
      <c r="DC14" s="256"/>
      <c r="DD14" s="256"/>
      <c r="DE14" s="256"/>
      <c r="DF14" s="256"/>
      <c r="DG14" s="458">
        <v>90</v>
      </c>
      <c r="DH14" s="458"/>
      <c r="DI14" s="458"/>
      <c r="DJ14" s="458"/>
      <c r="DK14" s="458"/>
      <c r="DL14" s="458"/>
      <c r="DM14" s="458"/>
      <c r="DN14" s="458"/>
      <c r="DO14" s="458"/>
      <c r="DP14" s="457">
        <v>90</v>
      </c>
      <c r="DQ14" s="457"/>
      <c r="DR14" s="457"/>
      <c r="DS14" s="457"/>
      <c r="DT14" s="457"/>
      <c r="DU14" s="457"/>
      <c r="DV14" s="457"/>
      <c r="DW14" s="457"/>
      <c r="DX14" s="457"/>
      <c r="DY14" s="256">
        <v>80</v>
      </c>
      <c r="DZ14" s="256"/>
      <c r="EA14" s="256"/>
      <c r="EB14" s="256"/>
      <c r="EC14" s="256"/>
      <c r="ED14" s="256"/>
      <c r="EE14" s="256"/>
      <c r="EF14" s="256"/>
      <c r="EG14" s="256"/>
      <c r="EH14" s="257">
        <f t="shared" si="51"/>
        <v>86.666666666666671</v>
      </c>
      <c r="EI14" s="257">
        <f t="shared" si="52"/>
        <v>85</v>
      </c>
      <c r="EJ14" s="257">
        <f t="shared" si="53"/>
        <v>83.333333333333329</v>
      </c>
      <c r="EK14" s="257">
        <f t="shared" si="54"/>
        <v>85</v>
      </c>
      <c r="EL14" s="257" t="str">
        <f t="shared" si="55"/>
        <v/>
      </c>
      <c r="EM14" s="257" t="str">
        <f t="shared" si="56"/>
        <v/>
      </c>
      <c r="EN14" s="257" t="str">
        <f t="shared" si="57"/>
        <v/>
      </c>
      <c r="EO14" s="257" t="str">
        <f t="shared" si="58"/>
        <v/>
      </c>
      <c r="EP14" s="257" t="str">
        <f t="shared" si="59"/>
        <v/>
      </c>
      <c r="EQ14" s="756">
        <f t="shared" si="42"/>
        <v>85</v>
      </c>
      <c r="ER14" s="291" t="str">
        <f t="shared" si="60"/>
        <v>B</v>
      </c>
      <c r="ES14" s="243" t="str">
        <f t="shared" si="61"/>
        <v>Ananda Indah baik dalam membuat model sederhana alat gerak manusia atau hewan, baik dalam menyajikan karya tentang konsep organ dan fungsi pencernaan pada hewan atau manusia..</v>
      </c>
      <c r="ET14" s="39"/>
      <c r="EU14" s="39"/>
      <c r="EV14" s="257">
        <f t="shared" si="62"/>
        <v>90</v>
      </c>
      <c r="EW14" s="257">
        <f t="shared" si="63"/>
        <v>75</v>
      </c>
      <c r="EX14" s="257">
        <f t="shared" si="64"/>
        <v>80</v>
      </c>
      <c r="EY14" s="257">
        <f t="shared" si="65"/>
        <v>75</v>
      </c>
      <c r="EZ14" s="257">
        <f t="shared" si="66"/>
        <v>0</v>
      </c>
      <c r="FA14" s="257">
        <f t="shared" si="67"/>
        <v>0</v>
      </c>
      <c r="FB14" s="257">
        <f t="shared" si="68"/>
        <v>0</v>
      </c>
      <c r="FC14" s="257">
        <f t="shared" si="69"/>
        <v>0</v>
      </c>
      <c r="FD14" s="257">
        <f t="shared" si="70"/>
        <v>0</v>
      </c>
      <c r="FE14" s="257"/>
      <c r="FF14" s="289">
        <f t="shared" si="71"/>
        <v>90</v>
      </c>
      <c r="FG14" s="257">
        <f t="shared" si="72"/>
        <v>90</v>
      </c>
      <c r="FH14" s="257">
        <f t="shared" si="73"/>
        <v>90</v>
      </c>
      <c r="FI14" s="257">
        <f t="shared" si="74"/>
        <v>80</v>
      </c>
      <c r="FJ14" s="257">
        <f t="shared" si="75"/>
        <v>90</v>
      </c>
      <c r="FK14" s="257">
        <f t="shared" si="76"/>
        <v>0</v>
      </c>
      <c r="FL14" s="257">
        <f t="shared" si="77"/>
        <v>0</v>
      </c>
      <c r="FM14" s="257">
        <f t="shared" si="78"/>
        <v>0</v>
      </c>
      <c r="FN14" s="257">
        <f t="shared" si="79"/>
        <v>0</v>
      </c>
      <c r="FO14" s="257">
        <f t="shared" si="80"/>
        <v>0</v>
      </c>
      <c r="FP14" s="223"/>
      <c r="FQ14" s="289">
        <f t="shared" si="81"/>
        <v>90</v>
      </c>
      <c r="FR14" s="257">
        <f t="shared" si="82"/>
        <v>80</v>
      </c>
      <c r="FS14" s="257">
        <f t="shared" si="83"/>
        <v>90</v>
      </c>
      <c r="FT14" s="257">
        <f t="shared" si="84"/>
        <v>90</v>
      </c>
      <c r="FU14" s="257">
        <f t="shared" si="85"/>
        <v>90</v>
      </c>
      <c r="FV14" s="257">
        <f t="shared" si="86"/>
        <v>0</v>
      </c>
      <c r="FW14" s="257">
        <f t="shared" si="87"/>
        <v>0</v>
      </c>
      <c r="FX14" s="257">
        <f t="shared" si="88"/>
        <v>0</v>
      </c>
      <c r="FY14" s="257">
        <f t="shared" si="89"/>
        <v>0</v>
      </c>
      <c r="FZ14" s="257">
        <f t="shared" si="90"/>
        <v>0</v>
      </c>
      <c r="GA14" s="223"/>
      <c r="GB14" s="289">
        <f t="shared" si="91"/>
        <v>90</v>
      </c>
      <c r="GC14" s="257">
        <f t="shared" si="92"/>
        <v>90</v>
      </c>
      <c r="GD14" s="257">
        <f t="shared" si="93"/>
        <v>90</v>
      </c>
      <c r="GE14" s="257">
        <f t="shared" si="94"/>
        <v>80</v>
      </c>
      <c r="GF14" s="575">
        <f t="shared" si="95"/>
        <v>0</v>
      </c>
      <c r="GG14" s="506">
        <f t="shared" si="96"/>
        <v>3</v>
      </c>
      <c r="GH14" s="39">
        <f t="shared" si="97"/>
        <v>86.666666666666671</v>
      </c>
      <c r="GI14" s="257">
        <f t="shared" si="98"/>
        <v>75</v>
      </c>
      <c r="GJ14" s="257">
        <f t="shared" si="99"/>
        <v>90</v>
      </c>
      <c r="GK14" s="257">
        <f t="shared" si="100"/>
        <v>90</v>
      </c>
      <c r="GL14" s="575">
        <f t="shared" si="101"/>
        <v>0</v>
      </c>
      <c r="GM14" s="506">
        <f t="shared" si="102"/>
        <v>3</v>
      </c>
      <c r="GN14" s="39">
        <f t="shared" si="103"/>
        <v>85</v>
      </c>
      <c r="GO14" s="257">
        <f t="shared" si="104"/>
        <v>80</v>
      </c>
      <c r="GP14" s="257">
        <f t="shared" si="105"/>
        <v>80</v>
      </c>
      <c r="GQ14" s="257">
        <f t="shared" si="106"/>
        <v>90</v>
      </c>
      <c r="GR14" s="575">
        <f t="shared" si="107"/>
        <v>0</v>
      </c>
      <c r="GS14" s="506">
        <f t="shared" si="108"/>
        <v>3</v>
      </c>
      <c r="GT14" s="39">
        <f t="shared" si="109"/>
        <v>83.333333333333329</v>
      </c>
      <c r="GU14" s="257">
        <f t="shared" si="110"/>
        <v>75</v>
      </c>
      <c r="GV14" s="257">
        <f t="shared" si="111"/>
        <v>90</v>
      </c>
      <c r="GW14" s="257">
        <f t="shared" si="112"/>
        <v>90</v>
      </c>
      <c r="GX14" s="575">
        <f t="shared" si="113"/>
        <v>0</v>
      </c>
      <c r="GY14" s="506">
        <f t="shared" si="114"/>
        <v>3</v>
      </c>
      <c r="GZ14" s="39">
        <f t="shared" si="115"/>
        <v>85</v>
      </c>
      <c r="HA14" s="257">
        <f t="shared" si="116"/>
        <v>0</v>
      </c>
      <c r="HB14" s="257">
        <f t="shared" si="117"/>
        <v>0</v>
      </c>
      <c r="HC14" s="257">
        <f t="shared" si="118"/>
        <v>0</v>
      </c>
      <c r="HD14" s="575">
        <f t="shared" si="119"/>
        <v>3</v>
      </c>
      <c r="HE14" s="506">
        <f t="shared" si="120"/>
        <v>0</v>
      </c>
      <c r="HF14" s="39" t="str">
        <f t="shared" si="121"/>
        <v/>
      </c>
      <c r="HG14" s="257">
        <f t="shared" si="122"/>
        <v>0</v>
      </c>
      <c r="HH14" s="257">
        <f t="shared" si="123"/>
        <v>0</v>
      </c>
      <c r="HI14" s="257">
        <f t="shared" si="124"/>
        <v>0</v>
      </c>
      <c r="HJ14" s="575">
        <f t="shared" si="125"/>
        <v>3</v>
      </c>
      <c r="HK14" s="506">
        <f t="shared" si="126"/>
        <v>0</v>
      </c>
      <c r="HL14" s="39" t="str">
        <f t="shared" si="127"/>
        <v/>
      </c>
      <c r="HM14" s="257">
        <f t="shared" si="128"/>
        <v>0</v>
      </c>
      <c r="HN14" s="257">
        <f t="shared" si="129"/>
        <v>0</v>
      </c>
      <c r="HO14" s="257">
        <f t="shared" si="130"/>
        <v>0</v>
      </c>
      <c r="HP14" s="575">
        <f t="shared" si="131"/>
        <v>3</v>
      </c>
      <c r="HQ14" s="506">
        <f t="shared" si="132"/>
        <v>0</v>
      </c>
      <c r="HR14" s="39" t="str">
        <f t="shared" si="133"/>
        <v/>
      </c>
      <c r="HS14" s="257">
        <f t="shared" si="134"/>
        <v>0</v>
      </c>
      <c r="HT14" s="257">
        <f t="shared" si="135"/>
        <v>0</v>
      </c>
      <c r="HU14" s="257">
        <f t="shared" si="136"/>
        <v>0</v>
      </c>
      <c r="HV14" s="575">
        <f t="shared" si="137"/>
        <v>3</v>
      </c>
      <c r="HW14" s="506">
        <f t="shared" si="138"/>
        <v>0</v>
      </c>
      <c r="HX14" s="39" t="str">
        <f t="shared" si="139"/>
        <v/>
      </c>
      <c r="HY14" s="257">
        <f t="shared" si="140"/>
        <v>0</v>
      </c>
      <c r="HZ14" s="257">
        <f t="shared" si="141"/>
        <v>0</v>
      </c>
      <c r="IA14" s="257">
        <f t="shared" si="142"/>
        <v>0</v>
      </c>
      <c r="IB14" s="575">
        <f t="shared" si="143"/>
        <v>3</v>
      </c>
      <c r="IC14" s="506">
        <f t="shared" si="144"/>
        <v>0</v>
      </c>
      <c r="ID14" s="39" t="str">
        <f t="shared" si="145"/>
        <v/>
      </c>
      <c r="IE14" s="39"/>
      <c r="IF14" s="39">
        <f t="shared" si="146"/>
        <v>86.666666666666671</v>
      </c>
      <c r="IG14" s="39">
        <f t="shared" si="147"/>
        <v>85</v>
      </c>
      <c r="IH14" s="39">
        <f t="shared" si="148"/>
        <v>83.333333333333329</v>
      </c>
      <c r="II14" s="39">
        <f t="shared" si="149"/>
        <v>85</v>
      </c>
      <c r="IJ14" s="39" t="str">
        <f t="shared" si="150"/>
        <v/>
      </c>
      <c r="IK14" s="39" t="str">
        <f t="shared" si="151"/>
        <v/>
      </c>
      <c r="IL14" s="257" t="str">
        <f t="shared" si="152"/>
        <v/>
      </c>
      <c r="IM14" s="257" t="str">
        <f t="shared" si="153"/>
        <v/>
      </c>
      <c r="IN14" s="257" t="str">
        <f t="shared" si="154"/>
        <v/>
      </c>
      <c r="IO14" s="579">
        <f t="shared" si="155"/>
        <v>85</v>
      </c>
      <c r="IP14" s="289">
        <f t="shared" si="156"/>
        <v>86.666666666666671</v>
      </c>
      <c r="IQ14" s="289">
        <f t="shared" si="157"/>
        <v>83.333333333333329</v>
      </c>
      <c r="IR14" s="223" t="str">
        <f>SISWA!E12</f>
        <v>Indah</v>
      </c>
      <c r="IS14" s="223" t="str">
        <f t="shared" si="158"/>
        <v xml:space="preserve">Ananda Indah </v>
      </c>
      <c r="IT14" s="580">
        <f t="shared" si="159"/>
        <v>86.666666666666671</v>
      </c>
      <c r="IU14" s="580" t="str">
        <f t="shared" si="160"/>
        <v/>
      </c>
      <c r="IV14" s="580" t="str">
        <f t="shared" si="161"/>
        <v/>
      </c>
      <c r="IW14" s="580" t="str">
        <f t="shared" si="162"/>
        <v/>
      </c>
      <c r="IX14" s="580" t="str">
        <f t="shared" si="163"/>
        <v/>
      </c>
      <c r="IY14" s="580" t="str">
        <f t="shared" si="164"/>
        <v/>
      </c>
      <c r="IZ14" s="580" t="str">
        <f t="shared" si="165"/>
        <v/>
      </c>
      <c r="JA14" s="580" t="str">
        <f t="shared" si="166"/>
        <v/>
      </c>
      <c r="JB14" s="580" t="str">
        <f t="shared" si="167"/>
        <v/>
      </c>
      <c r="JC14" s="580"/>
      <c r="JD14" s="580"/>
      <c r="JE14" s="223">
        <f t="shared" si="168"/>
        <v>86.666666666666671</v>
      </c>
      <c r="JF14" s="289" t="str">
        <f t="shared" si="169"/>
        <v>membuat model sederhana alat gerak manusia atau hewan</v>
      </c>
      <c r="JG14" s="576" t="str">
        <f>IF(IP14&gt;100,"",IF(IP14&gt;EV$1,"sangat baik dalam "&amp;JF14,IF(IP14&gt;=EV$2,"baik dalam "&amp;JF14,IF(IP14&gt;=EV$3,"cukup dalam "&amp;JF14,IF(IP14&lt;EV$3,"dengan bimbingan dapat meningkatkan dalam "&amp;JF14,IF(IP14&lt;1," ",””))))))</f>
        <v>baik dalam membuat model sederhana alat gerak manusia atau hewan</v>
      </c>
      <c r="JH14" s="223"/>
      <c r="JI14" s="223" t="str">
        <f t="shared" si="170"/>
        <v/>
      </c>
      <c r="JJ14" s="223" t="str">
        <f t="shared" si="171"/>
        <v/>
      </c>
      <c r="JK14" s="223">
        <f t="shared" si="172"/>
        <v>83.333333333333329</v>
      </c>
      <c r="JL14" s="223" t="str">
        <f t="shared" si="173"/>
        <v/>
      </c>
      <c r="JM14" s="223" t="str">
        <f t="shared" si="174"/>
        <v/>
      </c>
      <c r="JN14" s="223" t="str">
        <f t="shared" si="175"/>
        <v/>
      </c>
      <c r="JO14" s="223" t="str">
        <f t="shared" si="176"/>
        <v/>
      </c>
      <c r="JP14" s="223" t="str">
        <f t="shared" si="177"/>
        <v/>
      </c>
      <c r="JQ14" s="223" t="str">
        <f t="shared" si="178"/>
        <v/>
      </c>
      <c r="JR14" s="223"/>
      <c r="JS14" s="223"/>
      <c r="JT14" s="223" t="str">
        <f t="shared" si="179"/>
        <v>menyajikan karya tentang konsep organ dan fungsi pencernaan pada hewan atau manusia.</v>
      </c>
      <c r="JU14" s="577" t="str">
        <f>IF(IQ14&gt;100,"",IF(IQ14&gt;=EV$1,"sangat baik dalam "&amp;JT14,IF(IQ14&gt;=EV$2,"baik dalam "&amp;JT14,IF(IQ14&gt;=EV$3,"cukup dalam "&amp;JT14,IF(IQ14&lt;EV$3,"dengan bimbingan dapat meningkatkan dalam "&amp;JT14,IF(IQ14&lt;1," ",””))))))</f>
        <v>baik dalam menyajikan karya tentang konsep organ dan fungsi pencernaan pada hewan atau manusia.</v>
      </c>
      <c r="JV14" s="223" t="str">
        <f t="shared" si="180"/>
        <v>Ananda Indah baik dalam membuat model sederhana alat gerak manusia atau hewan, baik dalam menyajikan karya tentang konsep organ dan fungsi pencernaan pada hewan atau manusia..</v>
      </c>
    </row>
    <row r="15" spans="1:282" ht="30">
      <c r="A15" s="39">
        <v>8</v>
      </c>
      <c r="B15" s="223" t="str">
        <f>SISWA!B13</f>
        <v>Muhammad Ilham Sarifuddin</v>
      </c>
      <c r="C15" s="123">
        <v>80</v>
      </c>
      <c r="D15" s="123"/>
      <c r="E15" s="123"/>
      <c r="F15" s="123"/>
      <c r="G15" s="123"/>
      <c r="H15" s="123"/>
      <c r="I15" s="123"/>
      <c r="J15" s="123"/>
      <c r="K15" s="123"/>
      <c r="L15" s="255">
        <v>75</v>
      </c>
      <c r="M15" s="255"/>
      <c r="N15" s="255"/>
      <c r="O15" s="255"/>
      <c r="P15" s="255"/>
      <c r="Q15" s="255"/>
      <c r="R15" s="255"/>
      <c r="S15" s="255"/>
      <c r="T15" s="255"/>
      <c r="U15" s="256">
        <v>75</v>
      </c>
      <c r="V15" s="256"/>
      <c r="W15" s="256"/>
      <c r="X15" s="256"/>
      <c r="Y15" s="256"/>
      <c r="Z15" s="256"/>
      <c r="AA15" s="256"/>
      <c r="AB15" s="256"/>
      <c r="AC15" s="256"/>
      <c r="AD15" s="123"/>
      <c r="AE15" s="123">
        <v>80</v>
      </c>
      <c r="AF15" s="123"/>
      <c r="AG15" s="123"/>
      <c r="AH15" s="123"/>
      <c r="AI15" s="123"/>
      <c r="AJ15" s="123"/>
      <c r="AK15" s="123"/>
      <c r="AL15" s="123"/>
      <c r="AM15" s="255"/>
      <c r="AN15" s="255">
        <v>80</v>
      </c>
      <c r="AO15" s="255"/>
      <c r="AP15" s="255"/>
      <c r="AQ15" s="255"/>
      <c r="AR15" s="255"/>
      <c r="AS15" s="255"/>
      <c r="AT15" s="255"/>
      <c r="AU15" s="255"/>
      <c r="AV15" s="256"/>
      <c r="AW15" s="256">
        <v>80</v>
      </c>
      <c r="AX15" s="256"/>
      <c r="AY15" s="256"/>
      <c r="AZ15" s="256"/>
      <c r="BA15" s="256"/>
      <c r="BB15" s="256"/>
      <c r="BC15" s="256"/>
      <c r="BD15" s="256"/>
      <c r="BE15" s="123"/>
      <c r="BF15" s="123"/>
      <c r="BG15" s="123">
        <v>75</v>
      </c>
      <c r="BH15" s="123"/>
      <c r="BI15" s="123"/>
      <c r="BJ15" s="123"/>
      <c r="BK15" s="123"/>
      <c r="BL15" s="123"/>
      <c r="BM15" s="123"/>
      <c r="BN15" s="255"/>
      <c r="BO15" s="255"/>
      <c r="BP15" s="255">
        <v>80</v>
      </c>
      <c r="BQ15" s="255"/>
      <c r="BR15" s="255"/>
      <c r="BS15" s="255"/>
      <c r="BT15" s="255"/>
      <c r="BU15" s="255"/>
      <c r="BV15" s="255"/>
      <c r="BW15" s="256"/>
      <c r="BX15" s="256"/>
      <c r="BY15" s="256">
        <v>75</v>
      </c>
      <c r="BZ15" s="256"/>
      <c r="CA15" s="256"/>
      <c r="CB15" s="256"/>
      <c r="CC15" s="256"/>
      <c r="CD15" s="256"/>
      <c r="CE15" s="256"/>
      <c r="CF15" s="123"/>
      <c r="CG15" s="123"/>
      <c r="CH15" s="123"/>
      <c r="CI15" s="123">
        <v>75</v>
      </c>
      <c r="CJ15" s="123"/>
      <c r="CK15" s="123"/>
      <c r="CL15" s="123"/>
      <c r="CM15" s="123"/>
      <c r="CN15" s="123"/>
      <c r="CO15" s="255"/>
      <c r="CP15" s="255"/>
      <c r="CQ15" s="255"/>
      <c r="CR15" s="255">
        <v>75</v>
      </c>
      <c r="CS15" s="255"/>
      <c r="CT15" s="255"/>
      <c r="CU15" s="255"/>
      <c r="CV15" s="255"/>
      <c r="CW15" s="255"/>
      <c r="CX15" s="256"/>
      <c r="CY15" s="256"/>
      <c r="CZ15" s="256"/>
      <c r="DA15" s="256">
        <v>75</v>
      </c>
      <c r="DB15" s="256"/>
      <c r="DC15" s="256"/>
      <c r="DD15" s="256"/>
      <c r="DE15" s="256"/>
      <c r="DF15" s="256"/>
      <c r="DG15" s="458">
        <v>80</v>
      </c>
      <c r="DH15" s="458"/>
      <c r="DI15" s="458"/>
      <c r="DJ15" s="458"/>
      <c r="DK15" s="458"/>
      <c r="DL15" s="458"/>
      <c r="DM15" s="458"/>
      <c r="DN15" s="458"/>
      <c r="DO15" s="458"/>
      <c r="DP15" s="457">
        <v>90</v>
      </c>
      <c r="DQ15" s="457"/>
      <c r="DR15" s="457"/>
      <c r="DS15" s="457"/>
      <c r="DT15" s="457"/>
      <c r="DU15" s="457"/>
      <c r="DV15" s="457"/>
      <c r="DW15" s="457"/>
      <c r="DX15" s="457"/>
      <c r="DY15" s="256">
        <v>75</v>
      </c>
      <c r="DZ15" s="256"/>
      <c r="EA15" s="256"/>
      <c r="EB15" s="256"/>
      <c r="EC15" s="256"/>
      <c r="ED15" s="256"/>
      <c r="EE15" s="256"/>
      <c r="EF15" s="256"/>
      <c r="EG15" s="256"/>
      <c r="EH15" s="257">
        <f t="shared" si="51"/>
        <v>81.666666666666671</v>
      </c>
      <c r="EI15" s="257">
        <f t="shared" si="52"/>
        <v>80</v>
      </c>
      <c r="EJ15" s="257">
        <f t="shared" si="53"/>
        <v>76.666666666666671</v>
      </c>
      <c r="EK15" s="257">
        <f t="shared" si="54"/>
        <v>75</v>
      </c>
      <c r="EL15" s="257" t="str">
        <f t="shared" si="55"/>
        <v/>
      </c>
      <c r="EM15" s="257" t="str">
        <f t="shared" si="56"/>
        <v/>
      </c>
      <c r="EN15" s="257" t="str">
        <f t="shared" si="57"/>
        <v/>
      </c>
      <c r="EO15" s="257" t="str">
        <f t="shared" si="58"/>
        <v/>
      </c>
      <c r="EP15" s="257" t="str">
        <f t="shared" si="59"/>
        <v/>
      </c>
      <c r="EQ15" s="756">
        <f t="shared" si="42"/>
        <v>78</v>
      </c>
      <c r="ER15" s="291" t="str">
        <f t="shared" si="60"/>
        <v>C</v>
      </c>
      <c r="ES15" s="243" t="str">
        <f t="shared" si="61"/>
        <v>Ananda Ilham cukup dalam membuat model sederhana alat gerak manusia atau hewan, cukup dalam menyajikan karya tentang organ peredaran darah pada manusia.</v>
      </c>
      <c r="ET15" s="39"/>
      <c r="EU15" s="39"/>
      <c r="EV15" s="257">
        <f t="shared" si="62"/>
        <v>80</v>
      </c>
      <c r="EW15" s="257">
        <f t="shared" si="63"/>
        <v>80</v>
      </c>
      <c r="EX15" s="257">
        <f t="shared" si="64"/>
        <v>75</v>
      </c>
      <c r="EY15" s="257">
        <f t="shared" si="65"/>
        <v>75</v>
      </c>
      <c r="EZ15" s="257">
        <f t="shared" si="66"/>
        <v>0</v>
      </c>
      <c r="FA15" s="257">
        <f t="shared" si="67"/>
        <v>0</v>
      </c>
      <c r="FB15" s="257">
        <f t="shared" si="68"/>
        <v>0</v>
      </c>
      <c r="FC15" s="257">
        <f t="shared" si="69"/>
        <v>0</v>
      </c>
      <c r="FD15" s="257">
        <f t="shared" si="70"/>
        <v>0</v>
      </c>
      <c r="FE15" s="257"/>
      <c r="FF15" s="289">
        <f t="shared" si="71"/>
        <v>80</v>
      </c>
      <c r="FG15" s="257">
        <f t="shared" si="72"/>
        <v>90</v>
      </c>
      <c r="FH15" s="257">
        <f t="shared" si="73"/>
        <v>80</v>
      </c>
      <c r="FI15" s="257">
        <f t="shared" si="74"/>
        <v>80</v>
      </c>
      <c r="FJ15" s="257">
        <f t="shared" si="75"/>
        <v>75</v>
      </c>
      <c r="FK15" s="257">
        <f t="shared" si="76"/>
        <v>0</v>
      </c>
      <c r="FL15" s="257">
        <f t="shared" si="77"/>
        <v>0</v>
      </c>
      <c r="FM15" s="257">
        <f t="shared" si="78"/>
        <v>0</v>
      </c>
      <c r="FN15" s="257">
        <f t="shared" si="79"/>
        <v>0</v>
      </c>
      <c r="FO15" s="257">
        <f t="shared" si="80"/>
        <v>0</v>
      </c>
      <c r="FP15" s="223"/>
      <c r="FQ15" s="289">
        <f t="shared" si="81"/>
        <v>90</v>
      </c>
      <c r="FR15" s="257">
        <f t="shared" si="82"/>
        <v>75</v>
      </c>
      <c r="FS15" s="257">
        <f t="shared" si="83"/>
        <v>80</v>
      </c>
      <c r="FT15" s="257">
        <f t="shared" si="84"/>
        <v>75</v>
      </c>
      <c r="FU15" s="257">
        <f t="shared" si="85"/>
        <v>75</v>
      </c>
      <c r="FV15" s="257">
        <f t="shared" si="86"/>
        <v>0</v>
      </c>
      <c r="FW15" s="257">
        <f t="shared" si="87"/>
        <v>0</v>
      </c>
      <c r="FX15" s="257">
        <f t="shared" si="88"/>
        <v>0</v>
      </c>
      <c r="FY15" s="257">
        <f t="shared" si="89"/>
        <v>0</v>
      </c>
      <c r="FZ15" s="257">
        <f t="shared" si="90"/>
        <v>0</v>
      </c>
      <c r="GA15" s="223"/>
      <c r="GB15" s="289">
        <f t="shared" si="91"/>
        <v>80</v>
      </c>
      <c r="GC15" s="257">
        <f t="shared" si="92"/>
        <v>80</v>
      </c>
      <c r="GD15" s="257">
        <f t="shared" si="93"/>
        <v>90</v>
      </c>
      <c r="GE15" s="257">
        <f t="shared" si="94"/>
        <v>75</v>
      </c>
      <c r="GF15" s="575">
        <f t="shared" si="95"/>
        <v>0</v>
      </c>
      <c r="GG15" s="506">
        <f t="shared" si="96"/>
        <v>3</v>
      </c>
      <c r="GH15" s="39">
        <f t="shared" si="97"/>
        <v>81.666666666666671</v>
      </c>
      <c r="GI15" s="257">
        <f t="shared" si="98"/>
        <v>80</v>
      </c>
      <c r="GJ15" s="257">
        <f t="shared" si="99"/>
        <v>80</v>
      </c>
      <c r="GK15" s="257">
        <f t="shared" si="100"/>
        <v>80</v>
      </c>
      <c r="GL15" s="575">
        <f t="shared" si="101"/>
        <v>0</v>
      </c>
      <c r="GM15" s="506">
        <f t="shared" si="102"/>
        <v>3</v>
      </c>
      <c r="GN15" s="39">
        <f t="shared" si="103"/>
        <v>80</v>
      </c>
      <c r="GO15" s="257">
        <f t="shared" si="104"/>
        <v>75</v>
      </c>
      <c r="GP15" s="257">
        <f t="shared" si="105"/>
        <v>80</v>
      </c>
      <c r="GQ15" s="257">
        <f t="shared" si="106"/>
        <v>75</v>
      </c>
      <c r="GR15" s="575">
        <f t="shared" si="107"/>
        <v>0</v>
      </c>
      <c r="GS15" s="506">
        <f t="shared" si="108"/>
        <v>3</v>
      </c>
      <c r="GT15" s="39">
        <f t="shared" si="109"/>
        <v>76.666666666666671</v>
      </c>
      <c r="GU15" s="257">
        <f t="shared" si="110"/>
        <v>75</v>
      </c>
      <c r="GV15" s="257">
        <f t="shared" si="111"/>
        <v>75</v>
      </c>
      <c r="GW15" s="257">
        <f t="shared" si="112"/>
        <v>75</v>
      </c>
      <c r="GX15" s="575">
        <f t="shared" si="113"/>
        <v>0</v>
      </c>
      <c r="GY15" s="506">
        <f t="shared" si="114"/>
        <v>3</v>
      </c>
      <c r="GZ15" s="39">
        <f t="shared" si="115"/>
        <v>75</v>
      </c>
      <c r="HA15" s="257">
        <f t="shared" si="116"/>
        <v>0</v>
      </c>
      <c r="HB15" s="257">
        <f t="shared" si="117"/>
        <v>0</v>
      </c>
      <c r="HC15" s="257">
        <f t="shared" si="118"/>
        <v>0</v>
      </c>
      <c r="HD15" s="575">
        <f t="shared" si="119"/>
        <v>3</v>
      </c>
      <c r="HE15" s="506">
        <f t="shared" si="120"/>
        <v>0</v>
      </c>
      <c r="HF15" s="39" t="str">
        <f t="shared" si="121"/>
        <v/>
      </c>
      <c r="HG15" s="257">
        <f t="shared" si="122"/>
        <v>0</v>
      </c>
      <c r="HH15" s="257">
        <f t="shared" si="123"/>
        <v>0</v>
      </c>
      <c r="HI15" s="257">
        <f t="shared" si="124"/>
        <v>0</v>
      </c>
      <c r="HJ15" s="575">
        <f t="shared" si="125"/>
        <v>3</v>
      </c>
      <c r="HK15" s="506">
        <f t="shared" si="126"/>
        <v>0</v>
      </c>
      <c r="HL15" s="39" t="str">
        <f t="shared" si="127"/>
        <v/>
      </c>
      <c r="HM15" s="257">
        <f t="shared" si="128"/>
        <v>0</v>
      </c>
      <c r="HN15" s="257">
        <f t="shared" si="129"/>
        <v>0</v>
      </c>
      <c r="HO15" s="257">
        <f t="shared" si="130"/>
        <v>0</v>
      </c>
      <c r="HP15" s="575">
        <f t="shared" si="131"/>
        <v>3</v>
      </c>
      <c r="HQ15" s="506">
        <f t="shared" si="132"/>
        <v>0</v>
      </c>
      <c r="HR15" s="39" t="str">
        <f t="shared" si="133"/>
        <v/>
      </c>
      <c r="HS15" s="257">
        <f t="shared" si="134"/>
        <v>0</v>
      </c>
      <c r="HT15" s="257">
        <f t="shared" si="135"/>
        <v>0</v>
      </c>
      <c r="HU15" s="257">
        <f t="shared" si="136"/>
        <v>0</v>
      </c>
      <c r="HV15" s="575">
        <f t="shared" si="137"/>
        <v>3</v>
      </c>
      <c r="HW15" s="506">
        <f t="shared" si="138"/>
        <v>0</v>
      </c>
      <c r="HX15" s="39" t="str">
        <f t="shared" si="139"/>
        <v/>
      </c>
      <c r="HY15" s="257">
        <f t="shared" si="140"/>
        <v>0</v>
      </c>
      <c r="HZ15" s="257">
        <f t="shared" si="141"/>
        <v>0</v>
      </c>
      <c r="IA15" s="257">
        <f t="shared" si="142"/>
        <v>0</v>
      </c>
      <c r="IB15" s="575">
        <f t="shared" si="143"/>
        <v>3</v>
      </c>
      <c r="IC15" s="506">
        <f t="shared" si="144"/>
        <v>0</v>
      </c>
      <c r="ID15" s="39" t="str">
        <f t="shared" si="145"/>
        <v/>
      </c>
      <c r="IE15" s="39"/>
      <c r="IF15" s="39">
        <f t="shared" si="146"/>
        <v>81.666666666666671</v>
      </c>
      <c r="IG15" s="39">
        <f t="shared" si="147"/>
        <v>80</v>
      </c>
      <c r="IH15" s="39">
        <f t="shared" si="148"/>
        <v>76.666666666666671</v>
      </c>
      <c r="II15" s="39">
        <f t="shared" si="149"/>
        <v>75</v>
      </c>
      <c r="IJ15" s="39" t="str">
        <f t="shared" si="150"/>
        <v/>
      </c>
      <c r="IK15" s="39" t="str">
        <f t="shared" si="151"/>
        <v/>
      </c>
      <c r="IL15" s="257" t="str">
        <f t="shared" si="152"/>
        <v/>
      </c>
      <c r="IM15" s="257" t="str">
        <f t="shared" si="153"/>
        <v/>
      </c>
      <c r="IN15" s="257" t="str">
        <f t="shared" si="154"/>
        <v/>
      </c>
      <c r="IO15" s="579">
        <f t="shared" si="155"/>
        <v>78</v>
      </c>
      <c r="IP15" s="289">
        <f t="shared" si="156"/>
        <v>81.666666666666671</v>
      </c>
      <c r="IQ15" s="289">
        <f t="shared" si="157"/>
        <v>75</v>
      </c>
      <c r="IR15" s="223" t="str">
        <f>SISWA!E13</f>
        <v>Ilham</v>
      </c>
      <c r="IS15" s="223" t="str">
        <f t="shared" si="158"/>
        <v xml:space="preserve">Ananda Ilham </v>
      </c>
      <c r="IT15" s="580">
        <f t="shared" si="159"/>
        <v>81.666666666666671</v>
      </c>
      <c r="IU15" s="580" t="str">
        <f t="shared" si="160"/>
        <v/>
      </c>
      <c r="IV15" s="580" t="str">
        <f t="shared" si="161"/>
        <v/>
      </c>
      <c r="IW15" s="580" t="str">
        <f t="shared" si="162"/>
        <v/>
      </c>
      <c r="IX15" s="580" t="str">
        <f t="shared" si="163"/>
        <v/>
      </c>
      <c r="IY15" s="580" t="str">
        <f t="shared" si="164"/>
        <v/>
      </c>
      <c r="IZ15" s="580" t="str">
        <f t="shared" si="165"/>
        <v/>
      </c>
      <c r="JA15" s="580" t="str">
        <f t="shared" si="166"/>
        <v/>
      </c>
      <c r="JB15" s="580" t="str">
        <f t="shared" si="167"/>
        <v/>
      </c>
      <c r="JC15" s="580"/>
      <c r="JD15" s="580"/>
      <c r="JE15" s="223">
        <f t="shared" si="168"/>
        <v>81.666666666666671</v>
      </c>
      <c r="JF15" s="289" t="str">
        <f t="shared" si="169"/>
        <v>membuat model sederhana alat gerak manusia atau hewan</v>
      </c>
      <c r="JG15" s="576" t="str">
        <f>IF(IP15&gt;100,"",IF(IP15&gt;EV$1,"sangat baik dalam "&amp;JF15,IF(IP15&gt;=EV$2,"baik dalam "&amp;JF15,IF(IP15&gt;=EV$3,"cukup dalam "&amp;JF15,IF(IP15&lt;EV$3,"dengan bimbingan dapat meningkatkan dalam "&amp;JF15,IF(IP15&lt;1," ",””))))))</f>
        <v>cukup dalam membuat model sederhana alat gerak manusia atau hewan</v>
      </c>
      <c r="JH15" s="223"/>
      <c r="JI15" s="223" t="str">
        <f t="shared" si="170"/>
        <v/>
      </c>
      <c r="JJ15" s="223" t="str">
        <f t="shared" si="171"/>
        <v/>
      </c>
      <c r="JK15" s="223" t="str">
        <f t="shared" si="172"/>
        <v/>
      </c>
      <c r="JL15" s="223">
        <f t="shared" si="173"/>
        <v>75</v>
      </c>
      <c r="JM15" s="223" t="str">
        <f t="shared" si="174"/>
        <v/>
      </c>
      <c r="JN15" s="223" t="str">
        <f t="shared" si="175"/>
        <v/>
      </c>
      <c r="JO15" s="223" t="str">
        <f t="shared" si="176"/>
        <v/>
      </c>
      <c r="JP15" s="223" t="str">
        <f t="shared" si="177"/>
        <v/>
      </c>
      <c r="JQ15" s="223" t="str">
        <f t="shared" si="178"/>
        <v/>
      </c>
      <c r="JR15" s="223"/>
      <c r="JS15" s="223"/>
      <c r="JT15" s="223" t="str">
        <f t="shared" si="179"/>
        <v>menyajikan karya tentang organ peredaran darah pada manusia</v>
      </c>
      <c r="JU15" s="577" t="str">
        <f>IF(IQ15&gt;100,"",IF(IQ15&gt;=EV$1,"sangat baik dalam "&amp;JT15,IF(IQ15&gt;=EV$2,"baik dalam "&amp;JT15,IF(IQ15&gt;=EV$3,"cukup dalam "&amp;JT15,IF(IQ15&lt;EV$3,"dengan bimbingan dapat meningkatkan dalam "&amp;JT15,IF(IQ15&lt;1," ",””))))))</f>
        <v>cukup dalam menyajikan karya tentang organ peredaran darah pada manusia</v>
      </c>
      <c r="JV15" s="223" t="str">
        <f t="shared" si="180"/>
        <v>Ananda Ilham cukup dalam membuat model sederhana alat gerak manusia atau hewan, cukup dalam menyajikan karya tentang organ peredaran darah pada manusia.</v>
      </c>
    </row>
    <row r="16" spans="1:282" ht="30">
      <c r="A16" s="39">
        <v>9</v>
      </c>
      <c r="B16" s="223" t="str">
        <f>SISWA!B14</f>
        <v>Muhammad Raditya Ainul Yaqin</v>
      </c>
      <c r="C16" s="123">
        <v>75</v>
      </c>
      <c r="D16" s="123"/>
      <c r="E16" s="123"/>
      <c r="F16" s="123"/>
      <c r="G16" s="123"/>
      <c r="H16" s="123"/>
      <c r="I16" s="123"/>
      <c r="J16" s="123"/>
      <c r="K16" s="123"/>
      <c r="L16" s="255">
        <v>90</v>
      </c>
      <c r="M16" s="255"/>
      <c r="N16" s="255"/>
      <c r="O16" s="255"/>
      <c r="P16" s="255"/>
      <c r="Q16" s="255"/>
      <c r="R16" s="255"/>
      <c r="S16" s="255"/>
      <c r="T16" s="255"/>
      <c r="U16" s="256">
        <v>75</v>
      </c>
      <c r="V16" s="256"/>
      <c r="W16" s="256"/>
      <c r="X16" s="256"/>
      <c r="Y16" s="256"/>
      <c r="Z16" s="256"/>
      <c r="AA16" s="256"/>
      <c r="AB16" s="256"/>
      <c r="AC16" s="256"/>
      <c r="AD16" s="123"/>
      <c r="AE16" s="123">
        <v>85</v>
      </c>
      <c r="AF16" s="123"/>
      <c r="AG16" s="123"/>
      <c r="AH16" s="123"/>
      <c r="AI16" s="123"/>
      <c r="AJ16" s="123"/>
      <c r="AK16" s="123"/>
      <c r="AL16" s="123"/>
      <c r="AM16" s="255"/>
      <c r="AN16" s="255">
        <v>80</v>
      </c>
      <c r="AO16" s="255"/>
      <c r="AP16" s="255"/>
      <c r="AQ16" s="255"/>
      <c r="AR16" s="255"/>
      <c r="AS16" s="255"/>
      <c r="AT16" s="255"/>
      <c r="AU16" s="255"/>
      <c r="AV16" s="256"/>
      <c r="AW16" s="256">
        <v>85</v>
      </c>
      <c r="AX16" s="256"/>
      <c r="AY16" s="256"/>
      <c r="AZ16" s="256"/>
      <c r="BA16" s="256"/>
      <c r="BB16" s="256"/>
      <c r="BC16" s="256"/>
      <c r="BD16" s="256"/>
      <c r="BE16" s="123"/>
      <c r="BF16" s="123"/>
      <c r="BG16" s="123">
        <v>80</v>
      </c>
      <c r="BH16" s="123"/>
      <c r="BI16" s="123"/>
      <c r="BJ16" s="123"/>
      <c r="BK16" s="123"/>
      <c r="BL16" s="123"/>
      <c r="BM16" s="123"/>
      <c r="BN16" s="255"/>
      <c r="BO16" s="255"/>
      <c r="BP16" s="255">
        <v>75</v>
      </c>
      <c r="BQ16" s="255"/>
      <c r="BR16" s="255"/>
      <c r="BS16" s="255"/>
      <c r="BT16" s="255"/>
      <c r="BU16" s="255"/>
      <c r="BV16" s="255"/>
      <c r="BW16" s="256"/>
      <c r="BX16" s="256"/>
      <c r="BY16" s="256">
        <v>75</v>
      </c>
      <c r="BZ16" s="256"/>
      <c r="CA16" s="256"/>
      <c r="CB16" s="256"/>
      <c r="CC16" s="256"/>
      <c r="CD16" s="256"/>
      <c r="CE16" s="256"/>
      <c r="CF16" s="123"/>
      <c r="CG16" s="123"/>
      <c r="CH16" s="123"/>
      <c r="CI16" s="123">
        <v>75</v>
      </c>
      <c r="CJ16" s="123"/>
      <c r="CK16" s="123"/>
      <c r="CL16" s="123"/>
      <c r="CM16" s="123"/>
      <c r="CN16" s="123"/>
      <c r="CO16" s="255"/>
      <c r="CP16" s="255"/>
      <c r="CQ16" s="255"/>
      <c r="CR16" s="255">
        <v>85</v>
      </c>
      <c r="CS16" s="255"/>
      <c r="CT16" s="255"/>
      <c r="CU16" s="255"/>
      <c r="CV16" s="255"/>
      <c r="CW16" s="255"/>
      <c r="CX16" s="256"/>
      <c r="CY16" s="256"/>
      <c r="CZ16" s="256"/>
      <c r="DA16" s="256">
        <v>75</v>
      </c>
      <c r="DB16" s="256"/>
      <c r="DC16" s="256"/>
      <c r="DD16" s="256"/>
      <c r="DE16" s="256"/>
      <c r="DF16" s="256"/>
      <c r="DG16" s="458">
        <v>80</v>
      </c>
      <c r="DH16" s="458"/>
      <c r="DI16" s="458"/>
      <c r="DJ16" s="458"/>
      <c r="DK16" s="458"/>
      <c r="DL16" s="458"/>
      <c r="DM16" s="458"/>
      <c r="DN16" s="458"/>
      <c r="DO16" s="458"/>
      <c r="DP16" s="457">
        <v>75</v>
      </c>
      <c r="DQ16" s="457"/>
      <c r="DR16" s="457"/>
      <c r="DS16" s="457"/>
      <c r="DT16" s="457"/>
      <c r="DU16" s="457"/>
      <c r="DV16" s="457"/>
      <c r="DW16" s="457"/>
      <c r="DX16" s="457"/>
      <c r="DY16" s="256">
        <v>75</v>
      </c>
      <c r="DZ16" s="256"/>
      <c r="EA16" s="256"/>
      <c r="EB16" s="256"/>
      <c r="EC16" s="256"/>
      <c r="ED16" s="256"/>
      <c r="EE16" s="256"/>
      <c r="EF16" s="256"/>
      <c r="EG16" s="256"/>
      <c r="EH16" s="257">
        <f t="shared" si="51"/>
        <v>81.666666666666671</v>
      </c>
      <c r="EI16" s="257">
        <f t="shared" si="52"/>
        <v>83.333333333333329</v>
      </c>
      <c r="EJ16" s="257">
        <f t="shared" si="53"/>
        <v>76.666666666666671</v>
      </c>
      <c r="EK16" s="257">
        <f t="shared" si="54"/>
        <v>78.333333333333329</v>
      </c>
      <c r="EL16" s="257" t="str">
        <f t="shared" si="55"/>
        <v/>
      </c>
      <c r="EM16" s="257" t="str">
        <f t="shared" si="56"/>
        <v/>
      </c>
      <c r="EN16" s="257" t="str">
        <f t="shared" si="57"/>
        <v/>
      </c>
      <c r="EO16" s="257" t="str">
        <f t="shared" si="58"/>
        <v/>
      </c>
      <c r="EP16" s="257" t="str">
        <f t="shared" si="59"/>
        <v/>
      </c>
      <c r="EQ16" s="756">
        <f t="shared" si="42"/>
        <v>80</v>
      </c>
      <c r="ER16" s="291" t="str">
        <f t="shared" si="60"/>
        <v>C</v>
      </c>
      <c r="ES16" s="243" t="str">
        <f t="shared" si="61"/>
        <v>Ananda Radit baik dalam membuat model sederhana organ pernapasan manusia, cukup dalam menyajikan karya tentang konsep organ dan fungsi pencernaan pada hewan atau manusia..</v>
      </c>
      <c r="ET16" s="39"/>
      <c r="EU16" s="39"/>
      <c r="EV16" s="257">
        <f t="shared" si="62"/>
        <v>80</v>
      </c>
      <c r="EW16" s="257">
        <f t="shared" si="63"/>
        <v>85</v>
      </c>
      <c r="EX16" s="257">
        <f t="shared" si="64"/>
        <v>80</v>
      </c>
      <c r="EY16" s="257">
        <f t="shared" si="65"/>
        <v>75</v>
      </c>
      <c r="EZ16" s="257">
        <f t="shared" si="66"/>
        <v>0</v>
      </c>
      <c r="FA16" s="257">
        <f t="shared" si="67"/>
        <v>0</v>
      </c>
      <c r="FB16" s="257">
        <f t="shared" si="68"/>
        <v>0</v>
      </c>
      <c r="FC16" s="257">
        <f t="shared" si="69"/>
        <v>0</v>
      </c>
      <c r="FD16" s="257">
        <f t="shared" si="70"/>
        <v>0</v>
      </c>
      <c r="FE16" s="257"/>
      <c r="FF16" s="289">
        <f t="shared" si="71"/>
        <v>85</v>
      </c>
      <c r="FG16" s="257">
        <f t="shared" si="72"/>
        <v>90</v>
      </c>
      <c r="FH16" s="257">
        <f t="shared" si="73"/>
        <v>80</v>
      </c>
      <c r="FI16" s="257">
        <f t="shared" si="74"/>
        <v>75</v>
      </c>
      <c r="FJ16" s="257">
        <f t="shared" si="75"/>
        <v>85</v>
      </c>
      <c r="FK16" s="257">
        <f t="shared" si="76"/>
        <v>0</v>
      </c>
      <c r="FL16" s="257">
        <f t="shared" si="77"/>
        <v>0</v>
      </c>
      <c r="FM16" s="257">
        <f t="shared" si="78"/>
        <v>0</v>
      </c>
      <c r="FN16" s="257">
        <f t="shared" si="79"/>
        <v>0</v>
      </c>
      <c r="FO16" s="257">
        <f t="shared" si="80"/>
        <v>0</v>
      </c>
      <c r="FP16" s="223"/>
      <c r="FQ16" s="289">
        <f t="shared" si="81"/>
        <v>90</v>
      </c>
      <c r="FR16" s="257">
        <f t="shared" si="82"/>
        <v>75</v>
      </c>
      <c r="FS16" s="257">
        <f t="shared" si="83"/>
        <v>85</v>
      </c>
      <c r="FT16" s="257">
        <f t="shared" si="84"/>
        <v>75</v>
      </c>
      <c r="FU16" s="257">
        <f t="shared" si="85"/>
        <v>75</v>
      </c>
      <c r="FV16" s="257">
        <f t="shared" si="86"/>
        <v>0</v>
      </c>
      <c r="FW16" s="257">
        <f t="shared" si="87"/>
        <v>0</v>
      </c>
      <c r="FX16" s="257">
        <f t="shared" si="88"/>
        <v>0</v>
      </c>
      <c r="FY16" s="257">
        <f t="shared" si="89"/>
        <v>0</v>
      </c>
      <c r="FZ16" s="257">
        <f t="shared" si="90"/>
        <v>0</v>
      </c>
      <c r="GA16" s="223"/>
      <c r="GB16" s="289">
        <f t="shared" si="91"/>
        <v>85</v>
      </c>
      <c r="GC16" s="257">
        <f t="shared" si="92"/>
        <v>80</v>
      </c>
      <c r="GD16" s="257">
        <f t="shared" si="93"/>
        <v>90</v>
      </c>
      <c r="GE16" s="257">
        <f t="shared" si="94"/>
        <v>75</v>
      </c>
      <c r="GF16" s="575">
        <f t="shared" si="95"/>
        <v>0</v>
      </c>
      <c r="GG16" s="506">
        <f t="shared" si="96"/>
        <v>3</v>
      </c>
      <c r="GH16" s="39">
        <f t="shared" si="97"/>
        <v>81.666666666666671</v>
      </c>
      <c r="GI16" s="257">
        <f t="shared" si="98"/>
        <v>85</v>
      </c>
      <c r="GJ16" s="257">
        <f t="shared" si="99"/>
        <v>80</v>
      </c>
      <c r="GK16" s="257">
        <f t="shared" si="100"/>
        <v>85</v>
      </c>
      <c r="GL16" s="575">
        <f t="shared" si="101"/>
        <v>0</v>
      </c>
      <c r="GM16" s="506">
        <f t="shared" si="102"/>
        <v>3</v>
      </c>
      <c r="GN16" s="39">
        <f t="shared" si="103"/>
        <v>83.333333333333329</v>
      </c>
      <c r="GO16" s="257">
        <f t="shared" si="104"/>
        <v>80</v>
      </c>
      <c r="GP16" s="257">
        <f t="shared" si="105"/>
        <v>75</v>
      </c>
      <c r="GQ16" s="257">
        <f t="shared" si="106"/>
        <v>75</v>
      </c>
      <c r="GR16" s="575">
        <f t="shared" si="107"/>
        <v>0</v>
      </c>
      <c r="GS16" s="506">
        <f t="shared" si="108"/>
        <v>3</v>
      </c>
      <c r="GT16" s="39">
        <f t="shared" si="109"/>
        <v>76.666666666666671</v>
      </c>
      <c r="GU16" s="257">
        <f t="shared" si="110"/>
        <v>75</v>
      </c>
      <c r="GV16" s="257">
        <f t="shared" si="111"/>
        <v>85</v>
      </c>
      <c r="GW16" s="257">
        <f t="shared" si="112"/>
        <v>75</v>
      </c>
      <c r="GX16" s="575">
        <f t="shared" si="113"/>
        <v>0</v>
      </c>
      <c r="GY16" s="506">
        <f t="shared" si="114"/>
        <v>3</v>
      </c>
      <c r="GZ16" s="39">
        <f t="shared" si="115"/>
        <v>78.333333333333329</v>
      </c>
      <c r="HA16" s="257">
        <f t="shared" si="116"/>
        <v>0</v>
      </c>
      <c r="HB16" s="257">
        <f t="shared" si="117"/>
        <v>0</v>
      </c>
      <c r="HC16" s="257">
        <f t="shared" si="118"/>
        <v>0</v>
      </c>
      <c r="HD16" s="575">
        <f t="shared" si="119"/>
        <v>3</v>
      </c>
      <c r="HE16" s="506">
        <f t="shared" si="120"/>
        <v>0</v>
      </c>
      <c r="HF16" s="39" t="str">
        <f t="shared" si="121"/>
        <v/>
      </c>
      <c r="HG16" s="257">
        <f t="shared" si="122"/>
        <v>0</v>
      </c>
      <c r="HH16" s="257">
        <f t="shared" si="123"/>
        <v>0</v>
      </c>
      <c r="HI16" s="257">
        <f t="shared" si="124"/>
        <v>0</v>
      </c>
      <c r="HJ16" s="575">
        <f t="shared" si="125"/>
        <v>3</v>
      </c>
      <c r="HK16" s="506">
        <f t="shared" si="126"/>
        <v>0</v>
      </c>
      <c r="HL16" s="39" t="str">
        <f t="shared" si="127"/>
        <v/>
      </c>
      <c r="HM16" s="257">
        <f t="shared" si="128"/>
        <v>0</v>
      </c>
      <c r="HN16" s="257">
        <f t="shared" si="129"/>
        <v>0</v>
      </c>
      <c r="HO16" s="257">
        <f t="shared" si="130"/>
        <v>0</v>
      </c>
      <c r="HP16" s="575">
        <f t="shared" si="131"/>
        <v>3</v>
      </c>
      <c r="HQ16" s="506">
        <f t="shared" si="132"/>
        <v>0</v>
      </c>
      <c r="HR16" s="39" t="str">
        <f t="shared" si="133"/>
        <v/>
      </c>
      <c r="HS16" s="257">
        <f t="shared" si="134"/>
        <v>0</v>
      </c>
      <c r="HT16" s="257">
        <f t="shared" si="135"/>
        <v>0</v>
      </c>
      <c r="HU16" s="257">
        <f t="shared" si="136"/>
        <v>0</v>
      </c>
      <c r="HV16" s="575">
        <f t="shared" si="137"/>
        <v>3</v>
      </c>
      <c r="HW16" s="506">
        <f t="shared" si="138"/>
        <v>0</v>
      </c>
      <c r="HX16" s="39" t="str">
        <f t="shared" si="139"/>
        <v/>
      </c>
      <c r="HY16" s="257">
        <f t="shared" si="140"/>
        <v>0</v>
      </c>
      <c r="HZ16" s="257">
        <f t="shared" si="141"/>
        <v>0</v>
      </c>
      <c r="IA16" s="257">
        <f t="shared" si="142"/>
        <v>0</v>
      </c>
      <c r="IB16" s="575">
        <f t="shared" si="143"/>
        <v>3</v>
      </c>
      <c r="IC16" s="506">
        <f t="shared" si="144"/>
        <v>0</v>
      </c>
      <c r="ID16" s="39" t="str">
        <f t="shared" si="145"/>
        <v/>
      </c>
      <c r="IE16" s="39"/>
      <c r="IF16" s="39">
        <f t="shared" si="146"/>
        <v>81.666666666666671</v>
      </c>
      <c r="IG16" s="39">
        <f t="shared" si="147"/>
        <v>83.333333333333329</v>
      </c>
      <c r="IH16" s="39">
        <f t="shared" si="148"/>
        <v>76.666666666666671</v>
      </c>
      <c r="II16" s="39">
        <f t="shared" si="149"/>
        <v>78.333333333333329</v>
      </c>
      <c r="IJ16" s="39" t="str">
        <f t="shared" si="150"/>
        <v/>
      </c>
      <c r="IK16" s="39" t="str">
        <f t="shared" si="151"/>
        <v/>
      </c>
      <c r="IL16" s="257" t="str">
        <f t="shared" si="152"/>
        <v/>
      </c>
      <c r="IM16" s="257" t="str">
        <f t="shared" si="153"/>
        <v/>
      </c>
      <c r="IN16" s="257" t="str">
        <f t="shared" si="154"/>
        <v/>
      </c>
      <c r="IO16" s="579">
        <f t="shared" si="155"/>
        <v>80</v>
      </c>
      <c r="IP16" s="289">
        <f t="shared" si="156"/>
        <v>83.333333333333329</v>
      </c>
      <c r="IQ16" s="289">
        <f t="shared" si="157"/>
        <v>76.666666666666671</v>
      </c>
      <c r="IR16" s="223" t="str">
        <f>SISWA!E14</f>
        <v>Radit</v>
      </c>
      <c r="IS16" s="223" t="str">
        <f t="shared" si="158"/>
        <v xml:space="preserve">Ananda Radit </v>
      </c>
      <c r="IT16" s="580" t="str">
        <f t="shared" si="159"/>
        <v/>
      </c>
      <c r="IU16" s="580">
        <f t="shared" si="160"/>
        <v>83.333333333333329</v>
      </c>
      <c r="IV16" s="580" t="str">
        <f t="shared" si="161"/>
        <v/>
      </c>
      <c r="IW16" s="580" t="str">
        <f t="shared" si="162"/>
        <v/>
      </c>
      <c r="IX16" s="580" t="str">
        <f t="shared" si="163"/>
        <v/>
      </c>
      <c r="IY16" s="580" t="str">
        <f t="shared" si="164"/>
        <v/>
      </c>
      <c r="IZ16" s="580" t="str">
        <f t="shared" si="165"/>
        <v/>
      </c>
      <c r="JA16" s="580" t="str">
        <f t="shared" si="166"/>
        <v/>
      </c>
      <c r="JB16" s="580" t="str">
        <f t="shared" si="167"/>
        <v/>
      </c>
      <c r="JC16" s="580"/>
      <c r="JD16" s="580"/>
      <c r="JE16" s="223">
        <f t="shared" si="168"/>
        <v>83.333333333333329</v>
      </c>
      <c r="JF16" s="289" t="str">
        <f t="shared" si="169"/>
        <v>membuat model sederhana organ pernapasan manusia</v>
      </c>
      <c r="JG16" s="576" t="str">
        <f>IF(IP16&gt;100,"",IF(IP16&gt;EV$1,"sangat baik dalam "&amp;JF16,IF(IP16&gt;=EV$2,"baik dalam "&amp;JF16,IF(IP16&gt;=EV$3,"cukup dalam "&amp;JF16,IF(IP16&lt;EV$3,"dengan bimbingan dapat meningkatkan dalam "&amp;JF16,IF(IP16&lt;1," ",””))))))</f>
        <v>baik dalam membuat model sederhana organ pernapasan manusia</v>
      </c>
      <c r="JH16" s="223"/>
      <c r="JI16" s="223" t="str">
        <f t="shared" si="170"/>
        <v/>
      </c>
      <c r="JJ16" s="223" t="str">
        <f t="shared" si="171"/>
        <v/>
      </c>
      <c r="JK16" s="223">
        <f t="shared" si="172"/>
        <v>76.666666666666671</v>
      </c>
      <c r="JL16" s="223" t="str">
        <f t="shared" si="173"/>
        <v/>
      </c>
      <c r="JM16" s="223" t="str">
        <f t="shared" si="174"/>
        <v/>
      </c>
      <c r="JN16" s="223" t="str">
        <f t="shared" si="175"/>
        <v/>
      </c>
      <c r="JO16" s="223" t="str">
        <f t="shared" si="176"/>
        <v/>
      </c>
      <c r="JP16" s="223" t="str">
        <f t="shared" si="177"/>
        <v/>
      </c>
      <c r="JQ16" s="223" t="str">
        <f t="shared" si="178"/>
        <v/>
      </c>
      <c r="JR16" s="223"/>
      <c r="JS16" s="223"/>
      <c r="JT16" s="223" t="str">
        <f t="shared" si="179"/>
        <v>menyajikan karya tentang konsep organ dan fungsi pencernaan pada hewan atau manusia.</v>
      </c>
      <c r="JU16" s="577" t="str">
        <f>IF(IQ16&gt;100,"",IF(IQ16&gt;=EV$1,"sangat baik dalam "&amp;JT16,IF(IQ16&gt;=EV$2,"baik dalam "&amp;JT16,IF(IQ16&gt;=EV$3,"cukup dalam "&amp;JT16,IF(IQ16&lt;EV$3,"dengan bimbingan dapat meningkatkan dalam "&amp;JT16,IF(IQ16&lt;1," ",””))))))</f>
        <v>cukup dalam menyajikan karya tentang konsep organ dan fungsi pencernaan pada hewan atau manusia.</v>
      </c>
      <c r="JV16" s="223" t="str">
        <f t="shared" si="180"/>
        <v>Ananda Radit baik dalam membuat model sederhana organ pernapasan manusia, cukup dalam menyajikan karya tentang konsep organ dan fungsi pencernaan pada hewan atau manusia..</v>
      </c>
    </row>
    <row r="17" spans="1:282" ht="30">
      <c r="A17" s="39">
        <v>10</v>
      </c>
      <c r="B17" s="223" t="str">
        <f>SISWA!B15</f>
        <v>Muhammad Shulhan Al-farisi</v>
      </c>
      <c r="C17" s="123">
        <v>75</v>
      </c>
      <c r="D17" s="123"/>
      <c r="E17" s="123"/>
      <c r="F17" s="123"/>
      <c r="G17" s="123"/>
      <c r="H17" s="123"/>
      <c r="I17" s="123"/>
      <c r="J17" s="123"/>
      <c r="K17" s="123"/>
      <c r="L17" s="255">
        <v>90</v>
      </c>
      <c r="M17" s="255"/>
      <c r="N17" s="255"/>
      <c r="O17" s="255"/>
      <c r="P17" s="255"/>
      <c r="Q17" s="255"/>
      <c r="R17" s="255"/>
      <c r="S17" s="255"/>
      <c r="T17" s="255"/>
      <c r="U17" s="256">
        <v>80</v>
      </c>
      <c r="V17" s="256"/>
      <c r="W17" s="256"/>
      <c r="X17" s="256"/>
      <c r="Y17" s="256"/>
      <c r="Z17" s="256"/>
      <c r="AA17" s="256"/>
      <c r="AB17" s="256"/>
      <c r="AC17" s="256"/>
      <c r="AD17" s="123"/>
      <c r="AE17" s="123">
        <v>90</v>
      </c>
      <c r="AF17" s="123"/>
      <c r="AG17" s="123"/>
      <c r="AH17" s="123"/>
      <c r="AI17" s="123"/>
      <c r="AJ17" s="123"/>
      <c r="AK17" s="123"/>
      <c r="AL17" s="123"/>
      <c r="AM17" s="255"/>
      <c r="AN17" s="255">
        <v>90</v>
      </c>
      <c r="AO17" s="255"/>
      <c r="AP17" s="255"/>
      <c r="AQ17" s="255"/>
      <c r="AR17" s="255"/>
      <c r="AS17" s="255"/>
      <c r="AT17" s="255"/>
      <c r="AU17" s="255"/>
      <c r="AV17" s="256"/>
      <c r="AW17" s="256">
        <v>90</v>
      </c>
      <c r="AX17" s="256"/>
      <c r="AY17" s="256"/>
      <c r="AZ17" s="256"/>
      <c r="BA17" s="256"/>
      <c r="BB17" s="256"/>
      <c r="BC17" s="256"/>
      <c r="BD17" s="256"/>
      <c r="BE17" s="123"/>
      <c r="BF17" s="123"/>
      <c r="BG17" s="123">
        <v>75</v>
      </c>
      <c r="BH17" s="123"/>
      <c r="BI17" s="123"/>
      <c r="BJ17" s="123"/>
      <c r="BK17" s="123"/>
      <c r="BL17" s="123"/>
      <c r="BM17" s="123"/>
      <c r="BN17" s="255"/>
      <c r="BO17" s="255"/>
      <c r="BP17" s="255">
        <v>80</v>
      </c>
      <c r="BQ17" s="255"/>
      <c r="BR17" s="255"/>
      <c r="BS17" s="255"/>
      <c r="BT17" s="255"/>
      <c r="BU17" s="255"/>
      <c r="BV17" s="255"/>
      <c r="BW17" s="256"/>
      <c r="BX17" s="256"/>
      <c r="BY17" s="256">
        <v>75</v>
      </c>
      <c r="BZ17" s="256"/>
      <c r="CA17" s="256"/>
      <c r="CB17" s="256"/>
      <c r="CC17" s="256"/>
      <c r="CD17" s="256"/>
      <c r="CE17" s="256"/>
      <c r="CF17" s="123"/>
      <c r="CG17" s="123"/>
      <c r="CH17" s="123"/>
      <c r="CI17" s="123">
        <v>75</v>
      </c>
      <c r="CJ17" s="123"/>
      <c r="CK17" s="123"/>
      <c r="CL17" s="123"/>
      <c r="CM17" s="123"/>
      <c r="CN17" s="123"/>
      <c r="CO17" s="255"/>
      <c r="CP17" s="255"/>
      <c r="CQ17" s="255"/>
      <c r="CR17" s="255">
        <v>85</v>
      </c>
      <c r="CS17" s="255"/>
      <c r="CT17" s="255"/>
      <c r="CU17" s="255"/>
      <c r="CV17" s="255"/>
      <c r="CW17" s="255"/>
      <c r="CX17" s="256"/>
      <c r="CY17" s="256"/>
      <c r="CZ17" s="256"/>
      <c r="DA17" s="256">
        <v>75</v>
      </c>
      <c r="DB17" s="256"/>
      <c r="DC17" s="256"/>
      <c r="DD17" s="256"/>
      <c r="DE17" s="256"/>
      <c r="DF17" s="256"/>
      <c r="DG17" s="458">
        <v>90</v>
      </c>
      <c r="DH17" s="458"/>
      <c r="DI17" s="458"/>
      <c r="DJ17" s="458"/>
      <c r="DK17" s="458"/>
      <c r="DL17" s="458"/>
      <c r="DM17" s="458"/>
      <c r="DN17" s="458"/>
      <c r="DO17" s="458"/>
      <c r="DP17" s="457">
        <v>90</v>
      </c>
      <c r="DQ17" s="457"/>
      <c r="DR17" s="457"/>
      <c r="DS17" s="457"/>
      <c r="DT17" s="457"/>
      <c r="DU17" s="457"/>
      <c r="DV17" s="457"/>
      <c r="DW17" s="457"/>
      <c r="DX17" s="457"/>
      <c r="DY17" s="256">
        <v>75</v>
      </c>
      <c r="DZ17" s="256"/>
      <c r="EA17" s="256"/>
      <c r="EB17" s="256"/>
      <c r="EC17" s="256"/>
      <c r="ED17" s="256"/>
      <c r="EE17" s="256"/>
      <c r="EF17" s="256"/>
      <c r="EG17" s="256"/>
      <c r="EH17" s="257">
        <f t="shared" si="51"/>
        <v>86.666666666666671</v>
      </c>
      <c r="EI17" s="257">
        <f t="shared" si="52"/>
        <v>90</v>
      </c>
      <c r="EJ17" s="257">
        <f t="shared" si="53"/>
        <v>76.666666666666671</v>
      </c>
      <c r="EK17" s="257">
        <f t="shared" si="54"/>
        <v>78.333333333333329</v>
      </c>
      <c r="EL17" s="257" t="str">
        <f t="shared" si="55"/>
        <v/>
      </c>
      <c r="EM17" s="257" t="str">
        <f t="shared" si="56"/>
        <v/>
      </c>
      <c r="EN17" s="257" t="str">
        <f t="shared" si="57"/>
        <v/>
      </c>
      <c r="EO17" s="257" t="str">
        <f t="shared" si="58"/>
        <v/>
      </c>
      <c r="EP17" s="257" t="str">
        <f t="shared" si="59"/>
        <v/>
      </c>
      <c r="EQ17" s="756">
        <f t="shared" si="42"/>
        <v>83</v>
      </c>
      <c r="ER17" s="291" t="str">
        <f t="shared" si="60"/>
        <v>B</v>
      </c>
      <c r="ES17" s="243" t="str">
        <f t="shared" si="61"/>
        <v>Ananda Shulhan baik dalam membuat model sederhana organ pernapasan manusia, cukup dalam menyajikan karya tentang konsep organ dan fungsi pencernaan pada hewan atau manusia..</v>
      </c>
      <c r="ET17" s="39"/>
      <c r="EU17" s="39"/>
      <c r="EV17" s="257">
        <f t="shared" si="62"/>
        <v>90</v>
      </c>
      <c r="EW17" s="257">
        <f t="shared" si="63"/>
        <v>90</v>
      </c>
      <c r="EX17" s="257">
        <f t="shared" si="64"/>
        <v>75</v>
      </c>
      <c r="EY17" s="257">
        <f t="shared" si="65"/>
        <v>75</v>
      </c>
      <c r="EZ17" s="257">
        <f t="shared" si="66"/>
        <v>0</v>
      </c>
      <c r="FA17" s="257">
        <f t="shared" si="67"/>
        <v>0</v>
      </c>
      <c r="FB17" s="257">
        <f t="shared" si="68"/>
        <v>0</v>
      </c>
      <c r="FC17" s="257">
        <f t="shared" si="69"/>
        <v>0</v>
      </c>
      <c r="FD17" s="257">
        <f t="shared" si="70"/>
        <v>0</v>
      </c>
      <c r="FE17" s="257"/>
      <c r="FF17" s="289">
        <f t="shared" si="71"/>
        <v>90</v>
      </c>
      <c r="FG17" s="257">
        <f t="shared" si="72"/>
        <v>90</v>
      </c>
      <c r="FH17" s="257">
        <f t="shared" si="73"/>
        <v>90</v>
      </c>
      <c r="FI17" s="257">
        <f t="shared" si="74"/>
        <v>80</v>
      </c>
      <c r="FJ17" s="257">
        <f t="shared" si="75"/>
        <v>85</v>
      </c>
      <c r="FK17" s="257">
        <f t="shared" si="76"/>
        <v>0</v>
      </c>
      <c r="FL17" s="257">
        <f t="shared" si="77"/>
        <v>0</v>
      </c>
      <c r="FM17" s="257">
        <f t="shared" si="78"/>
        <v>0</v>
      </c>
      <c r="FN17" s="257">
        <f t="shared" si="79"/>
        <v>0</v>
      </c>
      <c r="FO17" s="257">
        <f t="shared" si="80"/>
        <v>0</v>
      </c>
      <c r="FP17" s="223"/>
      <c r="FQ17" s="289">
        <f t="shared" si="81"/>
        <v>90</v>
      </c>
      <c r="FR17" s="257">
        <f t="shared" si="82"/>
        <v>80</v>
      </c>
      <c r="FS17" s="257">
        <f t="shared" si="83"/>
        <v>90</v>
      </c>
      <c r="FT17" s="257">
        <f t="shared" si="84"/>
        <v>75</v>
      </c>
      <c r="FU17" s="257">
        <f t="shared" si="85"/>
        <v>75</v>
      </c>
      <c r="FV17" s="257">
        <f t="shared" si="86"/>
        <v>0</v>
      </c>
      <c r="FW17" s="257">
        <f t="shared" si="87"/>
        <v>0</v>
      </c>
      <c r="FX17" s="257">
        <f t="shared" si="88"/>
        <v>0</v>
      </c>
      <c r="FY17" s="257">
        <f t="shared" si="89"/>
        <v>0</v>
      </c>
      <c r="FZ17" s="257">
        <f t="shared" si="90"/>
        <v>0</v>
      </c>
      <c r="GA17" s="223"/>
      <c r="GB17" s="289">
        <f t="shared" si="91"/>
        <v>90</v>
      </c>
      <c r="GC17" s="257">
        <f t="shared" si="92"/>
        <v>90</v>
      </c>
      <c r="GD17" s="257">
        <f t="shared" si="93"/>
        <v>90</v>
      </c>
      <c r="GE17" s="257">
        <f t="shared" si="94"/>
        <v>80</v>
      </c>
      <c r="GF17" s="575">
        <f t="shared" si="95"/>
        <v>0</v>
      </c>
      <c r="GG17" s="506">
        <f t="shared" si="96"/>
        <v>3</v>
      </c>
      <c r="GH17" s="39">
        <f t="shared" si="97"/>
        <v>86.666666666666671</v>
      </c>
      <c r="GI17" s="257">
        <f t="shared" si="98"/>
        <v>90</v>
      </c>
      <c r="GJ17" s="257">
        <f t="shared" si="99"/>
        <v>90</v>
      </c>
      <c r="GK17" s="257">
        <f t="shared" si="100"/>
        <v>90</v>
      </c>
      <c r="GL17" s="575">
        <f t="shared" si="101"/>
        <v>0</v>
      </c>
      <c r="GM17" s="506">
        <f t="shared" si="102"/>
        <v>3</v>
      </c>
      <c r="GN17" s="39">
        <f t="shared" si="103"/>
        <v>90</v>
      </c>
      <c r="GO17" s="257">
        <f t="shared" si="104"/>
        <v>75</v>
      </c>
      <c r="GP17" s="257">
        <f t="shared" si="105"/>
        <v>80</v>
      </c>
      <c r="GQ17" s="257">
        <f t="shared" si="106"/>
        <v>75</v>
      </c>
      <c r="GR17" s="575">
        <f t="shared" si="107"/>
        <v>0</v>
      </c>
      <c r="GS17" s="506">
        <f t="shared" si="108"/>
        <v>3</v>
      </c>
      <c r="GT17" s="39">
        <f t="shared" si="109"/>
        <v>76.666666666666671</v>
      </c>
      <c r="GU17" s="257">
        <f t="shared" si="110"/>
        <v>75</v>
      </c>
      <c r="GV17" s="257">
        <f t="shared" si="111"/>
        <v>85</v>
      </c>
      <c r="GW17" s="257">
        <f t="shared" si="112"/>
        <v>75</v>
      </c>
      <c r="GX17" s="575">
        <f t="shared" si="113"/>
        <v>0</v>
      </c>
      <c r="GY17" s="506">
        <f t="shared" si="114"/>
        <v>3</v>
      </c>
      <c r="GZ17" s="39">
        <f t="shared" si="115"/>
        <v>78.333333333333329</v>
      </c>
      <c r="HA17" s="257">
        <f t="shared" si="116"/>
        <v>0</v>
      </c>
      <c r="HB17" s="257">
        <f t="shared" si="117"/>
        <v>0</v>
      </c>
      <c r="HC17" s="257">
        <f t="shared" si="118"/>
        <v>0</v>
      </c>
      <c r="HD17" s="575">
        <f t="shared" si="119"/>
        <v>3</v>
      </c>
      <c r="HE17" s="506">
        <f t="shared" si="120"/>
        <v>0</v>
      </c>
      <c r="HF17" s="39" t="str">
        <f t="shared" si="121"/>
        <v/>
      </c>
      <c r="HG17" s="257">
        <f t="shared" si="122"/>
        <v>0</v>
      </c>
      <c r="HH17" s="257">
        <f t="shared" si="123"/>
        <v>0</v>
      </c>
      <c r="HI17" s="257">
        <f t="shared" si="124"/>
        <v>0</v>
      </c>
      <c r="HJ17" s="575">
        <f t="shared" si="125"/>
        <v>3</v>
      </c>
      <c r="HK17" s="506">
        <f t="shared" si="126"/>
        <v>0</v>
      </c>
      <c r="HL17" s="39" t="str">
        <f t="shared" si="127"/>
        <v/>
      </c>
      <c r="HM17" s="257">
        <f t="shared" si="128"/>
        <v>0</v>
      </c>
      <c r="HN17" s="257">
        <f t="shared" si="129"/>
        <v>0</v>
      </c>
      <c r="HO17" s="257">
        <f t="shared" si="130"/>
        <v>0</v>
      </c>
      <c r="HP17" s="575">
        <f t="shared" si="131"/>
        <v>3</v>
      </c>
      <c r="HQ17" s="506">
        <f t="shared" si="132"/>
        <v>0</v>
      </c>
      <c r="HR17" s="39" t="str">
        <f t="shared" si="133"/>
        <v/>
      </c>
      <c r="HS17" s="257">
        <f t="shared" si="134"/>
        <v>0</v>
      </c>
      <c r="HT17" s="257">
        <f t="shared" si="135"/>
        <v>0</v>
      </c>
      <c r="HU17" s="257">
        <f t="shared" si="136"/>
        <v>0</v>
      </c>
      <c r="HV17" s="575">
        <f t="shared" si="137"/>
        <v>3</v>
      </c>
      <c r="HW17" s="506">
        <f t="shared" si="138"/>
        <v>0</v>
      </c>
      <c r="HX17" s="39" t="str">
        <f t="shared" si="139"/>
        <v/>
      </c>
      <c r="HY17" s="257">
        <f t="shared" si="140"/>
        <v>0</v>
      </c>
      <c r="HZ17" s="257">
        <f t="shared" si="141"/>
        <v>0</v>
      </c>
      <c r="IA17" s="257">
        <f t="shared" si="142"/>
        <v>0</v>
      </c>
      <c r="IB17" s="575">
        <f t="shared" si="143"/>
        <v>3</v>
      </c>
      <c r="IC17" s="506">
        <f t="shared" si="144"/>
        <v>0</v>
      </c>
      <c r="ID17" s="39" t="str">
        <f t="shared" si="145"/>
        <v/>
      </c>
      <c r="IE17" s="39"/>
      <c r="IF17" s="39">
        <f t="shared" si="146"/>
        <v>86.666666666666671</v>
      </c>
      <c r="IG17" s="39">
        <f t="shared" si="147"/>
        <v>90</v>
      </c>
      <c r="IH17" s="39">
        <f t="shared" si="148"/>
        <v>76.666666666666671</v>
      </c>
      <c r="II17" s="39">
        <f t="shared" si="149"/>
        <v>78.333333333333329</v>
      </c>
      <c r="IJ17" s="39" t="str">
        <f t="shared" si="150"/>
        <v/>
      </c>
      <c r="IK17" s="39" t="str">
        <f t="shared" si="151"/>
        <v/>
      </c>
      <c r="IL17" s="257" t="str">
        <f t="shared" si="152"/>
        <v/>
      </c>
      <c r="IM17" s="257" t="str">
        <f t="shared" si="153"/>
        <v/>
      </c>
      <c r="IN17" s="257" t="str">
        <f t="shared" si="154"/>
        <v/>
      </c>
      <c r="IO17" s="579">
        <f t="shared" si="155"/>
        <v>83</v>
      </c>
      <c r="IP17" s="289">
        <f t="shared" si="156"/>
        <v>90</v>
      </c>
      <c r="IQ17" s="289">
        <f t="shared" si="157"/>
        <v>76.666666666666671</v>
      </c>
      <c r="IR17" s="223" t="str">
        <f>SISWA!E15</f>
        <v>Shulhan</v>
      </c>
      <c r="IS17" s="223" t="str">
        <f t="shared" si="158"/>
        <v xml:space="preserve">Ananda Shulhan </v>
      </c>
      <c r="IT17" s="580" t="str">
        <f t="shared" si="159"/>
        <v/>
      </c>
      <c r="IU17" s="580">
        <f t="shared" si="160"/>
        <v>90</v>
      </c>
      <c r="IV17" s="580" t="str">
        <f t="shared" si="161"/>
        <v/>
      </c>
      <c r="IW17" s="580" t="str">
        <f t="shared" si="162"/>
        <v/>
      </c>
      <c r="IX17" s="580" t="str">
        <f t="shared" si="163"/>
        <v/>
      </c>
      <c r="IY17" s="580" t="str">
        <f t="shared" si="164"/>
        <v/>
      </c>
      <c r="IZ17" s="580" t="str">
        <f t="shared" si="165"/>
        <v/>
      </c>
      <c r="JA17" s="580" t="str">
        <f t="shared" si="166"/>
        <v/>
      </c>
      <c r="JB17" s="580" t="str">
        <f t="shared" si="167"/>
        <v/>
      </c>
      <c r="JC17" s="580"/>
      <c r="JD17" s="580"/>
      <c r="JE17" s="223">
        <f t="shared" si="168"/>
        <v>90</v>
      </c>
      <c r="JF17" s="289" t="str">
        <f t="shared" si="169"/>
        <v>membuat model sederhana organ pernapasan manusia</v>
      </c>
      <c r="JG17" s="576" t="str">
        <f>IF(IP17&gt;100,"",IF(IP17&gt;EV$1,"sangat baik dalam "&amp;JF17,IF(IP17&gt;=EV$2,"baik dalam "&amp;JF17,IF(IP17&gt;=EV$3,"cukup dalam "&amp;JF17,IF(IP17&lt;EV$3,"dengan bimbingan dapat meningkatkan dalam "&amp;JF17,IF(IP17&lt;1," ",””))))))</f>
        <v>baik dalam membuat model sederhana organ pernapasan manusia</v>
      </c>
      <c r="JH17" s="223"/>
      <c r="JI17" s="223" t="str">
        <f t="shared" si="170"/>
        <v/>
      </c>
      <c r="JJ17" s="223" t="str">
        <f t="shared" si="171"/>
        <v/>
      </c>
      <c r="JK17" s="223">
        <f t="shared" si="172"/>
        <v>76.666666666666671</v>
      </c>
      <c r="JL17" s="223" t="str">
        <f t="shared" si="173"/>
        <v/>
      </c>
      <c r="JM17" s="223" t="str">
        <f t="shared" si="174"/>
        <v/>
      </c>
      <c r="JN17" s="223" t="str">
        <f t="shared" si="175"/>
        <v/>
      </c>
      <c r="JO17" s="223" t="str">
        <f t="shared" si="176"/>
        <v/>
      </c>
      <c r="JP17" s="223" t="str">
        <f t="shared" si="177"/>
        <v/>
      </c>
      <c r="JQ17" s="223" t="str">
        <f t="shared" si="178"/>
        <v/>
      </c>
      <c r="JR17" s="223"/>
      <c r="JS17" s="223"/>
      <c r="JT17" s="223" t="str">
        <f t="shared" si="179"/>
        <v>menyajikan karya tentang konsep organ dan fungsi pencernaan pada hewan atau manusia.</v>
      </c>
      <c r="JU17" s="577" t="str">
        <f>IF(IQ17&gt;100,"",IF(IQ17&gt;=EV$1,"sangat baik dalam "&amp;JT17,IF(IQ17&gt;=EV$2,"baik dalam "&amp;JT17,IF(IQ17&gt;=EV$3,"cukup dalam "&amp;JT17,IF(IQ17&lt;EV$3,"dengan bimbingan dapat meningkatkan dalam "&amp;JT17,IF(IQ17&lt;1," ",””))))))</f>
        <v>cukup dalam menyajikan karya tentang konsep organ dan fungsi pencernaan pada hewan atau manusia.</v>
      </c>
      <c r="JV17" s="223" t="str">
        <f t="shared" si="180"/>
        <v>Ananda Shulhan baik dalam membuat model sederhana organ pernapasan manusia, cukup dalam menyajikan karya tentang konsep organ dan fungsi pencernaan pada hewan atau manusia..</v>
      </c>
    </row>
    <row r="18" spans="1:282" ht="30">
      <c r="A18" s="39">
        <v>11</v>
      </c>
      <c r="B18" s="223" t="str">
        <f>SISWA!B16</f>
        <v>Novaris Dwi Firmansyah</v>
      </c>
      <c r="C18" s="123">
        <v>90</v>
      </c>
      <c r="D18" s="123"/>
      <c r="E18" s="123"/>
      <c r="F18" s="123"/>
      <c r="G18" s="123"/>
      <c r="H18" s="123"/>
      <c r="I18" s="123"/>
      <c r="J18" s="123"/>
      <c r="K18" s="123"/>
      <c r="L18" s="255">
        <v>90</v>
      </c>
      <c r="M18" s="255"/>
      <c r="N18" s="255"/>
      <c r="O18" s="255"/>
      <c r="P18" s="255"/>
      <c r="Q18" s="255"/>
      <c r="R18" s="255"/>
      <c r="S18" s="255"/>
      <c r="T18" s="255"/>
      <c r="U18" s="256">
        <v>75</v>
      </c>
      <c r="V18" s="256"/>
      <c r="W18" s="256"/>
      <c r="X18" s="256"/>
      <c r="Y18" s="256"/>
      <c r="Z18" s="256"/>
      <c r="AA18" s="256"/>
      <c r="AB18" s="256"/>
      <c r="AC18" s="256"/>
      <c r="AD18" s="123"/>
      <c r="AE18" s="123">
        <v>90</v>
      </c>
      <c r="AF18" s="123"/>
      <c r="AG18" s="123"/>
      <c r="AH18" s="123"/>
      <c r="AI18" s="123"/>
      <c r="AJ18" s="123"/>
      <c r="AK18" s="123"/>
      <c r="AL18" s="123"/>
      <c r="AM18" s="255"/>
      <c r="AN18" s="255">
        <v>80</v>
      </c>
      <c r="AO18" s="255"/>
      <c r="AP18" s="255"/>
      <c r="AQ18" s="255"/>
      <c r="AR18" s="255"/>
      <c r="AS18" s="255"/>
      <c r="AT18" s="255"/>
      <c r="AU18" s="255"/>
      <c r="AV18" s="256"/>
      <c r="AW18" s="256">
        <v>90</v>
      </c>
      <c r="AX18" s="256"/>
      <c r="AY18" s="256"/>
      <c r="AZ18" s="256"/>
      <c r="BA18" s="256"/>
      <c r="BB18" s="256"/>
      <c r="BC18" s="256"/>
      <c r="BD18" s="256"/>
      <c r="BE18" s="123"/>
      <c r="BF18" s="123"/>
      <c r="BG18" s="123">
        <v>75</v>
      </c>
      <c r="BH18" s="123"/>
      <c r="BI18" s="123"/>
      <c r="BJ18" s="123"/>
      <c r="BK18" s="123"/>
      <c r="BL18" s="123"/>
      <c r="BM18" s="123"/>
      <c r="BN18" s="255"/>
      <c r="BO18" s="255"/>
      <c r="BP18" s="255">
        <v>75</v>
      </c>
      <c r="BQ18" s="255"/>
      <c r="BR18" s="255"/>
      <c r="BS18" s="255"/>
      <c r="BT18" s="255"/>
      <c r="BU18" s="255"/>
      <c r="BV18" s="255"/>
      <c r="BW18" s="256"/>
      <c r="BX18" s="256"/>
      <c r="BY18" s="256">
        <v>75</v>
      </c>
      <c r="BZ18" s="256"/>
      <c r="CA18" s="256"/>
      <c r="CB18" s="256"/>
      <c r="CC18" s="256"/>
      <c r="CD18" s="256"/>
      <c r="CE18" s="256"/>
      <c r="CF18" s="123"/>
      <c r="CG18" s="123"/>
      <c r="CH18" s="123"/>
      <c r="CI18" s="123">
        <v>85</v>
      </c>
      <c r="CJ18" s="123"/>
      <c r="CK18" s="123"/>
      <c r="CL18" s="123"/>
      <c r="CM18" s="123"/>
      <c r="CN18" s="123"/>
      <c r="CO18" s="255"/>
      <c r="CP18" s="255"/>
      <c r="CQ18" s="255"/>
      <c r="CR18" s="255">
        <v>85</v>
      </c>
      <c r="CS18" s="255"/>
      <c r="CT18" s="255"/>
      <c r="CU18" s="255"/>
      <c r="CV18" s="255"/>
      <c r="CW18" s="255"/>
      <c r="CX18" s="256"/>
      <c r="CY18" s="256"/>
      <c r="CZ18" s="256"/>
      <c r="DA18" s="256">
        <v>75</v>
      </c>
      <c r="DB18" s="256"/>
      <c r="DC18" s="256"/>
      <c r="DD18" s="256"/>
      <c r="DE18" s="256"/>
      <c r="DF18" s="256"/>
      <c r="DG18" s="458">
        <v>85</v>
      </c>
      <c r="DH18" s="458"/>
      <c r="DI18" s="458"/>
      <c r="DJ18" s="458"/>
      <c r="DK18" s="458"/>
      <c r="DL18" s="458"/>
      <c r="DM18" s="458"/>
      <c r="DN18" s="458"/>
      <c r="DO18" s="458"/>
      <c r="DP18" s="457">
        <v>90</v>
      </c>
      <c r="DQ18" s="457"/>
      <c r="DR18" s="457"/>
      <c r="DS18" s="457"/>
      <c r="DT18" s="457"/>
      <c r="DU18" s="457"/>
      <c r="DV18" s="457"/>
      <c r="DW18" s="457"/>
      <c r="DX18" s="457"/>
      <c r="DY18" s="256">
        <v>75</v>
      </c>
      <c r="DZ18" s="256"/>
      <c r="EA18" s="256"/>
      <c r="EB18" s="256"/>
      <c r="EC18" s="256"/>
      <c r="ED18" s="256"/>
      <c r="EE18" s="256"/>
      <c r="EF18" s="256"/>
      <c r="EG18" s="256"/>
      <c r="EH18" s="257">
        <f t="shared" si="51"/>
        <v>85</v>
      </c>
      <c r="EI18" s="257">
        <f t="shared" si="52"/>
        <v>86.666666666666671</v>
      </c>
      <c r="EJ18" s="257">
        <f t="shared" si="53"/>
        <v>75</v>
      </c>
      <c r="EK18" s="257">
        <f t="shared" si="54"/>
        <v>81.666666666666671</v>
      </c>
      <c r="EL18" s="257" t="str">
        <f t="shared" si="55"/>
        <v/>
      </c>
      <c r="EM18" s="257" t="str">
        <f t="shared" si="56"/>
        <v/>
      </c>
      <c r="EN18" s="257" t="str">
        <f t="shared" si="57"/>
        <v/>
      </c>
      <c r="EO18" s="257" t="str">
        <f t="shared" si="58"/>
        <v/>
      </c>
      <c r="EP18" s="257" t="str">
        <f t="shared" si="59"/>
        <v/>
      </c>
      <c r="EQ18" s="756">
        <f t="shared" si="42"/>
        <v>82</v>
      </c>
      <c r="ER18" s="291" t="str">
        <f t="shared" si="60"/>
        <v>C</v>
      </c>
      <c r="ES18" s="243" t="str">
        <f t="shared" si="61"/>
        <v>Ananda Varis baik dalam membuat model sederhana organ pernapasan manusia, cukup dalam menyajikan karya tentang konsep organ dan fungsi pencernaan pada hewan atau manusia..</v>
      </c>
      <c r="ET18" s="39"/>
      <c r="EU18" s="39"/>
      <c r="EV18" s="257">
        <f t="shared" si="62"/>
        <v>90</v>
      </c>
      <c r="EW18" s="257">
        <f t="shared" si="63"/>
        <v>90</v>
      </c>
      <c r="EX18" s="257">
        <f t="shared" si="64"/>
        <v>75</v>
      </c>
      <c r="EY18" s="257">
        <f t="shared" si="65"/>
        <v>85</v>
      </c>
      <c r="EZ18" s="257">
        <f t="shared" si="66"/>
        <v>0</v>
      </c>
      <c r="FA18" s="257">
        <f t="shared" si="67"/>
        <v>0</v>
      </c>
      <c r="FB18" s="257">
        <f t="shared" si="68"/>
        <v>0</v>
      </c>
      <c r="FC18" s="257">
        <f t="shared" si="69"/>
        <v>0</v>
      </c>
      <c r="FD18" s="257">
        <f t="shared" si="70"/>
        <v>0</v>
      </c>
      <c r="FE18" s="257"/>
      <c r="FF18" s="289">
        <f t="shared" si="71"/>
        <v>90</v>
      </c>
      <c r="FG18" s="257">
        <f t="shared" si="72"/>
        <v>90</v>
      </c>
      <c r="FH18" s="257">
        <f t="shared" si="73"/>
        <v>80</v>
      </c>
      <c r="FI18" s="257">
        <f t="shared" si="74"/>
        <v>75</v>
      </c>
      <c r="FJ18" s="257">
        <f t="shared" si="75"/>
        <v>85</v>
      </c>
      <c r="FK18" s="257">
        <f t="shared" si="76"/>
        <v>0</v>
      </c>
      <c r="FL18" s="257">
        <f t="shared" si="77"/>
        <v>0</v>
      </c>
      <c r="FM18" s="257">
        <f t="shared" si="78"/>
        <v>0</v>
      </c>
      <c r="FN18" s="257">
        <f t="shared" si="79"/>
        <v>0</v>
      </c>
      <c r="FO18" s="257">
        <f t="shared" si="80"/>
        <v>0</v>
      </c>
      <c r="FP18" s="223"/>
      <c r="FQ18" s="289">
        <f t="shared" si="81"/>
        <v>90</v>
      </c>
      <c r="FR18" s="257">
        <f t="shared" si="82"/>
        <v>75</v>
      </c>
      <c r="FS18" s="257">
        <f t="shared" si="83"/>
        <v>90</v>
      </c>
      <c r="FT18" s="257">
        <f t="shared" si="84"/>
        <v>75</v>
      </c>
      <c r="FU18" s="257">
        <f t="shared" si="85"/>
        <v>75</v>
      </c>
      <c r="FV18" s="257">
        <f t="shared" si="86"/>
        <v>0</v>
      </c>
      <c r="FW18" s="257">
        <f t="shared" si="87"/>
        <v>0</v>
      </c>
      <c r="FX18" s="257">
        <f t="shared" si="88"/>
        <v>0</v>
      </c>
      <c r="FY18" s="257">
        <f t="shared" si="89"/>
        <v>0</v>
      </c>
      <c r="FZ18" s="257">
        <f t="shared" si="90"/>
        <v>0</v>
      </c>
      <c r="GA18" s="223"/>
      <c r="GB18" s="289">
        <f t="shared" si="91"/>
        <v>90</v>
      </c>
      <c r="GC18" s="257">
        <f t="shared" si="92"/>
        <v>90</v>
      </c>
      <c r="GD18" s="257">
        <f t="shared" si="93"/>
        <v>90</v>
      </c>
      <c r="GE18" s="257">
        <f t="shared" si="94"/>
        <v>75</v>
      </c>
      <c r="GF18" s="575">
        <f t="shared" si="95"/>
        <v>0</v>
      </c>
      <c r="GG18" s="506">
        <f t="shared" si="96"/>
        <v>3</v>
      </c>
      <c r="GH18" s="39">
        <f t="shared" si="97"/>
        <v>85</v>
      </c>
      <c r="GI18" s="257">
        <f t="shared" si="98"/>
        <v>90</v>
      </c>
      <c r="GJ18" s="257">
        <f t="shared" si="99"/>
        <v>80</v>
      </c>
      <c r="GK18" s="257">
        <f t="shared" si="100"/>
        <v>90</v>
      </c>
      <c r="GL18" s="575">
        <f t="shared" si="101"/>
        <v>0</v>
      </c>
      <c r="GM18" s="506">
        <f t="shared" si="102"/>
        <v>3</v>
      </c>
      <c r="GN18" s="39">
        <f t="shared" si="103"/>
        <v>86.666666666666671</v>
      </c>
      <c r="GO18" s="257">
        <f t="shared" si="104"/>
        <v>75</v>
      </c>
      <c r="GP18" s="257">
        <f t="shared" si="105"/>
        <v>75</v>
      </c>
      <c r="GQ18" s="257">
        <f t="shared" si="106"/>
        <v>75</v>
      </c>
      <c r="GR18" s="575">
        <f t="shared" si="107"/>
        <v>0</v>
      </c>
      <c r="GS18" s="506">
        <f t="shared" si="108"/>
        <v>3</v>
      </c>
      <c r="GT18" s="39">
        <f t="shared" si="109"/>
        <v>75</v>
      </c>
      <c r="GU18" s="257">
        <f t="shared" si="110"/>
        <v>85</v>
      </c>
      <c r="GV18" s="257">
        <f t="shared" si="111"/>
        <v>85</v>
      </c>
      <c r="GW18" s="257">
        <f t="shared" si="112"/>
        <v>75</v>
      </c>
      <c r="GX18" s="575">
        <f t="shared" si="113"/>
        <v>0</v>
      </c>
      <c r="GY18" s="506">
        <f t="shared" si="114"/>
        <v>3</v>
      </c>
      <c r="GZ18" s="39">
        <f t="shared" si="115"/>
        <v>81.666666666666671</v>
      </c>
      <c r="HA18" s="257">
        <f t="shared" si="116"/>
        <v>0</v>
      </c>
      <c r="HB18" s="257">
        <f t="shared" si="117"/>
        <v>0</v>
      </c>
      <c r="HC18" s="257">
        <f t="shared" si="118"/>
        <v>0</v>
      </c>
      <c r="HD18" s="575">
        <f t="shared" si="119"/>
        <v>3</v>
      </c>
      <c r="HE18" s="506">
        <f t="shared" si="120"/>
        <v>0</v>
      </c>
      <c r="HF18" s="39" t="str">
        <f t="shared" si="121"/>
        <v/>
      </c>
      <c r="HG18" s="257">
        <f t="shared" si="122"/>
        <v>0</v>
      </c>
      <c r="HH18" s="257">
        <f t="shared" si="123"/>
        <v>0</v>
      </c>
      <c r="HI18" s="257">
        <f t="shared" si="124"/>
        <v>0</v>
      </c>
      <c r="HJ18" s="575">
        <f t="shared" si="125"/>
        <v>3</v>
      </c>
      <c r="HK18" s="506">
        <f t="shared" si="126"/>
        <v>0</v>
      </c>
      <c r="HL18" s="39" t="str">
        <f t="shared" si="127"/>
        <v/>
      </c>
      <c r="HM18" s="257">
        <f t="shared" si="128"/>
        <v>0</v>
      </c>
      <c r="HN18" s="257">
        <f t="shared" si="129"/>
        <v>0</v>
      </c>
      <c r="HO18" s="257">
        <f t="shared" si="130"/>
        <v>0</v>
      </c>
      <c r="HP18" s="575">
        <f t="shared" si="131"/>
        <v>3</v>
      </c>
      <c r="HQ18" s="506">
        <f t="shared" si="132"/>
        <v>0</v>
      </c>
      <c r="HR18" s="39" t="str">
        <f t="shared" si="133"/>
        <v/>
      </c>
      <c r="HS18" s="257">
        <f t="shared" si="134"/>
        <v>0</v>
      </c>
      <c r="HT18" s="257">
        <f t="shared" si="135"/>
        <v>0</v>
      </c>
      <c r="HU18" s="257">
        <f t="shared" si="136"/>
        <v>0</v>
      </c>
      <c r="HV18" s="575">
        <f t="shared" si="137"/>
        <v>3</v>
      </c>
      <c r="HW18" s="506">
        <f t="shared" si="138"/>
        <v>0</v>
      </c>
      <c r="HX18" s="39" t="str">
        <f t="shared" si="139"/>
        <v/>
      </c>
      <c r="HY18" s="257">
        <f t="shared" si="140"/>
        <v>0</v>
      </c>
      <c r="HZ18" s="257">
        <f t="shared" si="141"/>
        <v>0</v>
      </c>
      <c r="IA18" s="257">
        <f t="shared" si="142"/>
        <v>0</v>
      </c>
      <c r="IB18" s="575">
        <f t="shared" si="143"/>
        <v>3</v>
      </c>
      <c r="IC18" s="506">
        <f t="shared" si="144"/>
        <v>0</v>
      </c>
      <c r="ID18" s="39" t="str">
        <f t="shared" si="145"/>
        <v/>
      </c>
      <c r="IE18" s="39"/>
      <c r="IF18" s="39">
        <f t="shared" si="146"/>
        <v>85</v>
      </c>
      <c r="IG18" s="39">
        <f t="shared" si="147"/>
        <v>86.666666666666671</v>
      </c>
      <c r="IH18" s="39">
        <f t="shared" si="148"/>
        <v>75</v>
      </c>
      <c r="II18" s="39">
        <f t="shared" si="149"/>
        <v>81.666666666666671</v>
      </c>
      <c r="IJ18" s="39" t="str">
        <f t="shared" si="150"/>
        <v/>
      </c>
      <c r="IK18" s="39" t="str">
        <f t="shared" si="151"/>
        <v/>
      </c>
      <c r="IL18" s="257" t="str">
        <f t="shared" si="152"/>
        <v/>
      </c>
      <c r="IM18" s="257" t="str">
        <f t="shared" si="153"/>
        <v/>
      </c>
      <c r="IN18" s="257" t="str">
        <f t="shared" si="154"/>
        <v/>
      </c>
      <c r="IO18" s="579">
        <f t="shared" si="155"/>
        <v>82</v>
      </c>
      <c r="IP18" s="289">
        <f t="shared" si="156"/>
        <v>86.666666666666671</v>
      </c>
      <c r="IQ18" s="289">
        <f t="shared" si="157"/>
        <v>75</v>
      </c>
      <c r="IR18" s="223" t="str">
        <f>SISWA!E16</f>
        <v>Varis</v>
      </c>
      <c r="IS18" s="223" t="str">
        <f t="shared" si="158"/>
        <v xml:space="preserve">Ananda Varis </v>
      </c>
      <c r="IT18" s="580" t="str">
        <f t="shared" si="159"/>
        <v/>
      </c>
      <c r="IU18" s="580">
        <f t="shared" si="160"/>
        <v>86.666666666666671</v>
      </c>
      <c r="IV18" s="580" t="str">
        <f t="shared" si="161"/>
        <v/>
      </c>
      <c r="IW18" s="580" t="str">
        <f t="shared" si="162"/>
        <v/>
      </c>
      <c r="IX18" s="580" t="str">
        <f t="shared" si="163"/>
        <v/>
      </c>
      <c r="IY18" s="580" t="str">
        <f t="shared" si="164"/>
        <v/>
      </c>
      <c r="IZ18" s="580" t="str">
        <f t="shared" si="165"/>
        <v/>
      </c>
      <c r="JA18" s="580" t="str">
        <f t="shared" si="166"/>
        <v/>
      </c>
      <c r="JB18" s="580" t="str">
        <f t="shared" si="167"/>
        <v/>
      </c>
      <c r="JC18" s="580"/>
      <c r="JD18" s="580"/>
      <c r="JE18" s="223">
        <f t="shared" si="168"/>
        <v>86.666666666666671</v>
      </c>
      <c r="JF18" s="289" t="str">
        <f t="shared" si="169"/>
        <v>membuat model sederhana organ pernapasan manusia</v>
      </c>
      <c r="JG18" s="576" t="str">
        <f>IF(IP18&gt;100,"",IF(IP18&gt;EV$1,"sangat baik dalam "&amp;JF18,IF(IP18&gt;=EV$2,"baik dalam "&amp;JF18,IF(IP18&gt;=EV$3,"cukup dalam "&amp;JF18,IF(IP18&lt;EV$3,"dengan bimbingan dapat meningkatkan dalam "&amp;JF18,IF(IP18&lt;1," ",””))))))</f>
        <v>baik dalam membuat model sederhana organ pernapasan manusia</v>
      </c>
      <c r="JH18" s="223"/>
      <c r="JI18" s="223" t="str">
        <f t="shared" si="170"/>
        <v/>
      </c>
      <c r="JJ18" s="223" t="str">
        <f t="shared" si="171"/>
        <v/>
      </c>
      <c r="JK18" s="223">
        <f t="shared" si="172"/>
        <v>75</v>
      </c>
      <c r="JL18" s="223" t="str">
        <f t="shared" si="173"/>
        <v/>
      </c>
      <c r="JM18" s="223" t="str">
        <f t="shared" si="174"/>
        <v/>
      </c>
      <c r="JN18" s="223" t="str">
        <f t="shared" si="175"/>
        <v/>
      </c>
      <c r="JO18" s="223" t="str">
        <f t="shared" si="176"/>
        <v/>
      </c>
      <c r="JP18" s="223" t="str">
        <f t="shared" si="177"/>
        <v/>
      </c>
      <c r="JQ18" s="223" t="str">
        <f t="shared" si="178"/>
        <v/>
      </c>
      <c r="JR18" s="223"/>
      <c r="JS18" s="223"/>
      <c r="JT18" s="223" t="str">
        <f t="shared" si="179"/>
        <v>menyajikan karya tentang konsep organ dan fungsi pencernaan pada hewan atau manusia.</v>
      </c>
      <c r="JU18" s="577" t="str">
        <f>IF(IQ18&gt;100,"",IF(IQ18&gt;=EV$1,"sangat baik dalam "&amp;JT18,IF(IQ18&gt;=EV$2,"baik dalam "&amp;JT18,IF(IQ18&gt;=EV$3,"cukup dalam "&amp;JT18,IF(IQ18&lt;EV$3,"dengan bimbingan dapat meningkatkan dalam "&amp;JT18,IF(IQ18&lt;1," ",””))))))</f>
        <v>cukup dalam menyajikan karya tentang konsep organ dan fungsi pencernaan pada hewan atau manusia.</v>
      </c>
      <c r="JV18" s="223" t="str">
        <f t="shared" si="180"/>
        <v>Ananda Varis baik dalam membuat model sederhana organ pernapasan manusia, cukup dalam menyajikan karya tentang konsep organ dan fungsi pencernaan pada hewan atau manusia..</v>
      </c>
    </row>
    <row r="19" spans="1:282" ht="30">
      <c r="A19" s="39">
        <v>12</v>
      </c>
      <c r="B19" s="223" t="str">
        <f>SISWA!B17</f>
        <v>Oktafiya Duwi Safitri</v>
      </c>
      <c r="C19" s="123">
        <v>75</v>
      </c>
      <c r="D19" s="123"/>
      <c r="E19" s="123"/>
      <c r="F19" s="123"/>
      <c r="G19" s="123"/>
      <c r="H19" s="123"/>
      <c r="I19" s="123"/>
      <c r="J19" s="123"/>
      <c r="K19" s="123"/>
      <c r="L19" s="255">
        <v>75</v>
      </c>
      <c r="M19" s="255"/>
      <c r="N19" s="255"/>
      <c r="O19" s="255"/>
      <c r="P19" s="255"/>
      <c r="Q19" s="255"/>
      <c r="R19" s="255"/>
      <c r="S19" s="255"/>
      <c r="T19" s="255"/>
      <c r="U19" s="256">
        <v>75</v>
      </c>
      <c r="V19" s="256"/>
      <c r="W19" s="256"/>
      <c r="X19" s="256"/>
      <c r="Y19" s="256"/>
      <c r="Z19" s="256"/>
      <c r="AA19" s="256"/>
      <c r="AB19" s="256"/>
      <c r="AC19" s="256"/>
      <c r="AD19" s="123"/>
      <c r="AE19" s="123">
        <v>75</v>
      </c>
      <c r="AF19" s="123"/>
      <c r="AG19" s="123"/>
      <c r="AH19" s="123"/>
      <c r="AI19" s="123"/>
      <c r="AJ19" s="123"/>
      <c r="AK19" s="123"/>
      <c r="AL19" s="123"/>
      <c r="AM19" s="255"/>
      <c r="AN19" s="255">
        <v>80</v>
      </c>
      <c r="AO19" s="255"/>
      <c r="AP19" s="255"/>
      <c r="AQ19" s="255"/>
      <c r="AR19" s="255"/>
      <c r="AS19" s="255"/>
      <c r="AT19" s="255"/>
      <c r="AU19" s="255"/>
      <c r="AV19" s="256"/>
      <c r="AW19" s="256">
        <v>75</v>
      </c>
      <c r="AX19" s="256"/>
      <c r="AY19" s="256"/>
      <c r="AZ19" s="256"/>
      <c r="BA19" s="256"/>
      <c r="BB19" s="256"/>
      <c r="BC19" s="256"/>
      <c r="BD19" s="256"/>
      <c r="BE19" s="123"/>
      <c r="BF19" s="123"/>
      <c r="BG19" s="123">
        <v>80</v>
      </c>
      <c r="BH19" s="123"/>
      <c r="BI19" s="123"/>
      <c r="BJ19" s="123"/>
      <c r="BK19" s="123"/>
      <c r="BL19" s="123"/>
      <c r="BM19" s="123"/>
      <c r="BN19" s="255"/>
      <c r="BO19" s="255"/>
      <c r="BP19" s="255">
        <v>75</v>
      </c>
      <c r="BQ19" s="255"/>
      <c r="BR19" s="255"/>
      <c r="BS19" s="255"/>
      <c r="BT19" s="255"/>
      <c r="BU19" s="255"/>
      <c r="BV19" s="255"/>
      <c r="BW19" s="256"/>
      <c r="BX19" s="256"/>
      <c r="BY19" s="256">
        <v>75</v>
      </c>
      <c r="BZ19" s="256"/>
      <c r="CA19" s="256"/>
      <c r="CB19" s="256"/>
      <c r="CC19" s="256"/>
      <c r="CD19" s="256"/>
      <c r="CE19" s="256"/>
      <c r="CF19" s="123"/>
      <c r="CG19" s="123"/>
      <c r="CH19" s="123"/>
      <c r="CI19" s="123">
        <v>75</v>
      </c>
      <c r="CJ19" s="123"/>
      <c r="CK19" s="123"/>
      <c r="CL19" s="123"/>
      <c r="CM19" s="123"/>
      <c r="CN19" s="123"/>
      <c r="CO19" s="255"/>
      <c r="CP19" s="255"/>
      <c r="CQ19" s="255"/>
      <c r="CR19" s="255">
        <v>75</v>
      </c>
      <c r="CS19" s="255"/>
      <c r="CT19" s="255"/>
      <c r="CU19" s="255"/>
      <c r="CV19" s="255"/>
      <c r="CW19" s="255"/>
      <c r="CX19" s="256"/>
      <c r="CY19" s="256"/>
      <c r="CZ19" s="256"/>
      <c r="DA19" s="256">
        <v>75</v>
      </c>
      <c r="DB19" s="256"/>
      <c r="DC19" s="256"/>
      <c r="DD19" s="256"/>
      <c r="DE19" s="256"/>
      <c r="DF19" s="256"/>
      <c r="DG19" s="458">
        <v>80</v>
      </c>
      <c r="DH19" s="458"/>
      <c r="DI19" s="458"/>
      <c r="DJ19" s="458"/>
      <c r="DK19" s="458"/>
      <c r="DL19" s="458"/>
      <c r="DM19" s="458"/>
      <c r="DN19" s="458"/>
      <c r="DO19" s="458"/>
      <c r="DP19" s="457">
        <v>90</v>
      </c>
      <c r="DQ19" s="457"/>
      <c r="DR19" s="457"/>
      <c r="DS19" s="457"/>
      <c r="DT19" s="457"/>
      <c r="DU19" s="457"/>
      <c r="DV19" s="457"/>
      <c r="DW19" s="457"/>
      <c r="DX19" s="457"/>
      <c r="DY19" s="256">
        <v>75</v>
      </c>
      <c r="DZ19" s="256"/>
      <c r="EA19" s="256"/>
      <c r="EB19" s="256"/>
      <c r="EC19" s="256"/>
      <c r="ED19" s="256"/>
      <c r="EE19" s="256"/>
      <c r="EF19" s="256"/>
      <c r="EG19" s="256"/>
      <c r="EH19" s="257">
        <f t="shared" si="51"/>
        <v>81.666666666666671</v>
      </c>
      <c r="EI19" s="257">
        <f t="shared" si="52"/>
        <v>76.666666666666671</v>
      </c>
      <c r="EJ19" s="257">
        <f t="shared" si="53"/>
        <v>76.666666666666671</v>
      </c>
      <c r="EK19" s="257">
        <f t="shared" si="54"/>
        <v>75</v>
      </c>
      <c r="EL19" s="257" t="str">
        <f t="shared" si="55"/>
        <v/>
      </c>
      <c r="EM19" s="257" t="str">
        <f t="shared" si="56"/>
        <v/>
      </c>
      <c r="EN19" s="257" t="str">
        <f t="shared" si="57"/>
        <v/>
      </c>
      <c r="EO19" s="257" t="str">
        <f t="shared" si="58"/>
        <v/>
      </c>
      <c r="EP19" s="257" t="str">
        <f t="shared" si="59"/>
        <v/>
      </c>
      <c r="EQ19" s="756">
        <f t="shared" si="42"/>
        <v>78</v>
      </c>
      <c r="ER19" s="291" t="str">
        <f t="shared" si="60"/>
        <v>C</v>
      </c>
      <c r="ES19" s="243" t="str">
        <f t="shared" si="61"/>
        <v>Ananda Fitri cukup dalam membuat model sederhana alat gerak manusia atau hewan, cukup dalam menyajikan karya tentang organ peredaran darah pada manusia.</v>
      </c>
      <c r="ET19" s="39"/>
      <c r="EU19" s="39"/>
      <c r="EV19" s="257">
        <f t="shared" si="62"/>
        <v>80</v>
      </c>
      <c r="EW19" s="257">
        <f t="shared" si="63"/>
        <v>75</v>
      </c>
      <c r="EX19" s="257">
        <f t="shared" si="64"/>
        <v>80</v>
      </c>
      <c r="EY19" s="257">
        <f t="shared" si="65"/>
        <v>75</v>
      </c>
      <c r="EZ19" s="257">
        <f t="shared" si="66"/>
        <v>0</v>
      </c>
      <c r="FA19" s="257">
        <f t="shared" si="67"/>
        <v>0</v>
      </c>
      <c r="FB19" s="257">
        <f t="shared" si="68"/>
        <v>0</v>
      </c>
      <c r="FC19" s="257">
        <f t="shared" si="69"/>
        <v>0</v>
      </c>
      <c r="FD19" s="257">
        <f t="shared" si="70"/>
        <v>0</v>
      </c>
      <c r="FE19" s="257"/>
      <c r="FF19" s="289">
        <f t="shared" si="71"/>
        <v>80</v>
      </c>
      <c r="FG19" s="257">
        <f t="shared" si="72"/>
        <v>90</v>
      </c>
      <c r="FH19" s="257">
        <f t="shared" si="73"/>
        <v>80</v>
      </c>
      <c r="FI19" s="257">
        <f t="shared" si="74"/>
        <v>75</v>
      </c>
      <c r="FJ19" s="257">
        <f t="shared" si="75"/>
        <v>75</v>
      </c>
      <c r="FK19" s="257">
        <f t="shared" si="76"/>
        <v>0</v>
      </c>
      <c r="FL19" s="257">
        <f t="shared" si="77"/>
        <v>0</v>
      </c>
      <c r="FM19" s="257">
        <f t="shared" si="78"/>
        <v>0</v>
      </c>
      <c r="FN19" s="257">
        <f t="shared" si="79"/>
        <v>0</v>
      </c>
      <c r="FO19" s="257">
        <f t="shared" si="80"/>
        <v>0</v>
      </c>
      <c r="FP19" s="223"/>
      <c r="FQ19" s="289">
        <f t="shared" si="81"/>
        <v>90</v>
      </c>
      <c r="FR19" s="257">
        <f t="shared" si="82"/>
        <v>75</v>
      </c>
      <c r="FS19" s="257">
        <f t="shared" si="83"/>
        <v>75</v>
      </c>
      <c r="FT19" s="257">
        <f t="shared" si="84"/>
        <v>75</v>
      </c>
      <c r="FU19" s="257">
        <f t="shared" si="85"/>
        <v>75</v>
      </c>
      <c r="FV19" s="257">
        <f t="shared" si="86"/>
        <v>0</v>
      </c>
      <c r="FW19" s="257">
        <f t="shared" si="87"/>
        <v>0</v>
      </c>
      <c r="FX19" s="257">
        <f t="shared" si="88"/>
        <v>0</v>
      </c>
      <c r="FY19" s="257">
        <f t="shared" si="89"/>
        <v>0</v>
      </c>
      <c r="FZ19" s="257">
        <f t="shared" si="90"/>
        <v>0</v>
      </c>
      <c r="GA19" s="223"/>
      <c r="GB19" s="289">
        <f t="shared" si="91"/>
        <v>75</v>
      </c>
      <c r="GC19" s="257">
        <f t="shared" si="92"/>
        <v>80</v>
      </c>
      <c r="GD19" s="257">
        <f t="shared" si="93"/>
        <v>90</v>
      </c>
      <c r="GE19" s="257">
        <f t="shared" si="94"/>
        <v>75</v>
      </c>
      <c r="GF19" s="575">
        <f t="shared" si="95"/>
        <v>0</v>
      </c>
      <c r="GG19" s="506">
        <f t="shared" si="96"/>
        <v>3</v>
      </c>
      <c r="GH19" s="39">
        <f t="shared" si="97"/>
        <v>81.666666666666671</v>
      </c>
      <c r="GI19" s="257">
        <f t="shared" si="98"/>
        <v>75</v>
      </c>
      <c r="GJ19" s="257">
        <f t="shared" si="99"/>
        <v>80</v>
      </c>
      <c r="GK19" s="257">
        <f t="shared" si="100"/>
        <v>75</v>
      </c>
      <c r="GL19" s="575">
        <f t="shared" si="101"/>
        <v>0</v>
      </c>
      <c r="GM19" s="506">
        <f t="shared" si="102"/>
        <v>3</v>
      </c>
      <c r="GN19" s="39">
        <f t="shared" si="103"/>
        <v>76.666666666666671</v>
      </c>
      <c r="GO19" s="257">
        <f t="shared" si="104"/>
        <v>80</v>
      </c>
      <c r="GP19" s="257">
        <f t="shared" si="105"/>
        <v>75</v>
      </c>
      <c r="GQ19" s="257">
        <f t="shared" si="106"/>
        <v>75</v>
      </c>
      <c r="GR19" s="575">
        <f t="shared" si="107"/>
        <v>0</v>
      </c>
      <c r="GS19" s="506">
        <f t="shared" si="108"/>
        <v>3</v>
      </c>
      <c r="GT19" s="39">
        <f t="shared" si="109"/>
        <v>76.666666666666671</v>
      </c>
      <c r="GU19" s="257">
        <f t="shared" si="110"/>
        <v>75</v>
      </c>
      <c r="GV19" s="257">
        <f t="shared" si="111"/>
        <v>75</v>
      </c>
      <c r="GW19" s="257">
        <f t="shared" si="112"/>
        <v>75</v>
      </c>
      <c r="GX19" s="575">
        <f t="shared" si="113"/>
        <v>0</v>
      </c>
      <c r="GY19" s="506">
        <f t="shared" si="114"/>
        <v>3</v>
      </c>
      <c r="GZ19" s="39">
        <f t="shared" si="115"/>
        <v>75</v>
      </c>
      <c r="HA19" s="257">
        <f t="shared" si="116"/>
        <v>0</v>
      </c>
      <c r="HB19" s="257">
        <f t="shared" si="117"/>
        <v>0</v>
      </c>
      <c r="HC19" s="257">
        <f t="shared" si="118"/>
        <v>0</v>
      </c>
      <c r="HD19" s="575">
        <f t="shared" si="119"/>
        <v>3</v>
      </c>
      <c r="HE19" s="506">
        <f t="shared" si="120"/>
        <v>0</v>
      </c>
      <c r="HF19" s="39" t="str">
        <f t="shared" si="121"/>
        <v/>
      </c>
      <c r="HG19" s="257">
        <f t="shared" si="122"/>
        <v>0</v>
      </c>
      <c r="HH19" s="257">
        <f t="shared" si="123"/>
        <v>0</v>
      </c>
      <c r="HI19" s="257">
        <f t="shared" si="124"/>
        <v>0</v>
      </c>
      <c r="HJ19" s="575">
        <f t="shared" si="125"/>
        <v>3</v>
      </c>
      <c r="HK19" s="506">
        <f t="shared" si="126"/>
        <v>0</v>
      </c>
      <c r="HL19" s="39" t="str">
        <f t="shared" si="127"/>
        <v/>
      </c>
      <c r="HM19" s="257">
        <f t="shared" si="128"/>
        <v>0</v>
      </c>
      <c r="HN19" s="257">
        <f t="shared" si="129"/>
        <v>0</v>
      </c>
      <c r="HO19" s="257">
        <f t="shared" si="130"/>
        <v>0</v>
      </c>
      <c r="HP19" s="575">
        <f t="shared" si="131"/>
        <v>3</v>
      </c>
      <c r="HQ19" s="506">
        <f t="shared" si="132"/>
        <v>0</v>
      </c>
      <c r="HR19" s="39" t="str">
        <f t="shared" si="133"/>
        <v/>
      </c>
      <c r="HS19" s="257">
        <f t="shared" si="134"/>
        <v>0</v>
      </c>
      <c r="HT19" s="257">
        <f t="shared" si="135"/>
        <v>0</v>
      </c>
      <c r="HU19" s="257">
        <f t="shared" si="136"/>
        <v>0</v>
      </c>
      <c r="HV19" s="575">
        <f t="shared" si="137"/>
        <v>3</v>
      </c>
      <c r="HW19" s="506">
        <f t="shared" si="138"/>
        <v>0</v>
      </c>
      <c r="HX19" s="39" t="str">
        <f t="shared" si="139"/>
        <v/>
      </c>
      <c r="HY19" s="257">
        <f t="shared" si="140"/>
        <v>0</v>
      </c>
      <c r="HZ19" s="257">
        <f t="shared" si="141"/>
        <v>0</v>
      </c>
      <c r="IA19" s="257">
        <f t="shared" si="142"/>
        <v>0</v>
      </c>
      <c r="IB19" s="575">
        <f t="shared" si="143"/>
        <v>3</v>
      </c>
      <c r="IC19" s="506">
        <f t="shared" si="144"/>
        <v>0</v>
      </c>
      <c r="ID19" s="39" t="str">
        <f t="shared" si="145"/>
        <v/>
      </c>
      <c r="IE19" s="39"/>
      <c r="IF19" s="39">
        <f t="shared" si="146"/>
        <v>81.666666666666671</v>
      </c>
      <c r="IG19" s="39">
        <f t="shared" si="147"/>
        <v>76.666666666666671</v>
      </c>
      <c r="IH19" s="39">
        <f t="shared" si="148"/>
        <v>76.666666666666671</v>
      </c>
      <c r="II19" s="39">
        <f t="shared" si="149"/>
        <v>75</v>
      </c>
      <c r="IJ19" s="39" t="str">
        <f t="shared" si="150"/>
        <v/>
      </c>
      <c r="IK19" s="39" t="str">
        <f t="shared" si="151"/>
        <v/>
      </c>
      <c r="IL19" s="257" t="str">
        <f t="shared" si="152"/>
        <v/>
      </c>
      <c r="IM19" s="257" t="str">
        <f t="shared" si="153"/>
        <v/>
      </c>
      <c r="IN19" s="257" t="str">
        <f t="shared" si="154"/>
        <v/>
      </c>
      <c r="IO19" s="579">
        <f t="shared" si="155"/>
        <v>78</v>
      </c>
      <c r="IP19" s="289">
        <f t="shared" si="156"/>
        <v>81.666666666666671</v>
      </c>
      <c r="IQ19" s="289">
        <f t="shared" si="157"/>
        <v>75</v>
      </c>
      <c r="IR19" s="223" t="str">
        <f>SISWA!E17</f>
        <v>Fitri</v>
      </c>
      <c r="IS19" s="223" t="str">
        <f t="shared" si="158"/>
        <v xml:space="preserve">Ananda Fitri </v>
      </c>
      <c r="IT19" s="580">
        <f t="shared" si="159"/>
        <v>81.666666666666671</v>
      </c>
      <c r="IU19" s="580" t="str">
        <f t="shared" si="160"/>
        <v/>
      </c>
      <c r="IV19" s="580" t="str">
        <f t="shared" si="161"/>
        <v/>
      </c>
      <c r="IW19" s="580" t="str">
        <f t="shared" si="162"/>
        <v/>
      </c>
      <c r="IX19" s="580" t="str">
        <f t="shared" si="163"/>
        <v/>
      </c>
      <c r="IY19" s="580" t="str">
        <f t="shared" si="164"/>
        <v/>
      </c>
      <c r="IZ19" s="580" t="str">
        <f t="shared" si="165"/>
        <v/>
      </c>
      <c r="JA19" s="580" t="str">
        <f t="shared" si="166"/>
        <v/>
      </c>
      <c r="JB19" s="580" t="str">
        <f t="shared" si="167"/>
        <v/>
      </c>
      <c r="JC19" s="580"/>
      <c r="JD19" s="580"/>
      <c r="JE19" s="223">
        <f t="shared" si="168"/>
        <v>81.666666666666671</v>
      </c>
      <c r="JF19" s="289" t="str">
        <f t="shared" si="169"/>
        <v>membuat model sederhana alat gerak manusia atau hewan</v>
      </c>
      <c r="JG19" s="576" t="str">
        <f>IF(IP19&gt;100,"",IF(IP19&gt;EV$1,"sangat baik dalam "&amp;JF19,IF(IP19&gt;=EV$2,"baik dalam "&amp;JF19,IF(IP19&gt;=EV$3,"cukup dalam "&amp;JF19,IF(IP19&lt;EV$3,"dengan bimbingan dapat meningkatkan dalam "&amp;JF19,IF(IP19&lt;1," ",””))))))</f>
        <v>cukup dalam membuat model sederhana alat gerak manusia atau hewan</v>
      </c>
      <c r="JH19" s="223"/>
      <c r="JI19" s="223" t="str">
        <f t="shared" si="170"/>
        <v/>
      </c>
      <c r="JJ19" s="223" t="str">
        <f t="shared" si="171"/>
        <v/>
      </c>
      <c r="JK19" s="223" t="str">
        <f t="shared" si="172"/>
        <v/>
      </c>
      <c r="JL19" s="223">
        <f t="shared" si="173"/>
        <v>75</v>
      </c>
      <c r="JM19" s="223" t="str">
        <f t="shared" si="174"/>
        <v/>
      </c>
      <c r="JN19" s="223" t="str">
        <f t="shared" si="175"/>
        <v/>
      </c>
      <c r="JO19" s="223" t="str">
        <f t="shared" si="176"/>
        <v/>
      </c>
      <c r="JP19" s="223" t="str">
        <f t="shared" si="177"/>
        <v/>
      </c>
      <c r="JQ19" s="223" t="str">
        <f t="shared" si="178"/>
        <v/>
      </c>
      <c r="JR19" s="223"/>
      <c r="JS19" s="223"/>
      <c r="JT19" s="223" t="str">
        <f t="shared" si="179"/>
        <v>menyajikan karya tentang organ peredaran darah pada manusia</v>
      </c>
      <c r="JU19" s="577" t="str">
        <f>IF(IQ19&gt;100,"",IF(IQ19&gt;=EV$1,"sangat baik dalam "&amp;JT19,IF(IQ19&gt;=EV$2,"baik dalam "&amp;JT19,IF(IQ19&gt;=EV$3,"cukup dalam "&amp;JT19,IF(IQ19&lt;EV$3,"dengan bimbingan dapat meningkatkan dalam "&amp;JT19,IF(IQ19&lt;1," ",””))))))</f>
        <v>cukup dalam menyajikan karya tentang organ peredaran darah pada manusia</v>
      </c>
      <c r="JV19" s="223" t="str">
        <f t="shared" si="180"/>
        <v>Ananda Fitri cukup dalam membuat model sederhana alat gerak manusia atau hewan, cukup dalam menyajikan karya tentang organ peredaran darah pada manusia.</v>
      </c>
    </row>
    <row r="20" spans="1:282" ht="30">
      <c r="A20" s="39">
        <v>13</v>
      </c>
      <c r="B20" s="223" t="str">
        <f>SISWA!B18</f>
        <v>Prastika Guntur Firmansyah</v>
      </c>
      <c r="C20" s="123">
        <v>75</v>
      </c>
      <c r="D20" s="123"/>
      <c r="E20" s="123"/>
      <c r="F20" s="123"/>
      <c r="G20" s="123"/>
      <c r="H20" s="123"/>
      <c r="I20" s="123"/>
      <c r="J20" s="123"/>
      <c r="K20" s="123"/>
      <c r="L20" s="255">
        <v>90</v>
      </c>
      <c r="M20" s="255"/>
      <c r="N20" s="255"/>
      <c r="O20" s="255"/>
      <c r="P20" s="255"/>
      <c r="Q20" s="255"/>
      <c r="R20" s="255"/>
      <c r="S20" s="255"/>
      <c r="T20" s="255"/>
      <c r="U20" s="256">
        <v>75</v>
      </c>
      <c r="V20" s="256"/>
      <c r="W20" s="256"/>
      <c r="X20" s="256"/>
      <c r="Y20" s="256"/>
      <c r="Z20" s="256"/>
      <c r="AA20" s="256"/>
      <c r="AB20" s="256"/>
      <c r="AC20" s="256"/>
      <c r="AD20" s="123"/>
      <c r="AE20" s="123">
        <v>90</v>
      </c>
      <c r="AF20" s="123"/>
      <c r="AG20" s="123"/>
      <c r="AH20" s="123"/>
      <c r="AI20" s="123"/>
      <c r="AJ20" s="123"/>
      <c r="AK20" s="123"/>
      <c r="AL20" s="123"/>
      <c r="AM20" s="255"/>
      <c r="AN20" s="255">
        <v>90</v>
      </c>
      <c r="AO20" s="255"/>
      <c r="AP20" s="255"/>
      <c r="AQ20" s="255"/>
      <c r="AR20" s="255"/>
      <c r="AS20" s="255"/>
      <c r="AT20" s="255"/>
      <c r="AU20" s="255"/>
      <c r="AV20" s="256"/>
      <c r="AW20" s="256">
        <v>85</v>
      </c>
      <c r="AX20" s="256"/>
      <c r="AY20" s="256"/>
      <c r="AZ20" s="256"/>
      <c r="BA20" s="256"/>
      <c r="BB20" s="256"/>
      <c r="BC20" s="256"/>
      <c r="BD20" s="256"/>
      <c r="BE20" s="123"/>
      <c r="BF20" s="123"/>
      <c r="BG20" s="123">
        <v>75</v>
      </c>
      <c r="BH20" s="123"/>
      <c r="BI20" s="123"/>
      <c r="BJ20" s="123"/>
      <c r="BK20" s="123"/>
      <c r="BL20" s="123"/>
      <c r="BM20" s="123"/>
      <c r="BN20" s="255"/>
      <c r="BO20" s="255"/>
      <c r="BP20" s="255">
        <v>75</v>
      </c>
      <c r="BQ20" s="255"/>
      <c r="BR20" s="255"/>
      <c r="BS20" s="255"/>
      <c r="BT20" s="255"/>
      <c r="BU20" s="255"/>
      <c r="BV20" s="255"/>
      <c r="BW20" s="256"/>
      <c r="BX20" s="256"/>
      <c r="BY20" s="256">
        <v>80</v>
      </c>
      <c r="BZ20" s="256"/>
      <c r="CA20" s="256"/>
      <c r="CB20" s="256"/>
      <c r="CC20" s="256"/>
      <c r="CD20" s="256"/>
      <c r="CE20" s="256"/>
      <c r="CF20" s="123"/>
      <c r="CG20" s="123"/>
      <c r="CH20" s="123"/>
      <c r="CI20" s="123">
        <v>85</v>
      </c>
      <c r="CJ20" s="123"/>
      <c r="CK20" s="123"/>
      <c r="CL20" s="123"/>
      <c r="CM20" s="123"/>
      <c r="CN20" s="123"/>
      <c r="CO20" s="255"/>
      <c r="CP20" s="255"/>
      <c r="CQ20" s="255"/>
      <c r="CR20" s="255">
        <v>85</v>
      </c>
      <c r="CS20" s="255"/>
      <c r="CT20" s="255"/>
      <c r="CU20" s="255"/>
      <c r="CV20" s="255"/>
      <c r="CW20" s="255"/>
      <c r="CX20" s="256"/>
      <c r="CY20" s="256"/>
      <c r="CZ20" s="256"/>
      <c r="DA20" s="256">
        <v>75</v>
      </c>
      <c r="DB20" s="256"/>
      <c r="DC20" s="256"/>
      <c r="DD20" s="256"/>
      <c r="DE20" s="256"/>
      <c r="DF20" s="256"/>
      <c r="DG20" s="458">
        <v>90</v>
      </c>
      <c r="DH20" s="458"/>
      <c r="DI20" s="458"/>
      <c r="DJ20" s="458"/>
      <c r="DK20" s="458"/>
      <c r="DL20" s="458"/>
      <c r="DM20" s="458"/>
      <c r="DN20" s="458"/>
      <c r="DO20" s="458"/>
      <c r="DP20" s="457">
        <v>90</v>
      </c>
      <c r="DQ20" s="457"/>
      <c r="DR20" s="457"/>
      <c r="DS20" s="457"/>
      <c r="DT20" s="457"/>
      <c r="DU20" s="457"/>
      <c r="DV20" s="457"/>
      <c r="DW20" s="457"/>
      <c r="DX20" s="457"/>
      <c r="DY20" s="256">
        <v>90</v>
      </c>
      <c r="DZ20" s="256"/>
      <c r="EA20" s="256"/>
      <c r="EB20" s="256"/>
      <c r="EC20" s="256"/>
      <c r="ED20" s="256"/>
      <c r="EE20" s="256"/>
      <c r="EF20" s="256"/>
      <c r="EG20" s="256"/>
      <c r="EH20" s="257">
        <f t="shared" si="51"/>
        <v>90</v>
      </c>
      <c r="EI20" s="257">
        <f t="shared" si="52"/>
        <v>88.333333333333329</v>
      </c>
      <c r="EJ20" s="257">
        <f t="shared" si="53"/>
        <v>76.666666666666671</v>
      </c>
      <c r="EK20" s="257">
        <f t="shared" si="54"/>
        <v>81.666666666666671</v>
      </c>
      <c r="EL20" s="257" t="str">
        <f t="shared" si="55"/>
        <v/>
      </c>
      <c r="EM20" s="257" t="str">
        <f t="shared" si="56"/>
        <v/>
      </c>
      <c r="EN20" s="257" t="str">
        <f t="shared" si="57"/>
        <v/>
      </c>
      <c r="EO20" s="257" t="str">
        <f t="shared" si="58"/>
        <v/>
      </c>
      <c r="EP20" s="257" t="str">
        <f t="shared" si="59"/>
        <v/>
      </c>
      <c r="EQ20" s="756">
        <f t="shared" si="42"/>
        <v>84</v>
      </c>
      <c r="ER20" s="291" t="str">
        <f t="shared" si="60"/>
        <v>B</v>
      </c>
      <c r="ES20" s="243" t="str">
        <f t="shared" si="61"/>
        <v>Ananda Pras baik dalam membuat model sederhana alat gerak manusia atau hewan, cukup dalam menyajikan karya tentang konsep organ dan fungsi pencernaan pada hewan atau manusia..</v>
      </c>
      <c r="ET20" s="39"/>
      <c r="EU20" s="39"/>
      <c r="EV20" s="257">
        <f t="shared" si="62"/>
        <v>90</v>
      </c>
      <c r="EW20" s="257">
        <f t="shared" si="63"/>
        <v>90</v>
      </c>
      <c r="EX20" s="257">
        <f t="shared" si="64"/>
        <v>75</v>
      </c>
      <c r="EY20" s="257">
        <f t="shared" si="65"/>
        <v>85</v>
      </c>
      <c r="EZ20" s="257">
        <f t="shared" si="66"/>
        <v>0</v>
      </c>
      <c r="FA20" s="257">
        <f t="shared" si="67"/>
        <v>0</v>
      </c>
      <c r="FB20" s="257">
        <f t="shared" si="68"/>
        <v>0</v>
      </c>
      <c r="FC20" s="257">
        <f t="shared" si="69"/>
        <v>0</v>
      </c>
      <c r="FD20" s="257">
        <f t="shared" si="70"/>
        <v>0</v>
      </c>
      <c r="FE20" s="257"/>
      <c r="FF20" s="289">
        <f t="shared" si="71"/>
        <v>90</v>
      </c>
      <c r="FG20" s="257">
        <f t="shared" si="72"/>
        <v>90</v>
      </c>
      <c r="FH20" s="257">
        <f t="shared" si="73"/>
        <v>90</v>
      </c>
      <c r="FI20" s="257">
        <f t="shared" si="74"/>
        <v>75</v>
      </c>
      <c r="FJ20" s="257">
        <f t="shared" si="75"/>
        <v>85</v>
      </c>
      <c r="FK20" s="257">
        <f t="shared" si="76"/>
        <v>0</v>
      </c>
      <c r="FL20" s="257">
        <f t="shared" si="77"/>
        <v>0</v>
      </c>
      <c r="FM20" s="257">
        <f t="shared" si="78"/>
        <v>0</v>
      </c>
      <c r="FN20" s="257">
        <f t="shared" si="79"/>
        <v>0</v>
      </c>
      <c r="FO20" s="257">
        <f t="shared" si="80"/>
        <v>0</v>
      </c>
      <c r="FP20" s="223"/>
      <c r="FQ20" s="289">
        <f t="shared" si="81"/>
        <v>90</v>
      </c>
      <c r="FR20" s="257">
        <f t="shared" si="82"/>
        <v>90</v>
      </c>
      <c r="FS20" s="257">
        <f t="shared" si="83"/>
        <v>85</v>
      </c>
      <c r="FT20" s="257">
        <f t="shared" si="84"/>
        <v>80</v>
      </c>
      <c r="FU20" s="257">
        <f t="shared" si="85"/>
        <v>75</v>
      </c>
      <c r="FV20" s="257">
        <f t="shared" si="86"/>
        <v>0</v>
      </c>
      <c r="FW20" s="257">
        <f t="shared" si="87"/>
        <v>0</v>
      </c>
      <c r="FX20" s="257">
        <f t="shared" si="88"/>
        <v>0</v>
      </c>
      <c r="FY20" s="257">
        <f t="shared" si="89"/>
        <v>0</v>
      </c>
      <c r="FZ20" s="257">
        <f t="shared" si="90"/>
        <v>0</v>
      </c>
      <c r="GA20" s="223"/>
      <c r="GB20" s="289">
        <f t="shared" si="91"/>
        <v>90</v>
      </c>
      <c r="GC20" s="257">
        <f t="shared" si="92"/>
        <v>90</v>
      </c>
      <c r="GD20" s="257">
        <f t="shared" si="93"/>
        <v>90</v>
      </c>
      <c r="GE20" s="257">
        <f t="shared" si="94"/>
        <v>90</v>
      </c>
      <c r="GF20" s="575">
        <f t="shared" si="95"/>
        <v>0</v>
      </c>
      <c r="GG20" s="506">
        <f t="shared" si="96"/>
        <v>3</v>
      </c>
      <c r="GH20" s="39">
        <f t="shared" si="97"/>
        <v>90</v>
      </c>
      <c r="GI20" s="257">
        <f t="shared" si="98"/>
        <v>90</v>
      </c>
      <c r="GJ20" s="257">
        <f t="shared" si="99"/>
        <v>90</v>
      </c>
      <c r="GK20" s="257">
        <f t="shared" si="100"/>
        <v>85</v>
      </c>
      <c r="GL20" s="575">
        <f t="shared" si="101"/>
        <v>0</v>
      </c>
      <c r="GM20" s="506">
        <f t="shared" si="102"/>
        <v>3</v>
      </c>
      <c r="GN20" s="39">
        <f t="shared" si="103"/>
        <v>88.333333333333329</v>
      </c>
      <c r="GO20" s="257">
        <f t="shared" si="104"/>
        <v>75</v>
      </c>
      <c r="GP20" s="257">
        <f t="shared" si="105"/>
        <v>75</v>
      </c>
      <c r="GQ20" s="257">
        <f t="shared" si="106"/>
        <v>80</v>
      </c>
      <c r="GR20" s="575">
        <f t="shared" si="107"/>
        <v>0</v>
      </c>
      <c r="GS20" s="506">
        <f t="shared" si="108"/>
        <v>3</v>
      </c>
      <c r="GT20" s="39">
        <f t="shared" si="109"/>
        <v>76.666666666666671</v>
      </c>
      <c r="GU20" s="257">
        <f t="shared" si="110"/>
        <v>85</v>
      </c>
      <c r="GV20" s="257">
        <f t="shared" si="111"/>
        <v>85</v>
      </c>
      <c r="GW20" s="257">
        <f t="shared" si="112"/>
        <v>75</v>
      </c>
      <c r="GX20" s="575">
        <f t="shared" si="113"/>
        <v>0</v>
      </c>
      <c r="GY20" s="506">
        <f t="shared" si="114"/>
        <v>3</v>
      </c>
      <c r="GZ20" s="39">
        <f t="shared" si="115"/>
        <v>81.666666666666671</v>
      </c>
      <c r="HA20" s="257">
        <f t="shared" si="116"/>
        <v>0</v>
      </c>
      <c r="HB20" s="257">
        <f t="shared" si="117"/>
        <v>0</v>
      </c>
      <c r="HC20" s="257">
        <f t="shared" si="118"/>
        <v>0</v>
      </c>
      <c r="HD20" s="575">
        <f t="shared" si="119"/>
        <v>3</v>
      </c>
      <c r="HE20" s="506">
        <f t="shared" si="120"/>
        <v>0</v>
      </c>
      <c r="HF20" s="39" t="str">
        <f t="shared" si="121"/>
        <v/>
      </c>
      <c r="HG20" s="257">
        <f t="shared" si="122"/>
        <v>0</v>
      </c>
      <c r="HH20" s="257">
        <f t="shared" si="123"/>
        <v>0</v>
      </c>
      <c r="HI20" s="257">
        <f t="shared" si="124"/>
        <v>0</v>
      </c>
      <c r="HJ20" s="575">
        <f t="shared" si="125"/>
        <v>3</v>
      </c>
      <c r="HK20" s="506">
        <f t="shared" si="126"/>
        <v>0</v>
      </c>
      <c r="HL20" s="39" t="str">
        <f t="shared" si="127"/>
        <v/>
      </c>
      <c r="HM20" s="257">
        <f t="shared" si="128"/>
        <v>0</v>
      </c>
      <c r="HN20" s="257">
        <f t="shared" si="129"/>
        <v>0</v>
      </c>
      <c r="HO20" s="257">
        <f t="shared" si="130"/>
        <v>0</v>
      </c>
      <c r="HP20" s="575">
        <f t="shared" si="131"/>
        <v>3</v>
      </c>
      <c r="HQ20" s="506">
        <f t="shared" si="132"/>
        <v>0</v>
      </c>
      <c r="HR20" s="39" t="str">
        <f t="shared" si="133"/>
        <v/>
      </c>
      <c r="HS20" s="257">
        <f t="shared" si="134"/>
        <v>0</v>
      </c>
      <c r="HT20" s="257">
        <f t="shared" si="135"/>
        <v>0</v>
      </c>
      <c r="HU20" s="257">
        <f t="shared" si="136"/>
        <v>0</v>
      </c>
      <c r="HV20" s="575">
        <f t="shared" si="137"/>
        <v>3</v>
      </c>
      <c r="HW20" s="506">
        <f t="shared" si="138"/>
        <v>0</v>
      </c>
      <c r="HX20" s="39" t="str">
        <f t="shared" si="139"/>
        <v/>
      </c>
      <c r="HY20" s="257">
        <f t="shared" si="140"/>
        <v>0</v>
      </c>
      <c r="HZ20" s="257">
        <f t="shared" si="141"/>
        <v>0</v>
      </c>
      <c r="IA20" s="257">
        <f t="shared" si="142"/>
        <v>0</v>
      </c>
      <c r="IB20" s="575">
        <f t="shared" si="143"/>
        <v>3</v>
      </c>
      <c r="IC20" s="506">
        <f t="shared" si="144"/>
        <v>0</v>
      </c>
      <c r="ID20" s="39" t="str">
        <f t="shared" si="145"/>
        <v/>
      </c>
      <c r="IE20" s="39"/>
      <c r="IF20" s="39">
        <f t="shared" si="146"/>
        <v>90</v>
      </c>
      <c r="IG20" s="39">
        <f t="shared" si="147"/>
        <v>88.333333333333329</v>
      </c>
      <c r="IH20" s="39">
        <f t="shared" si="148"/>
        <v>76.666666666666671</v>
      </c>
      <c r="II20" s="39">
        <f t="shared" si="149"/>
        <v>81.666666666666671</v>
      </c>
      <c r="IJ20" s="39" t="str">
        <f t="shared" si="150"/>
        <v/>
      </c>
      <c r="IK20" s="39" t="str">
        <f t="shared" si="151"/>
        <v/>
      </c>
      <c r="IL20" s="257" t="str">
        <f t="shared" si="152"/>
        <v/>
      </c>
      <c r="IM20" s="257" t="str">
        <f t="shared" si="153"/>
        <v/>
      </c>
      <c r="IN20" s="257" t="str">
        <f t="shared" si="154"/>
        <v/>
      </c>
      <c r="IO20" s="579">
        <f t="shared" si="155"/>
        <v>84</v>
      </c>
      <c r="IP20" s="289">
        <f t="shared" si="156"/>
        <v>90</v>
      </c>
      <c r="IQ20" s="289">
        <f t="shared" si="157"/>
        <v>76.666666666666671</v>
      </c>
      <c r="IR20" s="223" t="str">
        <f>SISWA!E18</f>
        <v>Pras</v>
      </c>
      <c r="IS20" s="223" t="str">
        <f t="shared" si="158"/>
        <v xml:space="preserve">Ananda Pras </v>
      </c>
      <c r="IT20" s="580">
        <f t="shared" si="159"/>
        <v>90</v>
      </c>
      <c r="IU20" s="580" t="str">
        <f t="shared" si="160"/>
        <v/>
      </c>
      <c r="IV20" s="580" t="str">
        <f t="shared" si="161"/>
        <v/>
      </c>
      <c r="IW20" s="580" t="str">
        <f t="shared" si="162"/>
        <v/>
      </c>
      <c r="IX20" s="580" t="str">
        <f t="shared" si="163"/>
        <v/>
      </c>
      <c r="IY20" s="580" t="str">
        <f t="shared" si="164"/>
        <v/>
      </c>
      <c r="IZ20" s="580" t="str">
        <f t="shared" si="165"/>
        <v/>
      </c>
      <c r="JA20" s="580" t="str">
        <f t="shared" si="166"/>
        <v/>
      </c>
      <c r="JB20" s="580" t="str">
        <f t="shared" si="167"/>
        <v/>
      </c>
      <c r="JC20" s="580"/>
      <c r="JD20" s="580"/>
      <c r="JE20" s="223">
        <f t="shared" si="168"/>
        <v>90</v>
      </c>
      <c r="JF20" s="289" t="str">
        <f t="shared" si="169"/>
        <v>membuat model sederhana alat gerak manusia atau hewan</v>
      </c>
      <c r="JG20" s="576" t="str">
        <f>IF(IP20&gt;100,"",IF(IP20&gt;EV$1,"sangat baik dalam "&amp;JF20,IF(IP20&gt;=EV$2,"baik dalam "&amp;JF20,IF(IP20&gt;=EV$3,"cukup dalam "&amp;JF20,IF(IP20&lt;EV$3,"dengan bimbingan dapat meningkatkan dalam "&amp;JF20,IF(IP20&lt;1," ",””))))))</f>
        <v>baik dalam membuat model sederhana alat gerak manusia atau hewan</v>
      </c>
      <c r="JH20" s="223"/>
      <c r="JI20" s="223" t="str">
        <f t="shared" si="170"/>
        <v/>
      </c>
      <c r="JJ20" s="223" t="str">
        <f t="shared" si="171"/>
        <v/>
      </c>
      <c r="JK20" s="223">
        <f t="shared" si="172"/>
        <v>76.666666666666671</v>
      </c>
      <c r="JL20" s="223" t="str">
        <f t="shared" si="173"/>
        <v/>
      </c>
      <c r="JM20" s="223" t="str">
        <f t="shared" si="174"/>
        <v/>
      </c>
      <c r="JN20" s="223" t="str">
        <f t="shared" si="175"/>
        <v/>
      </c>
      <c r="JO20" s="223" t="str">
        <f t="shared" si="176"/>
        <v/>
      </c>
      <c r="JP20" s="223" t="str">
        <f t="shared" si="177"/>
        <v/>
      </c>
      <c r="JQ20" s="223" t="str">
        <f t="shared" si="178"/>
        <v/>
      </c>
      <c r="JR20" s="223"/>
      <c r="JS20" s="223"/>
      <c r="JT20" s="223" t="str">
        <f t="shared" si="179"/>
        <v>menyajikan karya tentang konsep organ dan fungsi pencernaan pada hewan atau manusia.</v>
      </c>
      <c r="JU20" s="577" t="str">
        <f>IF(IQ20&gt;100,"",IF(IQ20&gt;=EV$1,"sangat baik dalam "&amp;JT20,IF(IQ20&gt;=EV$2,"baik dalam "&amp;JT20,IF(IQ20&gt;=EV$3,"cukup dalam "&amp;JT20,IF(IQ20&lt;EV$3,"dengan bimbingan dapat meningkatkan dalam "&amp;JT20,IF(IQ20&lt;1," ",””))))))</f>
        <v>cukup dalam menyajikan karya tentang konsep organ dan fungsi pencernaan pada hewan atau manusia.</v>
      </c>
      <c r="JV20" s="223" t="str">
        <f t="shared" si="180"/>
        <v>Ananda Pras baik dalam membuat model sederhana alat gerak manusia atau hewan, cukup dalam menyajikan karya tentang konsep organ dan fungsi pencernaan pada hewan atau manusia..</v>
      </c>
    </row>
    <row r="21" spans="1:282" ht="30">
      <c r="A21" s="39">
        <v>14</v>
      </c>
      <c r="B21" s="223" t="str">
        <f>SISWA!B19</f>
        <v>Siti Musyafiani</v>
      </c>
      <c r="C21" s="123">
        <v>80</v>
      </c>
      <c r="D21" s="123"/>
      <c r="E21" s="123"/>
      <c r="F21" s="123"/>
      <c r="G21" s="123"/>
      <c r="H21" s="123"/>
      <c r="I21" s="123"/>
      <c r="J21" s="123"/>
      <c r="K21" s="123"/>
      <c r="L21" s="255">
        <v>90</v>
      </c>
      <c r="M21" s="255"/>
      <c r="N21" s="255"/>
      <c r="O21" s="255"/>
      <c r="P21" s="255"/>
      <c r="Q21" s="255"/>
      <c r="R21" s="255"/>
      <c r="S21" s="255"/>
      <c r="T21" s="255"/>
      <c r="U21" s="256">
        <v>80</v>
      </c>
      <c r="V21" s="256"/>
      <c r="W21" s="256"/>
      <c r="X21" s="256"/>
      <c r="Y21" s="256"/>
      <c r="Z21" s="256"/>
      <c r="AA21" s="256"/>
      <c r="AB21" s="256"/>
      <c r="AC21" s="256"/>
      <c r="AD21" s="123"/>
      <c r="AE21" s="123">
        <v>75</v>
      </c>
      <c r="AF21" s="123"/>
      <c r="AG21" s="123"/>
      <c r="AH21" s="123"/>
      <c r="AI21" s="123"/>
      <c r="AJ21" s="123"/>
      <c r="AK21" s="123"/>
      <c r="AL21" s="123"/>
      <c r="AM21" s="255"/>
      <c r="AN21" s="255">
        <v>90</v>
      </c>
      <c r="AO21" s="255"/>
      <c r="AP21" s="255"/>
      <c r="AQ21" s="255"/>
      <c r="AR21" s="255"/>
      <c r="AS21" s="255"/>
      <c r="AT21" s="255"/>
      <c r="AU21" s="255"/>
      <c r="AV21" s="256"/>
      <c r="AW21" s="256">
        <v>90</v>
      </c>
      <c r="AX21" s="256"/>
      <c r="AY21" s="256"/>
      <c r="AZ21" s="256"/>
      <c r="BA21" s="256"/>
      <c r="BB21" s="256"/>
      <c r="BC21" s="256"/>
      <c r="BD21" s="256"/>
      <c r="BE21" s="123"/>
      <c r="BF21" s="123"/>
      <c r="BG21" s="123">
        <v>75</v>
      </c>
      <c r="BH21" s="123"/>
      <c r="BI21" s="123"/>
      <c r="BJ21" s="123"/>
      <c r="BK21" s="123"/>
      <c r="BL21" s="123"/>
      <c r="BM21" s="123"/>
      <c r="BN21" s="255"/>
      <c r="BO21" s="255"/>
      <c r="BP21" s="255">
        <v>80</v>
      </c>
      <c r="BQ21" s="255"/>
      <c r="BR21" s="255"/>
      <c r="BS21" s="255"/>
      <c r="BT21" s="255"/>
      <c r="BU21" s="255"/>
      <c r="BV21" s="255"/>
      <c r="BW21" s="256"/>
      <c r="BX21" s="256"/>
      <c r="BY21" s="256">
        <v>90</v>
      </c>
      <c r="BZ21" s="256"/>
      <c r="CA21" s="256"/>
      <c r="CB21" s="256"/>
      <c r="CC21" s="256"/>
      <c r="CD21" s="256"/>
      <c r="CE21" s="256"/>
      <c r="CF21" s="123"/>
      <c r="CG21" s="123"/>
      <c r="CH21" s="123"/>
      <c r="CI21" s="123">
        <v>80</v>
      </c>
      <c r="CJ21" s="123"/>
      <c r="CK21" s="123"/>
      <c r="CL21" s="123"/>
      <c r="CM21" s="123"/>
      <c r="CN21" s="123"/>
      <c r="CO21" s="255"/>
      <c r="CP21" s="255"/>
      <c r="CQ21" s="255"/>
      <c r="CR21" s="255">
        <v>90</v>
      </c>
      <c r="CS21" s="255"/>
      <c r="CT21" s="255"/>
      <c r="CU21" s="255"/>
      <c r="CV21" s="255"/>
      <c r="CW21" s="255"/>
      <c r="CX21" s="256"/>
      <c r="CY21" s="256"/>
      <c r="CZ21" s="256"/>
      <c r="DA21" s="256">
        <v>75</v>
      </c>
      <c r="DB21" s="256"/>
      <c r="DC21" s="256"/>
      <c r="DD21" s="256"/>
      <c r="DE21" s="256"/>
      <c r="DF21" s="256"/>
      <c r="DG21" s="458">
        <v>85</v>
      </c>
      <c r="DH21" s="458"/>
      <c r="DI21" s="458"/>
      <c r="DJ21" s="458"/>
      <c r="DK21" s="458"/>
      <c r="DL21" s="458"/>
      <c r="DM21" s="458"/>
      <c r="DN21" s="458"/>
      <c r="DO21" s="458"/>
      <c r="DP21" s="457">
        <v>75</v>
      </c>
      <c r="DQ21" s="457"/>
      <c r="DR21" s="457"/>
      <c r="DS21" s="457"/>
      <c r="DT21" s="457"/>
      <c r="DU21" s="457"/>
      <c r="DV21" s="457"/>
      <c r="DW21" s="457"/>
      <c r="DX21" s="457"/>
      <c r="DY21" s="256">
        <v>75</v>
      </c>
      <c r="DZ21" s="256"/>
      <c r="EA21" s="256"/>
      <c r="EB21" s="256"/>
      <c r="EC21" s="256"/>
      <c r="ED21" s="256"/>
      <c r="EE21" s="256"/>
      <c r="EF21" s="256"/>
      <c r="EG21" s="256"/>
      <c r="EH21" s="257">
        <f t="shared" si="51"/>
        <v>85</v>
      </c>
      <c r="EI21" s="257">
        <f t="shared" si="52"/>
        <v>85</v>
      </c>
      <c r="EJ21" s="257">
        <f t="shared" si="53"/>
        <v>81.666666666666671</v>
      </c>
      <c r="EK21" s="257">
        <f t="shared" si="54"/>
        <v>81.666666666666671</v>
      </c>
      <c r="EL21" s="257" t="str">
        <f t="shared" si="55"/>
        <v/>
      </c>
      <c r="EM21" s="257" t="str">
        <f t="shared" si="56"/>
        <v/>
      </c>
      <c r="EN21" s="257" t="str">
        <f t="shared" si="57"/>
        <v/>
      </c>
      <c r="EO21" s="257" t="str">
        <f t="shared" si="58"/>
        <v/>
      </c>
      <c r="EP21" s="257" t="str">
        <f t="shared" si="59"/>
        <v/>
      </c>
      <c r="EQ21" s="756">
        <f t="shared" si="42"/>
        <v>83</v>
      </c>
      <c r="ER21" s="291" t="str">
        <f t="shared" si="60"/>
        <v>B</v>
      </c>
      <c r="ES21" s="243" t="str">
        <f t="shared" si="61"/>
        <v>Ananda Fifi baik dalam membuat model sederhana organ pernapasan manusia, cukup dalam menyajikan karya tentang organ peredaran darah pada manusia.</v>
      </c>
      <c r="ET21" s="39"/>
      <c r="EU21" s="39"/>
      <c r="EV21" s="257">
        <f t="shared" si="62"/>
        <v>85</v>
      </c>
      <c r="EW21" s="257">
        <f t="shared" si="63"/>
        <v>75</v>
      </c>
      <c r="EX21" s="257">
        <f t="shared" si="64"/>
        <v>75</v>
      </c>
      <c r="EY21" s="257">
        <f t="shared" si="65"/>
        <v>80</v>
      </c>
      <c r="EZ21" s="257">
        <f t="shared" si="66"/>
        <v>0</v>
      </c>
      <c r="FA21" s="257">
        <f t="shared" si="67"/>
        <v>0</v>
      </c>
      <c r="FB21" s="257">
        <f t="shared" si="68"/>
        <v>0</v>
      </c>
      <c r="FC21" s="257">
        <f t="shared" si="69"/>
        <v>0</v>
      </c>
      <c r="FD21" s="257">
        <f t="shared" si="70"/>
        <v>0</v>
      </c>
      <c r="FE21" s="257"/>
      <c r="FF21" s="289">
        <f t="shared" si="71"/>
        <v>85</v>
      </c>
      <c r="FG21" s="257">
        <f t="shared" si="72"/>
        <v>90</v>
      </c>
      <c r="FH21" s="257">
        <f t="shared" si="73"/>
        <v>90</v>
      </c>
      <c r="FI21" s="257">
        <f t="shared" si="74"/>
        <v>80</v>
      </c>
      <c r="FJ21" s="257">
        <f t="shared" si="75"/>
        <v>90</v>
      </c>
      <c r="FK21" s="257">
        <f t="shared" si="76"/>
        <v>0</v>
      </c>
      <c r="FL21" s="257">
        <f t="shared" si="77"/>
        <v>0</v>
      </c>
      <c r="FM21" s="257">
        <f t="shared" si="78"/>
        <v>0</v>
      </c>
      <c r="FN21" s="257">
        <f t="shared" si="79"/>
        <v>0</v>
      </c>
      <c r="FO21" s="257">
        <f t="shared" si="80"/>
        <v>0</v>
      </c>
      <c r="FP21" s="223"/>
      <c r="FQ21" s="289">
        <f t="shared" si="81"/>
        <v>90</v>
      </c>
      <c r="FR21" s="257">
        <f t="shared" si="82"/>
        <v>80</v>
      </c>
      <c r="FS21" s="257">
        <f t="shared" si="83"/>
        <v>90</v>
      </c>
      <c r="FT21" s="257">
        <f t="shared" si="84"/>
        <v>90</v>
      </c>
      <c r="FU21" s="257">
        <f t="shared" si="85"/>
        <v>75</v>
      </c>
      <c r="FV21" s="257">
        <f t="shared" si="86"/>
        <v>0</v>
      </c>
      <c r="FW21" s="257">
        <f t="shared" si="87"/>
        <v>0</v>
      </c>
      <c r="FX21" s="257">
        <f t="shared" si="88"/>
        <v>0</v>
      </c>
      <c r="FY21" s="257">
        <f t="shared" si="89"/>
        <v>0</v>
      </c>
      <c r="FZ21" s="257">
        <f t="shared" si="90"/>
        <v>0</v>
      </c>
      <c r="GA21" s="223"/>
      <c r="GB21" s="289">
        <f t="shared" si="91"/>
        <v>90</v>
      </c>
      <c r="GC21" s="257">
        <f t="shared" si="92"/>
        <v>85</v>
      </c>
      <c r="GD21" s="257">
        <f t="shared" si="93"/>
        <v>90</v>
      </c>
      <c r="GE21" s="257">
        <f t="shared" si="94"/>
        <v>80</v>
      </c>
      <c r="GF21" s="575">
        <f t="shared" si="95"/>
        <v>0</v>
      </c>
      <c r="GG21" s="506">
        <f t="shared" si="96"/>
        <v>3</v>
      </c>
      <c r="GH21" s="39">
        <f t="shared" si="97"/>
        <v>85</v>
      </c>
      <c r="GI21" s="257">
        <f t="shared" si="98"/>
        <v>75</v>
      </c>
      <c r="GJ21" s="257">
        <f t="shared" si="99"/>
        <v>90</v>
      </c>
      <c r="GK21" s="257">
        <f t="shared" si="100"/>
        <v>90</v>
      </c>
      <c r="GL21" s="575">
        <f t="shared" si="101"/>
        <v>0</v>
      </c>
      <c r="GM21" s="506">
        <f t="shared" si="102"/>
        <v>3</v>
      </c>
      <c r="GN21" s="39">
        <f t="shared" si="103"/>
        <v>85</v>
      </c>
      <c r="GO21" s="257">
        <f t="shared" si="104"/>
        <v>75</v>
      </c>
      <c r="GP21" s="257">
        <f t="shared" si="105"/>
        <v>80</v>
      </c>
      <c r="GQ21" s="257">
        <f t="shared" si="106"/>
        <v>90</v>
      </c>
      <c r="GR21" s="575">
        <f t="shared" si="107"/>
        <v>0</v>
      </c>
      <c r="GS21" s="506">
        <f t="shared" si="108"/>
        <v>3</v>
      </c>
      <c r="GT21" s="39">
        <f t="shared" si="109"/>
        <v>81.666666666666671</v>
      </c>
      <c r="GU21" s="257">
        <f t="shared" si="110"/>
        <v>80</v>
      </c>
      <c r="GV21" s="257">
        <f t="shared" si="111"/>
        <v>90</v>
      </c>
      <c r="GW21" s="257">
        <f t="shared" si="112"/>
        <v>75</v>
      </c>
      <c r="GX21" s="575">
        <f t="shared" si="113"/>
        <v>0</v>
      </c>
      <c r="GY21" s="506">
        <f t="shared" si="114"/>
        <v>3</v>
      </c>
      <c r="GZ21" s="39">
        <f t="shared" si="115"/>
        <v>81.666666666666671</v>
      </c>
      <c r="HA21" s="257">
        <f t="shared" si="116"/>
        <v>0</v>
      </c>
      <c r="HB21" s="257">
        <f t="shared" si="117"/>
        <v>0</v>
      </c>
      <c r="HC21" s="257">
        <f t="shared" si="118"/>
        <v>0</v>
      </c>
      <c r="HD21" s="575">
        <f t="shared" si="119"/>
        <v>3</v>
      </c>
      <c r="HE21" s="506">
        <f t="shared" si="120"/>
        <v>0</v>
      </c>
      <c r="HF21" s="39" t="str">
        <f t="shared" si="121"/>
        <v/>
      </c>
      <c r="HG21" s="257">
        <f t="shared" si="122"/>
        <v>0</v>
      </c>
      <c r="HH21" s="257">
        <f t="shared" si="123"/>
        <v>0</v>
      </c>
      <c r="HI21" s="257">
        <f t="shared" si="124"/>
        <v>0</v>
      </c>
      <c r="HJ21" s="575">
        <f t="shared" si="125"/>
        <v>3</v>
      </c>
      <c r="HK21" s="506">
        <f t="shared" si="126"/>
        <v>0</v>
      </c>
      <c r="HL21" s="39" t="str">
        <f t="shared" si="127"/>
        <v/>
      </c>
      <c r="HM21" s="257">
        <f t="shared" si="128"/>
        <v>0</v>
      </c>
      <c r="HN21" s="257">
        <f t="shared" si="129"/>
        <v>0</v>
      </c>
      <c r="HO21" s="257">
        <f t="shared" si="130"/>
        <v>0</v>
      </c>
      <c r="HP21" s="575">
        <f t="shared" si="131"/>
        <v>3</v>
      </c>
      <c r="HQ21" s="506">
        <f t="shared" si="132"/>
        <v>0</v>
      </c>
      <c r="HR21" s="39" t="str">
        <f t="shared" si="133"/>
        <v/>
      </c>
      <c r="HS21" s="257">
        <f t="shared" si="134"/>
        <v>0</v>
      </c>
      <c r="HT21" s="257">
        <f t="shared" si="135"/>
        <v>0</v>
      </c>
      <c r="HU21" s="257">
        <f t="shared" si="136"/>
        <v>0</v>
      </c>
      <c r="HV21" s="575">
        <f t="shared" si="137"/>
        <v>3</v>
      </c>
      <c r="HW21" s="506">
        <f t="shared" si="138"/>
        <v>0</v>
      </c>
      <c r="HX21" s="39" t="str">
        <f t="shared" si="139"/>
        <v/>
      </c>
      <c r="HY21" s="257">
        <f t="shared" si="140"/>
        <v>0</v>
      </c>
      <c r="HZ21" s="257">
        <f t="shared" si="141"/>
        <v>0</v>
      </c>
      <c r="IA21" s="257">
        <f t="shared" si="142"/>
        <v>0</v>
      </c>
      <c r="IB21" s="575">
        <f t="shared" si="143"/>
        <v>3</v>
      </c>
      <c r="IC21" s="506">
        <f t="shared" si="144"/>
        <v>0</v>
      </c>
      <c r="ID21" s="39" t="str">
        <f t="shared" si="145"/>
        <v/>
      </c>
      <c r="IE21" s="39"/>
      <c r="IF21" s="39">
        <f t="shared" si="146"/>
        <v>85</v>
      </c>
      <c r="IG21" s="39">
        <f t="shared" si="147"/>
        <v>85</v>
      </c>
      <c r="IH21" s="39">
        <f t="shared" si="148"/>
        <v>81.666666666666671</v>
      </c>
      <c r="II21" s="39">
        <f t="shared" si="149"/>
        <v>81.666666666666671</v>
      </c>
      <c r="IJ21" s="39" t="str">
        <f t="shared" si="150"/>
        <v/>
      </c>
      <c r="IK21" s="39" t="str">
        <f t="shared" si="151"/>
        <v/>
      </c>
      <c r="IL21" s="257" t="str">
        <f t="shared" si="152"/>
        <v/>
      </c>
      <c r="IM21" s="257" t="str">
        <f t="shared" si="153"/>
        <v/>
      </c>
      <c r="IN21" s="257" t="str">
        <f t="shared" si="154"/>
        <v/>
      </c>
      <c r="IO21" s="579">
        <f t="shared" si="155"/>
        <v>83</v>
      </c>
      <c r="IP21" s="289">
        <f t="shared" si="156"/>
        <v>85</v>
      </c>
      <c r="IQ21" s="289">
        <f t="shared" si="157"/>
        <v>81.666666666666671</v>
      </c>
      <c r="IR21" s="223" t="str">
        <f>SISWA!E19</f>
        <v>Fifi</v>
      </c>
      <c r="IS21" s="223" t="str">
        <f t="shared" si="158"/>
        <v xml:space="preserve">Ananda Fifi </v>
      </c>
      <c r="IT21" s="580">
        <f t="shared" si="159"/>
        <v>85</v>
      </c>
      <c r="IU21" s="580">
        <f t="shared" si="160"/>
        <v>85</v>
      </c>
      <c r="IV21" s="580" t="str">
        <f t="shared" si="161"/>
        <v/>
      </c>
      <c r="IW21" s="580" t="str">
        <f t="shared" si="162"/>
        <v/>
      </c>
      <c r="IX21" s="580" t="str">
        <f t="shared" si="163"/>
        <v/>
      </c>
      <c r="IY21" s="580" t="str">
        <f t="shared" si="164"/>
        <v/>
      </c>
      <c r="IZ21" s="580" t="str">
        <f t="shared" si="165"/>
        <v/>
      </c>
      <c r="JA21" s="580" t="str">
        <f t="shared" si="166"/>
        <v/>
      </c>
      <c r="JB21" s="580" t="str">
        <f t="shared" si="167"/>
        <v/>
      </c>
      <c r="JC21" s="580"/>
      <c r="JD21" s="580"/>
      <c r="JE21" s="223">
        <f t="shared" si="168"/>
        <v>170</v>
      </c>
      <c r="JF21" s="289" t="str">
        <f t="shared" si="169"/>
        <v>membuat model sederhana organ pernapasan manusia</v>
      </c>
      <c r="JG21" s="576" t="str">
        <f>IF(IP21&gt;100,"",IF(IP21&gt;EV$1,"sangat baik dalam "&amp;JF21,IF(IP21&gt;=EV$2,"baik dalam "&amp;JF21,IF(IP21&gt;=EV$3,"cukup dalam "&amp;JF21,IF(IP21&lt;EV$3,"dengan bimbingan dapat meningkatkan dalam "&amp;JF21,IF(IP21&lt;1," ",””))))))</f>
        <v>baik dalam membuat model sederhana organ pernapasan manusia</v>
      </c>
      <c r="JH21" s="223"/>
      <c r="JI21" s="223" t="str">
        <f t="shared" si="170"/>
        <v/>
      </c>
      <c r="JJ21" s="223" t="str">
        <f t="shared" si="171"/>
        <v/>
      </c>
      <c r="JK21" s="223">
        <f t="shared" si="172"/>
        <v>81.666666666666671</v>
      </c>
      <c r="JL21" s="223">
        <f t="shared" si="173"/>
        <v>81.666666666666671</v>
      </c>
      <c r="JM21" s="223" t="str">
        <f t="shared" si="174"/>
        <v/>
      </c>
      <c r="JN21" s="223" t="str">
        <f t="shared" si="175"/>
        <v/>
      </c>
      <c r="JO21" s="223" t="str">
        <f t="shared" si="176"/>
        <v/>
      </c>
      <c r="JP21" s="223" t="str">
        <f t="shared" si="177"/>
        <v/>
      </c>
      <c r="JQ21" s="223" t="str">
        <f t="shared" si="178"/>
        <v/>
      </c>
      <c r="JR21" s="223"/>
      <c r="JS21" s="223"/>
      <c r="JT21" s="223" t="str">
        <f t="shared" si="179"/>
        <v>menyajikan karya tentang organ peredaran darah pada manusia</v>
      </c>
      <c r="JU21" s="577" t="str">
        <f>IF(IQ21&gt;100,"",IF(IQ21&gt;=EV$1,"sangat baik dalam "&amp;JT21,IF(IQ21&gt;=EV$2,"baik dalam "&amp;JT21,IF(IQ21&gt;=EV$3,"cukup dalam "&amp;JT21,IF(IQ21&lt;EV$3,"dengan bimbingan dapat meningkatkan dalam "&amp;JT21,IF(IQ21&lt;1," ",””))))))</f>
        <v>cukup dalam menyajikan karya tentang organ peredaran darah pada manusia</v>
      </c>
      <c r="JV21" s="223" t="str">
        <f t="shared" si="180"/>
        <v>Ananda Fifi baik dalam membuat model sederhana organ pernapasan manusia, cukup dalam menyajikan karya tentang organ peredaran darah pada manusia.</v>
      </c>
    </row>
    <row r="22" spans="1:282" ht="30">
      <c r="A22" s="39">
        <v>15</v>
      </c>
      <c r="B22" s="223" t="str">
        <f>SISWA!B20</f>
        <v>Tegar Arya Pangestu</v>
      </c>
      <c r="C22" s="123">
        <v>80</v>
      </c>
      <c r="D22" s="123"/>
      <c r="E22" s="123"/>
      <c r="F22" s="123"/>
      <c r="G22" s="123"/>
      <c r="H22" s="123"/>
      <c r="I22" s="123"/>
      <c r="J22" s="123"/>
      <c r="K22" s="123"/>
      <c r="L22" s="255">
        <v>90</v>
      </c>
      <c r="M22" s="255"/>
      <c r="N22" s="255"/>
      <c r="O22" s="255"/>
      <c r="P22" s="255"/>
      <c r="Q22" s="255"/>
      <c r="R22" s="255"/>
      <c r="S22" s="255"/>
      <c r="T22" s="255"/>
      <c r="U22" s="256">
        <v>85</v>
      </c>
      <c r="V22" s="256"/>
      <c r="W22" s="256"/>
      <c r="X22" s="256"/>
      <c r="Y22" s="256"/>
      <c r="Z22" s="256"/>
      <c r="AA22" s="256"/>
      <c r="AB22" s="256"/>
      <c r="AC22" s="256"/>
      <c r="AD22" s="123"/>
      <c r="AE22" s="123">
        <v>85</v>
      </c>
      <c r="AF22" s="123"/>
      <c r="AG22" s="123"/>
      <c r="AH22" s="123"/>
      <c r="AI22" s="123"/>
      <c r="AJ22" s="123"/>
      <c r="AK22" s="123"/>
      <c r="AL22" s="123"/>
      <c r="AM22" s="255"/>
      <c r="AN22" s="255">
        <v>85</v>
      </c>
      <c r="AO22" s="255"/>
      <c r="AP22" s="255"/>
      <c r="AQ22" s="255"/>
      <c r="AR22" s="255"/>
      <c r="AS22" s="255"/>
      <c r="AT22" s="255"/>
      <c r="AU22" s="255"/>
      <c r="AV22" s="256"/>
      <c r="AW22" s="256">
        <v>90</v>
      </c>
      <c r="AX22" s="256"/>
      <c r="AY22" s="256"/>
      <c r="AZ22" s="256"/>
      <c r="BA22" s="256"/>
      <c r="BB22" s="256"/>
      <c r="BC22" s="256"/>
      <c r="BD22" s="256"/>
      <c r="BE22" s="123"/>
      <c r="BF22" s="123"/>
      <c r="BG22" s="123">
        <v>90</v>
      </c>
      <c r="BH22" s="123"/>
      <c r="BI22" s="123"/>
      <c r="BJ22" s="123"/>
      <c r="BK22" s="123"/>
      <c r="BL22" s="123"/>
      <c r="BM22" s="123"/>
      <c r="BN22" s="255"/>
      <c r="BO22" s="255"/>
      <c r="BP22" s="255">
        <v>80</v>
      </c>
      <c r="BQ22" s="255"/>
      <c r="BR22" s="255"/>
      <c r="BS22" s="255"/>
      <c r="BT22" s="255"/>
      <c r="BU22" s="255"/>
      <c r="BV22" s="255"/>
      <c r="BW22" s="256"/>
      <c r="BX22" s="256"/>
      <c r="BY22" s="256">
        <v>80</v>
      </c>
      <c r="BZ22" s="256"/>
      <c r="CA22" s="256"/>
      <c r="CB22" s="256"/>
      <c r="CC22" s="256"/>
      <c r="CD22" s="256"/>
      <c r="CE22" s="256"/>
      <c r="CF22" s="123"/>
      <c r="CG22" s="123"/>
      <c r="CH22" s="123"/>
      <c r="CI22" s="123">
        <v>80</v>
      </c>
      <c r="CJ22" s="123"/>
      <c r="CK22" s="123"/>
      <c r="CL22" s="123"/>
      <c r="CM22" s="123"/>
      <c r="CN22" s="123"/>
      <c r="CO22" s="255"/>
      <c r="CP22" s="255"/>
      <c r="CQ22" s="255"/>
      <c r="CR22" s="255">
        <v>90</v>
      </c>
      <c r="CS22" s="255"/>
      <c r="CT22" s="255"/>
      <c r="CU22" s="255"/>
      <c r="CV22" s="255"/>
      <c r="CW22" s="255"/>
      <c r="CX22" s="256"/>
      <c r="CY22" s="256"/>
      <c r="CZ22" s="256"/>
      <c r="DA22" s="256">
        <v>75</v>
      </c>
      <c r="DB22" s="256"/>
      <c r="DC22" s="256"/>
      <c r="DD22" s="256"/>
      <c r="DE22" s="256"/>
      <c r="DF22" s="256"/>
      <c r="DG22" s="458">
        <v>85</v>
      </c>
      <c r="DH22" s="458"/>
      <c r="DI22" s="458"/>
      <c r="DJ22" s="458"/>
      <c r="DK22" s="458"/>
      <c r="DL22" s="458"/>
      <c r="DM22" s="458"/>
      <c r="DN22" s="458"/>
      <c r="DO22" s="458"/>
      <c r="DP22" s="457">
        <v>85</v>
      </c>
      <c r="DQ22" s="457"/>
      <c r="DR22" s="457"/>
      <c r="DS22" s="457"/>
      <c r="DT22" s="457"/>
      <c r="DU22" s="457"/>
      <c r="DV22" s="457"/>
      <c r="DW22" s="457"/>
      <c r="DX22" s="457"/>
      <c r="DY22" s="256">
        <v>75</v>
      </c>
      <c r="DZ22" s="256"/>
      <c r="EA22" s="256"/>
      <c r="EB22" s="256"/>
      <c r="EC22" s="256"/>
      <c r="ED22" s="256"/>
      <c r="EE22" s="256"/>
      <c r="EF22" s="256"/>
      <c r="EG22" s="256"/>
      <c r="EH22" s="257">
        <f t="shared" si="51"/>
        <v>86.666666666666671</v>
      </c>
      <c r="EI22" s="257">
        <f t="shared" si="52"/>
        <v>86.666666666666671</v>
      </c>
      <c r="EJ22" s="257">
        <f t="shared" si="53"/>
        <v>83.333333333333329</v>
      </c>
      <c r="EK22" s="257">
        <f t="shared" si="54"/>
        <v>81.666666666666671</v>
      </c>
      <c r="EL22" s="257" t="str">
        <f t="shared" si="55"/>
        <v/>
      </c>
      <c r="EM22" s="257" t="str">
        <f t="shared" si="56"/>
        <v/>
      </c>
      <c r="EN22" s="257" t="str">
        <f t="shared" si="57"/>
        <v/>
      </c>
      <c r="EO22" s="257" t="str">
        <f t="shared" si="58"/>
        <v/>
      </c>
      <c r="EP22" s="257" t="str">
        <f t="shared" si="59"/>
        <v/>
      </c>
      <c r="EQ22" s="756">
        <f t="shared" si="42"/>
        <v>85</v>
      </c>
      <c r="ER22" s="291" t="str">
        <f t="shared" si="60"/>
        <v>B</v>
      </c>
      <c r="ES22" s="243" t="str">
        <f t="shared" si="61"/>
        <v>Ananda Tegar baik dalam membuat model sederhana organ pernapasan manusia, cukup dalam menyajikan karya tentang organ peredaran darah pada manusia.</v>
      </c>
      <c r="ET22" s="39"/>
      <c r="EU22" s="39"/>
      <c r="EV22" s="257">
        <f t="shared" si="62"/>
        <v>85</v>
      </c>
      <c r="EW22" s="257">
        <f t="shared" si="63"/>
        <v>85</v>
      </c>
      <c r="EX22" s="257">
        <f t="shared" si="64"/>
        <v>90</v>
      </c>
      <c r="EY22" s="257">
        <f t="shared" si="65"/>
        <v>80</v>
      </c>
      <c r="EZ22" s="257">
        <f t="shared" si="66"/>
        <v>0</v>
      </c>
      <c r="FA22" s="257">
        <f t="shared" si="67"/>
        <v>0</v>
      </c>
      <c r="FB22" s="257">
        <f t="shared" si="68"/>
        <v>0</v>
      </c>
      <c r="FC22" s="257">
        <f t="shared" si="69"/>
        <v>0</v>
      </c>
      <c r="FD22" s="257">
        <f t="shared" si="70"/>
        <v>0</v>
      </c>
      <c r="FE22" s="257"/>
      <c r="FF22" s="289">
        <f t="shared" si="71"/>
        <v>90</v>
      </c>
      <c r="FG22" s="257">
        <f t="shared" si="72"/>
        <v>90</v>
      </c>
      <c r="FH22" s="257">
        <f t="shared" si="73"/>
        <v>85</v>
      </c>
      <c r="FI22" s="257">
        <f t="shared" si="74"/>
        <v>80</v>
      </c>
      <c r="FJ22" s="257">
        <f t="shared" si="75"/>
        <v>90</v>
      </c>
      <c r="FK22" s="257">
        <f t="shared" si="76"/>
        <v>0</v>
      </c>
      <c r="FL22" s="257">
        <f t="shared" si="77"/>
        <v>0</v>
      </c>
      <c r="FM22" s="257">
        <f t="shared" si="78"/>
        <v>0</v>
      </c>
      <c r="FN22" s="257">
        <f t="shared" si="79"/>
        <v>0</v>
      </c>
      <c r="FO22" s="257">
        <f t="shared" si="80"/>
        <v>0</v>
      </c>
      <c r="FP22" s="223"/>
      <c r="FQ22" s="289">
        <f t="shared" si="81"/>
        <v>90</v>
      </c>
      <c r="FR22" s="257">
        <f t="shared" si="82"/>
        <v>85</v>
      </c>
      <c r="FS22" s="257">
        <f t="shared" si="83"/>
        <v>90</v>
      </c>
      <c r="FT22" s="257">
        <f t="shared" si="84"/>
        <v>80</v>
      </c>
      <c r="FU22" s="257">
        <f t="shared" si="85"/>
        <v>75</v>
      </c>
      <c r="FV22" s="257">
        <f t="shared" si="86"/>
        <v>0</v>
      </c>
      <c r="FW22" s="257">
        <f t="shared" si="87"/>
        <v>0</v>
      </c>
      <c r="FX22" s="257">
        <f t="shared" si="88"/>
        <v>0</v>
      </c>
      <c r="FY22" s="257">
        <f t="shared" si="89"/>
        <v>0</v>
      </c>
      <c r="FZ22" s="257">
        <f t="shared" si="90"/>
        <v>0</v>
      </c>
      <c r="GA22" s="223"/>
      <c r="GB22" s="289">
        <f t="shared" si="91"/>
        <v>90</v>
      </c>
      <c r="GC22" s="257">
        <f t="shared" si="92"/>
        <v>85</v>
      </c>
      <c r="GD22" s="257">
        <f t="shared" si="93"/>
        <v>90</v>
      </c>
      <c r="GE22" s="257">
        <f t="shared" si="94"/>
        <v>85</v>
      </c>
      <c r="GF22" s="575">
        <f t="shared" si="95"/>
        <v>0</v>
      </c>
      <c r="GG22" s="506">
        <f t="shared" si="96"/>
        <v>3</v>
      </c>
      <c r="GH22" s="39">
        <f t="shared" si="97"/>
        <v>86.666666666666671</v>
      </c>
      <c r="GI22" s="257">
        <f t="shared" si="98"/>
        <v>85</v>
      </c>
      <c r="GJ22" s="257">
        <f t="shared" si="99"/>
        <v>85</v>
      </c>
      <c r="GK22" s="257">
        <f t="shared" si="100"/>
        <v>90</v>
      </c>
      <c r="GL22" s="575">
        <f t="shared" si="101"/>
        <v>0</v>
      </c>
      <c r="GM22" s="506">
        <f t="shared" si="102"/>
        <v>3</v>
      </c>
      <c r="GN22" s="39">
        <f t="shared" si="103"/>
        <v>86.666666666666671</v>
      </c>
      <c r="GO22" s="257">
        <f t="shared" si="104"/>
        <v>90</v>
      </c>
      <c r="GP22" s="257">
        <f t="shared" si="105"/>
        <v>80</v>
      </c>
      <c r="GQ22" s="257">
        <f t="shared" si="106"/>
        <v>80</v>
      </c>
      <c r="GR22" s="575">
        <f t="shared" si="107"/>
        <v>0</v>
      </c>
      <c r="GS22" s="506">
        <f t="shared" si="108"/>
        <v>3</v>
      </c>
      <c r="GT22" s="39">
        <f t="shared" si="109"/>
        <v>83.333333333333329</v>
      </c>
      <c r="GU22" s="257">
        <f t="shared" si="110"/>
        <v>80</v>
      </c>
      <c r="GV22" s="257">
        <f t="shared" si="111"/>
        <v>90</v>
      </c>
      <c r="GW22" s="257">
        <f t="shared" si="112"/>
        <v>75</v>
      </c>
      <c r="GX22" s="575">
        <f t="shared" si="113"/>
        <v>0</v>
      </c>
      <c r="GY22" s="506">
        <f t="shared" si="114"/>
        <v>3</v>
      </c>
      <c r="GZ22" s="39">
        <f t="shared" si="115"/>
        <v>81.666666666666671</v>
      </c>
      <c r="HA22" s="257">
        <f t="shared" si="116"/>
        <v>0</v>
      </c>
      <c r="HB22" s="257">
        <f t="shared" si="117"/>
        <v>0</v>
      </c>
      <c r="HC22" s="257">
        <f t="shared" si="118"/>
        <v>0</v>
      </c>
      <c r="HD22" s="575">
        <f t="shared" si="119"/>
        <v>3</v>
      </c>
      <c r="HE22" s="506">
        <f t="shared" si="120"/>
        <v>0</v>
      </c>
      <c r="HF22" s="39" t="str">
        <f t="shared" si="121"/>
        <v/>
      </c>
      <c r="HG22" s="257">
        <f t="shared" si="122"/>
        <v>0</v>
      </c>
      <c r="HH22" s="257">
        <f t="shared" si="123"/>
        <v>0</v>
      </c>
      <c r="HI22" s="257">
        <f t="shared" si="124"/>
        <v>0</v>
      </c>
      <c r="HJ22" s="575">
        <f t="shared" si="125"/>
        <v>3</v>
      </c>
      <c r="HK22" s="506">
        <f t="shared" si="126"/>
        <v>0</v>
      </c>
      <c r="HL22" s="39" t="str">
        <f t="shared" si="127"/>
        <v/>
      </c>
      <c r="HM22" s="257">
        <f t="shared" si="128"/>
        <v>0</v>
      </c>
      <c r="HN22" s="257">
        <f t="shared" si="129"/>
        <v>0</v>
      </c>
      <c r="HO22" s="257">
        <f t="shared" si="130"/>
        <v>0</v>
      </c>
      <c r="HP22" s="575">
        <f t="shared" si="131"/>
        <v>3</v>
      </c>
      <c r="HQ22" s="506">
        <f t="shared" si="132"/>
        <v>0</v>
      </c>
      <c r="HR22" s="39" t="str">
        <f t="shared" si="133"/>
        <v/>
      </c>
      <c r="HS22" s="257">
        <f t="shared" si="134"/>
        <v>0</v>
      </c>
      <c r="HT22" s="257">
        <f t="shared" si="135"/>
        <v>0</v>
      </c>
      <c r="HU22" s="257">
        <f t="shared" si="136"/>
        <v>0</v>
      </c>
      <c r="HV22" s="575">
        <f t="shared" si="137"/>
        <v>3</v>
      </c>
      <c r="HW22" s="506">
        <f t="shared" si="138"/>
        <v>0</v>
      </c>
      <c r="HX22" s="39" t="str">
        <f t="shared" si="139"/>
        <v/>
      </c>
      <c r="HY22" s="257">
        <f t="shared" si="140"/>
        <v>0</v>
      </c>
      <c r="HZ22" s="257">
        <f t="shared" si="141"/>
        <v>0</v>
      </c>
      <c r="IA22" s="257">
        <f t="shared" si="142"/>
        <v>0</v>
      </c>
      <c r="IB22" s="575">
        <f t="shared" si="143"/>
        <v>3</v>
      </c>
      <c r="IC22" s="506">
        <f t="shared" si="144"/>
        <v>0</v>
      </c>
      <c r="ID22" s="39" t="str">
        <f t="shared" si="145"/>
        <v/>
      </c>
      <c r="IE22" s="39"/>
      <c r="IF22" s="39">
        <f t="shared" si="146"/>
        <v>86.666666666666671</v>
      </c>
      <c r="IG22" s="39">
        <f t="shared" si="147"/>
        <v>86.666666666666671</v>
      </c>
      <c r="IH22" s="39">
        <f t="shared" si="148"/>
        <v>83.333333333333329</v>
      </c>
      <c r="II22" s="39">
        <f t="shared" si="149"/>
        <v>81.666666666666671</v>
      </c>
      <c r="IJ22" s="39" t="str">
        <f t="shared" si="150"/>
        <v/>
      </c>
      <c r="IK22" s="39" t="str">
        <f t="shared" si="151"/>
        <v/>
      </c>
      <c r="IL22" s="257" t="str">
        <f t="shared" si="152"/>
        <v/>
      </c>
      <c r="IM22" s="257" t="str">
        <f t="shared" si="153"/>
        <v/>
      </c>
      <c r="IN22" s="257" t="str">
        <f t="shared" si="154"/>
        <v/>
      </c>
      <c r="IO22" s="579">
        <f t="shared" si="155"/>
        <v>85</v>
      </c>
      <c r="IP22" s="289">
        <f t="shared" si="156"/>
        <v>86.666666666666671</v>
      </c>
      <c r="IQ22" s="289">
        <f t="shared" si="157"/>
        <v>81.666666666666671</v>
      </c>
      <c r="IR22" s="223" t="str">
        <f>SISWA!E20</f>
        <v>Tegar</v>
      </c>
      <c r="IS22" s="223" t="str">
        <f t="shared" si="158"/>
        <v xml:space="preserve">Ananda Tegar </v>
      </c>
      <c r="IT22" s="580">
        <f t="shared" si="159"/>
        <v>86.666666666666671</v>
      </c>
      <c r="IU22" s="580">
        <f t="shared" si="160"/>
        <v>86.666666666666671</v>
      </c>
      <c r="IV22" s="580" t="str">
        <f t="shared" si="161"/>
        <v/>
      </c>
      <c r="IW22" s="580" t="str">
        <f t="shared" si="162"/>
        <v/>
      </c>
      <c r="IX22" s="580" t="str">
        <f t="shared" si="163"/>
        <v/>
      </c>
      <c r="IY22" s="580" t="str">
        <f t="shared" si="164"/>
        <v/>
      </c>
      <c r="IZ22" s="580" t="str">
        <f t="shared" si="165"/>
        <v/>
      </c>
      <c r="JA22" s="580" t="str">
        <f t="shared" si="166"/>
        <v/>
      </c>
      <c r="JB22" s="580" t="str">
        <f t="shared" si="167"/>
        <v/>
      </c>
      <c r="JC22" s="580"/>
      <c r="JD22" s="580"/>
      <c r="JE22" s="223">
        <f t="shared" si="168"/>
        <v>173.33333333333334</v>
      </c>
      <c r="JF22" s="289" t="str">
        <f t="shared" si="169"/>
        <v>membuat model sederhana organ pernapasan manusia</v>
      </c>
      <c r="JG22" s="576" t="str">
        <f>IF(IP22&gt;100,"",IF(IP22&gt;EV$1,"sangat baik dalam "&amp;JF22,IF(IP22&gt;=EV$2,"baik dalam "&amp;JF22,IF(IP22&gt;=EV$3,"cukup dalam "&amp;JF22,IF(IP22&lt;EV$3,"dengan bimbingan dapat meningkatkan dalam "&amp;JF22,IF(IP22&lt;1," ",””))))))</f>
        <v>baik dalam membuat model sederhana organ pernapasan manusia</v>
      </c>
      <c r="JH22" s="223"/>
      <c r="JI22" s="223" t="str">
        <f t="shared" si="170"/>
        <v/>
      </c>
      <c r="JJ22" s="223" t="str">
        <f t="shared" si="171"/>
        <v/>
      </c>
      <c r="JK22" s="223" t="str">
        <f t="shared" si="172"/>
        <v/>
      </c>
      <c r="JL22" s="223">
        <f t="shared" si="173"/>
        <v>81.666666666666671</v>
      </c>
      <c r="JM22" s="223" t="str">
        <f t="shared" si="174"/>
        <v/>
      </c>
      <c r="JN22" s="223" t="str">
        <f t="shared" si="175"/>
        <v/>
      </c>
      <c r="JO22" s="223" t="str">
        <f t="shared" si="176"/>
        <v/>
      </c>
      <c r="JP22" s="223" t="str">
        <f t="shared" si="177"/>
        <v/>
      </c>
      <c r="JQ22" s="223" t="str">
        <f t="shared" si="178"/>
        <v/>
      </c>
      <c r="JR22" s="223"/>
      <c r="JS22" s="223"/>
      <c r="JT22" s="223" t="str">
        <f t="shared" si="179"/>
        <v>menyajikan karya tentang organ peredaran darah pada manusia</v>
      </c>
      <c r="JU22" s="577" t="str">
        <f>IF(IQ22&gt;100,"",IF(IQ22&gt;=EV$1,"sangat baik dalam "&amp;JT22,IF(IQ22&gt;=EV$2,"baik dalam "&amp;JT22,IF(IQ22&gt;=EV$3,"cukup dalam "&amp;JT22,IF(IQ22&lt;EV$3,"dengan bimbingan dapat meningkatkan dalam "&amp;JT22,IF(IQ22&lt;1," ",””))))))</f>
        <v>cukup dalam menyajikan karya tentang organ peredaran darah pada manusia</v>
      </c>
      <c r="JV22" s="223" t="str">
        <f t="shared" si="180"/>
        <v>Ananda Tegar baik dalam membuat model sederhana organ pernapasan manusia, cukup dalam menyajikan karya tentang organ peredaran darah pada manusia.</v>
      </c>
    </row>
    <row r="23" spans="1:282">
      <c r="A23" s="39">
        <v>16</v>
      </c>
      <c r="B23" s="223">
        <f>SISWA!B21</f>
        <v>0</v>
      </c>
      <c r="C23" s="123"/>
      <c r="D23" s="123"/>
      <c r="E23" s="123"/>
      <c r="F23" s="123"/>
      <c r="G23" s="123"/>
      <c r="H23" s="123"/>
      <c r="I23" s="123"/>
      <c r="J23" s="123"/>
      <c r="K23" s="123"/>
      <c r="L23" s="255"/>
      <c r="M23" s="255"/>
      <c r="N23" s="255"/>
      <c r="O23" s="255"/>
      <c r="P23" s="255"/>
      <c r="Q23" s="255"/>
      <c r="R23" s="255"/>
      <c r="S23" s="255"/>
      <c r="T23" s="255"/>
      <c r="U23" s="256"/>
      <c r="V23" s="256"/>
      <c r="W23" s="256"/>
      <c r="X23" s="256"/>
      <c r="Y23" s="256"/>
      <c r="Z23" s="256"/>
      <c r="AA23" s="256"/>
      <c r="AB23" s="256"/>
      <c r="AC23" s="256"/>
      <c r="AD23" s="123"/>
      <c r="AE23" s="123"/>
      <c r="AF23" s="123"/>
      <c r="AG23" s="123"/>
      <c r="AH23" s="123"/>
      <c r="AI23" s="123"/>
      <c r="AJ23" s="123"/>
      <c r="AK23" s="123"/>
      <c r="AL23" s="123"/>
      <c r="AM23" s="255"/>
      <c r="AN23" s="255"/>
      <c r="AO23" s="255"/>
      <c r="AP23" s="255"/>
      <c r="AQ23" s="255"/>
      <c r="AR23" s="255"/>
      <c r="AS23" s="255"/>
      <c r="AT23" s="255"/>
      <c r="AU23" s="255"/>
      <c r="AV23" s="256"/>
      <c r="AW23" s="256"/>
      <c r="AX23" s="256"/>
      <c r="AY23" s="256"/>
      <c r="AZ23" s="256"/>
      <c r="BA23" s="256"/>
      <c r="BB23" s="256"/>
      <c r="BC23" s="256"/>
      <c r="BD23" s="256"/>
      <c r="BE23" s="123"/>
      <c r="BF23" s="123"/>
      <c r="BG23" s="123"/>
      <c r="BH23" s="123"/>
      <c r="BI23" s="123"/>
      <c r="BJ23" s="123"/>
      <c r="BK23" s="123"/>
      <c r="BL23" s="123"/>
      <c r="BM23" s="123"/>
      <c r="BN23" s="255"/>
      <c r="BO23" s="255"/>
      <c r="BP23" s="255"/>
      <c r="BQ23" s="255"/>
      <c r="BR23" s="255"/>
      <c r="BS23" s="255"/>
      <c r="BT23" s="255"/>
      <c r="BU23" s="255"/>
      <c r="BV23" s="255"/>
      <c r="BW23" s="256"/>
      <c r="BX23" s="256"/>
      <c r="BY23" s="256"/>
      <c r="BZ23" s="256"/>
      <c r="CA23" s="256"/>
      <c r="CB23" s="256"/>
      <c r="CC23" s="256"/>
      <c r="CD23" s="256"/>
      <c r="CE23" s="256"/>
      <c r="CF23" s="123"/>
      <c r="CG23" s="123"/>
      <c r="CH23" s="123"/>
      <c r="CI23" s="123"/>
      <c r="CJ23" s="123"/>
      <c r="CK23" s="123"/>
      <c r="CL23" s="123"/>
      <c r="CM23" s="123"/>
      <c r="CN23" s="123"/>
      <c r="CO23" s="255"/>
      <c r="CP23" s="255"/>
      <c r="CQ23" s="255"/>
      <c r="CR23" s="255"/>
      <c r="CS23" s="255"/>
      <c r="CT23" s="255"/>
      <c r="CU23" s="255"/>
      <c r="CV23" s="255"/>
      <c r="CW23" s="255"/>
      <c r="CX23" s="256"/>
      <c r="CY23" s="256"/>
      <c r="CZ23" s="256"/>
      <c r="DA23" s="256"/>
      <c r="DB23" s="256"/>
      <c r="DC23" s="256"/>
      <c r="DD23" s="256"/>
      <c r="DE23" s="256"/>
      <c r="DF23" s="256"/>
      <c r="DG23" s="458"/>
      <c r="DH23" s="458"/>
      <c r="DI23" s="458"/>
      <c r="DJ23" s="458"/>
      <c r="DK23" s="458"/>
      <c r="DL23" s="458"/>
      <c r="DM23" s="458"/>
      <c r="DN23" s="458"/>
      <c r="DO23" s="458"/>
      <c r="DP23" s="457"/>
      <c r="DQ23" s="457"/>
      <c r="DR23" s="457"/>
      <c r="DS23" s="457"/>
      <c r="DT23" s="457"/>
      <c r="DU23" s="457"/>
      <c r="DV23" s="457"/>
      <c r="DW23" s="457"/>
      <c r="DX23" s="457"/>
      <c r="DY23" s="256"/>
      <c r="DZ23" s="256"/>
      <c r="EA23" s="256"/>
      <c r="EB23" s="256"/>
      <c r="EC23" s="256"/>
      <c r="ED23" s="256"/>
      <c r="EE23" s="256"/>
      <c r="EF23" s="256"/>
      <c r="EG23" s="256"/>
      <c r="EH23" s="257" t="str">
        <f t="shared" si="51"/>
        <v/>
      </c>
      <c r="EI23" s="257" t="str">
        <f t="shared" si="52"/>
        <v/>
      </c>
      <c r="EJ23" s="257" t="str">
        <f t="shared" si="53"/>
        <v/>
      </c>
      <c r="EK23" s="257" t="str">
        <f t="shared" si="54"/>
        <v/>
      </c>
      <c r="EL23" s="257" t="str">
        <f t="shared" si="55"/>
        <v/>
      </c>
      <c r="EM23" s="257" t="str">
        <f t="shared" si="56"/>
        <v/>
      </c>
      <c r="EN23" s="257" t="str">
        <f t="shared" si="57"/>
        <v/>
      </c>
      <c r="EO23" s="257" t="str">
        <f t="shared" si="58"/>
        <v/>
      </c>
      <c r="EP23" s="257" t="str">
        <f t="shared" si="59"/>
        <v/>
      </c>
      <c r="EQ23" s="756" t="str">
        <f t="shared" si="42"/>
        <v/>
      </c>
      <c r="ER23" s="291" t="str">
        <f t="shared" si="60"/>
        <v xml:space="preserve">  </v>
      </c>
      <c r="ES23" s="243" t="str">
        <f t="shared" si="61"/>
        <v xml:space="preserve"> </v>
      </c>
      <c r="ET23" s="39"/>
      <c r="EU23" s="39"/>
      <c r="EV23" s="257">
        <f t="shared" si="62"/>
        <v>0</v>
      </c>
      <c r="EW23" s="257">
        <f t="shared" si="63"/>
        <v>0</v>
      </c>
      <c r="EX23" s="257">
        <f t="shared" si="64"/>
        <v>0</v>
      </c>
      <c r="EY23" s="257">
        <f t="shared" si="65"/>
        <v>0</v>
      </c>
      <c r="EZ23" s="257">
        <f t="shared" si="66"/>
        <v>0</v>
      </c>
      <c r="FA23" s="257">
        <f t="shared" si="67"/>
        <v>0</v>
      </c>
      <c r="FB23" s="257">
        <f t="shared" si="68"/>
        <v>0</v>
      </c>
      <c r="FC23" s="257">
        <f t="shared" si="69"/>
        <v>0</v>
      </c>
      <c r="FD23" s="257">
        <f t="shared" si="70"/>
        <v>0</v>
      </c>
      <c r="FE23" s="257"/>
      <c r="FF23" s="289">
        <f t="shared" si="71"/>
        <v>0</v>
      </c>
      <c r="FG23" s="257">
        <f t="shared" si="72"/>
        <v>0</v>
      </c>
      <c r="FH23" s="257">
        <f t="shared" si="73"/>
        <v>0</v>
      </c>
      <c r="FI23" s="257">
        <f t="shared" si="74"/>
        <v>0</v>
      </c>
      <c r="FJ23" s="257">
        <f t="shared" si="75"/>
        <v>0</v>
      </c>
      <c r="FK23" s="257">
        <f t="shared" si="76"/>
        <v>0</v>
      </c>
      <c r="FL23" s="257">
        <f t="shared" si="77"/>
        <v>0</v>
      </c>
      <c r="FM23" s="257">
        <f t="shared" si="78"/>
        <v>0</v>
      </c>
      <c r="FN23" s="257">
        <f t="shared" si="79"/>
        <v>0</v>
      </c>
      <c r="FO23" s="257">
        <f t="shared" si="80"/>
        <v>0</v>
      </c>
      <c r="FP23" s="223"/>
      <c r="FQ23" s="289">
        <f t="shared" si="81"/>
        <v>0</v>
      </c>
      <c r="FR23" s="257">
        <f t="shared" si="82"/>
        <v>0</v>
      </c>
      <c r="FS23" s="257">
        <f t="shared" si="83"/>
        <v>0</v>
      </c>
      <c r="FT23" s="257">
        <f t="shared" si="84"/>
        <v>0</v>
      </c>
      <c r="FU23" s="257">
        <f t="shared" si="85"/>
        <v>0</v>
      </c>
      <c r="FV23" s="257">
        <f t="shared" si="86"/>
        <v>0</v>
      </c>
      <c r="FW23" s="257">
        <f t="shared" si="87"/>
        <v>0</v>
      </c>
      <c r="FX23" s="257">
        <f t="shared" si="88"/>
        <v>0</v>
      </c>
      <c r="FY23" s="257">
        <f t="shared" si="89"/>
        <v>0</v>
      </c>
      <c r="FZ23" s="257">
        <f t="shared" si="90"/>
        <v>0</v>
      </c>
      <c r="GA23" s="223"/>
      <c r="GB23" s="289">
        <f t="shared" si="91"/>
        <v>0</v>
      </c>
      <c r="GC23" s="257">
        <f t="shared" si="92"/>
        <v>0</v>
      </c>
      <c r="GD23" s="257">
        <f t="shared" si="93"/>
        <v>0</v>
      </c>
      <c r="GE23" s="257">
        <f t="shared" si="94"/>
        <v>0</v>
      </c>
      <c r="GF23" s="575">
        <f t="shared" si="95"/>
        <v>3</v>
      </c>
      <c r="GG23" s="506">
        <f t="shared" si="96"/>
        <v>0</v>
      </c>
      <c r="GH23" s="39" t="str">
        <f t="shared" si="97"/>
        <v/>
      </c>
      <c r="GI23" s="257">
        <f t="shared" si="98"/>
        <v>0</v>
      </c>
      <c r="GJ23" s="257">
        <f t="shared" si="99"/>
        <v>0</v>
      </c>
      <c r="GK23" s="257">
        <f t="shared" si="100"/>
        <v>0</v>
      </c>
      <c r="GL23" s="575">
        <f t="shared" si="101"/>
        <v>3</v>
      </c>
      <c r="GM23" s="506">
        <f t="shared" si="102"/>
        <v>0</v>
      </c>
      <c r="GN23" s="39" t="str">
        <f t="shared" si="103"/>
        <v/>
      </c>
      <c r="GO23" s="257">
        <f t="shared" si="104"/>
        <v>0</v>
      </c>
      <c r="GP23" s="257">
        <f t="shared" si="105"/>
        <v>0</v>
      </c>
      <c r="GQ23" s="257">
        <f t="shared" si="106"/>
        <v>0</v>
      </c>
      <c r="GR23" s="575">
        <f t="shared" si="107"/>
        <v>3</v>
      </c>
      <c r="GS23" s="506">
        <f t="shared" si="108"/>
        <v>0</v>
      </c>
      <c r="GT23" s="39" t="str">
        <f t="shared" si="109"/>
        <v/>
      </c>
      <c r="GU23" s="257">
        <f t="shared" si="110"/>
        <v>0</v>
      </c>
      <c r="GV23" s="257">
        <f t="shared" si="111"/>
        <v>0</v>
      </c>
      <c r="GW23" s="257">
        <f t="shared" si="112"/>
        <v>0</v>
      </c>
      <c r="GX23" s="575">
        <f t="shared" si="113"/>
        <v>3</v>
      </c>
      <c r="GY23" s="506">
        <f t="shared" si="114"/>
        <v>0</v>
      </c>
      <c r="GZ23" s="39" t="str">
        <f t="shared" si="115"/>
        <v/>
      </c>
      <c r="HA23" s="257">
        <f t="shared" si="116"/>
        <v>0</v>
      </c>
      <c r="HB23" s="257">
        <f t="shared" si="117"/>
        <v>0</v>
      </c>
      <c r="HC23" s="257">
        <f t="shared" si="118"/>
        <v>0</v>
      </c>
      <c r="HD23" s="575">
        <f t="shared" si="119"/>
        <v>3</v>
      </c>
      <c r="HE23" s="506">
        <f t="shared" si="120"/>
        <v>0</v>
      </c>
      <c r="HF23" s="39" t="str">
        <f t="shared" si="121"/>
        <v/>
      </c>
      <c r="HG23" s="257">
        <f t="shared" si="122"/>
        <v>0</v>
      </c>
      <c r="HH23" s="257">
        <f t="shared" si="123"/>
        <v>0</v>
      </c>
      <c r="HI23" s="257">
        <f t="shared" si="124"/>
        <v>0</v>
      </c>
      <c r="HJ23" s="575">
        <f t="shared" si="125"/>
        <v>3</v>
      </c>
      <c r="HK23" s="506">
        <f t="shared" si="126"/>
        <v>0</v>
      </c>
      <c r="HL23" s="39" t="str">
        <f t="shared" si="127"/>
        <v/>
      </c>
      <c r="HM23" s="257">
        <f t="shared" si="128"/>
        <v>0</v>
      </c>
      <c r="HN23" s="257">
        <f t="shared" si="129"/>
        <v>0</v>
      </c>
      <c r="HO23" s="257">
        <f t="shared" si="130"/>
        <v>0</v>
      </c>
      <c r="HP23" s="575">
        <f t="shared" si="131"/>
        <v>3</v>
      </c>
      <c r="HQ23" s="506">
        <f t="shared" si="132"/>
        <v>0</v>
      </c>
      <c r="HR23" s="39" t="str">
        <f t="shared" si="133"/>
        <v/>
      </c>
      <c r="HS23" s="257">
        <f t="shared" si="134"/>
        <v>0</v>
      </c>
      <c r="HT23" s="257">
        <f t="shared" si="135"/>
        <v>0</v>
      </c>
      <c r="HU23" s="257">
        <f t="shared" si="136"/>
        <v>0</v>
      </c>
      <c r="HV23" s="575">
        <f t="shared" si="137"/>
        <v>3</v>
      </c>
      <c r="HW23" s="506">
        <f t="shared" si="138"/>
        <v>0</v>
      </c>
      <c r="HX23" s="39" t="str">
        <f t="shared" si="139"/>
        <v/>
      </c>
      <c r="HY23" s="257">
        <f t="shared" si="140"/>
        <v>0</v>
      </c>
      <c r="HZ23" s="257">
        <f t="shared" si="141"/>
        <v>0</v>
      </c>
      <c r="IA23" s="257">
        <f t="shared" si="142"/>
        <v>0</v>
      </c>
      <c r="IB23" s="575">
        <f t="shared" si="143"/>
        <v>3</v>
      </c>
      <c r="IC23" s="506">
        <f t="shared" si="144"/>
        <v>0</v>
      </c>
      <c r="ID23" s="39" t="str">
        <f t="shared" si="145"/>
        <v/>
      </c>
      <c r="IE23" s="39"/>
      <c r="IF23" s="39" t="str">
        <f t="shared" si="146"/>
        <v/>
      </c>
      <c r="IG23" s="39" t="str">
        <f t="shared" si="147"/>
        <v/>
      </c>
      <c r="IH23" s="39" t="str">
        <f t="shared" si="148"/>
        <v/>
      </c>
      <c r="II23" s="39" t="str">
        <f t="shared" si="149"/>
        <v/>
      </c>
      <c r="IJ23" s="39" t="str">
        <f t="shared" si="150"/>
        <v/>
      </c>
      <c r="IK23" s="39" t="str">
        <f t="shared" si="151"/>
        <v/>
      </c>
      <c r="IL23" s="257" t="str">
        <f t="shared" si="152"/>
        <v/>
      </c>
      <c r="IM23" s="257" t="str">
        <f t="shared" si="153"/>
        <v/>
      </c>
      <c r="IN23" s="257" t="str">
        <f t="shared" si="154"/>
        <v/>
      </c>
      <c r="IO23" s="579" t="str">
        <f t="shared" si="155"/>
        <v/>
      </c>
      <c r="IP23" s="289">
        <f t="shared" si="156"/>
        <v>0</v>
      </c>
      <c r="IQ23" s="289">
        <f t="shared" si="157"/>
        <v>0</v>
      </c>
      <c r="IR23" s="223">
        <f>SISWA!E21</f>
        <v>0</v>
      </c>
      <c r="IS23" s="223" t="str">
        <f t="shared" si="158"/>
        <v/>
      </c>
      <c r="IT23" s="580" t="str">
        <f t="shared" si="159"/>
        <v/>
      </c>
      <c r="IU23" s="580" t="str">
        <f t="shared" si="160"/>
        <v/>
      </c>
      <c r="IV23" s="580" t="str">
        <f t="shared" si="161"/>
        <v/>
      </c>
      <c r="IW23" s="580" t="str">
        <f t="shared" si="162"/>
        <v/>
      </c>
      <c r="IX23" s="580" t="str">
        <f t="shared" si="163"/>
        <v/>
      </c>
      <c r="IY23" s="580" t="str">
        <f t="shared" si="164"/>
        <v/>
      </c>
      <c r="IZ23" s="580" t="str">
        <f t="shared" si="165"/>
        <v/>
      </c>
      <c r="JA23" s="580" t="str">
        <f t="shared" si="166"/>
        <v/>
      </c>
      <c r="JB23" s="580" t="str">
        <f t="shared" si="167"/>
        <v/>
      </c>
      <c r="JC23" s="580"/>
      <c r="JD23" s="580"/>
      <c r="JE23" s="223">
        <f t="shared" si="168"/>
        <v>0</v>
      </c>
      <c r="JF23" s="289" t="e">
        <f t="shared" si="169"/>
        <v>#N/A</v>
      </c>
      <c r="JG23" s="576" t="e">
        <f>IF(IP23&gt;100,"",IF(IP23&gt;EV$1,"sangat baik dalam "&amp;JF23,IF(IP23&gt;=EV$2,"baik dalam "&amp;JF23,IF(IP23&gt;=EV$3,"cukup dalam "&amp;JF23,IF(IP23&lt;EV$3,"dengan bimbingan dapat meningkatkan dalam "&amp;JF23,IF(IP23&lt;1," ",””))))))</f>
        <v>#N/A</v>
      </c>
      <c r="JH23" s="223"/>
      <c r="JI23" s="223" t="str">
        <f t="shared" si="170"/>
        <v/>
      </c>
      <c r="JJ23" s="223" t="str">
        <f t="shared" si="171"/>
        <v/>
      </c>
      <c r="JK23" s="223" t="str">
        <f t="shared" si="172"/>
        <v/>
      </c>
      <c r="JL23" s="223" t="str">
        <f t="shared" si="173"/>
        <v/>
      </c>
      <c r="JM23" s="223" t="str">
        <f t="shared" si="174"/>
        <v/>
      </c>
      <c r="JN23" s="223" t="str">
        <f t="shared" si="175"/>
        <v/>
      </c>
      <c r="JO23" s="223" t="str">
        <f t="shared" si="176"/>
        <v/>
      </c>
      <c r="JP23" s="223" t="str">
        <f t="shared" si="177"/>
        <v/>
      </c>
      <c r="JQ23" s="223" t="str">
        <f t="shared" si="178"/>
        <v/>
      </c>
      <c r="JR23" s="223"/>
      <c r="JS23" s="223"/>
      <c r="JT23" s="223" t="e">
        <f t="shared" si="179"/>
        <v>#N/A</v>
      </c>
      <c r="JU23" s="577" t="e">
        <f>IF(IQ23&gt;100,"",IF(IQ23&gt;=EV$1,"sangat baik dalam "&amp;JT23,IF(IQ23&gt;=EV$2,"baik dalam "&amp;JT23,IF(IQ23&gt;=EV$3,"cukup dalam "&amp;JT23,IF(IQ23&lt;EV$3,"dengan bimbingan dapat meningkatkan dalam "&amp;JT23,IF(IQ23&lt;1," ",””))))))</f>
        <v>#N/A</v>
      </c>
      <c r="JV23" s="223" t="e">
        <f t="shared" si="180"/>
        <v>#N/A</v>
      </c>
    </row>
    <row r="24" spans="1:282">
      <c r="A24" s="39">
        <v>17</v>
      </c>
      <c r="B24" s="223">
        <f>SISWA!B22</f>
        <v>0</v>
      </c>
      <c r="C24" s="123"/>
      <c r="D24" s="123"/>
      <c r="E24" s="123"/>
      <c r="F24" s="123"/>
      <c r="G24" s="123"/>
      <c r="H24" s="123"/>
      <c r="I24" s="123"/>
      <c r="J24" s="123"/>
      <c r="K24" s="123"/>
      <c r="L24" s="255"/>
      <c r="M24" s="255"/>
      <c r="N24" s="255"/>
      <c r="O24" s="255"/>
      <c r="P24" s="255"/>
      <c r="Q24" s="255"/>
      <c r="R24" s="255"/>
      <c r="S24" s="255"/>
      <c r="T24" s="255"/>
      <c r="U24" s="256"/>
      <c r="V24" s="256"/>
      <c r="W24" s="256"/>
      <c r="X24" s="256"/>
      <c r="Y24" s="256"/>
      <c r="Z24" s="256"/>
      <c r="AA24" s="256"/>
      <c r="AB24" s="256"/>
      <c r="AC24" s="256"/>
      <c r="AD24" s="123"/>
      <c r="AE24" s="123"/>
      <c r="AF24" s="123"/>
      <c r="AG24" s="123"/>
      <c r="AH24" s="123"/>
      <c r="AI24" s="123"/>
      <c r="AJ24" s="123"/>
      <c r="AK24" s="123"/>
      <c r="AL24" s="123"/>
      <c r="AM24" s="255"/>
      <c r="AN24" s="255"/>
      <c r="AO24" s="255"/>
      <c r="AP24" s="255"/>
      <c r="AQ24" s="255"/>
      <c r="AR24" s="255"/>
      <c r="AS24" s="255"/>
      <c r="AT24" s="255"/>
      <c r="AU24" s="255"/>
      <c r="AV24" s="256"/>
      <c r="AW24" s="256"/>
      <c r="AX24" s="256"/>
      <c r="AY24" s="256"/>
      <c r="AZ24" s="256"/>
      <c r="BA24" s="256"/>
      <c r="BB24" s="256"/>
      <c r="BC24" s="256"/>
      <c r="BD24" s="256"/>
      <c r="BE24" s="123"/>
      <c r="BF24" s="123"/>
      <c r="BG24" s="123"/>
      <c r="BH24" s="123"/>
      <c r="BI24" s="123"/>
      <c r="BJ24" s="123"/>
      <c r="BK24" s="123"/>
      <c r="BL24" s="123"/>
      <c r="BM24" s="123"/>
      <c r="BN24" s="255"/>
      <c r="BO24" s="255"/>
      <c r="BP24" s="255"/>
      <c r="BQ24" s="255"/>
      <c r="BR24" s="255"/>
      <c r="BS24" s="255"/>
      <c r="BT24" s="255"/>
      <c r="BU24" s="255"/>
      <c r="BV24" s="255"/>
      <c r="BW24" s="256"/>
      <c r="BX24" s="256"/>
      <c r="BY24" s="256"/>
      <c r="BZ24" s="256"/>
      <c r="CA24" s="256"/>
      <c r="CB24" s="256"/>
      <c r="CC24" s="256"/>
      <c r="CD24" s="256"/>
      <c r="CE24" s="256"/>
      <c r="CF24" s="123"/>
      <c r="CG24" s="123"/>
      <c r="CH24" s="123"/>
      <c r="CI24" s="123"/>
      <c r="CJ24" s="123"/>
      <c r="CK24" s="123"/>
      <c r="CL24" s="123"/>
      <c r="CM24" s="123"/>
      <c r="CN24" s="123"/>
      <c r="CO24" s="255"/>
      <c r="CP24" s="255"/>
      <c r="CQ24" s="255"/>
      <c r="CR24" s="255"/>
      <c r="CS24" s="255"/>
      <c r="CT24" s="255"/>
      <c r="CU24" s="255"/>
      <c r="CV24" s="255"/>
      <c r="CW24" s="255"/>
      <c r="CX24" s="256"/>
      <c r="CY24" s="256"/>
      <c r="CZ24" s="256"/>
      <c r="DA24" s="256"/>
      <c r="DB24" s="256"/>
      <c r="DC24" s="256"/>
      <c r="DD24" s="256"/>
      <c r="DE24" s="256"/>
      <c r="DF24" s="256"/>
      <c r="DG24" s="458"/>
      <c r="DH24" s="458"/>
      <c r="DI24" s="458"/>
      <c r="DJ24" s="458"/>
      <c r="DK24" s="458"/>
      <c r="DL24" s="458"/>
      <c r="DM24" s="458"/>
      <c r="DN24" s="458"/>
      <c r="DO24" s="458"/>
      <c r="DP24" s="457"/>
      <c r="DQ24" s="457"/>
      <c r="DR24" s="457"/>
      <c r="DS24" s="457"/>
      <c r="DT24" s="457"/>
      <c r="DU24" s="457"/>
      <c r="DV24" s="457"/>
      <c r="DW24" s="457"/>
      <c r="DX24" s="457"/>
      <c r="DY24" s="256"/>
      <c r="DZ24" s="256"/>
      <c r="EA24" s="256"/>
      <c r="EB24" s="256"/>
      <c r="EC24" s="256"/>
      <c r="ED24" s="256"/>
      <c r="EE24" s="256"/>
      <c r="EF24" s="256"/>
      <c r="EG24" s="256"/>
      <c r="EH24" s="257" t="str">
        <f t="shared" si="51"/>
        <v/>
      </c>
      <c r="EI24" s="257" t="str">
        <f t="shared" si="52"/>
        <v/>
      </c>
      <c r="EJ24" s="257" t="str">
        <f t="shared" si="53"/>
        <v/>
      </c>
      <c r="EK24" s="257" t="str">
        <f t="shared" si="54"/>
        <v/>
      </c>
      <c r="EL24" s="257" t="str">
        <f t="shared" si="55"/>
        <v/>
      </c>
      <c r="EM24" s="257" t="str">
        <f t="shared" si="56"/>
        <v/>
      </c>
      <c r="EN24" s="257" t="str">
        <f t="shared" si="57"/>
        <v/>
      </c>
      <c r="EO24" s="257" t="str">
        <f t="shared" si="58"/>
        <v/>
      </c>
      <c r="EP24" s="257" t="str">
        <f t="shared" si="59"/>
        <v/>
      </c>
      <c r="EQ24" s="756" t="str">
        <f t="shared" ref="EQ24:EQ42" si="181">IFERROR(IO24," ")</f>
        <v/>
      </c>
      <c r="ER24" s="291" t="str">
        <f t="shared" si="60"/>
        <v xml:space="preserve">  </v>
      </c>
      <c r="ES24" s="243" t="str">
        <f t="shared" si="61"/>
        <v xml:space="preserve"> </v>
      </c>
      <c r="ET24" s="39"/>
      <c r="EU24" s="39"/>
      <c r="EV24" s="257">
        <f t="shared" si="62"/>
        <v>0</v>
      </c>
      <c r="EW24" s="257">
        <f t="shared" si="63"/>
        <v>0</v>
      </c>
      <c r="EX24" s="257">
        <f t="shared" si="64"/>
        <v>0</v>
      </c>
      <c r="EY24" s="257">
        <f t="shared" si="65"/>
        <v>0</v>
      </c>
      <c r="EZ24" s="257">
        <f t="shared" si="66"/>
        <v>0</v>
      </c>
      <c r="FA24" s="257">
        <f t="shared" si="67"/>
        <v>0</v>
      </c>
      <c r="FB24" s="257">
        <f t="shared" si="68"/>
        <v>0</v>
      </c>
      <c r="FC24" s="257">
        <f t="shared" si="69"/>
        <v>0</v>
      </c>
      <c r="FD24" s="257">
        <f t="shared" si="70"/>
        <v>0</v>
      </c>
      <c r="FE24" s="257"/>
      <c r="FF24" s="289">
        <f t="shared" si="71"/>
        <v>0</v>
      </c>
      <c r="FG24" s="257">
        <f t="shared" si="72"/>
        <v>0</v>
      </c>
      <c r="FH24" s="257">
        <f t="shared" si="73"/>
        <v>0</v>
      </c>
      <c r="FI24" s="257">
        <f t="shared" si="74"/>
        <v>0</v>
      </c>
      <c r="FJ24" s="257">
        <f t="shared" si="75"/>
        <v>0</v>
      </c>
      <c r="FK24" s="257">
        <f t="shared" si="76"/>
        <v>0</v>
      </c>
      <c r="FL24" s="257">
        <f t="shared" si="77"/>
        <v>0</v>
      </c>
      <c r="FM24" s="257">
        <f t="shared" si="78"/>
        <v>0</v>
      </c>
      <c r="FN24" s="257">
        <f t="shared" si="79"/>
        <v>0</v>
      </c>
      <c r="FO24" s="257">
        <f t="shared" si="80"/>
        <v>0</v>
      </c>
      <c r="FP24" s="223"/>
      <c r="FQ24" s="289">
        <f t="shared" si="81"/>
        <v>0</v>
      </c>
      <c r="FR24" s="257">
        <f t="shared" si="82"/>
        <v>0</v>
      </c>
      <c r="FS24" s="257">
        <f t="shared" si="83"/>
        <v>0</v>
      </c>
      <c r="FT24" s="257">
        <f t="shared" si="84"/>
        <v>0</v>
      </c>
      <c r="FU24" s="257">
        <f t="shared" si="85"/>
        <v>0</v>
      </c>
      <c r="FV24" s="257">
        <f t="shared" si="86"/>
        <v>0</v>
      </c>
      <c r="FW24" s="257">
        <f t="shared" si="87"/>
        <v>0</v>
      </c>
      <c r="FX24" s="257">
        <f t="shared" si="88"/>
        <v>0</v>
      </c>
      <c r="FY24" s="257">
        <f t="shared" si="89"/>
        <v>0</v>
      </c>
      <c r="FZ24" s="257">
        <f t="shared" si="90"/>
        <v>0</v>
      </c>
      <c r="GA24" s="223"/>
      <c r="GB24" s="289">
        <f t="shared" si="91"/>
        <v>0</v>
      </c>
      <c r="GC24" s="257">
        <f t="shared" si="92"/>
        <v>0</v>
      </c>
      <c r="GD24" s="257">
        <f t="shared" si="93"/>
        <v>0</v>
      </c>
      <c r="GE24" s="257">
        <f t="shared" si="94"/>
        <v>0</v>
      </c>
      <c r="GF24" s="575">
        <f t="shared" si="95"/>
        <v>3</v>
      </c>
      <c r="GG24" s="506">
        <f t="shared" si="96"/>
        <v>0</v>
      </c>
      <c r="GH24" s="39" t="str">
        <f t="shared" si="97"/>
        <v/>
      </c>
      <c r="GI24" s="257">
        <f t="shared" si="98"/>
        <v>0</v>
      </c>
      <c r="GJ24" s="257">
        <f t="shared" si="99"/>
        <v>0</v>
      </c>
      <c r="GK24" s="257">
        <f t="shared" si="100"/>
        <v>0</v>
      </c>
      <c r="GL24" s="575">
        <f t="shared" si="101"/>
        <v>3</v>
      </c>
      <c r="GM24" s="506">
        <f t="shared" si="102"/>
        <v>0</v>
      </c>
      <c r="GN24" s="39" t="str">
        <f t="shared" si="103"/>
        <v/>
      </c>
      <c r="GO24" s="257">
        <f t="shared" si="104"/>
        <v>0</v>
      </c>
      <c r="GP24" s="257">
        <f t="shared" si="105"/>
        <v>0</v>
      </c>
      <c r="GQ24" s="257">
        <f t="shared" si="106"/>
        <v>0</v>
      </c>
      <c r="GR24" s="575">
        <f t="shared" si="107"/>
        <v>3</v>
      </c>
      <c r="GS24" s="506">
        <f t="shared" si="108"/>
        <v>0</v>
      </c>
      <c r="GT24" s="39" t="str">
        <f t="shared" si="109"/>
        <v/>
      </c>
      <c r="GU24" s="257">
        <f t="shared" si="110"/>
        <v>0</v>
      </c>
      <c r="GV24" s="257">
        <f t="shared" si="111"/>
        <v>0</v>
      </c>
      <c r="GW24" s="257">
        <f t="shared" si="112"/>
        <v>0</v>
      </c>
      <c r="GX24" s="575">
        <f t="shared" si="113"/>
        <v>3</v>
      </c>
      <c r="GY24" s="506">
        <f t="shared" si="114"/>
        <v>0</v>
      </c>
      <c r="GZ24" s="39" t="str">
        <f t="shared" si="115"/>
        <v/>
      </c>
      <c r="HA24" s="257">
        <f t="shared" si="116"/>
        <v>0</v>
      </c>
      <c r="HB24" s="257">
        <f t="shared" si="117"/>
        <v>0</v>
      </c>
      <c r="HC24" s="257">
        <f t="shared" si="118"/>
        <v>0</v>
      </c>
      <c r="HD24" s="575">
        <f t="shared" si="119"/>
        <v>3</v>
      </c>
      <c r="HE24" s="506">
        <f t="shared" si="120"/>
        <v>0</v>
      </c>
      <c r="HF24" s="39" t="str">
        <f t="shared" si="121"/>
        <v/>
      </c>
      <c r="HG24" s="257">
        <f t="shared" si="122"/>
        <v>0</v>
      </c>
      <c r="HH24" s="257">
        <f t="shared" si="123"/>
        <v>0</v>
      </c>
      <c r="HI24" s="257">
        <f t="shared" si="124"/>
        <v>0</v>
      </c>
      <c r="HJ24" s="575">
        <f t="shared" si="125"/>
        <v>3</v>
      </c>
      <c r="HK24" s="506">
        <f t="shared" si="126"/>
        <v>0</v>
      </c>
      <c r="HL24" s="39" t="str">
        <f t="shared" si="127"/>
        <v/>
      </c>
      <c r="HM24" s="257">
        <f t="shared" si="128"/>
        <v>0</v>
      </c>
      <c r="HN24" s="257">
        <f t="shared" si="129"/>
        <v>0</v>
      </c>
      <c r="HO24" s="257">
        <f t="shared" si="130"/>
        <v>0</v>
      </c>
      <c r="HP24" s="575">
        <f t="shared" si="131"/>
        <v>3</v>
      </c>
      <c r="HQ24" s="506">
        <f t="shared" si="132"/>
        <v>0</v>
      </c>
      <c r="HR24" s="39" t="str">
        <f t="shared" si="133"/>
        <v/>
      </c>
      <c r="HS24" s="257">
        <f t="shared" si="134"/>
        <v>0</v>
      </c>
      <c r="HT24" s="257">
        <f t="shared" si="135"/>
        <v>0</v>
      </c>
      <c r="HU24" s="257">
        <f t="shared" si="136"/>
        <v>0</v>
      </c>
      <c r="HV24" s="575">
        <f t="shared" si="137"/>
        <v>3</v>
      </c>
      <c r="HW24" s="506">
        <f t="shared" si="138"/>
        <v>0</v>
      </c>
      <c r="HX24" s="39" t="str">
        <f t="shared" si="139"/>
        <v/>
      </c>
      <c r="HY24" s="257">
        <f t="shared" si="140"/>
        <v>0</v>
      </c>
      <c r="HZ24" s="257">
        <f t="shared" si="141"/>
        <v>0</v>
      </c>
      <c r="IA24" s="257">
        <f t="shared" si="142"/>
        <v>0</v>
      </c>
      <c r="IB24" s="575">
        <f t="shared" si="143"/>
        <v>3</v>
      </c>
      <c r="IC24" s="506">
        <f t="shared" si="144"/>
        <v>0</v>
      </c>
      <c r="ID24" s="39" t="str">
        <f t="shared" si="145"/>
        <v/>
      </c>
      <c r="IE24" s="39"/>
      <c r="IF24" s="39" t="str">
        <f t="shared" si="146"/>
        <v/>
      </c>
      <c r="IG24" s="39" t="str">
        <f t="shared" si="147"/>
        <v/>
      </c>
      <c r="IH24" s="39" t="str">
        <f t="shared" si="148"/>
        <v/>
      </c>
      <c r="II24" s="39" t="str">
        <f t="shared" si="149"/>
        <v/>
      </c>
      <c r="IJ24" s="39" t="str">
        <f t="shared" si="150"/>
        <v/>
      </c>
      <c r="IK24" s="39" t="str">
        <f t="shared" si="151"/>
        <v/>
      </c>
      <c r="IL24" s="257" t="str">
        <f t="shared" si="152"/>
        <v/>
      </c>
      <c r="IM24" s="257" t="str">
        <f t="shared" si="153"/>
        <v/>
      </c>
      <c r="IN24" s="257" t="str">
        <f t="shared" si="154"/>
        <v/>
      </c>
      <c r="IO24" s="579" t="str">
        <f t="shared" si="155"/>
        <v/>
      </c>
      <c r="IP24" s="289">
        <f t="shared" si="156"/>
        <v>0</v>
      </c>
      <c r="IQ24" s="289">
        <f t="shared" si="157"/>
        <v>0</v>
      </c>
      <c r="IR24" s="223">
        <f>SISWA!E22</f>
        <v>0</v>
      </c>
      <c r="IS24" s="223" t="str">
        <f t="shared" si="158"/>
        <v/>
      </c>
      <c r="IT24" s="580" t="str">
        <f t="shared" si="159"/>
        <v/>
      </c>
      <c r="IU24" s="580" t="str">
        <f t="shared" si="160"/>
        <v/>
      </c>
      <c r="IV24" s="580" t="str">
        <f t="shared" si="161"/>
        <v/>
      </c>
      <c r="IW24" s="580" t="str">
        <f t="shared" si="162"/>
        <v/>
      </c>
      <c r="IX24" s="580" t="str">
        <f t="shared" si="163"/>
        <v/>
      </c>
      <c r="IY24" s="580" t="str">
        <f t="shared" si="164"/>
        <v/>
      </c>
      <c r="IZ24" s="580" t="str">
        <f t="shared" si="165"/>
        <v/>
      </c>
      <c r="JA24" s="580" t="str">
        <f t="shared" si="166"/>
        <v/>
      </c>
      <c r="JB24" s="580" t="str">
        <f t="shared" si="167"/>
        <v/>
      </c>
      <c r="JC24" s="580"/>
      <c r="JD24" s="580"/>
      <c r="JE24" s="223">
        <f t="shared" si="168"/>
        <v>0</v>
      </c>
      <c r="JF24" s="289" t="e">
        <f t="shared" si="169"/>
        <v>#N/A</v>
      </c>
      <c r="JG24" s="576" t="e">
        <f>IF(IP24&gt;100,"",IF(IP24&gt;EV$1,"sangat baik dalam "&amp;JF24,IF(IP24&gt;=EV$2,"baik dalam "&amp;JF24,IF(IP24&gt;=EV$3,"cukup dalam "&amp;JF24,IF(IP24&lt;EV$3,"dengan bimbingan dapat meningkatkan dalam "&amp;JF24,IF(IP24&lt;1," ",””))))))</f>
        <v>#N/A</v>
      </c>
      <c r="JH24" s="223"/>
      <c r="JI24" s="223" t="str">
        <f t="shared" si="170"/>
        <v/>
      </c>
      <c r="JJ24" s="223" t="str">
        <f t="shared" si="171"/>
        <v/>
      </c>
      <c r="JK24" s="223" t="str">
        <f t="shared" si="172"/>
        <v/>
      </c>
      <c r="JL24" s="223" t="str">
        <f t="shared" si="173"/>
        <v/>
      </c>
      <c r="JM24" s="223" t="str">
        <f t="shared" si="174"/>
        <v/>
      </c>
      <c r="JN24" s="223" t="str">
        <f t="shared" si="175"/>
        <v/>
      </c>
      <c r="JO24" s="223" t="str">
        <f t="shared" si="176"/>
        <v/>
      </c>
      <c r="JP24" s="223" t="str">
        <f t="shared" si="177"/>
        <v/>
      </c>
      <c r="JQ24" s="223" t="str">
        <f t="shared" si="178"/>
        <v/>
      </c>
      <c r="JR24" s="223"/>
      <c r="JS24" s="223"/>
      <c r="JT24" s="223" t="e">
        <f t="shared" si="179"/>
        <v>#N/A</v>
      </c>
      <c r="JU24" s="577" t="e">
        <f>IF(IQ24&gt;100,"",IF(IQ24&gt;=EV$1,"sangat baik dalam "&amp;JT24,IF(IQ24&gt;=EV$2,"baik dalam "&amp;JT24,IF(IQ24&gt;=EV$3,"cukup dalam "&amp;JT24,IF(IQ24&lt;EV$3,"dengan bimbingan dapat meningkatkan dalam "&amp;JT24,IF(IQ24&lt;1," ",””))))))</f>
        <v>#N/A</v>
      </c>
      <c r="JV24" s="223" t="e">
        <f t="shared" si="180"/>
        <v>#N/A</v>
      </c>
    </row>
    <row r="25" spans="1:282">
      <c r="A25" s="39">
        <v>18</v>
      </c>
      <c r="B25" s="223">
        <f>SISWA!B23</f>
        <v>0</v>
      </c>
      <c r="C25" s="123"/>
      <c r="D25" s="123"/>
      <c r="E25" s="123"/>
      <c r="F25" s="123"/>
      <c r="G25" s="123"/>
      <c r="H25" s="123"/>
      <c r="I25" s="123"/>
      <c r="J25" s="123"/>
      <c r="K25" s="123"/>
      <c r="L25" s="255"/>
      <c r="M25" s="255"/>
      <c r="N25" s="255"/>
      <c r="O25" s="255"/>
      <c r="P25" s="255"/>
      <c r="Q25" s="255"/>
      <c r="R25" s="255"/>
      <c r="S25" s="255"/>
      <c r="T25" s="255"/>
      <c r="U25" s="256"/>
      <c r="V25" s="256"/>
      <c r="W25" s="256"/>
      <c r="X25" s="256"/>
      <c r="Y25" s="256"/>
      <c r="Z25" s="256"/>
      <c r="AA25" s="256"/>
      <c r="AB25" s="256"/>
      <c r="AC25" s="256"/>
      <c r="AD25" s="123"/>
      <c r="AE25" s="123"/>
      <c r="AF25" s="123"/>
      <c r="AG25" s="123"/>
      <c r="AH25" s="123"/>
      <c r="AI25" s="123"/>
      <c r="AJ25" s="123"/>
      <c r="AK25" s="123"/>
      <c r="AL25" s="123"/>
      <c r="AM25" s="255"/>
      <c r="AN25" s="255"/>
      <c r="AO25" s="255"/>
      <c r="AP25" s="255"/>
      <c r="AQ25" s="255"/>
      <c r="AR25" s="255"/>
      <c r="AS25" s="255"/>
      <c r="AT25" s="255"/>
      <c r="AU25" s="255"/>
      <c r="AV25" s="256"/>
      <c r="AW25" s="256"/>
      <c r="AX25" s="256"/>
      <c r="AY25" s="256"/>
      <c r="AZ25" s="256"/>
      <c r="BA25" s="256"/>
      <c r="BB25" s="256"/>
      <c r="BC25" s="256"/>
      <c r="BD25" s="256"/>
      <c r="BE25" s="123"/>
      <c r="BF25" s="123"/>
      <c r="BG25" s="123"/>
      <c r="BH25" s="123"/>
      <c r="BI25" s="123"/>
      <c r="BJ25" s="123"/>
      <c r="BK25" s="123"/>
      <c r="BL25" s="123"/>
      <c r="BM25" s="123"/>
      <c r="BN25" s="255"/>
      <c r="BO25" s="255"/>
      <c r="BP25" s="255"/>
      <c r="BQ25" s="255"/>
      <c r="BR25" s="255"/>
      <c r="BS25" s="255"/>
      <c r="BT25" s="255"/>
      <c r="BU25" s="255"/>
      <c r="BV25" s="255"/>
      <c r="BW25" s="256"/>
      <c r="BX25" s="256"/>
      <c r="BY25" s="256"/>
      <c r="BZ25" s="256"/>
      <c r="CA25" s="256"/>
      <c r="CB25" s="256"/>
      <c r="CC25" s="256"/>
      <c r="CD25" s="256"/>
      <c r="CE25" s="256"/>
      <c r="CF25" s="123"/>
      <c r="CG25" s="123"/>
      <c r="CH25" s="123"/>
      <c r="CI25" s="123"/>
      <c r="CJ25" s="123"/>
      <c r="CK25" s="123"/>
      <c r="CL25" s="123"/>
      <c r="CM25" s="123"/>
      <c r="CN25" s="123"/>
      <c r="CO25" s="255"/>
      <c r="CP25" s="255"/>
      <c r="CQ25" s="255"/>
      <c r="CR25" s="255"/>
      <c r="CS25" s="255"/>
      <c r="CT25" s="255"/>
      <c r="CU25" s="255"/>
      <c r="CV25" s="255"/>
      <c r="CW25" s="255"/>
      <c r="CX25" s="256"/>
      <c r="CY25" s="256"/>
      <c r="CZ25" s="256"/>
      <c r="DA25" s="256"/>
      <c r="DB25" s="256"/>
      <c r="DC25" s="256"/>
      <c r="DD25" s="256"/>
      <c r="DE25" s="256"/>
      <c r="DF25" s="256"/>
      <c r="DG25" s="458"/>
      <c r="DH25" s="458"/>
      <c r="DI25" s="458"/>
      <c r="DJ25" s="458"/>
      <c r="DK25" s="458"/>
      <c r="DL25" s="458"/>
      <c r="DM25" s="458"/>
      <c r="DN25" s="458"/>
      <c r="DO25" s="458"/>
      <c r="DP25" s="457"/>
      <c r="DQ25" s="457"/>
      <c r="DR25" s="457"/>
      <c r="DS25" s="457"/>
      <c r="DT25" s="457"/>
      <c r="DU25" s="457"/>
      <c r="DV25" s="457"/>
      <c r="DW25" s="457"/>
      <c r="DX25" s="457"/>
      <c r="DY25" s="256"/>
      <c r="DZ25" s="256"/>
      <c r="EA25" s="256"/>
      <c r="EB25" s="256"/>
      <c r="EC25" s="256"/>
      <c r="ED25" s="256"/>
      <c r="EE25" s="256"/>
      <c r="EF25" s="256"/>
      <c r="EG25" s="256"/>
      <c r="EH25" s="257" t="str">
        <f t="shared" si="51"/>
        <v/>
      </c>
      <c r="EI25" s="257" t="str">
        <f t="shared" si="52"/>
        <v/>
      </c>
      <c r="EJ25" s="257" t="str">
        <f t="shared" si="53"/>
        <v/>
      </c>
      <c r="EK25" s="257" t="str">
        <f t="shared" si="54"/>
        <v/>
      </c>
      <c r="EL25" s="257" t="str">
        <f t="shared" si="55"/>
        <v/>
      </c>
      <c r="EM25" s="257" t="str">
        <f t="shared" si="56"/>
        <v/>
      </c>
      <c r="EN25" s="257" t="str">
        <f t="shared" si="57"/>
        <v/>
      </c>
      <c r="EO25" s="257" t="str">
        <f t="shared" si="58"/>
        <v/>
      </c>
      <c r="EP25" s="257" t="str">
        <f t="shared" si="59"/>
        <v/>
      </c>
      <c r="EQ25" s="756" t="str">
        <f t="shared" si="181"/>
        <v/>
      </c>
      <c r="ER25" s="291" t="str">
        <f t="shared" si="60"/>
        <v xml:space="preserve">  </v>
      </c>
      <c r="ES25" s="243" t="str">
        <f t="shared" si="61"/>
        <v xml:space="preserve"> </v>
      </c>
      <c r="ET25" s="39"/>
      <c r="EU25" s="39"/>
      <c r="EV25" s="257">
        <f t="shared" si="62"/>
        <v>0</v>
      </c>
      <c r="EW25" s="257">
        <f t="shared" si="63"/>
        <v>0</v>
      </c>
      <c r="EX25" s="257">
        <f t="shared" si="64"/>
        <v>0</v>
      </c>
      <c r="EY25" s="257">
        <f t="shared" si="65"/>
        <v>0</v>
      </c>
      <c r="EZ25" s="257">
        <f t="shared" si="66"/>
        <v>0</v>
      </c>
      <c r="FA25" s="257">
        <f t="shared" si="67"/>
        <v>0</v>
      </c>
      <c r="FB25" s="257">
        <f t="shared" si="68"/>
        <v>0</v>
      </c>
      <c r="FC25" s="257">
        <f t="shared" si="69"/>
        <v>0</v>
      </c>
      <c r="FD25" s="257">
        <f t="shared" si="70"/>
        <v>0</v>
      </c>
      <c r="FE25" s="257"/>
      <c r="FF25" s="289">
        <f t="shared" si="71"/>
        <v>0</v>
      </c>
      <c r="FG25" s="257">
        <f t="shared" si="72"/>
        <v>0</v>
      </c>
      <c r="FH25" s="257">
        <f t="shared" si="73"/>
        <v>0</v>
      </c>
      <c r="FI25" s="257">
        <f t="shared" si="74"/>
        <v>0</v>
      </c>
      <c r="FJ25" s="257">
        <f t="shared" si="75"/>
        <v>0</v>
      </c>
      <c r="FK25" s="257">
        <f t="shared" si="76"/>
        <v>0</v>
      </c>
      <c r="FL25" s="257">
        <f t="shared" si="77"/>
        <v>0</v>
      </c>
      <c r="FM25" s="257">
        <f t="shared" si="78"/>
        <v>0</v>
      </c>
      <c r="FN25" s="257">
        <f t="shared" si="79"/>
        <v>0</v>
      </c>
      <c r="FO25" s="257">
        <f t="shared" si="80"/>
        <v>0</v>
      </c>
      <c r="FP25" s="223"/>
      <c r="FQ25" s="289">
        <f t="shared" si="81"/>
        <v>0</v>
      </c>
      <c r="FR25" s="257">
        <f t="shared" si="82"/>
        <v>0</v>
      </c>
      <c r="FS25" s="257">
        <f t="shared" si="83"/>
        <v>0</v>
      </c>
      <c r="FT25" s="257">
        <f t="shared" si="84"/>
        <v>0</v>
      </c>
      <c r="FU25" s="257">
        <f t="shared" si="85"/>
        <v>0</v>
      </c>
      <c r="FV25" s="257">
        <f t="shared" si="86"/>
        <v>0</v>
      </c>
      <c r="FW25" s="257">
        <f t="shared" si="87"/>
        <v>0</v>
      </c>
      <c r="FX25" s="257">
        <f t="shared" si="88"/>
        <v>0</v>
      </c>
      <c r="FY25" s="257">
        <f t="shared" si="89"/>
        <v>0</v>
      </c>
      <c r="FZ25" s="257">
        <f t="shared" si="90"/>
        <v>0</v>
      </c>
      <c r="GA25" s="223"/>
      <c r="GB25" s="289">
        <f t="shared" si="91"/>
        <v>0</v>
      </c>
      <c r="GC25" s="257">
        <f t="shared" si="92"/>
        <v>0</v>
      </c>
      <c r="GD25" s="257">
        <f t="shared" si="93"/>
        <v>0</v>
      </c>
      <c r="GE25" s="257">
        <f t="shared" si="94"/>
        <v>0</v>
      </c>
      <c r="GF25" s="575">
        <f t="shared" si="95"/>
        <v>3</v>
      </c>
      <c r="GG25" s="506">
        <f t="shared" si="96"/>
        <v>0</v>
      </c>
      <c r="GH25" s="39" t="str">
        <f t="shared" si="97"/>
        <v/>
      </c>
      <c r="GI25" s="257">
        <f t="shared" si="98"/>
        <v>0</v>
      </c>
      <c r="GJ25" s="257">
        <f t="shared" si="99"/>
        <v>0</v>
      </c>
      <c r="GK25" s="257">
        <f t="shared" si="100"/>
        <v>0</v>
      </c>
      <c r="GL25" s="575">
        <f t="shared" si="101"/>
        <v>3</v>
      </c>
      <c r="GM25" s="506">
        <f t="shared" si="102"/>
        <v>0</v>
      </c>
      <c r="GN25" s="39" t="str">
        <f t="shared" si="103"/>
        <v/>
      </c>
      <c r="GO25" s="257">
        <f t="shared" si="104"/>
        <v>0</v>
      </c>
      <c r="GP25" s="257">
        <f t="shared" si="105"/>
        <v>0</v>
      </c>
      <c r="GQ25" s="257">
        <f t="shared" si="106"/>
        <v>0</v>
      </c>
      <c r="GR25" s="575">
        <f t="shared" si="107"/>
        <v>3</v>
      </c>
      <c r="GS25" s="506">
        <f t="shared" si="108"/>
        <v>0</v>
      </c>
      <c r="GT25" s="39" t="str">
        <f t="shared" si="109"/>
        <v/>
      </c>
      <c r="GU25" s="257">
        <f t="shared" si="110"/>
        <v>0</v>
      </c>
      <c r="GV25" s="257">
        <f t="shared" si="111"/>
        <v>0</v>
      </c>
      <c r="GW25" s="257">
        <f t="shared" si="112"/>
        <v>0</v>
      </c>
      <c r="GX25" s="575">
        <f t="shared" si="113"/>
        <v>3</v>
      </c>
      <c r="GY25" s="506">
        <f t="shared" si="114"/>
        <v>0</v>
      </c>
      <c r="GZ25" s="39" t="str">
        <f t="shared" si="115"/>
        <v/>
      </c>
      <c r="HA25" s="257">
        <f t="shared" si="116"/>
        <v>0</v>
      </c>
      <c r="HB25" s="257">
        <f t="shared" si="117"/>
        <v>0</v>
      </c>
      <c r="HC25" s="257">
        <f t="shared" si="118"/>
        <v>0</v>
      </c>
      <c r="HD25" s="575">
        <f t="shared" si="119"/>
        <v>3</v>
      </c>
      <c r="HE25" s="506">
        <f t="shared" si="120"/>
        <v>0</v>
      </c>
      <c r="HF25" s="39" t="str">
        <f t="shared" si="121"/>
        <v/>
      </c>
      <c r="HG25" s="257">
        <f t="shared" si="122"/>
        <v>0</v>
      </c>
      <c r="HH25" s="257">
        <f t="shared" si="123"/>
        <v>0</v>
      </c>
      <c r="HI25" s="257">
        <f t="shared" si="124"/>
        <v>0</v>
      </c>
      <c r="HJ25" s="575">
        <f t="shared" si="125"/>
        <v>3</v>
      </c>
      <c r="HK25" s="506">
        <f t="shared" si="126"/>
        <v>0</v>
      </c>
      <c r="HL25" s="39" t="str">
        <f t="shared" si="127"/>
        <v/>
      </c>
      <c r="HM25" s="257">
        <f t="shared" si="128"/>
        <v>0</v>
      </c>
      <c r="HN25" s="257">
        <f t="shared" si="129"/>
        <v>0</v>
      </c>
      <c r="HO25" s="257">
        <f t="shared" si="130"/>
        <v>0</v>
      </c>
      <c r="HP25" s="575">
        <f t="shared" si="131"/>
        <v>3</v>
      </c>
      <c r="HQ25" s="506">
        <f t="shared" si="132"/>
        <v>0</v>
      </c>
      <c r="HR25" s="39" t="str">
        <f t="shared" si="133"/>
        <v/>
      </c>
      <c r="HS25" s="257">
        <f t="shared" si="134"/>
        <v>0</v>
      </c>
      <c r="HT25" s="257">
        <f t="shared" si="135"/>
        <v>0</v>
      </c>
      <c r="HU25" s="257">
        <f t="shared" si="136"/>
        <v>0</v>
      </c>
      <c r="HV25" s="575">
        <f t="shared" si="137"/>
        <v>3</v>
      </c>
      <c r="HW25" s="506">
        <f t="shared" si="138"/>
        <v>0</v>
      </c>
      <c r="HX25" s="39" t="str">
        <f t="shared" si="139"/>
        <v/>
      </c>
      <c r="HY25" s="257">
        <f t="shared" si="140"/>
        <v>0</v>
      </c>
      <c r="HZ25" s="257">
        <f t="shared" si="141"/>
        <v>0</v>
      </c>
      <c r="IA25" s="257">
        <f t="shared" si="142"/>
        <v>0</v>
      </c>
      <c r="IB25" s="575">
        <f t="shared" si="143"/>
        <v>3</v>
      </c>
      <c r="IC25" s="506">
        <f t="shared" si="144"/>
        <v>0</v>
      </c>
      <c r="ID25" s="39" t="str">
        <f t="shared" si="145"/>
        <v/>
      </c>
      <c r="IE25" s="39"/>
      <c r="IF25" s="39" t="str">
        <f t="shared" si="146"/>
        <v/>
      </c>
      <c r="IG25" s="39" t="str">
        <f t="shared" si="147"/>
        <v/>
      </c>
      <c r="IH25" s="39" t="str">
        <f t="shared" si="148"/>
        <v/>
      </c>
      <c r="II25" s="39" t="str">
        <f t="shared" si="149"/>
        <v/>
      </c>
      <c r="IJ25" s="39" t="str">
        <f t="shared" si="150"/>
        <v/>
      </c>
      <c r="IK25" s="39" t="str">
        <f t="shared" si="151"/>
        <v/>
      </c>
      <c r="IL25" s="257" t="str">
        <f t="shared" si="152"/>
        <v/>
      </c>
      <c r="IM25" s="257" t="str">
        <f t="shared" si="153"/>
        <v/>
      </c>
      <c r="IN25" s="257" t="str">
        <f t="shared" si="154"/>
        <v/>
      </c>
      <c r="IO25" s="579" t="str">
        <f t="shared" si="155"/>
        <v/>
      </c>
      <c r="IP25" s="289">
        <f t="shared" si="156"/>
        <v>0</v>
      </c>
      <c r="IQ25" s="289">
        <f t="shared" si="157"/>
        <v>0</v>
      </c>
      <c r="IR25" s="223">
        <f>SISWA!E23</f>
        <v>0</v>
      </c>
      <c r="IS25" s="223" t="str">
        <f t="shared" si="158"/>
        <v/>
      </c>
      <c r="IT25" s="580" t="str">
        <f t="shared" si="159"/>
        <v/>
      </c>
      <c r="IU25" s="580" t="str">
        <f t="shared" si="160"/>
        <v/>
      </c>
      <c r="IV25" s="580" t="str">
        <f t="shared" si="161"/>
        <v/>
      </c>
      <c r="IW25" s="580" t="str">
        <f t="shared" si="162"/>
        <v/>
      </c>
      <c r="IX25" s="580" t="str">
        <f t="shared" si="163"/>
        <v/>
      </c>
      <c r="IY25" s="580" t="str">
        <f t="shared" si="164"/>
        <v/>
      </c>
      <c r="IZ25" s="580" t="str">
        <f t="shared" si="165"/>
        <v/>
      </c>
      <c r="JA25" s="580" t="str">
        <f t="shared" si="166"/>
        <v/>
      </c>
      <c r="JB25" s="580" t="str">
        <f t="shared" si="167"/>
        <v/>
      </c>
      <c r="JC25" s="580"/>
      <c r="JD25" s="580"/>
      <c r="JE25" s="223">
        <f t="shared" si="168"/>
        <v>0</v>
      </c>
      <c r="JF25" s="289" t="e">
        <f t="shared" si="169"/>
        <v>#N/A</v>
      </c>
      <c r="JG25" s="576" t="e">
        <f>IF(IP25&gt;100,"",IF(IP25&gt;EV$1,"sangat baik dalam "&amp;JF25,IF(IP25&gt;=EV$2,"baik dalam "&amp;JF25,IF(IP25&gt;=EV$3,"cukup dalam "&amp;JF25,IF(IP25&lt;EV$3,"dengan bimbingan dapat meningkatkan dalam "&amp;JF25,IF(IP25&lt;1," ",””))))))</f>
        <v>#N/A</v>
      </c>
      <c r="JH25" s="223"/>
      <c r="JI25" s="223" t="str">
        <f t="shared" si="170"/>
        <v/>
      </c>
      <c r="JJ25" s="223" t="str">
        <f t="shared" si="171"/>
        <v/>
      </c>
      <c r="JK25" s="223" t="str">
        <f t="shared" si="172"/>
        <v/>
      </c>
      <c r="JL25" s="223" t="str">
        <f t="shared" si="173"/>
        <v/>
      </c>
      <c r="JM25" s="223" t="str">
        <f t="shared" si="174"/>
        <v/>
      </c>
      <c r="JN25" s="223" t="str">
        <f t="shared" si="175"/>
        <v/>
      </c>
      <c r="JO25" s="223" t="str">
        <f t="shared" si="176"/>
        <v/>
      </c>
      <c r="JP25" s="223" t="str">
        <f t="shared" si="177"/>
        <v/>
      </c>
      <c r="JQ25" s="223" t="str">
        <f t="shared" si="178"/>
        <v/>
      </c>
      <c r="JR25" s="223"/>
      <c r="JS25" s="223"/>
      <c r="JT25" s="223" t="e">
        <f t="shared" si="179"/>
        <v>#N/A</v>
      </c>
      <c r="JU25" s="577" t="e">
        <f>IF(IQ25&gt;100,"",IF(IQ25&gt;=EV$1,"sangat baik dalam "&amp;JT25,IF(IQ25&gt;=EV$2,"baik dalam "&amp;JT25,IF(IQ25&gt;=EV$3,"cukup dalam "&amp;JT25,IF(IQ25&lt;EV$3,"dengan bimbingan dapat meningkatkan dalam "&amp;JT25,IF(IQ25&lt;1," ",””))))))</f>
        <v>#N/A</v>
      </c>
      <c r="JV25" s="223" t="e">
        <f t="shared" si="180"/>
        <v>#N/A</v>
      </c>
    </row>
    <row r="26" spans="1:282">
      <c r="A26" s="39">
        <v>19</v>
      </c>
      <c r="B26" s="223">
        <f>SISWA!B24</f>
        <v>0</v>
      </c>
      <c r="C26" s="123"/>
      <c r="D26" s="123"/>
      <c r="E26" s="123"/>
      <c r="F26" s="123"/>
      <c r="G26" s="123"/>
      <c r="H26" s="123"/>
      <c r="I26" s="123"/>
      <c r="J26" s="123"/>
      <c r="K26" s="123"/>
      <c r="L26" s="255"/>
      <c r="M26" s="255"/>
      <c r="N26" s="255"/>
      <c r="O26" s="255"/>
      <c r="P26" s="255"/>
      <c r="Q26" s="255"/>
      <c r="R26" s="255"/>
      <c r="S26" s="255"/>
      <c r="T26" s="255"/>
      <c r="U26" s="256"/>
      <c r="V26" s="256"/>
      <c r="W26" s="256"/>
      <c r="X26" s="256"/>
      <c r="Y26" s="256"/>
      <c r="Z26" s="256"/>
      <c r="AA26" s="256"/>
      <c r="AB26" s="256"/>
      <c r="AC26" s="256"/>
      <c r="AD26" s="123"/>
      <c r="AE26" s="123"/>
      <c r="AF26" s="123"/>
      <c r="AG26" s="123"/>
      <c r="AH26" s="123"/>
      <c r="AI26" s="123"/>
      <c r="AJ26" s="123"/>
      <c r="AK26" s="123"/>
      <c r="AL26" s="123"/>
      <c r="AM26" s="255"/>
      <c r="AN26" s="255"/>
      <c r="AO26" s="255"/>
      <c r="AP26" s="255"/>
      <c r="AQ26" s="255"/>
      <c r="AR26" s="255"/>
      <c r="AS26" s="255"/>
      <c r="AT26" s="255"/>
      <c r="AU26" s="255"/>
      <c r="AV26" s="256"/>
      <c r="AW26" s="256"/>
      <c r="AX26" s="256"/>
      <c r="AY26" s="256"/>
      <c r="AZ26" s="256"/>
      <c r="BA26" s="256"/>
      <c r="BB26" s="256"/>
      <c r="BC26" s="256"/>
      <c r="BD26" s="256"/>
      <c r="BE26" s="123"/>
      <c r="BF26" s="123"/>
      <c r="BG26" s="123"/>
      <c r="BH26" s="123"/>
      <c r="BI26" s="123"/>
      <c r="BJ26" s="123"/>
      <c r="BK26" s="123"/>
      <c r="BL26" s="123"/>
      <c r="BM26" s="123"/>
      <c r="BN26" s="255"/>
      <c r="BO26" s="255"/>
      <c r="BP26" s="255"/>
      <c r="BQ26" s="255"/>
      <c r="BR26" s="255"/>
      <c r="BS26" s="255"/>
      <c r="BT26" s="255"/>
      <c r="BU26" s="255"/>
      <c r="BV26" s="255"/>
      <c r="BW26" s="256"/>
      <c r="BX26" s="256"/>
      <c r="BY26" s="256"/>
      <c r="BZ26" s="256"/>
      <c r="CA26" s="256"/>
      <c r="CB26" s="256"/>
      <c r="CC26" s="256"/>
      <c r="CD26" s="256"/>
      <c r="CE26" s="256"/>
      <c r="CF26" s="123"/>
      <c r="CG26" s="123"/>
      <c r="CH26" s="123"/>
      <c r="CI26" s="123"/>
      <c r="CJ26" s="123"/>
      <c r="CK26" s="123"/>
      <c r="CL26" s="123"/>
      <c r="CM26" s="123"/>
      <c r="CN26" s="123"/>
      <c r="CO26" s="255"/>
      <c r="CP26" s="255"/>
      <c r="CQ26" s="255"/>
      <c r="CR26" s="255"/>
      <c r="CS26" s="255"/>
      <c r="CT26" s="255"/>
      <c r="CU26" s="255"/>
      <c r="CV26" s="255"/>
      <c r="CW26" s="255"/>
      <c r="CX26" s="256"/>
      <c r="CY26" s="256"/>
      <c r="CZ26" s="256"/>
      <c r="DA26" s="256"/>
      <c r="DB26" s="256"/>
      <c r="DC26" s="256"/>
      <c r="DD26" s="256"/>
      <c r="DE26" s="256"/>
      <c r="DF26" s="256"/>
      <c r="DG26" s="458"/>
      <c r="DH26" s="458"/>
      <c r="DI26" s="458"/>
      <c r="DJ26" s="458"/>
      <c r="DK26" s="458"/>
      <c r="DL26" s="458"/>
      <c r="DM26" s="458"/>
      <c r="DN26" s="458"/>
      <c r="DO26" s="458"/>
      <c r="DP26" s="457"/>
      <c r="DQ26" s="457"/>
      <c r="DR26" s="457"/>
      <c r="DS26" s="457"/>
      <c r="DT26" s="457"/>
      <c r="DU26" s="457"/>
      <c r="DV26" s="457"/>
      <c r="DW26" s="457"/>
      <c r="DX26" s="457"/>
      <c r="DY26" s="256"/>
      <c r="DZ26" s="256"/>
      <c r="EA26" s="256"/>
      <c r="EB26" s="256"/>
      <c r="EC26" s="256"/>
      <c r="ED26" s="256"/>
      <c r="EE26" s="256"/>
      <c r="EF26" s="256"/>
      <c r="EG26" s="256"/>
      <c r="EH26" s="257" t="str">
        <f t="shared" si="51"/>
        <v/>
      </c>
      <c r="EI26" s="257" t="str">
        <f t="shared" si="52"/>
        <v/>
      </c>
      <c r="EJ26" s="257" t="str">
        <f t="shared" si="53"/>
        <v/>
      </c>
      <c r="EK26" s="257" t="str">
        <f t="shared" si="54"/>
        <v/>
      </c>
      <c r="EL26" s="257" t="str">
        <f t="shared" si="55"/>
        <v/>
      </c>
      <c r="EM26" s="257" t="str">
        <f t="shared" si="56"/>
        <v/>
      </c>
      <c r="EN26" s="257" t="str">
        <f t="shared" si="57"/>
        <v/>
      </c>
      <c r="EO26" s="257" t="str">
        <f t="shared" si="58"/>
        <v/>
      </c>
      <c r="EP26" s="257" t="str">
        <f t="shared" si="59"/>
        <v/>
      </c>
      <c r="EQ26" s="756" t="str">
        <f t="shared" si="181"/>
        <v/>
      </c>
      <c r="ER26" s="291" t="str">
        <f t="shared" si="60"/>
        <v xml:space="preserve">  </v>
      </c>
      <c r="ES26" s="243" t="str">
        <f t="shared" si="61"/>
        <v xml:space="preserve"> </v>
      </c>
      <c r="ET26" s="39"/>
      <c r="EU26" s="39"/>
      <c r="EV26" s="257">
        <f t="shared" si="62"/>
        <v>0</v>
      </c>
      <c r="EW26" s="257">
        <f t="shared" si="63"/>
        <v>0</v>
      </c>
      <c r="EX26" s="257">
        <f t="shared" si="64"/>
        <v>0</v>
      </c>
      <c r="EY26" s="257">
        <f t="shared" si="65"/>
        <v>0</v>
      </c>
      <c r="EZ26" s="257">
        <f t="shared" si="66"/>
        <v>0</v>
      </c>
      <c r="FA26" s="257">
        <f t="shared" si="67"/>
        <v>0</v>
      </c>
      <c r="FB26" s="257">
        <f t="shared" si="68"/>
        <v>0</v>
      </c>
      <c r="FC26" s="257">
        <f t="shared" si="69"/>
        <v>0</v>
      </c>
      <c r="FD26" s="257">
        <f t="shared" si="70"/>
        <v>0</v>
      </c>
      <c r="FE26" s="257"/>
      <c r="FF26" s="289">
        <f t="shared" si="71"/>
        <v>0</v>
      </c>
      <c r="FG26" s="257">
        <f t="shared" si="72"/>
        <v>0</v>
      </c>
      <c r="FH26" s="257">
        <f t="shared" si="73"/>
        <v>0</v>
      </c>
      <c r="FI26" s="257">
        <f t="shared" si="74"/>
        <v>0</v>
      </c>
      <c r="FJ26" s="257">
        <f t="shared" si="75"/>
        <v>0</v>
      </c>
      <c r="FK26" s="257">
        <f t="shared" si="76"/>
        <v>0</v>
      </c>
      <c r="FL26" s="257">
        <f t="shared" si="77"/>
        <v>0</v>
      </c>
      <c r="FM26" s="257">
        <f t="shared" si="78"/>
        <v>0</v>
      </c>
      <c r="FN26" s="257">
        <f t="shared" si="79"/>
        <v>0</v>
      </c>
      <c r="FO26" s="257">
        <f t="shared" si="80"/>
        <v>0</v>
      </c>
      <c r="FP26" s="223"/>
      <c r="FQ26" s="289">
        <f t="shared" si="81"/>
        <v>0</v>
      </c>
      <c r="FR26" s="257">
        <f t="shared" si="82"/>
        <v>0</v>
      </c>
      <c r="FS26" s="257">
        <f t="shared" si="83"/>
        <v>0</v>
      </c>
      <c r="FT26" s="257">
        <f t="shared" si="84"/>
        <v>0</v>
      </c>
      <c r="FU26" s="257">
        <f t="shared" si="85"/>
        <v>0</v>
      </c>
      <c r="FV26" s="257">
        <f t="shared" si="86"/>
        <v>0</v>
      </c>
      <c r="FW26" s="257">
        <f t="shared" si="87"/>
        <v>0</v>
      </c>
      <c r="FX26" s="257">
        <f t="shared" si="88"/>
        <v>0</v>
      </c>
      <c r="FY26" s="257">
        <f t="shared" si="89"/>
        <v>0</v>
      </c>
      <c r="FZ26" s="257">
        <f t="shared" si="90"/>
        <v>0</v>
      </c>
      <c r="GA26" s="223"/>
      <c r="GB26" s="289">
        <f t="shared" si="91"/>
        <v>0</v>
      </c>
      <c r="GC26" s="257">
        <f t="shared" si="92"/>
        <v>0</v>
      </c>
      <c r="GD26" s="257">
        <f t="shared" si="93"/>
        <v>0</v>
      </c>
      <c r="GE26" s="257">
        <f t="shared" si="94"/>
        <v>0</v>
      </c>
      <c r="GF26" s="575">
        <f t="shared" si="95"/>
        <v>3</v>
      </c>
      <c r="GG26" s="506">
        <f t="shared" si="96"/>
        <v>0</v>
      </c>
      <c r="GH26" s="39" t="str">
        <f t="shared" si="97"/>
        <v/>
      </c>
      <c r="GI26" s="257">
        <f t="shared" si="98"/>
        <v>0</v>
      </c>
      <c r="GJ26" s="257">
        <f t="shared" si="99"/>
        <v>0</v>
      </c>
      <c r="GK26" s="257">
        <f t="shared" si="100"/>
        <v>0</v>
      </c>
      <c r="GL26" s="575">
        <f t="shared" si="101"/>
        <v>3</v>
      </c>
      <c r="GM26" s="506">
        <f t="shared" si="102"/>
        <v>0</v>
      </c>
      <c r="GN26" s="39" t="str">
        <f t="shared" si="103"/>
        <v/>
      </c>
      <c r="GO26" s="257">
        <f t="shared" si="104"/>
        <v>0</v>
      </c>
      <c r="GP26" s="257">
        <f t="shared" si="105"/>
        <v>0</v>
      </c>
      <c r="GQ26" s="257">
        <f t="shared" si="106"/>
        <v>0</v>
      </c>
      <c r="GR26" s="575">
        <f t="shared" si="107"/>
        <v>3</v>
      </c>
      <c r="GS26" s="506">
        <f t="shared" si="108"/>
        <v>0</v>
      </c>
      <c r="GT26" s="39" t="str">
        <f t="shared" si="109"/>
        <v/>
      </c>
      <c r="GU26" s="257">
        <f t="shared" si="110"/>
        <v>0</v>
      </c>
      <c r="GV26" s="257">
        <f t="shared" si="111"/>
        <v>0</v>
      </c>
      <c r="GW26" s="257">
        <f t="shared" si="112"/>
        <v>0</v>
      </c>
      <c r="GX26" s="575">
        <f t="shared" si="113"/>
        <v>3</v>
      </c>
      <c r="GY26" s="506">
        <f t="shared" si="114"/>
        <v>0</v>
      </c>
      <c r="GZ26" s="39" t="str">
        <f t="shared" si="115"/>
        <v/>
      </c>
      <c r="HA26" s="257">
        <f t="shared" si="116"/>
        <v>0</v>
      </c>
      <c r="HB26" s="257">
        <f t="shared" si="117"/>
        <v>0</v>
      </c>
      <c r="HC26" s="257">
        <f t="shared" si="118"/>
        <v>0</v>
      </c>
      <c r="HD26" s="575">
        <f t="shared" si="119"/>
        <v>3</v>
      </c>
      <c r="HE26" s="506">
        <f t="shared" si="120"/>
        <v>0</v>
      </c>
      <c r="HF26" s="39" t="str">
        <f t="shared" si="121"/>
        <v/>
      </c>
      <c r="HG26" s="257">
        <f t="shared" si="122"/>
        <v>0</v>
      </c>
      <c r="HH26" s="257">
        <f t="shared" si="123"/>
        <v>0</v>
      </c>
      <c r="HI26" s="257">
        <f t="shared" si="124"/>
        <v>0</v>
      </c>
      <c r="HJ26" s="575">
        <f t="shared" si="125"/>
        <v>3</v>
      </c>
      <c r="HK26" s="506">
        <f t="shared" si="126"/>
        <v>0</v>
      </c>
      <c r="HL26" s="39" t="str">
        <f t="shared" si="127"/>
        <v/>
      </c>
      <c r="HM26" s="257">
        <f t="shared" si="128"/>
        <v>0</v>
      </c>
      <c r="HN26" s="257">
        <f t="shared" si="129"/>
        <v>0</v>
      </c>
      <c r="HO26" s="257">
        <f t="shared" si="130"/>
        <v>0</v>
      </c>
      <c r="HP26" s="575">
        <f t="shared" si="131"/>
        <v>3</v>
      </c>
      <c r="HQ26" s="506">
        <f t="shared" si="132"/>
        <v>0</v>
      </c>
      <c r="HR26" s="39" t="str">
        <f t="shared" si="133"/>
        <v/>
      </c>
      <c r="HS26" s="257">
        <f t="shared" si="134"/>
        <v>0</v>
      </c>
      <c r="HT26" s="257">
        <f t="shared" si="135"/>
        <v>0</v>
      </c>
      <c r="HU26" s="257">
        <f t="shared" si="136"/>
        <v>0</v>
      </c>
      <c r="HV26" s="575">
        <f t="shared" si="137"/>
        <v>3</v>
      </c>
      <c r="HW26" s="506">
        <f t="shared" si="138"/>
        <v>0</v>
      </c>
      <c r="HX26" s="39" t="str">
        <f t="shared" si="139"/>
        <v/>
      </c>
      <c r="HY26" s="257">
        <f t="shared" si="140"/>
        <v>0</v>
      </c>
      <c r="HZ26" s="257">
        <f t="shared" si="141"/>
        <v>0</v>
      </c>
      <c r="IA26" s="257">
        <f t="shared" si="142"/>
        <v>0</v>
      </c>
      <c r="IB26" s="575">
        <f t="shared" si="143"/>
        <v>3</v>
      </c>
      <c r="IC26" s="506">
        <f t="shared" si="144"/>
        <v>0</v>
      </c>
      <c r="ID26" s="39" t="str">
        <f t="shared" si="145"/>
        <v/>
      </c>
      <c r="IE26" s="39"/>
      <c r="IF26" s="39" t="str">
        <f t="shared" si="146"/>
        <v/>
      </c>
      <c r="IG26" s="39" t="str">
        <f t="shared" si="147"/>
        <v/>
      </c>
      <c r="IH26" s="39" t="str">
        <f t="shared" si="148"/>
        <v/>
      </c>
      <c r="II26" s="39" t="str">
        <f t="shared" si="149"/>
        <v/>
      </c>
      <c r="IJ26" s="39" t="str">
        <f t="shared" si="150"/>
        <v/>
      </c>
      <c r="IK26" s="39" t="str">
        <f t="shared" si="151"/>
        <v/>
      </c>
      <c r="IL26" s="257" t="str">
        <f t="shared" si="152"/>
        <v/>
      </c>
      <c r="IM26" s="257" t="str">
        <f t="shared" si="153"/>
        <v/>
      </c>
      <c r="IN26" s="257" t="str">
        <f t="shared" si="154"/>
        <v/>
      </c>
      <c r="IO26" s="579" t="str">
        <f t="shared" si="155"/>
        <v/>
      </c>
      <c r="IP26" s="289">
        <f t="shared" si="156"/>
        <v>0</v>
      </c>
      <c r="IQ26" s="289">
        <f t="shared" si="157"/>
        <v>0</v>
      </c>
      <c r="IR26" s="223">
        <f>SISWA!E24</f>
        <v>0</v>
      </c>
      <c r="IS26" s="223" t="str">
        <f t="shared" si="158"/>
        <v/>
      </c>
      <c r="IT26" s="580" t="str">
        <f t="shared" si="159"/>
        <v/>
      </c>
      <c r="IU26" s="580" t="str">
        <f t="shared" si="160"/>
        <v/>
      </c>
      <c r="IV26" s="580" t="str">
        <f t="shared" si="161"/>
        <v/>
      </c>
      <c r="IW26" s="580" t="str">
        <f t="shared" si="162"/>
        <v/>
      </c>
      <c r="IX26" s="580" t="str">
        <f t="shared" si="163"/>
        <v/>
      </c>
      <c r="IY26" s="580" t="str">
        <f t="shared" si="164"/>
        <v/>
      </c>
      <c r="IZ26" s="580" t="str">
        <f t="shared" si="165"/>
        <v/>
      </c>
      <c r="JA26" s="580" t="str">
        <f t="shared" si="166"/>
        <v/>
      </c>
      <c r="JB26" s="580" t="str">
        <f t="shared" si="167"/>
        <v/>
      </c>
      <c r="JC26" s="580"/>
      <c r="JD26" s="580"/>
      <c r="JE26" s="223">
        <f t="shared" si="168"/>
        <v>0</v>
      </c>
      <c r="JF26" s="289" t="e">
        <f t="shared" si="169"/>
        <v>#N/A</v>
      </c>
      <c r="JG26" s="576" t="e">
        <f>IF(IP26&gt;100,"",IF(IP26&gt;EV$1,"sangat baik dalam "&amp;JF26,IF(IP26&gt;=EV$2,"baik dalam "&amp;JF26,IF(IP26&gt;=EV$3,"cukup dalam "&amp;JF26,IF(IP26&lt;EV$3,"dengan bimbingan dapat meningkatkan dalam "&amp;JF26,IF(IP26&lt;1," ",””))))))</f>
        <v>#N/A</v>
      </c>
      <c r="JH26" s="223"/>
      <c r="JI26" s="223" t="str">
        <f t="shared" si="170"/>
        <v/>
      </c>
      <c r="JJ26" s="223" t="str">
        <f t="shared" si="171"/>
        <v/>
      </c>
      <c r="JK26" s="223" t="str">
        <f t="shared" si="172"/>
        <v/>
      </c>
      <c r="JL26" s="223" t="str">
        <f t="shared" si="173"/>
        <v/>
      </c>
      <c r="JM26" s="223" t="str">
        <f t="shared" si="174"/>
        <v/>
      </c>
      <c r="JN26" s="223" t="str">
        <f t="shared" si="175"/>
        <v/>
      </c>
      <c r="JO26" s="223" t="str">
        <f t="shared" si="176"/>
        <v/>
      </c>
      <c r="JP26" s="223" t="str">
        <f t="shared" si="177"/>
        <v/>
      </c>
      <c r="JQ26" s="223" t="str">
        <f t="shared" si="178"/>
        <v/>
      </c>
      <c r="JR26" s="223"/>
      <c r="JS26" s="223"/>
      <c r="JT26" s="223" t="e">
        <f t="shared" si="179"/>
        <v>#N/A</v>
      </c>
      <c r="JU26" s="577" t="e">
        <f>IF(IQ26&gt;100,"",IF(IQ26&gt;=EV$1,"sangat baik dalam "&amp;JT26,IF(IQ26&gt;=EV$2,"baik dalam "&amp;JT26,IF(IQ26&gt;=EV$3,"cukup dalam "&amp;JT26,IF(IQ26&lt;EV$3,"dengan bimbingan dapat meningkatkan dalam "&amp;JT26,IF(IQ26&lt;1," ",””))))))</f>
        <v>#N/A</v>
      </c>
      <c r="JV26" s="223" t="e">
        <f t="shared" si="180"/>
        <v>#N/A</v>
      </c>
    </row>
    <row r="27" spans="1:282">
      <c r="A27" s="39">
        <v>20</v>
      </c>
      <c r="B27" s="223">
        <f>SISWA!B25</f>
        <v>0</v>
      </c>
      <c r="C27" s="123"/>
      <c r="D27" s="123"/>
      <c r="E27" s="123"/>
      <c r="F27" s="123"/>
      <c r="G27" s="123"/>
      <c r="H27" s="123"/>
      <c r="I27" s="123"/>
      <c r="J27" s="123"/>
      <c r="K27" s="123"/>
      <c r="L27" s="255"/>
      <c r="M27" s="255"/>
      <c r="N27" s="255"/>
      <c r="O27" s="255"/>
      <c r="P27" s="255"/>
      <c r="Q27" s="255"/>
      <c r="R27" s="255"/>
      <c r="S27" s="255"/>
      <c r="T27" s="255"/>
      <c r="U27" s="256"/>
      <c r="V27" s="256"/>
      <c r="W27" s="256"/>
      <c r="X27" s="256"/>
      <c r="Y27" s="256"/>
      <c r="Z27" s="256"/>
      <c r="AA27" s="256"/>
      <c r="AB27" s="256"/>
      <c r="AC27" s="256"/>
      <c r="AD27" s="123"/>
      <c r="AE27" s="123"/>
      <c r="AF27" s="123"/>
      <c r="AG27" s="123"/>
      <c r="AH27" s="123"/>
      <c r="AI27" s="123"/>
      <c r="AJ27" s="123"/>
      <c r="AK27" s="123"/>
      <c r="AL27" s="123"/>
      <c r="AM27" s="255"/>
      <c r="AN27" s="255"/>
      <c r="AO27" s="255"/>
      <c r="AP27" s="255"/>
      <c r="AQ27" s="255"/>
      <c r="AR27" s="255"/>
      <c r="AS27" s="255"/>
      <c r="AT27" s="255"/>
      <c r="AU27" s="255"/>
      <c r="AV27" s="256"/>
      <c r="AW27" s="256"/>
      <c r="AX27" s="256"/>
      <c r="AY27" s="256"/>
      <c r="AZ27" s="256"/>
      <c r="BA27" s="256"/>
      <c r="BB27" s="256"/>
      <c r="BC27" s="256"/>
      <c r="BD27" s="256"/>
      <c r="BE27" s="123"/>
      <c r="BF27" s="123"/>
      <c r="BG27" s="123"/>
      <c r="BH27" s="123"/>
      <c r="BI27" s="123"/>
      <c r="BJ27" s="123"/>
      <c r="BK27" s="123"/>
      <c r="BL27" s="123"/>
      <c r="BM27" s="123"/>
      <c r="BN27" s="255"/>
      <c r="BO27" s="255"/>
      <c r="BP27" s="255"/>
      <c r="BQ27" s="255"/>
      <c r="BR27" s="255"/>
      <c r="BS27" s="255"/>
      <c r="BT27" s="255"/>
      <c r="BU27" s="255"/>
      <c r="BV27" s="255"/>
      <c r="BW27" s="256"/>
      <c r="BX27" s="256"/>
      <c r="BY27" s="256"/>
      <c r="BZ27" s="256"/>
      <c r="CA27" s="256"/>
      <c r="CB27" s="256"/>
      <c r="CC27" s="256"/>
      <c r="CD27" s="256"/>
      <c r="CE27" s="256"/>
      <c r="CF27" s="123"/>
      <c r="CG27" s="123"/>
      <c r="CH27" s="123"/>
      <c r="CI27" s="123"/>
      <c r="CJ27" s="123"/>
      <c r="CK27" s="123"/>
      <c r="CL27" s="123"/>
      <c r="CM27" s="123"/>
      <c r="CN27" s="123"/>
      <c r="CO27" s="255"/>
      <c r="CP27" s="255"/>
      <c r="CQ27" s="255"/>
      <c r="CR27" s="255"/>
      <c r="CS27" s="255"/>
      <c r="CT27" s="255"/>
      <c r="CU27" s="255"/>
      <c r="CV27" s="255"/>
      <c r="CW27" s="255"/>
      <c r="CX27" s="256"/>
      <c r="CY27" s="256"/>
      <c r="CZ27" s="256"/>
      <c r="DA27" s="256"/>
      <c r="DB27" s="256"/>
      <c r="DC27" s="256"/>
      <c r="DD27" s="256"/>
      <c r="DE27" s="256"/>
      <c r="DF27" s="256"/>
      <c r="DG27" s="458"/>
      <c r="DH27" s="458"/>
      <c r="DI27" s="458"/>
      <c r="DJ27" s="458"/>
      <c r="DK27" s="458"/>
      <c r="DL27" s="458"/>
      <c r="DM27" s="458"/>
      <c r="DN27" s="458"/>
      <c r="DO27" s="458"/>
      <c r="DP27" s="457"/>
      <c r="DQ27" s="457"/>
      <c r="DR27" s="457"/>
      <c r="DS27" s="457"/>
      <c r="DT27" s="457"/>
      <c r="DU27" s="457"/>
      <c r="DV27" s="457"/>
      <c r="DW27" s="457"/>
      <c r="DX27" s="457"/>
      <c r="DY27" s="256"/>
      <c r="DZ27" s="256"/>
      <c r="EA27" s="256"/>
      <c r="EB27" s="256"/>
      <c r="EC27" s="256"/>
      <c r="ED27" s="256"/>
      <c r="EE27" s="256"/>
      <c r="EF27" s="256"/>
      <c r="EG27" s="256"/>
      <c r="EH27" s="257" t="str">
        <f t="shared" si="51"/>
        <v/>
      </c>
      <c r="EI27" s="257" t="str">
        <f t="shared" si="52"/>
        <v/>
      </c>
      <c r="EJ27" s="257" t="str">
        <f t="shared" si="53"/>
        <v/>
      </c>
      <c r="EK27" s="257" t="str">
        <f t="shared" si="54"/>
        <v/>
      </c>
      <c r="EL27" s="257" t="str">
        <f t="shared" si="55"/>
        <v/>
      </c>
      <c r="EM27" s="257" t="str">
        <f t="shared" si="56"/>
        <v/>
      </c>
      <c r="EN27" s="257" t="str">
        <f t="shared" si="57"/>
        <v/>
      </c>
      <c r="EO27" s="257" t="str">
        <f t="shared" si="58"/>
        <v/>
      </c>
      <c r="EP27" s="257" t="str">
        <f t="shared" si="59"/>
        <v/>
      </c>
      <c r="EQ27" s="756" t="str">
        <f t="shared" si="181"/>
        <v/>
      </c>
      <c r="ER27" s="291" t="str">
        <f t="shared" si="60"/>
        <v xml:space="preserve">  </v>
      </c>
      <c r="ES27" s="243" t="str">
        <f t="shared" si="61"/>
        <v xml:space="preserve"> </v>
      </c>
      <c r="ET27" s="39"/>
      <c r="EU27" s="39"/>
      <c r="EV27" s="257">
        <f t="shared" si="62"/>
        <v>0</v>
      </c>
      <c r="EW27" s="257">
        <f t="shared" si="63"/>
        <v>0</v>
      </c>
      <c r="EX27" s="257">
        <f t="shared" si="64"/>
        <v>0</v>
      </c>
      <c r="EY27" s="257">
        <f t="shared" si="65"/>
        <v>0</v>
      </c>
      <c r="EZ27" s="257">
        <f t="shared" si="66"/>
        <v>0</v>
      </c>
      <c r="FA27" s="257">
        <f t="shared" si="67"/>
        <v>0</v>
      </c>
      <c r="FB27" s="257">
        <f t="shared" si="68"/>
        <v>0</v>
      </c>
      <c r="FC27" s="257">
        <f t="shared" si="69"/>
        <v>0</v>
      </c>
      <c r="FD27" s="257">
        <f t="shared" si="70"/>
        <v>0</v>
      </c>
      <c r="FE27" s="257"/>
      <c r="FF27" s="289">
        <f t="shared" si="71"/>
        <v>0</v>
      </c>
      <c r="FG27" s="257">
        <f t="shared" si="72"/>
        <v>0</v>
      </c>
      <c r="FH27" s="257">
        <f t="shared" si="73"/>
        <v>0</v>
      </c>
      <c r="FI27" s="257">
        <f t="shared" si="74"/>
        <v>0</v>
      </c>
      <c r="FJ27" s="257">
        <f t="shared" si="75"/>
        <v>0</v>
      </c>
      <c r="FK27" s="257">
        <f t="shared" si="76"/>
        <v>0</v>
      </c>
      <c r="FL27" s="257">
        <f t="shared" si="77"/>
        <v>0</v>
      </c>
      <c r="FM27" s="257">
        <f t="shared" si="78"/>
        <v>0</v>
      </c>
      <c r="FN27" s="257">
        <f t="shared" si="79"/>
        <v>0</v>
      </c>
      <c r="FO27" s="257">
        <f t="shared" si="80"/>
        <v>0</v>
      </c>
      <c r="FP27" s="223"/>
      <c r="FQ27" s="289">
        <f t="shared" si="81"/>
        <v>0</v>
      </c>
      <c r="FR27" s="257">
        <f t="shared" si="82"/>
        <v>0</v>
      </c>
      <c r="FS27" s="257">
        <f t="shared" si="83"/>
        <v>0</v>
      </c>
      <c r="FT27" s="257">
        <f t="shared" si="84"/>
        <v>0</v>
      </c>
      <c r="FU27" s="257">
        <f t="shared" si="85"/>
        <v>0</v>
      </c>
      <c r="FV27" s="257">
        <f t="shared" si="86"/>
        <v>0</v>
      </c>
      <c r="FW27" s="257">
        <f t="shared" si="87"/>
        <v>0</v>
      </c>
      <c r="FX27" s="257">
        <f t="shared" si="88"/>
        <v>0</v>
      </c>
      <c r="FY27" s="257">
        <f t="shared" si="89"/>
        <v>0</v>
      </c>
      <c r="FZ27" s="257">
        <f t="shared" si="90"/>
        <v>0</v>
      </c>
      <c r="GA27" s="223"/>
      <c r="GB27" s="289">
        <f t="shared" si="91"/>
        <v>0</v>
      </c>
      <c r="GC27" s="257">
        <f t="shared" si="92"/>
        <v>0</v>
      </c>
      <c r="GD27" s="257">
        <f t="shared" si="93"/>
        <v>0</v>
      </c>
      <c r="GE27" s="257">
        <f t="shared" si="94"/>
        <v>0</v>
      </c>
      <c r="GF27" s="575">
        <f t="shared" si="95"/>
        <v>3</v>
      </c>
      <c r="GG27" s="506">
        <f t="shared" si="96"/>
        <v>0</v>
      </c>
      <c r="GH27" s="39" t="str">
        <f t="shared" si="97"/>
        <v/>
      </c>
      <c r="GI27" s="257">
        <f t="shared" si="98"/>
        <v>0</v>
      </c>
      <c r="GJ27" s="257">
        <f t="shared" si="99"/>
        <v>0</v>
      </c>
      <c r="GK27" s="257">
        <f t="shared" si="100"/>
        <v>0</v>
      </c>
      <c r="GL27" s="575">
        <f t="shared" si="101"/>
        <v>3</v>
      </c>
      <c r="GM27" s="506">
        <f t="shared" si="102"/>
        <v>0</v>
      </c>
      <c r="GN27" s="39" t="str">
        <f t="shared" si="103"/>
        <v/>
      </c>
      <c r="GO27" s="257">
        <f t="shared" si="104"/>
        <v>0</v>
      </c>
      <c r="GP27" s="257">
        <f t="shared" si="105"/>
        <v>0</v>
      </c>
      <c r="GQ27" s="257">
        <f t="shared" si="106"/>
        <v>0</v>
      </c>
      <c r="GR27" s="575">
        <f t="shared" si="107"/>
        <v>3</v>
      </c>
      <c r="GS27" s="506">
        <f t="shared" si="108"/>
        <v>0</v>
      </c>
      <c r="GT27" s="39" t="str">
        <f t="shared" si="109"/>
        <v/>
      </c>
      <c r="GU27" s="257">
        <f t="shared" si="110"/>
        <v>0</v>
      </c>
      <c r="GV27" s="257">
        <f t="shared" si="111"/>
        <v>0</v>
      </c>
      <c r="GW27" s="257">
        <f t="shared" si="112"/>
        <v>0</v>
      </c>
      <c r="GX27" s="575">
        <f t="shared" si="113"/>
        <v>3</v>
      </c>
      <c r="GY27" s="506">
        <f t="shared" si="114"/>
        <v>0</v>
      </c>
      <c r="GZ27" s="39" t="str">
        <f t="shared" si="115"/>
        <v/>
      </c>
      <c r="HA27" s="257">
        <f t="shared" si="116"/>
        <v>0</v>
      </c>
      <c r="HB27" s="257">
        <f t="shared" si="117"/>
        <v>0</v>
      </c>
      <c r="HC27" s="257">
        <f t="shared" si="118"/>
        <v>0</v>
      </c>
      <c r="HD27" s="575">
        <f t="shared" si="119"/>
        <v>3</v>
      </c>
      <c r="HE27" s="506">
        <f t="shared" si="120"/>
        <v>0</v>
      </c>
      <c r="HF27" s="39" t="str">
        <f t="shared" si="121"/>
        <v/>
      </c>
      <c r="HG27" s="257">
        <f t="shared" si="122"/>
        <v>0</v>
      </c>
      <c r="HH27" s="257">
        <f t="shared" si="123"/>
        <v>0</v>
      </c>
      <c r="HI27" s="257">
        <f t="shared" si="124"/>
        <v>0</v>
      </c>
      <c r="HJ27" s="575">
        <f t="shared" si="125"/>
        <v>3</v>
      </c>
      <c r="HK27" s="506">
        <f t="shared" si="126"/>
        <v>0</v>
      </c>
      <c r="HL27" s="39" t="str">
        <f t="shared" si="127"/>
        <v/>
      </c>
      <c r="HM27" s="257">
        <f t="shared" si="128"/>
        <v>0</v>
      </c>
      <c r="HN27" s="257">
        <f t="shared" si="129"/>
        <v>0</v>
      </c>
      <c r="HO27" s="257">
        <f t="shared" si="130"/>
        <v>0</v>
      </c>
      <c r="HP27" s="575">
        <f t="shared" si="131"/>
        <v>3</v>
      </c>
      <c r="HQ27" s="506">
        <f t="shared" si="132"/>
        <v>0</v>
      </c>
      <c r="HR27" s="39" t="str">
        <f t="shared" si="133"/>
        <v/>
      </c>
      <c r="HS27" s="257">
        <f t="shared" si="134"/>
        <v>0</v>
      </c>
      <c r="HT27" s="257">
        <f t="shared" si="135"/>
        <v>0</v>
      </c>
      <c r="HU27" s="257">
        <f t="shared" si="136"/>
        <v>0</v>
      </c>
      <c r="HV27" s="575">
        <f t="shared" si="137"/>
        <v>3</v>
      </c>
      <c r="HW27" s="506">
        <f t="shared" si="138"/>
        <v>0</v>
      </c>
      <c r="HX27" s="39" t="str">
        <f t="shared" si="139"/>
        <v/>
      </c>
      <c r="HY27" s="257">
        <f t="shared" si="140"/>
        <v>0</v>
      </c>
      <c r="HZ27" s="257">
        <f t="shared" si="141"/>
        <v>0</v>
      </c>
      <c r="IA27" s="257">
        <f t="shared" si="142"/>
        <v>0</v>
      </c>
      <c r="IB27" s="575">
        <f t="shared" si="143"/>
        <v>3</v>
      </c>
      <c r="IC27" s="506">
        <f t="shared" si="144"/>
        <v>0</v>
      </c>
      <c r="ID27" s="39" t="str">
        <f t="shared" si="145"/>
        <v/>
      </c>
      <c r="IE27" s="39"/>
      <c r="IF27" s="39" t="str">
        <f t="shared" si="146"/>
        <v/>
      </c>
      <c r="IG27" s="39" t="str">
        <f t="shared" si="147"/>
        <v/>
      </c>
      <c r="IH27" s="39" t="str">
        <f t="shared" si="148"/>
        <v/>
      </c>
      <c r="II27" s="39" t="str">
        <f t="shared" si="149"/>
        <v/>
      </c>
      <c r="IJ27" s="39" t="str">
        <f t="shared" si="150"/>
        <v/>
      </c>
      <c r="IK27" s="39" t="str">
        <f t="shared" si="151"/>
        <v/>
      </c>
      <c r="IL27" s="257" t="str">
        <f t="shared" si="152"/>
        <v/>
      </c>
      <c r="IM27" s="257" t="str">
        <f t="shared" si="153"/>
        <v/>
      </c>
      <c r="IN27" s="257" t="str">
        <f t="shared" si="154"/>
        <v/>
      </c>
      <c r="IO27" s="579" t="str">
        <f t="shared" si="155"/>
        <v/>
      </c>
      <c r="IP27" s="289">
        <f t="shared" si="156"/>
        <v>0</v>
      </c>
      <c r="IQ27" s="289">
        <f t="shared" si="157"/>
        <v>0</v>
      </c>
      <c r="IR27" s="223">
        <f>SISWA!E25</f>
        <v>0</v>
      </c>
      <c r="IS27" s="223" t="str">
        <f t="shared" si="158"/>
        <v/>
      </c>
      <c r="IT27" s="580" t="str">
        <f t="shared" si="159"/>
        <v/>
      </c>
      <c r="IU27" s="580" t="str">
        <f t="shared" si="160"/>
        <v/>
      </c>
      <c r="IV27" s="580" t="str">
        <f t="shared" si="161"/>
        <v/>
      </c>
      <c r="IW27" s="580" t="str">
        <f t="shared" si="162"/>
        <v/>
      </c>
      <c r="IX27" s="580" t="str">
        <f t="shared" si="163"/>
        <v/>
      </c>
      <c r="IY27" s="580" t="str">
        <f t="shared" si="164"/>
        <v/>
      </c>
      <c r="IZ27" s="580" t="str">
        <f t="shared" si="165"/>
        <v/>
      </c>
      <c r="JA27" s="580" t="str">
        <f t="shared" si="166"/>
        <v/>
      </c>
      <c r="JB27" s="580" t="str">
        <f t="shared" si="167"/>
        <v/>
      </c>
      <c r="JC27" s="580"/>
      <c r="JD27" s="580"/>
      <c r="JE27" s="223">
        <f t="shared" si="168"/>
        <v>0</v>
      </c>
      <c r="JF27" s="289" t="e">
        <f t="shared" si="169"/>
        <v>#N/A</v>
      </c>
      <c r="JG27" s="576" t="e">
        <f>IF(IP27&gt;100,"",IF(IP27&gt;EV$1,"sangat baik dalam "&amp;JF27,IF(IP27&gt;=EV$2,"baik dalam "&amp;JF27,IF(IP27&gt;=EV$3,"cukup dalam "&amp;JF27,IF(IP27&lt;EV$3,"dengan bimbingan dapat meningkatkan dalam "&amp;JF27,IF(IP27&lt;1," ",””))))))</f>
        <v>#N/A</v>
      </c>
      <c r="JH27" s="223"/>
      <c r="JI27" s="223" t="str">
        <f t="shared" si="170"/>
        <v/>
      </c>
      <c r="JJ27" s="223" t="str">
        <f t="shared" si="171"/>
        <v/>
      </c>
      <c r="JK27" s="223" t="str">
        <f t="shared" si="172"/>
        <v/>
      </c>
      <c r="JL27" s="223" t="str">
        <f t="shared" si="173"/>
        <v/>
      </c>
      <c r="JM27" s="223" t="str">
        <f t="shared" si="174"/>
        <v/>
      </c>
      <c r="JN27" s="223" t="str">
        <f t="shared" si="175"/>
        <v/>
      </c>
      <c r="JO27" s="223" t="str">
        <f t="shared" si="176"/>
        <v/>
      </c>
      <c r="JP27" s="223" t="str">
        <f t="shared" si="177"/>
        <v/>
      </c>
      <c r="JQ27" s="223" t="str">
        <f t="shared" si="178"/>
        <v/>
      </c>
      <c r="JR27" s="223"/>
      <c r="JS27" s="223"/>
      <c r="JT27" s="223" t="e">
        <f t="shared" si="179"/>
        <v>#N/A</v>
      </c>
      <c r="JU27" s="577" t="e">
        <f>IF(IQ27&gt;100,"",IF(IQ27&gt;=EV$1,"sangat baik dalam "&amp;JT27,IF(IQ27&gt;=EV$2,"baik dalam "&amp;JT27,IF(IQ27&gt;=EV$3,"cukup dalam "&amp;JT27,IF(IQ27&lt;EV$3,"dengan bimbingan dapat meningkatkan dalam "&amp;JT27,IF(IQ27&lt;1," ",””))))))</f>
        <v>#N/A</v>
      </c>
      <c r="JV27" s="223" t="e">
        <f t="shared" si="180"/>
        <v>#N/A</v>
      </c>
    </row>
    <row r="28" spans="1:282">
      <c r="A28" s="39">
        <v>21</v>
      </c>
      <c r="B28" s="223">
        <f>SISWA!B26</f>
        <v>0</v>
      </c>
      <c r="C28" s="123"/>
      <c r="D28" s="123"/>
      <c r="E28" s="123"/>
      <c r="F28" s="123"/>
      <c r="G28" s="123"/>
      <c r="H28" s="123"/>
      <c r="I28" s="123"/>
      <c r="J28" s="123"/>
      <c r="K28" s="123"/>
      <c r="L28" s="255"/>
      <c r="M28" s="255"/>
      <c r="N28" s="255"/>
      <c r="O28" s="255"/>
      <c r="P28" s="255"/>
      <c r="Q28" s="255"/>
      <c r="R28" s="255"/>
      <c r="S28" s="255"/>
      <c r="T28" s="255"/>
      <c r="U28" s="256"/>
      <c r="V28" s="256"/>
      <c r="W28" s="256"/>
      <c r="X28" s="256"/>
      <c r="Y28" s="256"/>
      <c r="Z28" s="256"/>
      <c r="AA28" s="256"/>
      <c r="AB28" s="256"/>
      <c r="AC28" s="256"/>
      <c r="AD28" s="123"/>
      <c r="AE28" s="123"/>
      <c r="AF28" s="123"/>
      <c r="AG28" s="123"/>
      <c r="AH28" s="123"/>
      <c r="AI28" s="123"/>
      <c r="AJ28" s="123"/>
      <c r="AK28" s="123"/>
      <c r="AL28" s="123"/>
      <c r="AM28" s="255"/>
      <c r="AN28" s="255"/>
      <c r="AO28" s="255"/>
      <c r="AP28" s="255"/>
      <c r="AQ28" s="255"/>
      <c r="AR28" s="255"/>
      <c r="AS28" s="255"/>
      <c r="AT28" s="255"/>
      <c r="AU28" s="255"/>
      <c r="AV28" s="256"/>
      <c r="AW28" s="256"/>
      <c r="AX28" s="256"/>
      <c r="AY28" s="256"/>
      <c r="AZ28" s="256"/>
      <c r="BA28" s="256"/>
      <c r="BB28" s="256"/>
      <c r="BC28" s="256"/>
      <c r="BD28" s="256"/>
      <c r="BE28" s="123"/>
      <c r="BF28" s="123"/>
      <c r="BG28" s="123"/>
      <c r="BH28" s="123"/>
      <c r="BI28" s="123"/>
      <c r="BJ28" s="123"/>
      <c r="BK28" s="123"/>
      <c r="BL28" s="123"/>
      <c r="BM28" s="123"/>
      <c r="BN28" s="255"/>
      <c r="BO28" s="255"/>
      <c r="BP28" s="255"/>
      <c r="BQ28" s="255"/>
      <c r="BR28" s="255"/>
      <c r="BS28" s="255"/>
      <c r="BT28" s="255"/>
      <c r="BU28" s="255"/>
      <c r="BV28" s="255"/>
      <c r="BW28" s="256"/>
      <c r="BX28" s="256"/>
      <c r="BY28" s="256"/>
      <c r="BZ28" s="256"/>
      <c r="CA28" s="256"/>
      <c r="CB28" s="256"/>
      <c r="CC28" s="256"/>
      <c r="CD28" s="256"/>
      <c r="CE28" s="256"/>
      <c r="CF28" s="123"/>
      <c r="CG28" s="123"/>
      <c r="CH28" s="123"/>
      <c r="CI28" s="123"/>
      <c r="CJ28" s="123"/>
      <c r="CK28" s="123"/>
      <c r="CL28" s="123"/>
      <c r="CM28" s="123"/>
      <c r="CN28" s="123"/>
      <c r="CO28" s="255"/>
      <c r="CP28" s="255"/>
      <c r="CQ28" s="255"/>
      <c r="CR28" s="255"/>
      <c r="CS28" s="255"/>
      <c r="CT28" s="255"/>
      <c r="CU28" s="255"/>
      <c r="CV28" s="255"/>
      <c r="CW28" s="255"/>
      <c r="CX28" s="256"/>
      <c r="CY28" s="256"/>
      <c r="CZ28" s="256"/>
      <c r="DA28" s="256"/>
      <c r="DB28" s="256"/>
      <c r="DC28" s="256"/>
      <c r="DD28" s="256"/>
      <c r="DE28" s="256"/>
      <c r="DF28" s="256"/>
      <c r="DG28" s="458"/>
      <c r="DH28" s="458"/>
      <c r="DI28" s="458"/>
      <c r="DJ28" s="458"/>
      <c r="DK28" s="458"/>
      <c r="DL28" s="458"/>
      <c r="DM28" s="458"/>
      <c r="DN28" s="458"/>
      <c r="DO28" s="458"/>
      <c r="DP28" s="457"/>
      <c r="DQ28" s="457"/>
      <c r="DR28" s="457"/>
      <c r="DS28" s="457"/>
      <c r="DT28" s="457"/>
      <c r="DU28" s="457"/>
      <c r="DV28" s="457"/>
      <c r="DW28" s="457"/>
      <c r="DX28" s="457"/>
      <c r="DY28" s="256"/>
      <c r="DZ28" s="256"/>
      <c r="EA28" s="256"/>
      <c r="EB28" s="256"/>
      <c r="EC28" s="256"/>
      <c r="ED28" s="256"/>
      <c r="EE28" s="256"/>
      <c r="EF28" s="256"/>
      <c r="EG28" s="256"/>
      <c r="EH28" s="257" t="str">
        <f t="shared" si="51"/>
        <v/>
      </c>
      <c r="EI28" s="257" t="str">
        <f t="shared" si="52"/>
        <v/>
      </c>
      <c r="EJ28" s="257" t="str">
        <f t="shared" si="53"/>
        <v/>
      </c>
      <c r="EK28" s="257" t="str">
        <f t="shared" si="54"/>
        <v/>
      </c>
      <c r="EL28" s="257" t="str">
        <f t="shared" si="55"/>
        <v/>
      </c>
      <c r="EM28" s="257" t="str">
        <f t="shared" si="56"/>
        <v/>
      </c>
      <c r="EN28" s="257" t="str">
        <f t="shared" si="57"/>
        <v/>
      </c>
      <c r="EO28" s="257" t="str">
        <f t="shared" si="58"/>
        <v/>
      </c>
      <c r="EP28" s="257" t="str">
        <f t="shared" si="59"/>
        <v/>
      </c>
      <c r="EQ28" s="756" t="str">
        <f t="shared" si="181"/>
        <v/>
      </c>
      <c r="ER28" s="291" t="str">
        <f t="shared" si="60"/>
        <v xml:space="preserve">  </v>
      </c>
      <c r="ES28" s="243" t="str">
        <f t="shared" si="61"/>
        <v xml:space="preserve"> </v>
      </c>
      <c r="ET28" s="39"/>
      <c r="EU28" s="39"/>
      <c r="EV28" s="257">
        <f t="shared" si="62"/>
        <v>0</v>
      </c>
      <c r="EW28" s="257">
        <f t="shared" si="63"/>
        <v>0</v>
      </c>
      <c r="EX28" s="257">
        <f t="shared" si="64"/>
        <v>0</v>
      </c>
      <c r="EY28" s="257">
        <f t="shared" si="65"/>
        <v>0</v>
      </c>
      <c r="EZ28" s="257">
        <f t="shared" si="66"/>
        <v>0</v>
      </c>
      <c r="FA28" s="257">
        <f t="shared" si="67"/>
        <v>0</v>
      </c>
      <c r="FB28" s="257">
        <f t="shared" si="68"/>
        <v>0</v>
      </c>
      <c r="FC28" s="257">
        <f t="shared" si="69"/>
        <v>0</v>
      </c>
      <c r="FD28" s="257">
        <f t="shared" si="70"/>
        <v>0</v>
      </c>
      <c r="FE28" s="257"/>
      <c r="FF28" s="289">
        <f t="shared" si="71"/>
        <v>0</v>
      </c>
      <c r="FG28" s="257">
        <f t="shared" si="72"/>
        <v>0</v>
      </c>
      <c r="FH28" s="257">
        <f t="shared" si="73"/>
        <v>0</v>
      </c>
      <c r="FI28" s="257">
        <f t="shared" si="74"/>
        <v>0</v>
      </c>
      <c r="FJ28" s="257">
        <f t="shared" si="75"/>
        <v>0</v>
      </c>
      <c r="FK28" s="257">
        <f t="shared" si="76"/>
        <v>0</v>
      </c>
      <c r="FL28" s="257">
        <f t="shared" si="77"/>
        <v>0</v>
      </c>
      <c r="FM28" s="257">
        <f t="shared" si="78"/>
        <v>0</v>
      </c>
      <c r="FN28" s="257">
        <f t="shared" si="79"/>
        <v>0</v>
      </c>
      <c r="FO28" s="257">
        <f t="shared" si="80"/>
        <v>0</v>
      </c>
      <c r="FP28" s="223"/>
      <c r="FQ28" s="289">
        <f t="shared" si="81"/>
        <v>0</v>
      </c>
      <c r="FR28" s="257">
        <f t="shared" si="82"/>
        <v>0</v>
      </c>
      <c r="FS28" s="257">
        <f t="shared" si="83"/>
        <v>0</v>
      </c>
      <c r="FT28" s="257">
        <f t="shared" si="84"/>
        <v>0</v>
      </c>
      <c r="FU28" s="257">
        <f t="shared" si="85"/>
        <v>0</v>
      </c>
      <c r="FV28" s="257">
        <f t="shared" si="86"/>
        <v>0</v>
      </c>
      <c r="FW28" s="257">
        <f t="shared" si="87"/>
        <v>0</v>
      </c>
      <c r="FX28" s="257">
        <f t="shared" si="88"/>
        <v>0</v>
      </c>
      <c r="FY28" s="257">
        <f t="shared" si="89"/>
        <v>0</v>
      </c>
      <c r="FZ28" s="257">
        <f t="shared" si="90"/>
        <v>0</v>
      </c>
      <c r="GA28" s="223"/>
      <c r="GB28" s="289">
        <f t="shared" si="91"/>
        <v>0</v>
      </c>
      <c r="GC28" s="257">
        <f t="shared" si="92"/>
        <v>0</v>
      </c>
      <c r="GD28" s="257">
        <f t="shared" si="93"/>
        <v>0</v>
      </c>
      <c r="GE28" s="257">
        <f t="shared" si="94"/>
        <v>0</v>
      </c>
      <c r="GF28" s="575">
        <f t="shared" si="95"/>
        <v>3</v>
      </c>
      <c r="GG28" s="506">
        <f t="shared" si="96"/>
        <v>0</v>
      </c>
      <c r="GH28" s="39" t="str">
        <f t="shared" si="97"/>
        <v/>
      </c>
      <c r="GI28" s="257">
        <f t="shared" si="98"/>
        <v>0</v>
      </c>
      <c r="GJ28" s="257">
        <f t="shared" si="99"/>
        <v>0</v>
      </c>
      <c r="GK28" s="257">
        <f t="shared" si="100"/>
        <v>0</v>
      </c>
      <c r="GL28" s="575">
        <f t="shared" si="101"/>
        <v>3</v>
      </c>
      <c r="GM28" s="506">
        <f t="shared" si="102"/>
        <v>0</v>
      </c>
      <c r="GN28" s="39" t="str">
        <f t="shared" si="103"/>
        <v/>
      </c>
      <c r="GO28" s="257">
        <f t="shared" si="104"/>
        <v>0</v>
      </c>
      <c r="GP28" s="257">
        <f t="shared" si="105"/>
        <v>0</v>
      </c>
      <c r="GQ28" s="257">
        <f t="shared" si="106"/>
        <v>0</v>
      </c>
      <c r="GR28" s="575">
        <f t="shared" si="107"/>
        <v>3</v>
      </c>
      <c r="GS28" s="506">
        <f t="shared" si="108"/>
        <v>0</v>
      </c>
      <c r="GT28" s="39" t="str">
        <f t="shared" si="109"/>
        <v/>
      </c>
      <c r="GU28" s="257">
        <f t="shared" si="110"/>
        <v>0</v>
      </c>
      <c r="GV28" s="257">
        <f t="shared" si="111"/>
        <v>0</v>
      </c>
      <c r="GW28" s="257">
        <f t="shared" si="112"/>
        <v>0</v>
      </c>
      <c r="GX28" s="575">
        <f t="shared" si="113"/>
        <v>3</v>
      </c>
      <c r="GY28" s="506">
        <f t="shared" si="114"/>
        <v>0</v>
      </c>
      <c r="GZ28" s="39" t="str">
        <f t="shared" si="115"/>
        <v/>
      </c>
      <c r="HA28" s="257">
        <f t="shared" si="116"/>
        <v>0</v>
      </c>
      <c r="HB28" s="257">
        <f t="shared" si="117"/>
        <v>0</v>
      </c>
      <c r="HC28" s="257">
        <f t="shared" si="118"/>
        <v>0</v>
      </c>
      <c r="HD28" s="575">
        <f t="shared" si="119"/>
        <v>3</v>
      </c>
      <c r="HE28" s="506">
        <f t="shared" si="120"/>
        <v>0</v>
      </c>
      <c r="HF28" s="39" t="str">
        <f t="shared" si="121"/>
        <v/>
      </c>
      <c r="HG28" s="257">
        <f t="shared" si="122"/>
        <v>0</v>
      </c>
      <c r="HH28" s="257">
        <f t="shared" si="123"/>
        <v>0</v>
      </c>
      <c r="HI28" s="257">
        <f t="shared" si="124"/>
        <v>0</v>
      </c>
      <c r="HJ28" s="575">
        <f t="shared" si="125"/>
        <v>3</v>
      </c>
      <c r="HK28" s="506">
        <f t="shared" si="126"/>
        <v>0</v>
      </c>
      <c r="HL28" s="39" t="str">
        <f t="shared" si="127"/>
        <v/>
      </c>
      <c r="HM28" s="257">
        <f t="shared" si="128"/>
        <v>0</v>
      </c>
      <c r="HN28" s="257">
        <f t="shared" si="129"/>
        <v>0</v>
      </c>
      <c r="HO28" s="257">
        <f t="shared" si="130"/>
        <v>0</v>
      </c>
      <c r="HP28" s="575">
        <f t="shared" si="131"/>
        <v>3</v>
      </c>
      <c r="HQ28" s="506">
        <f t="shared" si="132"/>
        <v>0</v>
      </c>
      <c r="HR28" s="39" t="str">
        <f t="shared" si="133"/>
        <v/>
      </c>
      <c r="HS28" s="257">
        <f t="shared" si="134"/>
        <v>0</v>
      </c>
      <c r="HT28" s="257">
        <f t="shared" si="135"/>
        <v>0</v>
      </c>
      <c r="HU28" s="257">
        <f t="shared" si="136"/>
        <v>0</v>
      </c>
      <c r="HV28" s="575">
        <f t="shared" si="137"/>
        <v>3</v>
      </c>
      <c r="HW28" s="506">
        <f t="shared" si="138"/>
        <v>0</v>
      </c>
      <c r="HX28" s="39" t="str">
        <f t="shared" si="139"/>
        <v/>
      </c>
      <c r="HY28" s="257">
        <f t="shared" si="140"/>
        <v>0</v>
      </c>
      <c r="HZ28" s="257">
        <f t="shared" si="141"/>
        <v>0</v>
      </c>
      <c r="IA28" s="257">
        <f t="shared" si="142"/>
        <v>0</v>
      </c>
      <c r="IB28" s="575">
        <f t="shared" si="143"/>
        <v>3</v>
      </c>
      <c r="IC28" s="506">
        <f t="shared" si="144"/>
        <v>0</v>
      </c>
      <c r="ID28" s="39" t="str">
        <f t="shared" si="145"/>
        <v/>
      </c>
      <c r="IE28" s="39"/>
      <c r="IF28" s="39" t="str">
        <f t="shared" si="146"/>
        <v/>
      </c>
      <c r="IG28" s="39" t="str">
        <f t="shared" si="147"/>
        <v/>
      </c>
      <c r="IH28" s="39" t="str">
        <f t="shared" si="148"/>
        <v/>
      </c>
      <c r="II28" s="39" t="str">
        <f t="shared" si="149"/>
        <v/>
      </c>
      <c r="IJ28" s="39" t="str">
        <f t="shared" si="150"/>
        <v/>
      </c>
      <c r="IK28" s="39" t="str">
        <f t="shared" si="151"/>
        <v/>
      </c>
      <c r="IL28" s="257" t="str">
        <f t="shared" si="152"/>
        <v/>
      </c>
      <c r="IM28" s="257" t="str">
        <f t="shared" si="153"/>
        <v/>
      </c>
      <c r="IN28" s="257" t="str">
        <f t="shared" si="154"/>
        <v/>
      </c>
      <c r="IO28" s="579" t="str">
        <f t="shared" si="155"/>
        <v/>
      </c>
      <c r="IP28" s="289">
        <f t="shared" si="156"/>
        <v>0</v>
      </c>
      <c r="IQ28" s="289">
        <f t="shared" si="157"/>
        <v>0</v>
      </c>
      <c r="IR28" s="223">
        <f>SISWA!E26</f>
        <v>0</v>
      </c>
      <c r="IS28" s="223" t="str">
        <f t="shared" si="158"/>
        <v/>
      </c>
      <c r="IT28" s="580" t="str">
        <f t="shared" si="159"/>
        <v/>
      </c>
      <c r="IU28" s="580" t="str">
        <f t="shared" si="160"/>
        <v/>
      </c>
      <c r="IV28" s="580" t="str">
        <f t="shared" si="161"/>
        <v/>
      </c>
      <c r="IW28" s="580" t="str">
        <f t="shared" si="162"/>
        <v/>
      </c>
      <c r="IX28" s="580" t="str">
        <f t="shared" si="163"/>
        <v/>
      </c>
      <c r="IY28" s="580" t="str">
        <f t="shared" si="164"/>
        <v/>
      </c>
      <c r="IZ28" s="580" t="str">
        <f t="shared" si="165"/>
        <v/>
      </c>
      <c r="JA28" s="580" t="str">
        <f t="shared" si="166"/>
        <v/>
      </c>
      <c r="JB28" s="580" t="str">
        <f t="shared" si="167"/>
        <v/>
      </c>
      <c r="JC28" s="580"/>
      <c r="JD28" s="580"/>
      <c r="JE28" s="223">
        <f t="shared" si="168"/>
        <v>0</v>
      </c>
      <c r="JF28" s="289" t="e">
        <f t="shared" si="169"/>
        <v>#N/A</v>
      </c>
      <c r="JG28" s="576" t="e">
        <f>IF(IP28&gt;100,"",IF(IP28&gt;EV$1,"sangat baik dalam "&amp;JF28,IF(IP28&gt;=EV$2,"baik dalam "&amp;JF28,IF(IP28&gt;=EV$3,"cukup dalam "&amp;JF28,IF(IP28&lt;EV$3,"dengan bimbingan dapat meningkatkan dalam "&amp;JF28,IF(IP28&lt;1," ",””))))))</f>
        <v>#N/A</v>
      </c>
      <c r="JH28" s="223"/>
      <c r="JI28" s="223" t="str">
        <f t="shared" si="170"/>
        <v/>
      </c>
      <c r="JJ28" s="223" t="str">
        <f t="shared" si="171"/>
        <v/>
      </c>
      <c r="JK28" s="223" t="str">
        <f t="shared" si="172"/>
        <v/>
      </c>
      <c r="JL28" s="223" t="str">
        <f t="shared" si="173"/>
        <v/>
      </c>
      <c r="JM28" s="223" t="str">
        <f t="shared" si="174"/>
        <v/>
      </c>
      <c r="JN28" s="223" t="str">
        <f t="shared" si="175"/>
        <v/>
      </c>
      <c r="JO28" s="223" t="str">
        <f t="shared" si="176"/>
        <v/>
      </c>
      <c r="JP28" s="223" t="str">
        <f t="shared" si="177"/>
        <v/>
      </c>
      <c r="JQ28" s="223" t="str">
        <f t="shared" si="178"/>
        <v/>
      </c>
      <c r="JR28" s="223"/>
      <c r="JS28" s="223"/>
      <c r="JT28" s="223" t="e">
        <f t="shared" si="179"/>
        <v>#N/A</v>
      </c>
      <c r="JU28" s="577" t="e">
        <f>IF(IQ28&gt;100,"",IF(IQ28&gt;=EV$1,"sangat baik dalam "&amp;JT28,IF(IQ28&gt;=EV$2,"baik dalam "&amp;JT28,IF(IQ28&gt;=EV$3,"cukup dalam "&amp;JT28,IF(IQ28&lt;EV$3,"dengan bimbingan dapat meningkatkan dalam "&amp;JT28,IF(IQ28&lt;1," ",””))))))</f>
        <v>#N/A</v>
      </c>
      <c r="JV28" s="223" t="e">
        <f t="shared" si="180"/>
        <v>#N/A</v>
      </c>
    </row>
    <row r="29" spans="1:282">
      <c r="A29" s="39">
        <v>22</v>
      </c>
      <c r="B29" s="223">
        <f>SISWA!B27</f>
        <v>0</v>
      </c>
      <c r="C29" s="123"/>
      <c r="D29" s="123"/>
      <c r="E29" s="123"/>
      <c r="F29" s="123"/>
      <c r="G29" s="123"/>
      <c r="H29" s="123"/>
      <c r="I29" s="123"/>
      <c r="J29" s="123"/>
      <c r="K29" s="123"/>
      <c r="L29" s="255"/>
      <c r="M29" s="255"/>
      <c r="N29" s="255"/>
      <c r="O29" s="255"/>
      <c r="P29" s="255"/>
      <c r="Q29" s="255"/>
      <c r="R29" s="255"/>
      <c r="S29" s="255"/>
      <c r="T29" s="255"/>
      <c r="U29" s="256"/>
      <c r="V29" s="256"/>
      <c r="W29" s="256"/>
      <c r="X29" s="256"/>
      <c r="Y29" s="256"/>
      <c r="Z29" s="256"/>
      <c r="AA29" s="256"/>
      <c r="AB29" s="256"/>
      <c r="AC29" s="256"/>
      <c r="AD29" s="123"/>
      <c r="AE29" s="123"/>
      <c r="AF29" s="123"/>
      <c r="AG29" s="123"/>
      <c r="AH29" s="123"/>
      <c r="AI29" s="123"/>
      <c r="AJ29" s="123"/>
      <c r="AK29" s="123"/>
      <c r="AL29" s="123"/>
      <c r="AM29" s="255"/>
      <c r="AN29" s="255"/>
      <c r="AO29" s="255"/>
      <c r="AP29" s="255"/>
      <c r="AQ29" s="255"/>
      <c r="AR29" s="255"/>
      <c r="AS29" s="255"/>
      <c r="AT29" s="255"/>
      <c r="AU29" s="255"/>
      <c r="AV29" s="256"/>
      <c r="AW29" s="256"/>
      <c r="AX29" s="256"/>
      <c r="AY29" s="256"/>
      <c r="AZ29" s="256"/>
      <c r="BA29" s="256"/>
      <c r="BB29" s="256"/>
      <c r="BC29" s="256"/>
      <c r="BD29" s="256"/>
      <c r="BE29" s="123"/>
      <c r="BF29" s="123"/>
      <c r="BG29" s="123"/>
      <c r="BH29" s="123"/>
      <c r="BI29" s="123"/>
      <c r="BJ29" s="123"/>
      <c r="BK29" s="123"/>
      <c r="BL29" s="123"/>
      <c r="BM29" s="123"/>
      <c r="BN29" s="255"/>
      <c r="BO29" s="255"/>
      <c r="BP29" s="255"/>
      <c r="BQ29" s="255"/>
      <c r="BR29" s="255"/>
      <c r="BS29" s="255"/>
      <c r="BT29" s="255"/>
      <c r="BU29" s="255"/>
      <c r="BV29" s="255"/>
      <c r="BW29" s="256"/>
      <c r="BX29" s="256"/>
      <c r="BY29" s="256"/>
      <c r="BZ29" s="256"/>
      <c r="CA29" s="256"/>
      <c r="CB29" s="256"/>
      <c r="CC29" s="256"/>
      <c r="CD29" s="256"/>
      <c r="CE29" s="256"/>
      <c r="CF29" s="123"/>
      <c r="CG29" s="123"/>
      <c r="CH29" s="123"/>
      <c r="CI29" s="123"/>
      <c r="CJ29" s="123"/>
      <c r="CK29" s="123"/>
      <c r="CL29" s="123"/>
      <c r="CM29" s="123"/>
      <c r="CN29" s="123"/>
      <c r="CO29" s="255"/>
      <c r="CP29" s="255"/>
      <c r="CQ29" s="255"/>
      <c r="CR29" s="255"/>
      <c r="CS29" s="255"/>
      <c r="CT29" s="255"/>
      <c r="CU29" s="255"/>
      <c r="CV29" s="255"/>
      <c r="CW29" s="255"/>
      <c r="CX29" s="256"/>
      <c r="CY29" s="256"/>
      <c r="CZ29" s="256"/>
      <c r="DA29" s="256"/>
      <c r="DB29" s="256"/>
      <c r="DC29" s="256"/>
      <c r="DD29" s="256"/>
      <c r="DE29" s="256"/>
      <c r="DF29" s="256"/>
      <c r="DG29" s="458"/>
      <c r="DH29" s="458"/>
      <c r="DI29" s="458"/>
      <c r="DJ29" s="458"/>
      <c r="DK29" s="458"/>
      <c r="DL29" s="458"/>
      <c r="DM29" s="458"/>
      <c r="DN29" s="458"/>
      <c r="DO29" s="458"/>
      <c r="DP29" s="457"/>
      <c r="DQ29" s="457"/>
      <c r="DR29" s="457"/>
      <c r="DS29" s="457"/>
      <c r="DT29" s="457"/>
      <c r="DU29" s="457"/>
      <c r="DV29" s="457"/>
      <c r="DW29" s="457"/>
      <c r="DX29" s="457"/>
      <c r="DY29" s="256"/>
      <c r="DZ29" s="256"/>
      <c r="EA29" s="256"/>
      <c r="EB29" s="256"/>
      <c r="EC29" s="256"/>
      <c r="ED29" s="256"/>
      <c r="EE29" s="256"/>
      <c r="EF29" s="256"/>
      <c r="EG29" s="256"/>
      <c r="EH29" s="257" t="str">
        <f t="shared" si="51"/>
        <v/>
      </c>
      <c r="EI29" s="257" t="str">
        <f t="shared" si="52"/>
        <v/>
      </c>
      <c r="EJ29" s="257" t="str">
        <f t="shared" si="53"/>
        <v/>
      </c>
      <c r="EK29" s="257" t="str">
        <f t="shared" si="54"/>
        <v/>
      </c>
      <c r="EL29" s="257" t="str">
        <f t="shared" si="55"/>
        <v/>
      </c>
      <c r="EM29" s="257" t="str">
        <f t="shared" si="56"/>
        <v/>
      </c>
      <c r="EN29" s="257" t="str">
        <f t="shared" si="57"/>
        <v/>
      </c>
      <c r="EO29" s="257" t="str">
        <f t="shared" si="58"/>
        <v/>
      </c>
      <c r="EP29" s="257" t="str">
        <f t="shared" si="59"/>
        <v/>
      </c>
      <c r="EQ29" s="756" t="str">
        <f t="shared" si="181"/>
        <v/>
      </c>
      <c r="ER29" s="291" t="str">
        <f t="shared" si="60"/>
        <v xml:space="preserve">  </v>
      </c>
      <c r="ES29" s="243" t="str">
        <f t="shared" si="61"/>
        <v xml:space="preserve"> </v>
      </c>
      <c r="ET29" s="39"/>
      <c r="EU29" s="39"/>
      <c r="EV29" s="257">
        <f t="shared" si="62"/>
        <v>0</v>
      </c>
      <c r="EW29" s="257">
        <f t="shared" si="63"/>
        <v>0</v>
      </c>
      <c r="EX29" s="257">
        <f t="shared" si="64"/>
        <v>0</v>
      </c>
      <c r="EY29" s="257">
        <f t="shared" si="65"/>
        <v>0</v>
      </c>
      <c r="EZ29" s="257">
        <f t="shared" si="66"/>
        <v>0</v>
      </c>
      <c r="FA29" s="257">
        <f t="shared" si="67"/>
        <v>0</v>
      </c>
      <c r="FB29" s="257">
        <f t="shared" si="68"/>
        <v>0</v>
      </c>
      <c r="FC29" s="257">
        <f t="shared" si="69"/>
        <v>0</v>
      </c>
      <c r="FD29" s="257">
        <f t="shared" si="70"/>
        <v>0</v>
      </c>
      <c r="FE29" s="257"/>
      <c r="FF29" s="289">
        <f t="shared" si="71"/>
        <v>0</v>
      </c>
      <c r="FG29" s="257">
        <f t="shared" si="72"/>
        <v>0</v>
      </c>
      <c r="FH29" s="257">
        <f t="shared" si="73"/>
        <v>0</v>
      </c>
      <c r="FI29" s="257">
        <f t="shared" si="74"/>
        <v>0</v>
      </c>
      <c r="FJ29" s="257">
        <f t="shared" si="75"/>
        <v>0</v>
      </c>
      <c r="FK29" s="257">
        <f t="shared" si="76"/>
        <v>0</v>
      </c>
      <c r="FL29" s="257">
        <f t="shared" si="77"/>
        <v>0</v>
      </c>
      <c r="FM29" s="257">
        <f t="shared" si="78"/>
        <v>0</v>
      </c>
      <c r="FN29" s="257">
        <f t="shared" si="79"/>
        <v>0</v>
      </c>
      <c r="FO29" s="257">
        <f t="shared" si="80"/>
        <v>0</v>
      </c>
      <c r="FP29" s="223"/>
      <c r="FQ29" s="289">
        <f t="shared" si="81"/>
        <v>0</v>
      </c>
      <c r="FR29" s="257">
        <f t="shared" si="82"/>
        <v>0</v>
      </c>
      <c r="FS29" s="257">
        <f t="shared" si="83"/>
        <v>0</v>
      </c>
      <c r="FT29" s="257">
        <f t="shared" si="84"/>
        <v>0</v>
      </c>
      <c r="FU29" s="257">
        <f t="shared" si="85"/>
        <v>0</v>
      </c>
      <c r="FV29" s="257">
        <f t="shared" si="86"/>
        <v>0</v>
      </c>
      <c r="FW29" s="257">
        <f t="shared" si="87"/>
        <v>0</v>
      </c>
      <c r="FX29" s="257">
        <f t="shared" si="88"/>
        <v>0</v>
      </c>
      <c r="FY29" s="257">
        <f t="shared" si="89"/>
        <v>0</v>
      </c>
      <c r="FZ29" s="257">
        <f t="shared" si="90"/>
        <v>0</v>
      </c>
      <c r="GA29" s="223"/>
      <c r="GB29" s="289">
        <f t="shared" si="91"/>
        <v>0</v>
      </c>
      <c r="GC29" s="257">
        <f t="shared" si="92"/>
        <v>0</v>
      </c>
      <c r="GD29" s="257">
        <f t="shared" si="93"/>
        <v>0</v>
      </c>
      <c r="GE29" s="257">
        <f t="shared" si="94"/>
        <v>0</v>
      </c>
      <c r="GF29" s="575">
        <f t="shared" si="95"/>
        <v>3</v>
      </c>
      <c r="GG29" s="506">
        <f t="shared" si="96"/>
        <v>0</v>
      </c>
      <c r="GH29" s="39" t="str">
        <f t="shared" si="97"/>
        <v/>
      </c>
      <c r="GI29" s="257">
        <f t="shared" si="98"/>
        <v>0</v>
      </c>
      <c r="GJ29" s="257">
        <f t="shared" si="99"/>
        <v>0</v>
      </c>
      <c r="GK29" s="257">
        <f t="shared" si="100"/>
        <v>0</v>
      </c>
      <c r="GL29" s="575">
        <f t="shared" si="101"/>
        <v>3</v>
      </c>
      <c r="GM29" s="506">
        <f t="shared" si="102"/>
        <v>0</v>
      </c>
      <c r="GN29" s="39" t="str">
        <f t="shared" si="103"/>
        <v/>
      </c>
      <c r="GO29" s="257">
        <f t="shared" si="104"/>
        <v>0</v>
      </c>
      <c r="GP29" s="257">
        <f t="shared" si="105"/>
        <v>0</v>
      </c>
      <c r="GQ29" s="257">
        <f t="shared" si="106"/>
        <v>0</v>
      </c>
      <c r="GR29" s="575">
        <f t="shared" si="107"/>
        <v>3</v>
      </c>
      <c r="GS29" s="506">
        <f t="shared" si="108"/>
        <v>0</v>
      </c>
      <c r="GT29" s="39" t="str">
        <f t="shared" si="109"/>
        <v/>
      </c>
      <c r="GU29" s="257">
        <f t="shared" si="110"/>
        <v>0</v>
      </c>
      <c r="GV29" s="257">
        <f t="shared" si="111"/>
        <v>0</v>
      </c>
      <c r="GW29" s="257">
        <f t="shared" si="112"/>
        <v>0</v>
      </c>
      <c r="GX29" s="575">
        <f t="shared" si="113"/>
        <v>3</v>
      </c>
      <c r="GY29" s="506">
        <f t="shared" si="114"/>
        <v>0</v>
      </c>
      <c r="GZ29" s="39" t="str">
        <f t="shared" si="115"/>
        <v/>
      </c>
      <c r="HA29" s="257">
        <f t="shared" si="116"/>
        <v>0</v>
      </c>
      <c r="HB29" s="257">
        <f t="shared" si="117"/>
        <v>0</v>
      </c>
      <c r="HC29" s="257">
        <f t="shared" si="118"/>
        <v>0</v>
      </c>
      <c r="HD29" s="575">
        <f t="shared" si="119"/>
        <v>3</v>
      </c>
      <c r="HE29" s="506">
        <f t="shared" si="120"/>
        <v>0</v>
      </c>
      <c r="HF29" s="39" t="str">
        <f t="shared" si="121"/>
        <v/>
      </c>
      <c r="HG29" s="257">
        <f t="shared" si="122"/>
        <v>0</v>
      </c>
      <c r="HH29" s="257">
        <f t="shared" si="123"/>
        <v>0</v>
      </c>
      <c r="HI29" s="257">
        <f t="shared" si="124"/>
        <v>0</v>
      </c>
      <c r="HJ29" s="575">
        <f t="shared" si="125"/>
        <v>3</v>
      </c>
      <c r="HK29" s="506">
        <f t="shared" si="126"/>
        <v>0</v>
      </c>
      <c r="HL29" s="39" t="str">
        <f t="shared" si="127"/>
        <v/>
      </c>
      <c r="HM29" s="257">
        <f t="shared" si="128"/>
        <v>0</v>
      </c>
      <c r="HN29" s="257">
        <f t="shared" si="129"/>
        <v>0</v>
      </c>
      <c r="HO29" s="257">
        <f t="shared" si="130"/>
        <v>0</v>
      </c>
      <c r="HP29" s="575">
        <f t="shared" si="131"/>
        <v>3</v>
      </c>
      <c r="HQ29" s="506">
        <f t="shared" si="132"/>
        <v>0</v>
      </c>
      <c r="HR29" s="39" t="str">
        <f t="shared" si="133"/>
        <v/>
      </c>
      <c r="HS29" s="257">
        <f t="shared" si="134"/>
        <v>0</v>
      </c>
      <c r="HT29" s="257">
        <f t="shared" si="135"/>
        <v>0</v>
      </c>
      <c r="HU29" s="257">
        <f t="shared" si="136"/>
        <v>0</v>
      </c>
      <c r="HV29" s="575">
        <f t="shared" si="137"/>
        <v>3</v>
      </c>
      <c r="HW29" s="506">
        <f t="shared" si="138"/>
        <v>0</v>
      </c>
      <c r="HX29" s="39" t="str">
        <f t="shared" si="139"/>
        <v/>
      </c>
      <c r="HY29" s="257">
        <f t="shared" si="140"/>
        <v>0</v>
      </c>
      <c r="HZ29" s="257">
        <f t="shared" si="141"/>
        <v>0</v>
      </c>
      <c r="IA29" s="257">
        <f t="shared" si="142"/>
        <v>0</v>
      </c>
      <c r="IB29" s="575">
        <f t="shared" si="143"/>
        <v>3</v>
      </c>
      <c r="IC29" s="506">
        <f t="shared" si="144"/>
        <v>0</v>
      </c>
      <c r="ID29" s="39" t="str">
        <f t="shared" si="145"/>
        <v/>
      </c>
      <c r="IE29" s="39"/>
      <c r="IF29" s="39" t="str">
        <f t="shared" si="146"/>
        <v/>
      </c>
      <c r="IG29" s="39" t="str">
        <f t="shared" si="147"/>
        <v/>
      </c>
      <c r="IH29" s="39" t="str">
        <f t="shared" si="148"/>
        <v/>
      </c>
      <c r="II29" s="39" t="str">
        <f t="shared" si="149"/>
        <v/>
      </c>
      <c r="IJ29" s="39" t="str">
        <f t="shared" si="150"/>
        <v/>
      </c>
      <c r="IK29" s="39" t="str">
        <f t="shared" si="151"/>
        <v/>
      </c>
      <c r="IL29" s="257" t="str">
        <f t="shared" si="152"/>
        <v/>
      </c>
      <c r="IM29" s="257" t="str">
        <f t="shared" si="153"/>
        <v/>
      </c>
      <c r="IN29" s="257" t="str">
        <f t="shared" si="154"/>
        <v/>
      </c>
      <c r="IO29" s="579" t="str">
        <f t="shared" si="155"/>
        <v/>
      </c>
      <c r="IP29" s="289">
        <f t="shared" si="156"/>
        <v>0</v>
      </c>
      <c r="IQ29" s="289">
        <f t="shared" si="157"/>
        <v>0</v>
      </c>
      <c r="IR29" s="223">
        <f>SISWA!E27</f>
        <v>0</v>
      </c>
      <c r="IS29" s="223" t="str">
        <f t="shared" si="158"/>
        <v/>
      </c>
      <c r="IT29" s="580" t="str">
        <f t="shared" si="159"/>
        <v/>
      </c>
      <c r="IU29" s="580" t="str">
        <f t="shared" si="160"/>
        <v/>
      </c>
      <c r="IV29" s="580" t="str">
        <f t="shared" si="161"/>
        <v/>
      </c>
      <c r="IW29" s="580" t="str">
        <f t="shared" si="162"/>
        <v/>
      </c>
      <c r="IX29" s="580" t="str">
        <f t="shared" si="163"/>
        <v/>
      </c>
      <c r="IY29" s="580" t="str">
        <f t="shared" si="164"/>
        <v/>
      </c>
      <c r="IZ29" s="580" t="str">
        <f t="shared" si="165"/>
        <v/>
      </c>
      <c r="JA29" s="580" t="str">
        <f t="shared" si="166"/>
        <v/>
      </c>
      <c r="JB29" s="580" t="str">
        <f t="shared" si="167"/>
        <v/>
      </c>
      <c r="JC29" s="580"/>
      <c r="JD29" s="580"/>
      <c r="JE29" s="223">
        <f t="shared" si="168"/>
        <v>0</v>
      </c>
      <c r="JF29" s="289" t="e">
        <f t="shared" si="169"/>
        <v>#N/A</v>
      </c>
      <c r="JG29" s="576" t="e">
        <f>IF(IP29&gt;100,"",IF(IP29&gt;EV$1,"sangat baik dalam "&amp;JF29,IF(IP29&gt;=EV$2,"baik dalam "&amp;JF29,IF(IP29&gt;=EV$3,"cukup dalam "&amp;JF29,IF(IP29&lt;EV$3,"dengan bimbingan dapat meningkatkan dalam "&amp;JF29,IF(IP29&lt;1," ",””))))))</f>
        <v>#N/A</v>
      </c>
      <c r="JH29" s="223"/>
      <c r="JI29" s="223" t="str">
        <f t="shared" si="170"/>
        <v/>
      </c>
      <c r="JJ29" s="223" t="str">
        <f t="shared" si="171"/>
        <v/>
      </c>
      <c r="JK29" s="223" t="str">
        <f t="shared" si="172"/>
        <v/>
      </c>
      <c r="JL29" s="223" t="str">
        <f t="shared" si="173"/>
        <v/>
      </c>
      <c r="JM29" s="223" t="str">
        <f t="shared" si="174"/>
        <v/>
      </c>
      <c r="JN29" s="223" t="str">
        <f t="shared" si="175"/>
        <v/>
      </c>
      <c r="JO29" s="223" t="str">
        <f t="shared" si="176"/>
        <v/>
      </c>
      <c r="JP29" s="223" t="str">
        <f t="shared" si="177"/>
        <v/>
      </c>
      <c r="JQ29" s="223" t="str">
        <f t="shared" si="178"/>
        <v/>
      </c>
      <c r="JR29" s="223"/>
      <c r="JS29" s="223"/>
      <c r="JT29" s="223" t="e">
        <f t="shared" si="179"/>
        <v>#N/A</v>
      </c>
      <c r="JU29" s="577" t="e">
        <f>IF(IQ29&gt;100,"",IF(IQ29&gt;=EV$1,"sangat baik dalam "&amp;JT29,IF(IQ29&gt;=EV$2,"baik dalam "&amp;JT29,IF(IQ29&gt;=EV$3,"cukup dalam "&amp;JT29,IF(IQ29&lt;EV$3,"dengan bimbingan dapat meningkatkan dalam "&amp;JT29,IF(IQ29&lt;1," ",””))))))</f>
        <v>#N/A</v>
      </c>
      <c r="JV29" s="223" t="e">
        <f t="shared" si="180"/>
        <v>#N/A</v>
      </c>
    </row>
    <row r="30" spans="1:282">
      <c r="A30" s="39">
        <v>23</v>
      </c>
      <c r="B30" s="223">
        <f>SISWA!B28</f>
        <v>0</v>
      </c>
      <c r="C30" s="123"/>
      <c r="D30" s="123"/>
      <c r="E30" s="123"/>
      <c r="F30" s="123"/>
      <c r="G30" s="123"/>
      <c r="H30" s="123"/>
      <c r="I30" s="123"/>
      <c r="J30" s="123"/>
      <c r="K30" s="123"/>
      <c r="L30" s="255"/>
      <c r="M30" s="255"/>
      <c r="N30" s="255"/>
      <c r="O30" s="255"/>
      <c r="P30" s="255"/>
      <c r="Q30" s="255"/>
      <c r="R30" s="255"/>
      <c r="S30" s="255"/>
      <c r="T30" s="255"/>
      <c r="U30" s="256"/>
      <c r="V30" s="256"/>
      <c r="W30" s="256"/>
      <c r="X30" s="256"/>
      <c r="Y30" s="256"/>
      <c r="Z30" s="256"/>
      <c r="AA30" s="256"/>
      <c r="AB30" s="256"/>
      <c r="AC30" s="256"/>
      <c r="AD30" s="123"/>
      <c r="AE30" s="123"/>
      <c r="AF30" s="123"/>
      <c r="AG30" s="123"/>
      <c r="AH30" s="123"/>
      <c r="AI30" s="123"/>
      <c r="AJ30" s="123"/>
      <c r="AK30" s="123"/>
      <c r="AL30" s="123"/>
      <c r="AM30" s="255"/>
      <c r="AN30" s="255"/>
      <c r="AO30" s="255"/>
      <c r="AP30" s="255"/>
      <c r="AQ30" s="255"/>
      <c r="AR30" s="255"/>
      <c r="AS30" s="255"/>
      <c r="AT30" s="255"/>
      <c r="AU30" s="255"/>
      <c r="AV30" s="256"/>
      <c r="AW30" s="256"/>
      <c r="AX30" s="256"/>
      <c r="AY30" s="256"/>
      <c r="AZ30" s="256"/>
      <c r="BA30" s="256"/>
      <c r="BB30" s="256"/>
      <c r="BC30" s="256"/>
      <c r="BD30" s="256"/>
      <c r="BE30" s="123"/>
      <c r="BF30" s="123"/>
      <c r="BG30" s="123"/>
      <c r="BH30" s="123"/>
      <c r="BI30" s="123"/>
      <c r="BJ30" s="123"/>
      <c r="BK30" s="123"/>
      <c r="BL30" s="123"/>
      <c r="BM30" s="123"/>
      <c r="BN30" s="255"/>
      <c r="BO30" s="255"/>
      <c r="BP30" s="255"/>
      <c r="BQ30" s="255"/>
      <c r="BR30" s="255"/>
      <c r="BS30" s="255"/>
      <c r="BT30" s="255"/>
      <c r="BU30" s="255"/>
      <c r="BV30" s="255"/>
      <c r="BW30" s="256"/>
      <c r="BX30" s="256"/>
      <c r="BY30" s="256"/>
      <c r="BZ30" s="256"/>
      <c r="CA30" s="256"/>
      <c r="CB30" s="256"/>
      <c r="CC30" s="256"/>
      <c r="CD30" s="256"/>
      <c r="CE30" s="256"/>
      <c r="CF30" s="123"/>
      <c r="CG30" s="123"/>
      <c r="CH30" s="123"/>
      <c r="CI30" s="123"/>
      <c r="CJ30" s="123"/>
      <c r="CK30" s="123"/>
      <c r="CL30" s="123"/>
      <c r="CM30" s="123"/>
      <c r="CN30" s="123"/>
      <c r="CO30" s="255"/>
      <c r="CP30" s="255"/>
      <c r="CQ30" s="255"/>
      <c r="CR30" s="255"/>
      <c r="CS30" s="255"/>
      <c r="CT30" s="255"/>
      <c r="CU30" s="255"/>
      <c r="CV30" s="255"/>
      <c r="CW30" s="255"/>
      <c r="CX30" s="256"/>
      <c r="CY30" s="256"/>
      <c r="CZ30" s="256"/>
      <c r="DA30" s="256"/>
      <c r="DB30" s="256"/>
      <c r="DC30" s="256"/>
      <c r="DD30" s="256"/>
      <c r="DE30" s="256"/>
      <c r="DF30" s="256"/>
      <c r="DG30" s="458"/>
      <c r="DH30" s="458"/>
      <c r="DI30" s="458"/>
      <c r="DJ30" s="458"/>
      <c r="DK30" s="458"/>
      <c r="DL30" s="458"/>
      <c r="DM30" s="458"/>
      <c r="DN30" s="458"/>
      <c r="DO30" s="458"/>
      <c r="DP30" s="457"/>
      <c r="DQ30" s="457"/>
      <c r="DR30" s="457"/>
      <c r="DS30" s="457"/>
      <c r="DT30" s="457"/>
      <c r="DU30" s="457"/>
      <c r="DV30" s="457"/>
      <c r="DW30" s="457"/>
      <c r="DX30" s="457"/>
      <c r="DY30" s="256"/>
      <c r="DZ30" s="256"/>
      <c r="EA30" s="256"/>
      <c r="EB30" s="256"/>
      <c r="EC30" s="256"/>
      <c r="ED30" s="256"/>
      <c r="EE30" s="256"/>
      <c r="EF30" s="256"/>
      <c r="EG30" s="256"/>
      <c r="EH30" s="257" t="str">
        <f t="shared" si="51"/>
        <v/>
      </c>
      <c r="EI30" s="257" t="str">
        <f t="shared" si="52"/>
        <v/>
      </c>
      <c r="EJ30" s="257" t="str">
        <f t="shared" si="53"/>
        <v/>
      </c>
      <c r="EK30" s="257" t="str">
        <f t="shared" si="54"/>
        <v/>
      </c>
      <c r="EL30" s="257" t="str">
        <f t="shared" si="55"/>
        <v/>
      </c>
      <c r="EM30" s="257" t="str">
        <f t="shared" si="56"/>
        <v/>
      </c>
      <c r="EN30" s="257" t="str">
        <f t="shared" si="57"/>
        <v/>
      </c>
      <c r="EO30" s="257" t="str">
        <f t="shared" si="58"/>
        <v/>
      </c>
      <c r="EP30" s="257" t="str">
        <f t="shared" si="59"/>
        <v/>
      </c>
      <c r="EQ30" s="756" t="str">
        <f t="shared" si="181"/>
        <v/>
      </c>
      <c r="ER30" s="291" t="str">
        <f t="shared" si="60"/>
        <v xml:space="preserve">  </v>
      </c>
      <c r="ES30" s="243" t="str">
        <f t="shared" si="61"/>
        <v xml:space="preserve"> </v>
      </c>
      <c r="ET30" s="39"/>
      <c r="EU30" s="39"/>
      <c r="EV30" s="257">
        <f t="shared" si="62"/>
        <v>0</v>
      </c>
      <c r="EW30" s="257">
        <f t="shared" si="63"/>
        <v>0</v>
      </c>
      <c r="EX30" s="257">
        <f t="shared" si="64"/>
        <v>0</v>
      </c>
      <c r="EY30" s="257">
        <f t="shared" si="65"/>
        <v>0</v>
      </c>
      <c r="EZ30" s="257">
        <f t="shared" si="66"/>
        <v>0</v>
      </c>
      <c r="FA30" s="257">
        <f t="shared" si="67"/>
        <v>0</v>
      </c>
      <c r="FB30" s="257">
        <f t="shared" si="68"/>
        <v>0</v>
      </c>
      <c r="FC30" s="257">
        <f t="shared" si="69"/>
        <v>0</v>
      </c>
      <c r="FD30" s="257">
        <f t="shared" si="70"/>
        <v>0</v>
      </c>
      <c r="FE30" s="257"/>
      <c r="FF30" s="289">
        <f t="shared" si="71"/>
        <v>0</v>
      </c>
      <c r="FG30" s="257">
        <f t="shared" si="72"/>
        <v>0</v>
      </c>
      <c r="FH30" s="257">
        <f t="shared" si="73"/>
        <v>0</v>
      </c>
      <c r="FI30" s="257">
        <f t="shared" si="74"/>
        <v>0</v>
      </c>
      <c r="FJ30" s="257">
        <f t="shared" si="75"/>
        <v>0</v>
      </c>
      <c r="FK30" s="257">
        <f t="shared" si="76"/>
        <v>0</v>
      </c>
      <c r="FL30" s="257">
        <f t="shared" si="77"/>
        <v>0</v>
      </c>
      <c r="FM30" s="257">
        <f t="shared" si="78"/>
        <v>0</v>
      </c>
      <c r="FN30" s="257">
        <f t="shared" si="79"/>
        <v>0</v>
      </c>
      <c r="FO30" s="257">
        <f t="shared" si="80"/>
        <v>0</v>
      </c>
      <c r="FP30" s="223"/>
      <c r="FQ30" s="289">
        <f t="shared" si="81"/>
        <v>0</v>
      </c>
      <c r="FR30" s="257">
        <f t="shared" si="82"/>
        <v>0</v>
      </c>
      <c r="FS30" s="257">
        <f t="shared" si="83"/>
        <v>0</v>
      </c>
      <c r="FT30" s="257">
        <f t="shared" si="84"/>
        <v>0</v>
      </c>
      <c r="FU30" s="257">
        <f t="shared" si="85"/>
        <v>0</v>
      </c>
      <c r="FV30" s="257">
        <f t="shared" si="86"/>
        <v>0</v>
      </c>
      <c r="FW30" s="257">
        <f t="shared" si="87"/>
        <v>0</v>
      </c>
      <c r="FX30" s="257">
        <f t="shared" si="88"/>
        <v>0</v>
      </c>
      <c r="FY30" s="257">
        <f t="shared" si="89"/>
        <v>0</v>
      </c>
      <c r="FZ30" s="257">
        <f t="shared" si="90"/>
        <v>0</v>
      </c>
      <c r="GA30" s="223"/>
      <c r="GB30" s="289">
        <f t="shared" si="91"/>
        <v>0</v>
      </c>
      <c r="GC30" s="257">
        <f t="shared" si="92"/>
        <v>0</v>
      </c>
      <c r="GD30" s="257">
        <f t="shared" si="93"/>
        <v>0</v>
      </c>
      <c r="GE30" s="257">
        <f t="shared" si="94"/>
        <v>0</v>
      </c>
      <c r="GF30" s="575">
        <f t="shared" si="95"/>
        <v>3</v>
      </c>
      <c r="GG30" s="506">
        <f t="shared" si="96"/>
        <v>0</v>
      </c>
      <c r="GH30" s="39" t="str">
        <f t="shared" si="97"/>
        <v/>
      </c>
      <c r="GI30" s="257">
        <f t="shared" si="98"/>
        <v>0</v>
      </c>
      <c r="GJ30" s="257">
        <f t="shared" si="99"/>
        <v>0</v>
      </c>
      <c r="GK30" s="257">
        <f t="shared" si="100"/>
        <v>0</v>
      </c>
      <c r="GL30" s="575">
        <f t="shared" si="101"/>
        <v>3</v>
      </c>
      <c r="GM30" s="506">
        <f t="shared" si="102"/>
        <v>0</v>
      </c>
      <c r="GN30" s="39" t="str">
        <f t="shared" si="103"/>
        <v/>
      </c>
      <c r="GO30" s="257">
        <f t="shared" si="104"/>
        <v>0</v>
      </c>
      <c r="GP30" s="257">
        <f t="shared" si="105"/>
        <v>0</v>
      </c>
      <c r="GQ30" s="257">
        <f t="shared" si="106"/>
        <v>0</v>
      </c>
      <c r="GR30" s="575">
        <f t="shared" si="107"/>
        <v>3</v>
      </c>
      <c r="GS30" s="506">
        <f t="shared" si="108"/>
        <v>0</v>
      </c>
      <c r="GT30" s="39" t="str">
        <f t="shared" si="109"/>
        <v/>
      </c>
      <c r="GU30" s="257">
        <f t="shared" si="110"/>
        <v>0</v>
      </c>
      <c r="GV30" s="257">
        <f t="shared" si="111"/>
        <v>0</v>
      </c>
      <c r="GW30" s="257">
        <f t="shared" si="112"/>
        <v>0</v>
      </c>
      <c r="GX30" s="575">
        <f t="shared" si="113"/>
        <v>3</v>
      </c>
      <c r="GY30" s="506">
        <f t="shared" si="114"/>
        <v>0</v>
      </c>
      <c r="GZ30" s="39" t="str">
        <f t="shared" si="115"/>
        <v/>
      </c>
      <c r="HA30" s="257">
        <f t="shared" si="116"/>
        <v>0</v>
      </c>
      <c r="HB30" s="257">
        <f t="shared" si="117"/>
        <v>0</v>
      </c>
      <c r="HC30" s="257">
        <f t="shared" si="118"/>
        <v>0</v>
      </c>
      <c r="HD30" s="575">
        <f t="shared" si="119"/>
        <v>3</v>
      </c>
      <c r="HE30" s="506">
        <f t="shared" si="120"/>
        <v>0</v>
      </c>
      <c r="HF30" s="39" t="str">
        <f t="shared" si="121"/>
        <v/>
      </c>
      <c r="HG30" s="257">
        <f t="shared" si="122"/>
        <v>0</v>
      </c>
      <c r="HH30" s="257">
        <f t="shared" si="123"/>
        <v>0</v>
      </c>
      <c r="HI30" s="257">
        <f t="shared" si="124"/>
        <v>0</v>
      </c>
      <c r="HJ30" s="575">
        <f t="shared" si="125"/>
        <v>3</v>
      </c>
      <c r="HK30" s="506">
        <f t="shared" si="126"/>
        <v>0</v>
      </c>
      <c r="HL30" s="39" t="str">
        <f t="shared" si="127"/>
        <v/>
      </c>
      <c r="HM30" s="257">
        <f t="shared" si="128"/>
        <v>0</v>
      </c>
      <c r="HN30" s="257">
        <f t="shared" si="129"/>
        <v>0</v>
      </c>
      <c r="HO30" s="257">
        <f t="shared" si="130"/>
        <v>0</v>
      </c>
      <c r="HP30" s="575">
        <f t="shared" si="131"/>
        <v>3</v>
      </c>
      <c r="HQ30" s="506">
        <f t="shared" si="132"/>
        <v>0</v>
      </c>
      <c r="HR30" s="39" t="str">
        <f t="shared" si="133"/>
        <v/>
      </c>
      <c r="HS30" s="257">
        <f t="shared" si="134"/>
        <v>0</v>
      </c>
      <c r="HT30" s="257">
        <f t="shared" si="135"/>
        <v>0</v>
      </c>
      <c r="HU30" s="257">
        <f t="shared" si="136"/>
        <v>0</v>
      </c>
      <c r="HV30" s="575">
        <f t="shared" si="137"/>
        <v>3</v>
      </c>
      <c r="HW30" s="506">
        <f t="shared" si="138"/>
        <v>0</v>
      </c>
      <c r="HX30" s="39" t="str">
        <f t="shared" si="139"/>
        <v/>
      </c>
      <c r="HY30" s="257">
        <f t="shared" si="140"/>
        <v>0</v>
      </c>
      <c r="HZ30" s="257">
        <f t="shared" si="141"/>
        <v>0</v>
      </c>
      <c r="IA30" s="257">
        <f t="shared" si="142"/>
        <v>0</v>
      </c>
      <c r="IB30" s="575">
        <f t="shared" si="143"/>
        <v>3</v>
      </c>
      <c r="IC30" s="506">
        <f t="shared" si="144"/>
        <v>0</v>
      </c>
      <c r="ID30" s="39" t="str">
        <f t="shared" si="145"/>
        <v/>
      </c>
      <c r="IE30" s="39"/>
      <c r="IF30" s="39" t="str">
        <f t="shared" si="146"/>
        <v/>
      </c>
      <c r="IG30" s="39" t="str">
        <f t="shared" si="147"/>
        <v/>
      </c>
      <c r="IH30" s="39" t="str">
        <f t="shared" si="148"/>
        <v/>
      </c>
      <c r="II30" s="39" t="str">
        <f t="shared" si="149"/>
        <v/>
      </c>
      <c r="IJ30" s="39" t="str">
        <f t="shared" si="150"/>
        <v/>
      </c>
      <c r="IK30" s="39" t="str">
        <f t="shared" si="151"/>
        <v/>
      </c>
      <c r="IL30" s="257" t="str">
        <f t="shared" si="152"/>
        <v/>
      </c>
      <c r="IM30" s="257" t="str">
        <f t="shared" si="153"/>
        <v/>
      </c>
      <c r="IN30" s="257" t="str">
        <f t="shared" si="154"/>
        <v/>
      </c>
      <c r="IO30" s="579" t="str">
        <f t="shared" si="155"/>
        <v/>
      </c>
      <c r="IP30" s="289">
        <f t="shared" si="156"/>
        <v>0</v>
      </c>
      <c r="IQ30" s="289">
        <f t="shared" si="157"/>
        <v>0</v>
      </c>
      <c r="IR30" s="223">
        <f>SISWA!E28</f>
        <v>0</v>
      </c>
      <c r="IS30" s="223" t="str">
        <f t="shared" si="158"/>
        <v/>
      </c>
      <c r="IT30" s="580" t="str">
        <f t="shared" si="159"/>
        <v/>
      </c>
      <c r="IU30" s="580" t="str">
        <f t="shared" si="160"/>
        <v/>
      </c>
      <c r="IV30" s="580" t="str">
        <f t="shared" si="161"/>
        <v/>
      </c>
      <c r="IW30" s="580" t="str">
        <f t="shared" si="162"/>
        <v/>
      </c>
      <c r="IX30" s="580" t="str">
        <f t="shared" si="163"/>
        <v/>
      </c>
      <c r="IY30" s="580" t="str">
        <f t="shared" si="164"/>
        <v/>
      </c>
      <c r="IZ30" s="580" t="str">
        <f t="shared" si="165"/>
        <v/>
      </c>
      <c r="JA30" s="580" t="str">
        <f t="shared" si="166"/>
        <v/>
      </c>
      <c r="JB30" s="580" t="str">
        <f t="shared" si="167"/>
        <v/>
      </c>
      <c r="JC30" s="580"/>
      <c r="JD30" s="580"/>
      <c r="JE30" s="223">
        <f t="shared" si="168"/>
        <v>0</v>
      </c>
      <c r="JF30" s="289" t="e">
        <f t="shared" si="169"/>
        <v>#N/A</v>
      </c>
      <c r="JG30" s="576" t="e">
        <f>IF(IP30&gt;100,"",IF(IP30&gt;EV$1,"sangat baik dalam "&amp;JF30,IF(IP30&gt;=EV$2,"baik dalam "&amp;JF30,IF(IP30&gt;=EV$3,"cukup dalam "&amp;JF30,IF(IP30&lt;EV$3,"dengan bimbingan dapat meningkatkan dalam "&amp;JF30,IF(IP30&lt;1," ",””))))))</f>
        <v>#N/A</v>
      </c>
      <c r="JH30" s="223"/>
      <c r="JI30" s="223" t="str">
        <f t="shared" si="170"/>
        <v/>
      </c>
      <c r="JJ30" s="223" t="str">
        <f t="shared" si="171"/>
        <v/>
      </c>
      <c r="JK30" s="223" t="str">
        <f t="shared" si="172"/>
        <v/>
      </c>
      <c r="JL30" s="223" t="str">
        <f t="shared" si="173"/>
        <v/>
      </c>
      <c r="JM30" s="223" t="str">
        <f t="shared" si="174"/>
        <v/>
      </c>
      <c r="JN30" s="223" t="str">
        <f t="shared" si="175"/>
        <v/>
      </c>
      <c r="JO30" s="223" t="str">
        <f t="shared" si="176"/>
        <v/>
      </c>
      <c r="JP30" s="223" t="str">
        <f t="shared" si="177"/>
        <v/>
      </c>
      <c r="JQ30" s="223" t="str">
        <f t="shared" si="178"/>
        <v/>
      </c>
      <c r="JR30" s="223"/>
      <c r="JS30" s="223"/>
      <c r="JT30" s="223" t="e">
        <f t="shared" si="179"/>
        <v>#N/A</v>
      </c>
      <c r="JU30" s="577" t="e">
        <f>IF(IQ30&gt;100,"",IF(IQ30&gt;=EV$1,"sangat baik dalam "&amp;JT30,IF(IQ30&gt;=EV$2,"baik dalam "&amp;JT30,IF(IQ30&gt;=EV$3,"cukup dalam "&amp;JT30,IF(IQ30&lt;EV$3,"dengan bimbingan dapat meningkatkan dalam "&amp;JT30,IF(IQ30&lt;1," ",””))))))</f>
        <v>#N/A</v>
      </c>
      <c r="JV30" s="223" t="e">
        <f t="shared" si="180"/>
        <v>#N/A</v>
      </c>
    </row>
    <row r="31" spans="1:282">
      <c r="A31" s="39">
        <v>24</v>
      </c>
      <c r="B31" s="223">
        <f>SISWA!B29</f>
        <v>0</v>
      </c>
      <c r="C31" s="123"/>
      <c r="D31" s="123"/>
      <c r="E31" s="123"/>
      <c r="F31" s="123"/>
      <c r="G31" s="123"/>
      <c r="H31" s="123"/>
      <c r="I31" s="123"/>
      <c r="J31" s="123"/>
      <c r="K31" s="123"/>
      <c r="L31" s="255"/>
      <c r="M31" s="255"/>
      <c r="N31" s="255"/>
      <c r="O31" s="255"/>
      <c r="P31" s="255"/>
      <c r="Q31" s="255"/>
      <c r="R31" s="255"/>
      <c r="S31" s="255"/>
      <c r="T31" s="255"/>
      <c r="U31" s="256"/>
      <c r="V31" s="256"/>
      <c r="W31" s="256"/>
      <c r="X31" s="256"/>
      <c r="Y31" s="256"/>
      <c r="Z31" s="256"/>
      <c r="AA31" s="256"/>
      <c r="AB31" s="256"/>
      <c r="AC31" s="256"/>
      <c r="AD31" s="123"/>
      <c r="AE31" s="123"/>
      <c r="AF31" s="123"/>
      <c r="AG31" s="123"/>
      <c r="AH31" s="123"/>
      <c r="AI31" s="123"/>
      <c r="AJ31" s="123"/>
      <c r="AK31" s="123"/>
      <c r="AL31" s="123"/>
      <c r="AM31" s="255"/>
      <c r="AN31" s="255"/>
      <c r="AO31" s="255"/>
      <c r="AP31" s="255"/>
      <c r="AQ31" s="255"/>
      <c r="AR31" s="255"/>
      <c r="AS31" s="255"/>
      <c r="AT31" s="255"/>
      <c r="AU31" s="255"/>
      <c r="AV31" s="256"/>
      <c r="AW31" s="256"/>
      <c r="AX31" s="256"/>
      <c r="AY31" s="256"/>
      <c r="AZ31" s="256"/>
      <c r="BA31" s="256"/>
      <c r="BB31" s="256"/>
      <c r="BC31" s="256"/>
      <c r="BD31" s="256"/>
      <c r="BE31" s="123"/>
      <c r="BF31" s="123"/>
      <c r="BG31" s="123"/>
      <c r="BH31" s="123"/>
      <c r="BI31" s="123"/>
      <c r="BJ31" s="123"/>
      <c r="BK31" s="123"/>
      <c r="BL31" s="123"/>
      <c r="BM31" s="123"/>
      <c r="BN31" s="255"/>
      <c r="BO31" s="255"/>
      <c r="BP31" s="255"/>
      <c r="BQ31" s="255"/>
      <c r="BR31" s="255"/>
      <c r="BS31" s="255"/>
      <c r="BT31" s="255"/>
      <c r="BU31" s="255"/>
      <c r="BV31" s="255"/>
      <c r="BW31" s="256"/>
      <c r="BX31" s="256"/>
      <c r="BY31" s="256"/>
      <c r="BZ31" s="256"/>
      <c r="CA31" s="256"/>
      <c r="CB31" s="256"/>
      <c r="CC31" s="256"/>
      <c r="CD31" s="256"/>
      <c r="CE31" s="256"/>
      <c r="CF31" s="123"/>
      <c r="CG31" s="123"/>
      <c r="CH31" s="123"/>
      <c r="CI31" s="123"/>
      <c r="CJ31" s="123"/>
      <c r="CK31" s="123"/>
      <c r="CL31" s="123"/>
      <c r="CM31" s="123"/>
      <c r="CN31" s="123"/>
      <c r="CO31" s="255"/>
      <c r="CP31" s="255"/>
      <c r="CQ31" s="255"/>
      <c r="CR31" s="255"/>
      <c r="CS31" s="255"/>
      <c r="CT31" s="255"/>
      <c r="CU31" s="255"/>
      <c r="CV31" s="255"/>
      <c r="CW31" s="255"/>
      <c r="CX31" s="256"/>
      <c r="CY31" s="256"/>
      <c r="CZ31" s="256"/>
      <c r="DA31" s="256"/>
      <c r="DB31" s="256"/>
      <c r="DC31" s="256"/>
      <c r="DD31" s="256"/>
      <c r="DE31" s="256"/>
      <c r="DF31" s="256"/>
      <c r="DG31" s="458"/>
      <c r="DH31" s="458"/>
      <c r="DI31" s="458"/>
      <c r="DJ31" s="458"/>
      <c r="DK31" s="458"/>
      <c r="DL31" s="458"/>
      <c r="DM31" s="458"/>
      <c r="DN31" s="458"/>
      <c r="DO31" s="458"/>
      <c r="DP31" s="457"/>
      <c r="DQ31" s="457"/>
      <c r="DR31" s="457"/>
      <c r="DS31" s="457"/>
      <c r="DT31" s="457"/>
      <c r="DU31" s="457"/>
      <c r="DV31" s="457"/>
      <c r="DW31" s="457"/>
      <c r="DX31" s="457"/>
      <c r="DY31" s="256"/>
      <c r="DZ31" s="256"/>
      <c r="EA31" s="256"/>
      <c r="EB31" s="256"/>
      <c r="EC31" s="256"/>
      <c r="ED31" s="256"/>
      <c r="EE31" s="256"/>
      <c r="EF31" s="256"/>
      <c r="EG31" s="256"/>
      <c r="EH31" s="257" t="str">
        <f t="shared" si="51"/>
        <v/>
      </c>
      <c r="EI31" s="257" t="str">
        <f t="shared" si="52"/>
        <v/>
      </c>
      <c r="EJ31" s="257" t="str">
        <f t="shared" si="53"/>
        <v/>
      </c>
      <c r="EK31" s="257" t="str">
        <f t="shared" si="54"/>
        <v/>
      </c>
      <c r="EL31" s="257" t="str">
        <f t="shared" si="55"/>
        <v/>
      </c>
      <c r="EM31" s="257" t="str">
        <f t="shared" si="56"/>
        <v/>
      </c>
      <c r="EN31" s="257" t="str">
        <f t="shared" si="57"/>
        <v/>
      </c>
      <c r="EO31" s="257" t="str">
        <f t="shared" si="58"/>
        <v/>
      </c>
      <c r="EP31" s="257" t="str">
        <f t="shared" si="59"/>
        <v/>
      </c>
      <c r="EQ31" s="756" t="str">
        <f t="shared" si="181"/>
        <v/>
      </c>
      <c r="ER31" s="291" t="str">
        <f t="shared" si="60"/>
        <v xml:space="preserve">  </v>
      </c>
      <c r="ES31" s="243" t="str">
        <f t="shared" si="61"/>
        <v xml:space="preserve"> </v>
      </c>
      <c r="ET31" s="39"/>
      <c r="EU31" s="39"/>
      <c r="EV31" s="257">
        <f t="shared" si="62"/>
        <v>0</v>
      </c>
      <c r="EW31" s="257">
        <f t="shared" si="63"/>
        <v>0</v>
      </c>
      <c r="EX31" s="257">
        <f t="shared" si="64"/>
        <v>0</v>
      </c>
      <c r="EY31" s="257">
        <f t="shared" si="65"/>
        <v>0</v>
      </c>
      <c r="EZ31" s="257">
        <f t="shared" si="66"/>
        <v>0</v>
      </c>
      <c r="FA31" s="257">
        <f t="shared" si="67"/>
        <v>0</v>
      </c>
      <c r="FB31" s="257">
        <f t="shared" si="68"/>
        <v>0</v>
      </c>
      <c r="FC31" s="257">
        <f t="shared" si="69"/>
        <v>0</v>
      </c>
      <c r="FD31" s="257">
        <f t="shared" si="70"/>
        <v>0</v>
      </c>
      <c r="FE31" s="257"/>
      <c r="FF31" s="289">
        <f t="shared" si="71"/>
        <v>0</v>
      </c>
      <c r="FG31" s="257">
        <f t="shared" si="72"/>
        <v>0</v>
      </c>
      <c r="FH31" s="257">
        <f t="shared" si="73"/>
        <v>0</v>
      </c>
      <c r="FI31" s="257">
        <f t="shared" si="74"/>
        <v>0</v>
      </c>
      <c r="FJ31" s="257">
        <f t="shared" si="75"/>
        <v>0</v>
      </c>
      <c r="FK31" s="257">
        <f t="shared" si="76"/>
        <v>0</v>
      </c>
      <c r="FL31" s="257">
        <f t="shared" si="77"/>
        <v>0</v>
      </c>
      <c r="FM31" s="257">
        <f t="shared" si="78"/>
        <v>0</v>
      </c>
      <c r="FN31" s="257">
        <f t="shared" si="79"/>
        <v>0</v>
      </c>
      <c r="FO31" s="257">
        <f t="shared" si="80"/>
        <v>0</v>
      </c>
      <c r="FP31" s="223"/>
      <c r="FQ31" s="289">
        <f t="shared" si="81"/>
        <v>0</v>
      </c>
      <c r="FR31" s="257">
        <f t="shared" si="82"/>
        <v>0</v>
      </c>
      <c r="FS31" s="257">
        <f t="shared" si="83"/>
        <v>0</v>
      </c>
      <c r="FT31" s="257">
        <f t="shared" si="84"/>
        <v>0</v>
      </c>
      <c r="FU31" s="257">
        <f t="shared" si="85"/>
        <v>0</v>
      </c>
      <c r="FV31" s="257">
        <f t="shared" si="86"/>
        <v>0</v>
      </c>
      <c r="FW31" s="257">
        <f t="shared" si="87"/>
        <v>0</v>
      </c>
      <c r="FX31" s="257">
        <f t="shared" si="88"/>
        <v>0</v>
      </c>
      <c r="FY31" s="257">
        <f t="shared" si="89"/>
        <v>0</v>
      </c>
      <c r="FZ31" s="257">
        <f t="shared" si="90"/>
        <v>0</v>
      </c>
      <c r="GA31" s="223"/>
      <c r="GB31" s="289">
        <f t="shared" si="91"/>
        <v>0</v>
      </c>
      <c r="GC31" s="257">
        <f t="shared" si="92"/>
        <v>0</v>
      </c>
      <c r="GD31" s="257">
        <f t="shared" si="93"/>
        <v>0</v>
      </c>
      <c r="GE31" s="257">
        <f t="shared" si="94"/>
        <v>0</v>
      </c>
      <c r="GF31" s="575">
        <f t="shared" si="95"/>
        <v>3</v>
      </c>
      <c r="GG31" s="506">
        <f t="shared" si="96"/>
        <v>0</v>
      </c>
      <c r="GH31" s="39" t="str">
        <f t="shared" si="97"/>
        <v/>
      </c>
      <c r="GI31" s="257">
        <f t="shared" si="98"/>
        <v>0</v>
      </c>
      <c r="GJ31" s="257">
        <f t="shared" si="99"/>
        <v>0</v>
      </c>
      <c r="GK31" s="257">
        <f t="shared" si="100"/>
        <v>0</v>
      </c>
      <c r="GL31" s="575">
        <f t="shared" si="101"/>
        <v>3</v>
      </c>
      <c r="GM31" s="506">
        <f t="shared" si="102"/>
        <v>0</v>
      </c>
      <c r="GN31" s="39" t="str">
        <f t="shared" si="103"/>
        <v/>
      </c>
      <c r="GO31" s="257">
        <f t="shared" si="104"/>
        <v>0</v>
      </c>
      <c r="GP31" s="257">
        <f t="shared" si="105"/>
        <v>0</v>
      </c>
      <c r="GQ31" s="257">
        <f t="shared" si="106"/>
        <v>0</v>
      </c>
      <c r="GR31" s="575">
        <f t="shared" si="107"/>
        <v>3</v>
      </c>
      <c r="GS31" s="506">
        <f t="shared" si="108"/>
        <v>0</v>
      </c>
      <c r="GT31" s="39" t="str">
        <f t="shared" si="109"/>
        <v/>
      </c>
      <c r="GU31" s="257">
        <f t="shared" si="110"/>
        <v>0</v>
      </c>
      <c r="GV31" s="257">
        <f t="shared" si="111"/>
        <v>0</v>
      </c>
      <c r="GW31" s="257">
        <f t="shared" si="112"/>
        <v>0</v>
      </c>
      <c r="GX31" s="575">
        <f t="shared" si="113"/>
        <v>3</v>
      </c>
      <c r="GY31" s="506">
        <f t="shared" si="114"/>
        <v>0</v>
      </c>
      <c r="GZ31" s="39" t="str">
        <f t="shared" si="115"/>
        <v/>
      </c>
      <c r="HA31" s="257">
        <f t="shared" si="116"/>
        <v>0</v>
      </c>
      <c r="HB31" s="257">
        <f t="shared" si="117"/>
        <v>0</v>
      </c>
      <c r="HC31" s="257">
        <f t="shared" si="118"/>
        <v>0</v>
      </c>
      <c r="HD31" s="575">
        <f t="shared" si="119"/>
        <v>3</v>
      </c>
      <c r="HE31" s="506">
        <f t="shared" si="120"/>
        <v>0</v>
      </c>
      <c r="HF31" s="39" t="str">
        <f t="shared" si="121"/>
        <v/>
      </c>
      <c r="HG31" s="257">
        <f t="shared" si="122"/>
        <v>0</v>
      </c>
      <c r="HH31" s="257">
        <f t="shared" si="123"/>
        <v>0</v>
      </c>
      <c r="HI31" s="257">
        <f t="shared" si="124"/>
        <v>0</v>
      </c>
      <c r="HJ31" s="575">
        <f t="shared" si="125"/>
        <v>3</v>
      </c>
      <c r="HK31" s="506">
        <f t="shared" si="126"/>
        <v>0</v>
      </c>
      <c r="HL31" s="39" t="str">
        <f t="shared" si="127"/>
        <v/>
      </c>
      <c r="HM31" s="257">
        <f t="shared" si="128"/>
        <v>0</v>
      </c>
      <c r="HN31" s="257">
        <f t="shared" si="129"/>
        <v>0</v>
      </c>
      <c r="HO31" s="257">
        <f t="shared" si="130"/>
        <v>0</v>
      </c>
      <c r="HP31" s="575">
        <f t="shared" si="131"/>
        <v>3</v>
      </c>
      <c r="HQ31" s="506">
        <f t="shared" si="132"/>
        <v>0</v>
      </c>
      <c r="HR31" s="39" t="str">
        <f t="shared" si="133"/>
        <v/>
      </c>
      <c r="HS31" s="257">
        <f t="shared" si="134"/>
        <v>0</v>
      </c>
      <c r="HT31" s="257">
        <f t="shared" si="135"/>
        <v>0</v>
      </c>
      <c r="HU31" s="257">
        <f t="shared" si="136"/>
        <v>0</v>
      </c>
      <c r="HV31" s="575">
        <f t="shared" si="137"/>
        <v>3</v>
      </c>
      <c r="HW31" s="506">
        <f t="shared" si="138"/>
        <v>0</v>
      </c>
      <c r="HX31" s="39" t="str">
        <f t="shared" si="139"/>
        <v/>
      </c>
      <c r="HY31" s="257">
        <f t="shared" si="140"/>
        <v>0</v>
      </c>
      <c r="HZ31" s="257">
        <f t="shared" si="141"/>
        <v>0</v>
      </c>
      <c r="IA31" s="257">
        <f t="shared" si="142"/>
        <v>0</v>
      </c>
      <c r="IB31" s="575">
        <f t="shared" si="143"/>
        <v>3</v>
      </c>
      <c r="IC31" s="506">
        <f t="shared" si="144"/>
        <v>0</v>
      </c>
      <c r="ID31" s="39" t="str">
        <f t="shared" si="145"/>
        <v/>
      </c>
      <c r="IE31" s="39"/>
      <c r="IF31" s="39" t="str">
        <f t="shared" si="146"/>
        <v/>
      </c>
      <c r="IG31" s="39" t="str">
        <f t="shared" si="147"/>
        <v/>
      </c>
      <c r="IH31" s="39" t="str">
        <f t="shared" si="148"/>
        <v/>
      </c>
      <c r="II31" s="39" t="str">
        <f t="shared" si="149"/>
        <v/>
      </c>
      <c r="IJ31" s="39" t="str">
        <f t="shared" si="150"/>
        <v/>
      </c>
      <c r="IK31" s="39" t="str">
        <f t="shared" si="151"/>
        <v/>
      </c>
      <c r="IL31" s="257" t="str">
        <f t="shared" si="152"/>
        <v/>
      </c>
      <c r="IM31" s="257" t="str">
        <f t="shared" si="153"/>
        <v/>
      </c>
      <c r="IN31" s="257" t="str">
        <f t="shared" si="154"/>
        <v/>
      </c>
      <c r="IO31" s="579" t="str">
        <f t="shared" si="155"/>
        <v/>
      </c>
      <c r="IP31" s="289">
        <f t="shared" si="156"/>
        <v>0</v>
      </c>
      <c r="IQ31" s="289">
        <f t="shared" si="157"/>
        <v>0</v>
      </c>
      <c r="IR31" s="223">
        <f>SISWA!E29</f>
        <v>0</v>
      </c>
      <c r="IS31" s="223" t="str">
        <f t="shared" si="158"/>
        <v/>
      </c>
      <c r="IT31" s="580" t="str">
        <f t="shared" si="159"/>
        <v/>
      </c>
      <c r="IU31" s="580" t="str">
        <f t="shared" si="160"/>
        <v/>
      </c>
      <c r="IV31" s="580" t="str">
        <f t="shared" si="161"/>
        <v/>
      </c>
      <c r="IW31" s="580" t="str">
        <f t="shared" si="162"/>
        <v/>
      </c>
      <c r="IX31" s="580" t="str">
        <f t="shared" si="163"/>
        <v/>
      </c>
      <c r="IY31" s="580" t="str">
        <f t="shared" si="164"/>
        <v/>
      </c>
      <c r="IZ31" s="580" t="str">
        <f t="shared" si="165"/>
        <v/>
      </c>
      <c r="JA31" s="580" t="str">
        <f t="shared" si="166"/>
        <v/>
      </c>
      <c r="JB31" s="580" t="str">
        <f t="shared" si="167"/>
        <v/>
      </c>
      <c r="JC31" s="580"/>
      <c r="JD31" s="580"/>
      <c r="JE31" s="223">
        <f t="shared" si="168"/>
        <v>0</v>
      </c>
      <c r="JF31" s="289" t="e">
        <f t="shared" si="169"/>
        <v>#N/A</v>
      </c>
      <c r="JG31" s="576" t="e">
        <f>IF(IP31&gt;100,"",IF(IP31&gt;EV$1,"sangat baik dalam "&amp;JF31,IF(IP31&gt;=EV$2,"baik dalam "&amp;JF31,IF(IP31&gt;=EV$3,"cukup dalam "&amp;JF31,IF(IP31&lt;EV$3,"dengan bimbingan dapat meningkatkan dalam "&amp;JF31,IF(IP31&lt;1," ",””))))))</f>
        <v>#N/A</v>
      </c>
      <c r="JH31" s="223"/>
      <c r="JI31" s="223" t="str">
        <f t="shared" si="170"/>
        <v/>
      </c>
      <c r="JJ31" s="223" t="str">
        <f t="shared" si="171"/>
        <v/>
      </c>
      <c r="JK31" s="223" t="str">
        <f t="shared" si="172"/>
        <v/>
      </c>
      <c r="JL31" s="223" t="str">
        <f t="shared" si="173"/>
        <v/>
      </c>
      <c r="JM31" s="223" t="str">
        <f t="shared" si="174"/>
        <v/>
      </c>
      <c r="JN31" s="223" t="str">
        <f t="shared" si="175"/>
        <v/>
      </c>
      <c r="JO31" s="223" t="str">
        <f t="shared" si="176"/>
        <v/>
      </c>
      <c r="JP31" s="223" t="str">
        <f t="shared" si="177"/>
        <v/>
      </c>
      <c r="JQ31" s="223" t="str">
        <f t="shared" si="178"/>
        <v/>
      </c>
      <c r="JR31" s="223"/>
      <c r="JS31" s="223"/>
      <c r="JT31" s="223" t="e">
        <f t="shared" si="179"/>
        <v>#N/A</v>
      </c>
      <c r="JU31" s="577" t="e">
        <f>IF(IQ31&gt;100,"",IF(IQ31&gt;=EV$1,"sangat baik dalam "&amp;JT31,IF(IQ31&gt;=EV$2,"baik dalam "&amp;JT31,IF(IQ31&gt;=EV$3,"cukup dalam "&amp;JT31,IF(IQ31&lt;EV$3,"dengan bimbingan dapat meningkatkan dalam "&amp;JT31,IF(IQ31&lt;1," ",””))))))</f>
        <v>#N/A</v>
      </c>
      <c r="JV31" s="223" t="e">
        <f t="shared" si="180"/>
        <v>#N/A</v>
      </c>
    </row>
    <row r="32" spans="1:282">
      <c r="A32" s="39">
        <v>25</v>
      </c>
      <c r="B32" s="223">
        <f>SISWA!B30</f>
        <v>0</v>
      </c>
      <c r="C32" s="123"/>
      <c r="D32" s="123"/>
      <c r="E32" s="123"/>
      <c r="F32" s="123"/>
      <c r="G32" s="123"/>
      <c r="H32" s="123"/>
      <c r="I32" s="123"/>
      <c r="J32" s="123"/>
      <c r="K32" s="123"/>
      <c r="L32" s="255"/>
      <c r="M32" s="255"/>
      <c r="N32" s="255"/>
      <c r="O32" s="255"/>
      <c r="P32" s="255"/>
      <c r="Q32" s="255"/>
      <c r="R32" s="255"/>
      <c r="S32" s="255"/>
      <c r="T32" s="255"/>
      <c r="U32" s="256"/>
      <c r="V32" s="256"/>
      <c r="W32" s="256"/>
      <c r="X32" s="256"/>
      <c r="Y32" s="256"/>
      <c r="Z32" s="256"/>
      <c r="AA32" s="256"/>
      <c r="AB32" s="256"/>
      <c r="AC32" s="256"/>
      <c r="AD32" s="123"/>
      <c r="AE32" s="123"/>
      <c r="AF32" s="123"/>
      <c r="AG32" s="123"/>
      <c r="AH32" s="123"/>
      <c r="AI32" s="123"/>
      <c r="AJ32" s="123"/>
      <c r="AK32" s="123"/>
      <c r="AL32" s="123"/>
      <c r="AM32" s="255"/>
      <c r="AN32" s="255"/>
      <c r="AO32" s="255"/>
      <c r="AP32" s="255"/>
      <c r="AQ32" s="255"/>
      <c r="AR32" s="255"/>
      <c r="AS32" s="255"/>
      <c r="AT32" s="255"/>
      <c r="AU32" s="255"/>
      <c r="AV32" s="256"/>
      <c r="AW32" s="256"/>
      <c r="AX32" s="256"/>
      <c r="AY32" s="256"/>
      <c r="AZ32" s="256"/>
      <c r="BA32" s="256"/>
      <c r="BB32" s="256"/>
      <c r="BC32" s="256"/>
      <c r="BD32" s="256"/>
      <c r="BE32" s="123"/>
      <c r="BF32" s="123"/>
      <c r="BG32" s="123"/>
      <c r="BH32" s="123"/>
      <c r="BI32" s="123"/>
      <c r="BJ32" s="123"/>
      <c r="BK32" s="123"/>
      <c r="BL32" s="123"/>
      <c r="BM32" s="123"/>
      <c r="BN32" s="255"/>
      <c r="BO32" s="255"/>
      <c r="BP32" s="255"/>
      <c r="BQ32" s="255"/>
      <c r="BR32" s="255"/>
      <c r="BS32" s="255"/>
      <c r="BT32" s="255"/>
      <c r="BU32" s="255"/>
      <c r="BV32" s="255"/>
      <c r="BW32" s="256"/>
      <c r="BX32" s="256"/>
      <c r="BY32" s="256"/>
      <c r="BZ32" s="256"/>
      <c r="CA32" s="256"/>
      <c r="CB32" s="256"/>
      <c r="CC32" s="256"/>
      <c r="CD32" s="256"/>
      <c r="CE32" s="256"/>
      <c r="CF32" s="123"/>
      <c r="CG32" s="123"/>
      <c r="CH32" s="123"/>
      <c r="CI32" s="123"/>
      <c r="CJ32" s="123"/>
      <c r="CK32" s="123"/>
      <c r="CL32" s="123"/>
      <c r="CM32" s="123"/>
      <c r="CN32" s="123"/>
      <c r="CO32" s="255"/>
      <c r="CP32" s="255"/>
      <c r="CQ32" s="255"/>
      <c r="CR32" s="255"/>
      <c r="CS32" s="255"/>
      <c r="CT32" s="255"/>
      <c r="CU32" s="255"/>
      <c r="CV32" s="255"/>
      <c r="CW32" s="255"/>
      <c r="CX32" s="256"/>
      <c r="CY32" s="256"/>
      <c r="CZ32" s="256"/>
      <c r="DA32" s="256"/>
      <c r="DB32" s="256"/>
      <c r="DC32" s="256"/>
      <c r="DD32" s="256"/>
      <c r="DE32" s="256"/>
      <c r="DF32" s="256"/>
      <c r="DG32" s="458"/>
      <c r="DH32" s="458"/>
      <c r="DI32" s="458"/>
      <c r="DJ32" s="458"/>
      <c r="DK32" s="458"/>
      <c r="DL32" s="458"/>
      <c r="DM32" s="458"/>
      <c r="DN32" s="458"/>
      <c r="DO32" s="458"/>
      <c r="DP32" s="457"/>
      <c r="DQ32" s="457"/>
      <c r="DR32" s="457"/>
      <c r="DS32" s="457"/>
      <c r="DT32" s="457"/>
      <c r="DU32" s="457"/>
      <c r="DV32" s="457"/>
      <c r="DW32" s="457"/>
      <c r="DX32" s="457"/>
      <c r="DY32" s="256"/>
      <c r="DZ32" s="256"/>
      <c r="EA32" s="256"/>
      <c r="EB32" s="256"/>
      <c r="EC32" s="256"/>
      <c r="ED32" s="256"/>
      <c r="EE32" s="256"/>
      <c r="EF32" s="256"/>
      <c r="EG32" s="256"/>
      <c r="EH32" s="257" t="str">
        <f t="shared" si="51"/>
        <v/>
      </c>
      <c r="EI32" s="257" t="str">
        <f t="shared" si="52"/>
        <v/>
      </c>
      <c r="EJ32" s="257" t="str">
        <f t="shared" si="53"/>
        <v/>
      </c>
      <c r="EK32" s="257" t="str">
        <f t="shared" si="54"/>
        <v/>
      </c>
      <c r="EL32" s="257" t="str">
        <f t="shared" si="55"/>
        <v/>
      </c>
      <c r="EM32" s="257" t="str">
        <f t="shared" si="56"/>
        <v/>
      </c>
      <c r="EN32" s="257" t="str">
        <f t="shared" si="57"/>
        <v/>
      </c>
      <c r="EO32" s="257" t="str">
        <f t="shared" si="58"/>
        <v/>
      </c>
      <c r="EP32" s="257" t="str">
        <f t="shared" si="59"/>
        <v/>
      </c>
      <c r="EQ32" s="756" t="str">
        <f t="shared" si="181"/>
        <v/>
      </c>
      <c r="ER32" s="291" t="str">
        <f t="shared" si="60"/>
        <v xml:space="preserve">  </v>
      </c>
      <c r="ES32" s="243" t="str">
        <f t="shared" si="61"/>
        <v xml:space="preserve"> </v>
      </c>
      <c r="ET32" s="39"/>
      <c r="EU32" s="39"/>
      <c r="EV32" s="257">
        <f t="shared" si="62"/>
        <v>0</v>
      </c>
      <c r="EW32" s="257">
        <f t="shared" si="63"/>
        <v>0</v>
      </c>
      <c r="EX32" s="257">
        <f t="shared" si="64"/>
        <v>0</v>
      </c>
      <c r="EY32" s="257">
        <f t="shared" si="65"/>
        <v>0</v>
      </c>
      <c r="EZ32" s="257">
        <f t="shared" si="66"/>
        <v>0</v>
      </c>
      <c r="FA32" s="257">
        <f t="shared" si="67"/>
        <v>0</v>
      </c>
      <c r="FB32" s="257">
        <f t="shared" si="68"/>
        <v>0</v>
      </c>
      <c r="FC32" s="257">
        <f t="shared" si="69"/>
        <v>0</v>
      </c>
      <c r="FD32" s="257">
        <f t="shared" si="70"/>
        <v>0</v>
      </c>
      <c r="FE32" s="257"/>
      <c r="FF32" s="289">
        <f t="shared" si="71"/>
        <v>0</v>
      </c>
      <c r="FG32" s="257">
        <f t="shared" si="72"/>
        <v>0</v>
      </c>
      <c r="FH32" s="257">
        <f t="shared" si="73"/>
        <v>0</v>
      </c>
      <c r="FI32" s="257">
        <f t="shared" si="74"/>
        <v>0</v>
      </c>
      <c r="FJ32" s="257">
        <f t="shared" si="75"/>
        <v>0</v>
      </c>
      <c r="FK32" s="257">
        <f t="shared" si="76"/>
        <v>0</v>
      </c>
      <c r="FL32" s="257">
        <f t="shared" si="77"/>
        <v>0</v>
      </c>
      <c r="FM32" s="257">
        <f t="shared" si="78"/>
        <v>0</v>
      </c>
      <c r="FN32" s="257">
        <f t="shared" si="79"/>
        <v>0</v>
      </c>
      <c r="FO32" s="257">
        <f t="shared" si="80"/>
        <v>0</v>
      </c>
      <c r="FP32" s="223"/>
      <c r="FQ32" s="289">
        <f t="shared" si="81"/>
        <v>0</v>
      </c>
      <c r="FR32" s="257">
        <f t="shared" si="82"/>
        <v>0</v>
      </c>
      <c r="FS32" s="257">
        <f t="shared" si="83"/>
        <v>0</v>
      </c>
      <c r="FT32" s="257">
        <f t="shared" si="84"/>
        <v>0</v>
      </c>
      <c r="FU32" s="257">
        <f t="shared" si="85"/>
        <v>0</v>
      </c>
      <c r="FV32" s="257">
        <f t="shared" si="86"/>
        <v>0</v>
      </c>
      <c r="FW32" s="257">
        <f t="shared" si="87"/>
        <v>0</v>
      </c>
      <c r="FX32" s="257">
        <f t="shared" si="88"/>
        <v>0</v>
      </c>
      <c r="FY32" s="257">
        <f t="shared" si="89"/>
        <v>0</v>
      </c>
      <c r="FZ32" s="257">
        <f t="shared" si="90"/>
        <v>0</v>
      </c>
      <c r="GA32" s="223"/>
      <c r="GB32" s="289">
        <f t="shared" si="91"/>
        <v>0</v>
      </c>
      <c r="GC32" s="257">
        <f t="shared" si="92"/>
        <v>0</v>
      </c>
      <c r="GD32" s="257">
        <f t="shared" si="93"/>
        <v>0</v>
      </c>
      <c r="GE32" s="257">
        <f t="shared" si="94"/>
        <v>0</v>
      </c>
      <c r="GF32" s="575">
        <f t="shared" si="95"/>
        <v>3</v>
      </c>
      <c r="GG32" s="506">
        <f t="shared" si="96"/>
        <v>0</v>
      </c>
      <c r="GH32" s="39" t="str">
        <f t="shared" si="97"/>
        <v/>
      </c>
      <c r="GI32" s="257">
        <f t="shared" si="98"/>
        <v>0</v>
      </c>
      <c r="GJ32" s="257">
        <f t="shared" si="99"/>
        <v>0</v>
      </c>
      <c r="GK32" s="257">
        <f t="shared" si="100"/>
        <v>0</v>
      </c>
      <c r="GL32" s="575">
        <f t="shared" si="101"/>
        <v>3</v>
      </c>
      <c r="GM32" s="506">
        <f t="shared" si="102"/>
        <v>0</v>
      </c>
      <c r="GN32" s="39" t="str">
        <f t="shared" si="103"/>
        <v/>
      </c>
      <c r="GO32" s="257">
        <f t="shared" si="104"/>
        <v>0</v>
      </c>
      <c r="GP32" s="257">
        <f t="shared" si="105"/>
        <v>0</v>
      </c>
      <c r="GQ32" s="257">
        <f t="shared" si="106"/>
        <v>0</v>
      </c>
      <c r="GR32" s="575">
        <f t="shared" si="107"/>
        <v>3</v>
      </c>
      <c r="GS32" s="506">
        <f t="shared" si="108"/>
        <v>0</v>
      </c>
      <c r="GT32" s="39" t="str">
        <f t="shared" si="109"/>
        <v/>
      </c>
      <c r="GU32" s="257">
        <f t="shared" si="110"/>
        <v>0</v>
      </c>
      <c r="GV32" s="257">
        <f t="shared" si="111"/>
        <v>0</v>
      </c>
      <c r="GW32" s="257">
        <f t="shared" si="112"/>
        <v>0</v>
      </c>
      <c r="GX32" s="575">
        <f t="shared" si="113"/>
        <v>3</v>
      </c>
      <c r="GY32" s="506">
        <f t="shared" si="114"/>
        <v>0</v>
      </c>
      <c r="GZ32" s="39" t="str">
        <f t="shared" si="115"/>
        <v/>
      </c>
      <c r="HA32" s="257">
        <f t="shared" si="116"/>
        <v>0</v>
      </c>
      <c r="HB32" s="257">
        <f t="shared" si="117"/>
        <v>0</v>
      </c>
      <c r="HC32" s="257">
        <f t="shared" si="118"/>
        <v>0</v>
      </c>
      <c r="HD32" s="575">
        <f t="shared" si="119"/>
        <v>3</v>
      </c>
      <c r="HE32" s="506">
        <f t="shared" si="120"/>
        <v>0</v>
      </c>
      <c r="HF32" s="39" t="str">
        <f t="shared" si="121"/>
        <v/>
      </c>
      <c r="HG32" s="257">
        <f t="shared" si="122"/>
        <v>0</v>
      </c>
      <c r="HH32" s="257">
        <f t="shared" si="123"/>
        <v>0</v>
      </c>
      <c r="HI32" s="257">
        <f t="shared" si="124"/>
        <v>0</v>
      </c>
      <c r="HJ32" s="575">
        <f t="shared" si="125"/>
        <v>3</v>
      </c>
      <c r="HK32" s="506">
        <f t="shared" si="126"/>
        <v>0</v>
      </c>
      <c r="HL32" s="39" t="str">
        <f t="shared" si="127"/>
        <v/>
      </c>
      <c r="HM32" s="257">
        <f t="shared" si="128"/>
        <v>0</v>
      </c>
      <c r="HN32" s="257">
        <f t="shared" si="129"/>
        <v>0</v>
      </c>
      <c r="HO32" s="257">
        <f t="shared" si="130"/>
        <v>0</v>
      </c>
      <c r="HP32" s="575">
        <f t="shared" si="131"/>
        <v>3</v>
      </c>
      <c r="HQ32" s="506">
        <f t="shared" si="132"/>
        <v>0</v>
      </c>
      <c r="HR32" s="39" t="str">
        <f t="shared" si="133"/>
        <v/>
      </c>
      <c r="HS32" s="257">
        <f t="shared" si="134"/>
        <v>0</v>
      </c>
      <c r="HT32" s="257">
        <f t="shared" si="135"/>
        <v>0</v>
      </c>
      <c r="HU32" s="257">
        <f t="shared" si="136"/>
        <v>0</v>
      </c>
      <c r="HV32" s="575">
        <f t="shared" si="137"/>
        <v>3</v>
      </c>
      <c r="HW32" s="506">
        <f t="shared" si="138"/>
        <v>0</v>
      </c>
      <c r="HX32" s="39" t="str">
        <f t="shared" si="139"/>
        <v/>
      </c>
      <c r="HY32" s="257">
        <f t="shared" si="140"/>
        <v>0</v>
      </c>
      <c r="HZ32" s="257">
        <f t="shared" si="141"/>
        <v>0</v>
      </c>
      <c r="IA32" s="257">
        <f t="shared" si="142"/>
        <v>0</v>
      </c>
      <c r="IB32" s="575">
        <f t="shared" si="143"/>
        <v>3</v>
      </c>
      <c r="IC32" s="506">
        <f t="shared" si="144"/>
        <v>0</v>
      </c>
      <c r="ID32" s="39" t="str">
        <f t="shared" si="145"/>
        <v/>
      </c>
      <c r="IE32" s="39"/>
      <c r="IF32" s="39" t="str">
        <f t="shared" si="146"/>
        <v/>
      </c>
      <c r="IG32" s="39" t="str">
        <f t="shared" si="147"/>
        <v/>
      </c>
      <c r="IH32" s="39" t="str">
        <f t="shared" si="148"/>
        <v/>
      </c>
      <c r="II32" s="39" t="str">
        <f t="shared" si="149"/>
        <v/>
      </c>
      <c r="IJ32" s="39" t="str">
        <f t="shared" si="150"/>
        <v/>
      </c>
      <c r="IK32" s="39" t="str">
        <f t="shared" si="151"/>
        <v/>
      </c>
      <c r="IL32" s="257" t="str">
        <f t="shared" si="152"/>
        <v/>
      </c>
      <c r="IM32" s="257" t="str">
        <f t="shared" si="153"/>
        <v/>
      </c>
      <c r="IN32" s="257" t="str">
        <f t="shared" si="154"/>
        <v/>
      </c>
      <c r="IO32" s="579" t="str">
        <f t="shared" si="155"/>
        <v/>
      </c>
      <c r="IP32" s="289">
        <f t="shared" si="156"/>
        <v>0</v>
      </c>
      <c r="IQ32" s="289">
        <f t="shared" si="157"/>
        <v>0</v>
      </c>
      <c r="IR32" s="223">
        <f>SISWA!E30</f>
        <v>0</v>
      </c>
      <c r="IS32" s="223" t="str">
        <f t="shared" si="158"/>
        <v/>
      </c>
      <c r="IT32" s="580" t="str">
        <f t="shared" si="159"/>
        <v/>
      </c>
      <c r="IU32" s="580" t="str">
        <f t="shared" si="160"/>
        <v/>
      </c>
      <c r="IV32" s="580" t="str">
        <f t="shared" si="161"/>
        <v/>
      </c>
      <c r="IW32" s="580" t="str">
        <f t="shared" si="162"/>
        <v/>
      </c>
      <c r="IX32" s="580" t="str">
        <f t="shared" si="163"/>
        <v/>
      </c>
      <c r="IY32" s="580" t="str">
        <f t="shared" si="164"/>
        <v/>
      </c>
      <c r="IZ32" s="580" t="str">
        <f t="shared" si="165"/>
        <v/>
      </c>
      <c r="JA32" s="580" t="str">
        <f t="shared" si="166"/>
        <v/>
      </c>
      <c r="JB32" s="580" t="str">
        <f t="shared" si="167"/>
        <v/>
      </c>
      <c r="JC32" s="580"/>
      <c r="JD32" s="580"/>
      <c r="JE32" s="223">
        <f t="shared" si="168"/>
        <v>0</v>
      </c>
      <c r="JF32" s="289" t="e">
        <f t="shared" si="169"/>
        <v>#N/A</v>
      </c>
      <c r="JG32" s="576" t="e">
        <f>IF(IP32&gt;100,"",IF(IP32&gt;EV$1,"sangat baik dalam "&amp;JF32,IF(IP32&gt;=EV$2,"baik dalam "&amp;JF32,IF(IP32&gt;=EV$3,"cukup dalam "&amp;JF32,IF(IP32&lt;EV$3,"dengan bimbingan dapat meningkatkan dalam "&amp;JF32,IF(IP32&lt;1," ",””))))))</f>
        <v>#N/A</v>
      </c>
      <c r="JH32" s="223"/>
      <c r="JI32" s="223" t="str">
        <f t="shared" si="170"/>
        <v/>
      </c>
      <c r="JJ32" s="223" t="str">
        <f t="shared" si="171"/>
        <v/>
      </c>
      <c r="JK32" s="223" t="str">
        <f t="shared" si="172"/>
        <v/>
      </c>
      <c r="JL32" s="223" t="str">
        <f t="shared" si="173"/>
        <v/>
      </c>
      <c r="JM32" s="223" t="str">
        <f t="shared" si="174"/>
        <v/>
      </c>
      <c r="JN32" s="223" t="str">
        <f t="shared" si="175"/>
        <v/>
      </c>
      <c r="JO32" s="223" t="str">
        <f t="shared" si="176"/>
        <v/>
      </c>
      <c r="JP32" s="223" t="str">
        <f t="shared" si="177"/>
        <v/>
      </c>
      <c r="JQ32" s="223" t="str">
        <f t="shared" si="178"/>
        <v/>
      </c>
      <c r="JR32" s="223"/>
      <c r="JS32" s="223"/>
      <c r="JT32" s="223" t="e">
        <f t="shared" si="179"/>
        <v>#N/A</v>
      </c>
      <c r="JU32" s="577" t="e">
        <f>IF(IQ32&gt;100,"",IF(IQ32&gt;=EV$1,"sangat baik dalam "&amp;JT32,IF(IQ32&gt;=EV$2,"baik dalam "&amp;JT32,IF(IQ32&gt;=EV$3,"cukup dalam "&amp;JT32,IF(IQ32&lt;EV$3,"dengan bimbingan dapat meningkatkan dalam "&amp;JT32,IF(IQ32&lt;1," ",””))))))</f>
        <v>#N/A</v>
      </c>
      <c r="JV32" s="223" t="e">
        <f t="shared" si="180"/>
        <v>#N/A</v>
      </c>
    </row>
    <row r="33" spans="1:282">
      <c r="A33" s="39">
        <v>26</v>
      </c>
      <c r="B33" s="223">
        <f>SISWA!B31</f>
        <v>0</v>
      </c>
      <c r="C33" s="123"/>
      <c r="D33" s="123"/>
      <c r="E33" s="123"/>
      <c r="F33" s="123"/>
      <c r="G33" s="123"/>
      <c r="H33" s="123"/>
      <c r="I33" s="123"/>
      <c r="J33" s="123"/>
      <c r="K33" s="123"/>
      <c r="L33" s="255"/>
      <c r="M33" s="255"/>
      <c r="N33" s="255"/>
      <c r="O33" s="255"/>
      <c r="P33" s="255"/>
      <c r="Q33" s="255"/>
      <c r="R33" s="255"/>
      <c r="S33" s="255"/>
      <c r="T33" s="255"/>
      <c r="U33" s="256"/>
      <c r="V33" s="256"/>
      <c r="W33" s="256"/>
      <c r="X33" s="256"/>
      <c r="Y33" s="256"/>
      <c r="Z33" s="256"/>
      <c r="AA33" s="256"/>
      <c r="AB33" s="256"/>
      <c r="AC33" s="256"/>
      <c r="AD33" s="123"/>
      <c r="AE33" s="123"/>
      <c r="AF33" s="123"/>
      <c r="AG33" s="123"/>
      <c r="AH33" s="123"/>
      <c r="AI33" s="123"/>
      <c r="AJ33" s="123"/>
      <c r="AK33" s="123"/>
      <c r="AL33" s="123"/>
      <c r="AM33" s="255"/>
      <c r="AN33" s="255"/>
      <c r="AO33" s="255"/>
      <c r="AP33" s="255"/>
      <c r="AQ33" s="255"/>
      <c r="AR33" s="255"/>
      <c r="AS33" s="255"/>
      <c r="AT33" s="255"/>
      <c r="AU33" s="255"/>
      <c r="AV33" s="256"/>
      <c r="AW33" s="256"/>
      <c r="AX33" s="256"/>
      <c r="AY33" s="256"/>
      <c r="AZ33" s="256"/>
      <c r="BA33" s="256"/>
      <c r="BB33" s="256"/>
      <c r="BC33" s="256"/>
      <c r="BD33" s="256"/>
      <c r="BE33" s="123"/>
      <c r="BF33" s="123"/>
      <c r="BG33" s="123"/>
      <c r="BH33" s="123"/>
      <c r="BI33" s="123"/>
      <c r="BJ33" s="123"/>
      <c r="BK33" s="123"/>
      <c r="BL33" s="123"/>
      <c r="BM33" s="123"/>
      <c r="BN33" s="255"/>
      <c r="BO33" s="255"/>
      <c r="BP33" s="255"/>
      <c r="BQ33" s="255"/>
      <c r="BR33" s="255"/>
      <c r="BS33" s="255"/>
      <c r="BT33" s="255"/>
      <c r="BU33" s="255"/>
      <c r="BV33" s="255"/>
      <c r="BW33" s="256"/>
      <c r="BX33" s="256"/>
      <c r="BY33" s="256"/>
      <c r="BZ33" s="256"/>
      <c r="CA33" s="256"/>
      <c r="CB33" s="256"/>
      <c r="CC33" s="256"/>
      <c r="CD33" s="256"/>
      <c r="CE33" s="256"/>
      <c r="CF33" s="123"/>
      <c r="CG33" s="123"/>
      <c r="CH33" s="123"/>
      <c r="CI33" s="123"/>
      <c r="CJ33" s="123"/>
      <c r="CK33" s="123"/>
      <c r="CL33" s="123"/>
      <c r="CM33" s="123"/>
      <c r="CN33" s="123"/>
      <c r="CO33" s="255"/>
      <c r="CP33" s="255"/>
      <c r="CQ33" s="255"/>
      <c r="CR33" s="255"/>
      <c r="CS33" s="255"/>
      <c r="CT33" s="255"/>
      <c r="CU33" s="255"/>
      <c r="CV33" s="255"/>
      <c r="CW33" s="255"/>
      <c r="CX33" s="256"/>
      <c r="CY33" s="256"/>
      <c r="CZ33" s="256"/>
      <c r="DA33" s="256"/>
      <c r="DB33" s="256"/>
      <c r="DC33" s="256"/>
      <c r="DD33" s="256"/>
      <c r="DE33" s="256"/>
      <c r="DF33" s="256"/>
      <c r="DG33" s="458"/>
      <c r="DH33" s="458"/>
      <c r="DI33" s="458"/>
      <c r="DJ33" s="458"/>
      <c r="DK33" s="458"/>
      <c r="DL33" s="458"/>
      <c r="DM33" s="458"/>
      <c r="DN33" s="458"/>
      <c r="DO33" s="458"/>
      <c r="DP33" s="457"/>
      <c r="DQ33" s="457"/>
      <c r="DR33" s="457"/>
      <c r="DS33" s="457"/>
      <c r="DT33" s="457"/>
      <c r="DU33" s="457"/>
      <c r="DV33" s="457"/>
      <c r="DW33" s="457"/>
      <c r="DX33" s="457"/>
      <c r="DY33" s="256"/>
      <c r="DZ33" s="256"/>
      <c r="EA33" s="256"/>
      <c r="EB33" s="256"/>
      <c r="EC33" s="256"/>
      <c r="ED33" s="256"/>
      <c r="EE33" s="256"/>
      <c r="EF33" s="256"/>
      <c r="EG33" s="256"/>
      <c r="EH33" s="257" t="str">
        <f t="shared" si="51"/>
        <v/>
      </c>
      <c r="EI33" s="257" t="str">
        <f t="shared" si="52"/>
        <v/>
      </c>
      <c r="EJ33" s="257" t="str">
        <f t="shared" si="53"/>
        <v/>
      </c>
      <c r="EK33" s="257" t="str">
        <f t="shared" si="54"/>
        <v/>
      </c>
      <c r="EL33" s="257" t="str">
        <f t="shared" si="55"/>
        <v/>
      </c>
      <c r="EM33" s="257" t="str">
        <f t="shared" si="56"/>
        <v/>
      </c>
      <c r="EN33" s="257" t="str">
        <f t="shared" si="57"/>
        <v/>
      </c>
      <c r="EO33" s="257" t="str">
        <f t="shared" si="58"/>
        <v/>
      </c>
      <c r="EP33" s="257" t="str">
        <f t="shared" si="59"/>
        <v/>
      </c>
      <c r="EQ33" s="756" t="str">
        <f t="shared" si="181"/>
        <v/>
      </c>
      <c r="ER33" s="291" t="str">
        <f t="shared" si="60"/>
        <v xml:space="preserve">  </v>
      </c>
      <c r="ES33" s="243" t="str">
        <f t="shared" si="61"/>
        <v xml:space="preserve"> </v>
      </c>
      <c r="ET33" s="39"/>
      <c r="EU33" s="39"/>
      <c r="EV33" s="257">
        <f t="shared" si="62"/>
        <v>0</v>
      </c>
      <c r="EW33" s="257">
        <f t="shared" si="63"/>
        <v>0</v>
      </c>
      <c r="EX33" s="257">
        <f t="shared" si="64"/>
        <v>0</v>
      </c>
      <c r="EY33" s="257">
        <f t="shared" si="65"/>
        <v>0</v>
      </c>
      <c r="EZ33" s="257">
        <f t="shared" si="66"/>
        <v>0</v>
      </c>
      <c r="FA33" s="257">
        <f t="shared" si="67"/>
        <v>0</v>
      </c>
      <c r="FB33" s="257">
        <f t="shared" si="68"/>
        <v>0</v>
      </c>
      <c r="FC33" s="257">
        <f t="shared" si="69"/>
        <v>0</v>
      </c>
      <c r="FD33" s="257">
        <f t="shared" si="70"/>
        <v>0</v>
      </c>
      <c r="FE33" s="257"/>
      <c r="FF33" s="289">
        <f t="shared" si="71"/>
        <v>0</v>
      </c>
      <c r="FG33" s="257">
        <f t="shared" si="72"/>
        <v>0</v>
      </c>
      <c r="FH33" s="257">
        <f t="shared" si="73"/>
        <v>0</v>
      </c>
      <c r="FI33" s="257">
        <f t="shared" si="74"/>
        <v>0</v>
      </c>
      <c r="FJ33" s="257">
        <f t="shared" si="75"/>
        <v>0</v>
      </c>
      <c r="FK33" s="257">
        <f t="shared" si="76"/>
        <v>0</v>
      </c>
      <c r="FL33" s="257">
        <f t="shared" si="77"/>
        <v>0</v>
      </c>
      <c r="FM33" s="257">
        <f t="shared" si="78"/>
        <v>0</v>
      </c>
      <c r="FN33" s="257">
        <f t="shared" si="79"/>
        <v>0</v>
      </c>
      <c r="FO33" s="257">
        <f t="shared" si="80"/>
        <v>0</v>
      </c>
      <c r="FP33" s="223"/>
      <c r="FQ33" s="289">
        <f t="shared" si="81"/>
        <v>0</v>
      </c>
      <c r="FR33" s="257">
        <f t="shared" si="82"/>
        <v>0</v>
      </c>
      <c r="FS33" s="257">
        <f t="shared" si="83"/>
        <v>0</v>
      </c>
      <c r="FT33" s="257">
        <f t="shared" si="84"/>
        <v>0</v>
      </c>
      <c r="FU33" s="257">
        <f t="shared" si="85"/>
        <v>0</v>
      </c>
      <c r="FV33" s="257">
        <f t="shared" si="86"/>
        <v>0</v>
      </c>
      <c r="FW33" s="257">
        <f t="shared" si="87"/>
        <v>0</v>
      </c>
      <c r="FX33" s="257">
        <f t="shared" si="88"/>
        <v>0</v>
      </c>
      <c r="FY33" s="257">
        <f t="shared" si="89"/>
        <v>0</v>
      </c>
      <c r="FZ33" s="257">
        <f t="shared" si="90"/>
        <v>0</v>
      </c>
      <c r="GA33" s="223"/>
      <c r="GB33" s="289">
        <f t="shared" si="91"/>
        <v>0</v>
      </c>
      <c r="GC33" s="257">
        <f t="shared" si="92"/>
        <v>0</v>
      </c>
      <c r="GD33" s="257">
        <f t="shared" si="93"/>
        <v>0</v>
      </c>
      <c r="GE33" s="257">
        <f t="shared" si="94"/>
        <v>0</v>
      </c>
      <c r="GF33" s="575">
        <f t="shared" si="95"/>
        <v>3</v>
      </c>
      <c r="GG33" s="506">
        <f t="shared" si="96"/>
        <v>0</v>
      </c>
      <c r="GH33" s="39" t="str">
        <f t="shared" si="97"/>
        <v/>
      </c>
      <c r="GI33" s="257">
        <f t="shared" si="98"/>
        <v>0</v>
      </c>
      <c r="GJ33" s="257">
        <f t="shared" si="99"/>
        <v>0</v>
      </c>
      <c r="GK33" s="257">
        <f t="shared" si="100"/>
        <v>0</v>
      </c>
      <c r="GL33" s="575">
        <f t="shared" si="101"/>
        <v>3</v>
      </c>
      <c r="GM33" s="506">
        <f t="shared" si="102"/>
        <v>0</v>
      </c>
      <c r="GN33" s="39" t="str">
        <f t="shared" si="103"/>
        <v/>
      </c>
      <c r="GO33" s="257">
        <f t="shared" si="104"/>
        <v>0</v>
      </c>
      <c r="GP33" s="257">
        <f t="shared" si="105"/>
        <v>0</v>
      </c>
      <c r="GQ33" s="257">
        <f t="shared" si="106"/>
        <v>0</v>
      </c>
      <c r="GR33" s="575">
        <f t="shared" si="107"/>
        <v>3</v>
      </c>
      <c r="GS33" s="506">
        <f t="shared" si="108"/>
        <v>0</v>
      </c>
      <c r="GT33" s="39" t="str">
        <f t="shared" si="109"/>
        <v/>
      </c>
      <c r="GU33" s="257">
        <f t="shared" si="110"/>
        <v>0</v>
      </c>
      <c r="GV33" s="257">
        <f t="shared" si="111"/>
        <v>0</v>
      </c>
      <c r="GW33" s="257">
        <f t="shared" si="112"/>
        <v>0</v>
      </c>
      <c r="GX33" s="575">
        <f t="shared" si="113"/>
        <v>3</v>
      </c>
      <c r="GY33" s="506">
        <f t="shared" si="114"/>
        <v>0</v>
      </c>
      <c r="GZ33" s="39" t="str">
        <f t="shared" si="115"/>
        <v/>
      </c>
      <c r="HA33" s="257">
        <f t="shared" si="116"/>
        <v>0</v>
      </c>
      <c r="HB33" s="257">
        <f t="shared" si="117"/>
        <v>0</v>
      </c>
      <c r="HC33" s="257">
        <f t="shared" si="118"/>
        <v>0</v>
      </c>
      <c r="HD33" s="575">
        <f t="shared" si="119"/>
        <v>3</v>
      </c>
      <c r="HE33" s="506">
        <f t="shared" si="120"/>
        <v>0</v>
      </c>
      <c r="HF33" s="39" t="str">
        <f t="shared" si="121"/>
        <v/>
      </c>
      <c r="HG33" s="257">
        <f t="shared" si="122"/>
        <v>0</v>
      </c>
      <c r="HH33" s="257">
        <f t="shared" si="123"/>
        <v>0</v>
      </c>
      <c r="HI33" s="257">
        <f t="shared" si="124"/>
        <v>0</v>
      </c>
      <c r="HJ33" s="575">
        <f t="shared" si="125"/>
        <v>3</v>
      </c>
      <c r="HK33" s="506">
        <f t="shared" si="126"/>
        <v>0</v>
      </c>
      <c r="HL33" s="39" t="str">
        <f t="shared" si="127"/>
        <v/>
      </c>
      <c r="HM33" s="257">
        <f t="shared" si="128"/>
        <v>0</v>
      </c>
      <c r="HN33" s="257">
        <f t="shared" si="129"/>
        <v>0</v>
      </c>
      <c r="HO33" s="257">
        <f t="shared" si="130"/>
        <v>0</v>
      </c>
      <c r="HP33" s="575">
        <f t="shared" si="131"/>
        <v>3</v>
      </c>
      <c r="HQ33" s="506">
        <f t="shared" si="132"/>
        <v>0</v>
      </c>
      <c r="HR33" s="39" t="str">
        <f t="shared" si="133"/>
        <v/>
      </c>
      <c r="HS33" s="257">
        <f t="shared" si="134"/>
        <v>0</v>
      </c>
      <c r="HT33" s="257">
        <f t="shared" si="135"/>
        <v>0</v>
      </c>
      <c r="HU33" s="257">
        <f t="shared" si="136"/>
        <v>0</v>
      </c>
      <c r="HV33" s="575">
        <f t="shared" si="137"/>
        <v>3</v>
      </c>
      <c r="HW33" s="506">
        <f t="shared" si="138"/>
        <v>0</v>
      </c>
      <c r="HX33" s="39" t="str">
        <f t="shared" si="139"/>
        <v/>
      </c>
      <c r="HY33" s="257">
        <f t="shared" si="140"/>
        <v>0</v>
      </c>
      <c r="HZ33" s="257">
        <f t="shared" si="141"/>
        <v>0</v>
      </c>
      <c r="IA33" s="257">
        <f t="shared" si="142"/>
        <v>0</v>
      </c>
      <c r="IB33" s="575">
        <f t="shared" si="143"/>
        <v>3</v>
      </c>
      <c r="IC33" s="506">
        <f t="shared" si="144"/>
        <v>0</v>
      </c>
      <c r="ID33" s="39" t="str">
        <f t="shared" si="145"/>
        <v/>
      </c>
      <c r="IE33" s="39"/>
      <c r="IF33" s="39" t="str">
        <f t="shared" si="146"/>
        <v/>
      </c>
      <c r="IG33" s="39" t="str">
        <f t="shared" si="147"/>
        <v/>
      </c>
      <c r="IH33" s="39" t="str">
        <f t="shared" si="148"/>
        <v/>
      </c>
      <c r="II33" s="39" t="str">
        <f t="shared" si="149"/>
        <v/>
      </c>
      <c r="IJ33" s="39" t="str">
        <f t="shared" si="150"/>
        <v/>
      </c>
      <c r="IK33" s="39" t="str">
        <f t="shared" si="151"/>
        <v/>
      </c>
      <c r="IL33" s="257" t="str">
        <f t="shared" si="152"/>
        <v/>
      </c>
      <c r="IM33" s="257" t="str">
        <f t="shared" si="153"/>
        <v/>
      </c>
      <c r="IN33" s="257" t="str">
        <f t="shared" si="154"/>
        <v/>
      </c>
      <c r="IO33" s="579" t="str">
        <f t="shared" si="155"/>
        <v/>
      </c>
      <c r="IP33" s="289">
        <f t="shared" si="156"/>
        <v>0</v>
      </c>
      <c r="IQ33" s="289">
        <f t="shared" si="157"/>
        <v>0</v>
      </c>
      <c r="IR33" s="223">
        <f>SISWA!E31</f>
        <v>0</v>
      </c>
      <c r="IS33" s="223" t="str">
        <f t="shared" si="158"/>
        <v/>
      </c>
      <c r="IT33" s="580" t="str">
        <f t="shared" si="159"/>
        <v/>
      </c>
      <c r="IU33" s="580" t="str">
        <f t="shared" si="160"/>
        <v/>
      </c>
      <c r="IV33" s="580" t="str">
        <f t="shared" si="161"/>
        <v/>
      </c>
      <c r="IW33" s="580" t="str">
        <f t="shared" si="162"/>
        <v/>
      </c>
      <c r="IX33" s="580" t="str">
        <f t="shared" si="163"/>
        <v/>
      </c>
      <c r="IY33" s="580" t="str">
        <f t="shared" si="164"/>
        <v/>
      </c>
      <c r="IZ33" s="580" t="str">
        <f t="shared" si="165"/>
        <v/>
      </c>
      <c r="JA33" s="580" t="str">
        <f t="shared" si="166"/>
        <v/>
      </c>
      <c r="JB33" s="580" t="str">
        <f t="shared" si="167"/>
        <v/>
      </c>
      <c r="JC33" s="580"/>
      <c r="JD33" s="580"/>
      <c r="JE33" s="223">
        <f t="shared" si="168"/>
        <v>0</v>
      </c>
      <c r="JF33" s="289" t="e">
        <f t="shared" si="169"/>
        <v>#N/A</v>
      </c>
      <c r="JG33" s="576" t="e">
        <f>IF(IP33&gt;100,"",IF(IP33&gt;EV$1,"sangat baik dalam "&amp;JF33,IF(IP33&gt;=EV$2,"baik dalam "&amp;JF33,IF(IP33&gt;=EV$3,"cukup dalam "&amp;JF33,IF(IP33&lt;EV$3,"dengan bimbingan dapat meningkatkan dalam "&amp;JF33,IF(IP33&lt;1," ",””))))))</f>
        <v>#N/A</v>
      </c>
      <c r="JH33" s="223"/>
      <c r="JI33" s="223" t="str">
        <f t="shared" si="170"/>
        <v/>
      </c>
      <c r="JJ33" s="223" t="str">
        <f t="shared" si="171"/>
        <v/>
      </c>
      <c r="JK33" s="223" t="str">
        <f t="shared" si="172"/>
        <v/>
      </c>
      <c r="JL33" s="223" t="str">
        <f t="shared" si="173"/>
        <v/>
      </c>
      <c r="JM33" s="223" t="str">
        <f t="shared" si="174"/>
        <v/>
      </c>
      <c r="JN33" s="223" t="str">
        <f t="shared" si="175"/>
        <v/>
      </c>
      <c r="JO33" s="223" t="str">
        <f t="shared" si="176"/>
        <v/>
      </c>
      <c r="JP33" s="223" t="str">
        <f t="shared" si="177"/>
        <v/>
      </c>
      <c r="JQ33" s="223" t="str">
        <f t="shared" si="178"/>
        <v/>
      </c>
      <c r="JR33" s="223"/>
      <c r="JS33" s="223"/>
      <c r="JT33" s="223" t="e">
        <f t="shared" si="179"/>
        <v>#N/A</v>
      </c>
      <c r="JU33" s="577" t="e">
        <f>IF(IQ33&gt;100,"",IF(IQ33&gt;=EV$1,"sangat baik dalam "&amp;JT33,IF(IQ33&gt;=EV$2,"baik dalam "&amp;JT33,IF(IQ33&gt;=EV$3,"cukup dalam "&amp;JT33,IF(IQ33&lt;EV$3,"dengan bimbingan dapat meningkatkan dalam "&amp;JT33,IF(IQ33&lt;1," ",””))))))</f>
        <v>#N/A</v>
      </c>
      <c r="JV33" s="223" t="e">
        <f t="shared" si="180"/>
        <v>#N/A</v>
      </c>
    </row>
    <row r="34" spans="1:282">
      <c r="A34" s="39">
        <v>27</v>
      </c>
      <c r="B34" s="223">
        <f>SISWA!B32</f>
        <v>0</v>
      </c>
      <c r="C34" s="123"/>
      <c r="D34" s="123"/>
      <c r="E34" s="123"/>
      <c r="F34" s="123"/>
      <c r="G34" s="123"/>
      <c r="H34" s="123"/>
      <c r="I34" s="123"/>
      <c r="J34" s="123"/>
      <c r="K34" s="123"/>
      <c r="L34" s="255"/>
      <c r="M34" s="255"/>
      <c r="N34" s="255"/>
      <c r="O34" s="255"/>
      <c r="P34" s="255"/>
      <c r="Q34" s="255"/>
      <c r="R34" s="255"/>
      <c r="S34" s="255"/>
      <c r="T34" s="255"/>
      <c r="U34" s="256"/>
      <c r="V34" s="256"/>
      <c r="W34" s="256"/>
      <c r="X34" s="256"/>
      <c r="Y34" s="256"/>
      <c r="Z34" s="256"/>
      <c r="AA34" s="256"/>
      <c r="AB34" s="256"/>
      <c r="AC34" s="256"/>
      <c r="AD34" s="123"/>
      <c r="AE34" s="123"/>
      <c r="AF34" s="123"/>
      <c r="AG34" s="123"/>
      <c r="AH34" s="123"/>
      <c r="AI34" s="123"/>
      <c r="AJ34" s="123"/>
      <c r="AK34" s="123"/>
      <c r="AL34" s="123"/>
      <c r="AM34" s="255"/>
      <c r="AN34" s="255"/>
      <c r="AO34" s="255"/>
      <c r="AP34" s="255"/>
      <c r="AQ34" s="255"/>
      <c r="AR34" s="255"/>
      <c r="AS34" s="255"/>
      <c r="AT34" s="255"/>
      <c r="AU34" s="255"/>
      <c r="AV34" s="256"/>
      <c r="AW34" s="256"/>
      <c r="AX34" s="256"/>
      <c r="AY34" s="256"/>
      <c r="AZ34" s="256"/>
      <c r="BA34" s="256"/>
      <c r="BB34" s="256"/>
      <c r="BC34" s="256"/>
      <c r="BD34" s="256"/>
      <c r="BE34" s="123"/>
      <c r="BF34" s="123"/>
      <c r="BG34" s="123"/>
      <c r="BH34" s="123"/>
      <c r="BI34" s="123"/>
      <c r="BJ34" s="123"/>
      <c r="BK34" s="123"/>
      <c r="BL34" s="123"/>
      <c r="BM34" s="123"/>
      <c r="BN34" s="255"/>
      <c r="BO34" s="255"/>
      <c r="BP34" s="255"/>
      <c r="BQ34" s="255"/>
      <c r="BR34" s="255"/>
      <c r="BS34" s="255"/>
      <c r="BT34" s="255"/>
      <c r="BU34" s="255"/>
      <c r="BV34" s="255"/>
      <c r="BW34" s="256"/>
      <c r="BX34" s="256"/>
      <c r="BY34" s="256"/>
      <c r="BZ34" s="256"/>
      <c r="CA34" s="256"/>
      <c r="CB34" s="256"/>
      <c r="CC34" s="256"/>
      <c r="CD34" s="256"/>
      <c r="CE34" s="256"/>
      <c r="CF34" s="123"/>
      <c r="CG34" s="123"/>
      <c r="CH34" s="123"/>
      <c r="CI34" s="123"/>
      <c r="CJ34" s="123"/>
      <c r="CK34" s="123"/>
      <c r="CL34" s="123"/>
      <c r="CM34" s="123"/>
      <c r="CN34" s="123"/>
      <c r="CO34" s="255"/>
      <c r="CP34" s="255"/>
      <c r="CQ34" s="255"/>
      <c r="CR34" s="255"/>
      <c r="CS34" s="255"/>
      <c r="CT34" s="255"/>
      <c r="CU34" s="255"/>
      <c r="CV34" s="255"/>
      <c r="CW34" s="255"/>
      <c r="CX34" s="256"/>
      <c r="CY34" s="256"/>
      <c r="CZ34" s="256"/>
      <c r="DA34" s="256"/>
      <c r="DB34" s="256"/>
      <c r="DC34" s="256"/>
      <c r="DD34" s="256"/>
      <c r="DE34" s="256"/>
      <c r="DF34" s="256"/>
      <c r="DG34" s="458"/>
      <c r="DH34" s="458"/>
      <c r="DI34" s="458"/>
      <c r="DJ34" s="458"/>
      <c r="DK34" s="458"/>
      <c r="DL34" s="458"/>
      <c r="DM34" s="458"/>
      <c r="DN34" s="458"/>
      <c r="DO34" s="458"/>
      <c r="DP34" s="457"/>
      <c r="DQ34" s="457"/>
      <c r="DR34" s="457"/>
      <c r="DS34" s="457"/>
      <c r="DT34" s="457"/>
      <c r="DU34" s="457"/>
      <c r="DV34" s="457"/>
      <c r="DW34" s="457"/>
      <c r="DX34" s="457"/>
      <c r="DY34" s="256"/>
      <c r="DZ34" s="256"/>
      <c r="EA34" s="256"/>
      <c r="EB34" s="256"/>
      <c r="EC34" s="256"/>
      <c r="ED34" s="256"/>
      <c r="EE34" s="256"/>
      <c r="EF34" s="256"/>
      <c r="EG34" s="256"/>
      <c r="EH34" s="257" t="str">
        <f t="shared" si="51"/>
        <v/>
      </c>
      <c r="EI34" s="257" t="str">
        <f t="shared" si="52"/>
        <v/>
      </c>
      <c r="EJ34" s="257" t="str">
        <f t="shared" si="53"/>
        <v/>
      </c>
      <c r="EK34" s="257" t="str">
        <f t="shared" si="54"/>
        <v/>
      </c>
      <c r="EL34" s="257" t="str">
        <f t="shared" si="55"/>
        <v/>
      </c>
      <c r="EM34" s="257" t="str">
        <f t="shared" si="56"/>
        <v/>
      </c>
      <c r="EN34" s="257" t="str">
        <f t="shared" si="57"/>
        <v/>
      </c>
      <c r="EO34" s="257" t="str">
        <f t="shared" si="58"/>
        <v/>
      </c>
      <c r="EP34" s="257" t="str">
        <f t="shared" si="59"/>
        <v/>
      </c>
      <c r="EQ34" s="756" t="str">
        <f t="shared" si="181"/>
        <v/>
      </c>
      <c r="ER34" s="291" t="str">
        <f t="shared" si="60"/>
        <v xml:space="preserve">  </v>
      </c>
      <c r="ES34" s="243" t="str">
        <f t="shared" si="61"/>
        <v xml:space="preserve"> </v>
      </c>
      <c r="ET34" s="39"/>
      <c r="EU34" s="39"/>
      <c r="EV34" s="257">
        <f t="shared" si="62"/>
        <v>0</v>
      </c>
      <c r="EW34" s="257">
        <f t="shared" si="63"/>
        <v>0</v>
      </c>
      <c r="EX34" s="257">
        <f t="shared" si="64"/>
        <v>0</v>
      </c>
      <c r="EY34" s="257">
        <f t="shared" si="65"/>
        <v>0</v>
      </c>
      <c r="EZ34" s="257">
        <f t="shared" si="66"/>
        <v>0</v>
      </c>
      <c r="FA34" s="257">
        <f t="shared" si="67"/>
        <v>0</v>
      </c>
      <c r="FB34" s="257">
        <f t="shared" si="68"/>
        <v>0</v>
      </c>
      <c r="FC34" s="257">
        <f t="shared" si="69"/>
        <v>0</v>
      </c>
      <c r="FD34" s="257">
        <f t="shared" si="70"/>
        <v>0</v>
      </c>
      <c r="FE34" s="257"/>
      <c r="FF34" s="289">
        <f t="shared" si="71"/>
        <v>0</v>
      </c>
      <c r="FG34" s="257">
        <f t="shared" si="72"/>
        <v>0</v>
      </c>
      <c r="FH34" s="257">
        <f t="shared" si="73"/>
        <v>0</v>
      </c>
      <c r="FI34" s="257">
        <f t="shared" si="74"/>
        <v>0</v>
      </c>
      <c r="FJ34" s="257">
        <f t="shared" si="75"/>
        <v>0</v>
      </c>
      <c r="FK34" s="257">
        <f t="shared" si="76"/>
        <v>0</v>
      </c>
      <c r="FL34" s="257">
        <f t="shared" si="77"/>
        <v>0</v>
      </c>
      <c r="FM34" s="257">
        <f t="shared" si="78"/>
        <v>0</v>
      </c>
      <c r="FN34" s="257">
        <f t="shared" si="79"/>
        <v>0</v>
      </c>
      <c r="FO34" s="257">
        <f t="shared" si="80"/>
        <v>0</v>
      </c>
      <c r="FP34" s="223"/>
      <c r="FQ34" s="289">
        <f t="shared" si="81"/>
        <v>0</v>
      </c>
      <c r="FR34" s="257">
        <f t="shared" si="82"/>
        <v>0</v>
      </c>
      <c r="FS34" s="257">
        <f t="shared" si="83"/>
        <v>0</v>
      </c>
      <c r="FT34" s="257">
        <f t="shared" si="84"/>
        <v>0</v>
      </c>
      <c r="FU34" s="257">
        <f t="shared" si="85"/>
        <v>0</v>
      </c>
      <c r="FV34" s="257">
        <f t="shared" si="86"/>
        <v>0</v>
      </c>
      <c r="FW34" s="257">
        <f t="shared" si="87"/>
        <v>0</v>
      </c>
      <c r="FX34" s="257">
        <f t="shared" si="88"/>
        <v>0</v>
      </c>
      <c r="FY34" s="257">
        <f t="shared" si="89"/>
        <v>0</v>
      </c>
      <c r="FZ34" s="257">
        <f t="shared" si="90"/>
        <v>0</v>
      </c>
      <c r="GA34" s="223"/>
      <c r="GB34" s="289">
        <f t="shared" si="91"/>
        <v>0</v>
      </c>
      <c r="GC34" s="257">
        <f t="shared" si="92"/>
        <v>0</v>
      </c>
      <c r="GD34" s="257">
        <f t="shared" si="93"/>
        <v>0</v>
      </c>
      <c r="GE34" s="257">
        <f t="shared" si="94"/>
        <v>0</v>
      </c>
      <c r="GF34" s="575">
        <f t="shared" si="95"/>
        <v>3</v>
      </c>
      <c r="GG34" s="506">
        <f t="shared" si="96"/>
        <v>0</v>
      </c>
      <c r="GH34" s="39" t="str">
        <f t="shared" si="97"/>
        <v/>
      </c>
      <c r="GI34" s="257">
        <f t="shared" si="98"/>
        <v>0</v>
      </c>
      <c r="GJ34" s="257">
        <f t="shared" si="99"/>
        <v>0</v>
      </c>
      <c r="GK34" s="257">
        <f t="shared" si="100"/>
        <v>0</v>
      </c>
      <c r="GL34" s="575">
        <f t="shared" si="101"/>
        <v>3</v>
      </c>
      <c r="GM34" s="506">
        <f t="shared" si="102"/>
        <v>0</v>
      </c>
      <c r="GN34" s="39" t="str">
        <f t="shared" si="103"/>
        <v/>
      </c>
      <c r="GO34" s="257">
        <f t="shared" si="104"/>
        <v>0</v>
      </c>
      <c r="GP34" s="257">
        <f t="shared" si="105"/>
        <v>0</v>
      </c>
      <c r="GQ34" s="257">
        <f t="shared" si="106"/>
        <v>0</v>
      </c>
      <c r="GR34" s="575">
        <f t="shared" si="107"/>
        <v>3</v>
      </c>
      <c r="GS34" s="506">
        <f t="shared" si="108"/>
        <v>0</v>
      </c>
      <c r="GT34" s="39" t="str">
        <f t="shared" si="109"/>
        <v/>
      </c>
      <c r="GU34" s="257">
        <f t="shared" si="110"/>
        <v>0</v>
      </c>
      <c r="GV34" s="257">
        <f t="shared" si="111"/>
        <v>0</v>
      </c>
      <c r="GW34" s="257">
        <f t="shared" si="112"/>
        <v>0</v>
      </c>
      <c r="GX34" s="575">
        <f t="shared" si="113"/>
        <v>3</v>
      </c>
      <c r="GY34" s="506">
        <f t="shared" si="114"/>
        <v>0</v>
      </c>
      <c r="GZ34" s="39" t="str">
        <f t="shared" si="115"/>
        <v/>
      </c>
      <c r="HA34" s="257">
        <f t="shared" si="116"/>
        <v>0</v>
      </c>
      <c r="HB34" s="257">
        <f t="shared" si="117"/>
        <v>0</v>
      </c>
      <c r="HC34" s="257">
        <f t="shared" si="118"/>
        <v>0</v>
      </c>
      <c r="HD34" s="575">
        <f t="shared" si="119"/>
        <v>3</v>
      </c>
      <c r="HE34" s="506">
        <f t="shared" si="120"/>
        <v>0</v>
      </c>
      <c r="HF34" s="39" t="str">
        <f t="shared" si="121"/>
        <v/>
      </c>
      <c r="HG34" s="257">
        <f t="shared" si="122"/>
        <v>0</v>
      </c>
      <c r="HH34" s="257">
        <f t="shared" si="123"/>
        <v>0</v>
      </c>
      <c r="HI34" s="257">
        <f t="shared" si="124"/>
        <v>0</v>
      </c>
      <c r="HJ34" s="575">
        <f t="shared" si="125"/>
        <v>3</v>
      </c>
      <c r="HK34" s="506">
        <f t="shared" si="126"/>
        <v>0</v>
      </c>
      <c r="HL34" s="39" t="str">
        <f t="shared" si="127"/>
        <v/>
      </c>
      <c r="HM34" s="257">
        <f t="shared" si="128"/>
        <v>0</v>
      </c>
      <c r="HN34" s="257">
        <f t="shared" si="129"/>
        <v>0</v>
      </c>
      <c r="HO34" s="257">
        <f t="shared" si="130"/>
        <v>0</v>
      </c>
      <c r="HP34" s="575">
        <f t="shared" si="131"/>
        <v>3</v>
      </c>
      <c r="HQ34" s="506">
        <f t="shared" si="132"/>
        <v>0</v>
      </c>
      <c r="HR34" s="39" t="str">
        <f t="shared" si="133"/>
        <v/>
      </c>
      <c r="HS34" s="257">
        <f t="shared" si="134"/>
        <v>0</v>
      </c>
      <c r="HT34" s="257">
        <f t="shared" si="135"/>
        <v>0</v>
      </c>
      <c r="HU34" s="257">
        <f t="shared" si="136"/>
        <v>0</v>
      </c>
      <c r="HV34" s="575">
        <f t="shared" si="137"/>
        <v>3</v>
      </c>
      <c r="HW34" s="506">
        <f t="shared" si="138"/>
        <v>0</v>
      </c>
      <c r="HX34" s="39" t="str">
        <f t="shared" si="139"/>
        <v/>
      </c>
      <c r="HY34" s="257">
        <f t="shared" si="140"/>
        <v>0</v>
      </c>
      <c r="HZ34" s="257">
        <f t="shared" si="141"/>
        <v>0</v>
      </c>
      <c r="IA34" s="257">
        <f t="shared" si="142"/>
        <v>0</v>
      </c>
      <c r="IB34" s="575">
        <f t="shared" si="143"/>
        <v>3</v>
      </c>
      <c r="IC34" s="506">
        <f t="shared" si="144"/>
        <v>0</v>
      </c>
      <c r="ID34" s="39" t="str">
        <f t="shared" si="145"/>
        <v/>
      </c>
      <c r="IE34" s="39"/>
      <c r="IF34" s="39" t="str">
        <f t="shared" si="146"/>
        <v/>
      </c>
      <c r="IG34" s="39" t="str">
        <f t="shared" si="147"/>
        <v/>
      </c>
      <c r="IH34" s="39" t="str">
        <f t="shared" si="148"/>
        <v/>
      </c>
      <c r="II34" s="39" t="str">
        <f t="shared" si="149"/>
        <v/>
      </c>
      <c r="IJ34" s="39" t="str">
        <f t="shared" si="150"/>
        <v/>
      </c>
      <c r="IK34" s="39" t="str">
        <f t="shared" si="151"/>
        <v/>
      </c>
      <c r="IL34" s="257" t="str">
        <f t="shared" si="152"/>
        <v/>
      </c>
      <c r="IM34" s="257" t="str">
        <f t="shared" si="153"/>
        <v/>
      </c>
      <c r="IN34" s="257" t="str">
        <f t="shared" si="154"/>
        <v/>
      </c>
      <c r="IO34" s="579" t="str">
        <f t="shared" si="155"/>
        <v/>
      </c>
      <c r="IP34" s="289">
        <f t="shared" si="156"/>
        <v>0</v>
      </c>
      <c r="IQ34" s="289">
        <f t="shared" si="157"/>
        <v>0</v>
      </c>
      <c r="IR34" s="223">
        <f>SISWA!E32</f>
        <v>0</v>
      </c>
      <c r="IS34" s="223" t="str">
        <f t="shared" si="158"/>
        <v/>
      </c>
      <c r="IT34" s="580" t="str">
        <f t="shared" si="159"/>
        <v/>
      </c>
      <c r="IU34" s="580" t="str">
        <f t="shared" si="160"/>
        <v/>
      </c>
      <c r="IV34" s="580" t="str">
        <f t="shared" si="161"/>
        <v/>
      </c>
      <c r="IW34" s="580" t="str">
        <f t="shared" si="162"/>
        <v/>
      </c>
      <c r="IX34" s="580" t="str">
        <f t="shared" si="163"/>
        <v/>
      </c>
      <c r="IY34" s="580" t="str">
        <f t="shared" si="164"/>
        <v/>
      </c>
      <c r="IZ34" s="580" t="str">
        <f t="shared" si="165"/>
        <v/>
      </c>
      <c r="JA34" s="580" t="str">
        <f t="shared" si="166"/>
        <v/>
      </c>
      <c r="JB34" s="580" t="str">
        <f t="shared" si="167"/>
        <v/>
      </c>
      <c r="JC34" s="580"/>
      <c r="JD34" s="580"/>
      <c r="JE34" s="223">
        <f t="shared" si="168"/>
        <v>0</v>
      </c>
      <c r="JF34" s="289" t="e">
        <f t="shared" si="169"/>
        <v>#N/A</v>
      </c>
      <c r="JG34" s="576" t="e">
        <f>IF(IP34&gt;100,"",IF(IP34&gt;EV$1,"sangat baik dalam "&amp;JF34,IF(IP34&gt;=EV$2,"baik dalam "&amp;JF34,IF(IP34&gt;=EV$3,"cukup dalam "&amp;JF34,IF(IP34&lt;EV$3,"dengan bimbingan dapat meningkatkan dalam "&amp;JF34,IF(IP34&lt;1," ",””))))))</f>
        <v>#N/A</v>
      </c>
      <c r="JH34" s="223"/>
      <c r="JI34" s="223" t="str">
        <f t="shared" si="170"/>
        <v/>
      </c>
      <c r="JJ34" s="223" t="str">
        <f t="shared" si="171"/>
        <v/>
      </c>
      <c r="JK34" s="223" t="str">
        <f t="shared" si="172"/>
        <v/>
      </c>
      <c r="JL34" s="223" t="str">
        <f t="shared" si="173"/>
        <v/>
      </c>
      <c r="JM34" s="223" t="str">
        <f t="shared" si="174"/>
        <v/>
      </c>
      <c r="JN34" s="223" t="str">
        <f t="shared" si="175"/>
        <v/>
      </c>
      <c r="JO34" s="223" t="str">
        <f t="shared" si="176"/>
        <v/>
      </c>
      <c r="JP34" s="223" t="str">
        <f t="shared" si="177"/>
        <v/>
      </c>
      <c r="JQ34" s="223" t="str">
        <f t="shared" si="178"/>
        <v/>
      </c>
      <c r="JR34" s="223"/>
      <c r="JS34" s="223"/>
      <c r="JT34" s="223" t="e">
        <f t="shared" si="179"/>
        <v>#N/A</v>
      </c>
      <c r="JU34" s="577" t="e">
        <f>IF(IQ34&gt;100,"",IF(IQ34&gt;=EV$1,"sangat baik dalam "&amp;JT34,IF(IQ34&gt;=EV$2,"baik dalam "&amp;JT34,IF(IQ34&gt;=EV$3,"cukup dalam "&amp;JT34,IF(IQ34&lt;EV$3,"dengan bimbingan dapat meningkatkan dalam "&amp;JT34,IF(IQ34&lt;1," ",””))))))</f>
        <v>#N/A</v>
      </c>
      <c r="JV34" s="223" t="e">
        <f t="shared" si="180"/>
        <v>#N/A</v>
      </c>
    </row>
    <row r="35" spans="1:282">
      <c r="A35" s="39">
        <v>28</v>
      </c>
      <c r="B35" s="223">
        <f>SISWA!B33</f>
        <v>0</v>
      </c>
      <c r="C35" s="123"/>
      <c r="D35" s="123"/>
      <c r="E35" s="123"/>
      <c r="F35" s="123"/>
      <c r="G35" s="123"/>
      <c r="H35" s="123"/>
      <c r="I35" s="123"/>
      <c r="J35" s="123"/>
      <c r="K35" s="123"/>
      <c r="L35" s="255"/>
      <c r="M35" s="255"/>
      <c r="N35" s="255"/>
      <c r="O35" s="255"/>
      <c r="P35" s="255"/>
      <c r="Q35" s="255"/>
      <c r="R35" s="255"/>
      <c r="S35" s="255"/>
      <c r="T35" s="255"/>
      <c r="U35" s="256"/>
      <c r="V35" s="256"/>
      <c r="W35" s="256"/>
      <c r="X35" s="256"/>
      <c r="Y35" s="256"/>
      <c r="Z35" s="256"/>
      <c r="AA35" s="256"/>
      <c r="AB35" s="256"/>
      <c r="AC35" s="256"/>
      <c r="AD35" s="123"/>
      <c r="AE35" s="123"/>
      <c r="AF35" s="123"/>
      <c r="AG35" s="123"/>
      <c r="AH35" s="123"/>
      <c r="AI35" s="123"/>
      <c r="AJ35" s="123"/>
      <c r="AK35" s="123"/>
      <c r="AL35" s="123"/>
      <c r="AM35" s="255"/>
      <c r="AN35" s="255"/>
      <c r="AO35" s="255"/>
      <c r="AP35" s="255"/>
      <c r="AQ35" s="255"/>
      <c r="AR35" s="255"/>
      <c r="AS35" s="255"/>
      <c r="AT35" s="255"/>
      <c r="AU35" s="255"/>
      <c r="AV35" s="256"/>
      <c r="AW35" s="256"/>
      <c r="AX35" s="256"/>
      <c r="AY35" s="256"/>
      <c r="AZ35" s="256"/>
      <c r="BA35" s="256"/>
      <c r="BB35" s="256"/>
      <c r="BC35" s="256"/>
      <c r="BD35" s="256"/>
      <c r="BE35" s="123"/>
      <c r="BF35" s="123"/>
      <c r="BG35" s="123"/>
      <c r="BH35" s="123"/>
      <c r="BI35" s="123"/>
      <c r="BJ35" s="123"/>
      <c r="BK35" s="123"/>
      <c r="BL35" s="123"/>
      <c r="BM35" s="123"/>
      <c r="BN35" s="255"/>
      <c r="BO35" s="255"/>
      <c r="BP35" s="255"/>
      <c r="BQ35" s="255"/>
      <c r="BR35" s="255"/>
      <c r="BS35" s="255"/>
      <c r="BT35" s="255"/>
      <c r="BU35" s="255"/>
      <c r="BV35" s="255"/>
      <c r="BW35" s="256"/>
      <c r="BX35" s="256"/>
      <c r="BY35" s="256"/>
      <c r="BZ35" s="256"/>
      <c r="CA35" s="256"/>
      <c r="CB35" s="256"/>
      <c r="CC35" s="256"/>
      <c r="CD35" s="256"/>
      <c r="CE35" s="256"/>
      <c r="CF35" s="123"/>
      <c r="CG35" s="123"/>
      <c r="CH35" s="123"/>
      <c r="CI35" s="123"/>
      <c r="CJ35" s="123"/>
      <c r="CK35" s="123"/>
      <c r="CL35" s="123"/>
      <c r="CM35" s="123"/>
      <c r="CN35" s="123"/>
      <c r="CO35" s="255"/>
      <c r="CP35" s="255"/>
      <c r="CQ35" s="255"/>
      <c r="CR35" s="255"/>
      <c r="CS35" s="255"/>
      <c r="CT35" s="255"/>
      <c r="CU35" s="255"/>
      <c r="CV35" s="255"/>
      <c r="CW35" s="255"/>
      <c r="CX35" s="256"/>
      <c r="CY35" s="256"/>
      <c r="CZ35" s="256"/>
      <c r="DA35" s="256"/>
      <c r="DB35" s="256"/>
      <c r="DC35" s="256"/>
      <c r="DD35" s="256"/>
      <c r="DE35" s="256"/>
      <c r="DF35" s="256"/>
      <c r="DG35" s="458"/>
      <c r="DH35" s="458"/>
      <c r="DI35" s="458"/>
      <c r="DJ35" s="458"/>
      <c r="DK35" s="458"/>
      <c r="DL35" s="458"/>
      <c r="DM35" s="458"/>
      <c r="DN35" s="458"/>
      <c r="DO35" s="458"/>
      <c r="DP35" s="457"/>
      <c r="DQ35" s="457"/>
      <c r="DR35" s="457"/>
      <c r="DS35" s="457"/>
      <c r="DT35" s="457"/>
      <c r="DU35" s="457"/>
      <c r="DV35" s="457"/>
      <c r="DW35" s="457"/>
      <c r="DX35" s="457"/>
      <c r="DY35" s="256"/>
      <c r="DZ35" s="256"/>
      <c r="EA35" s="256"/>
      <c r="EB35" s="256"/>
      <c r="EC35" s="256"/>
      <c r="ED35" s="256"/>
      <c r="EE35" s="256"/>
      <c r="EF35" s="256"/>
      <c r="EG35" s="256"/>
      <c r="EH35" s="257" t="str">
        <f t="shared" si="51"/>
        <v/>
      </c>
      <c r="EI35" s="257" t="str">
        <f t="shared" si="52"/>
        <v/>
      </c>
      <c r="EJ35" s="257" t="str">
        <f t="shared" si="53"/>
        <v/>
      </c>
      <c r="EK35" s="257" t="str">
        <f t="shared" si="54"/>
        <v/>
      </c>
      <c r="EL35" s="257" t="str">
        <f t="shared" si="55"/>
        <v/>
      </c>
      <c r="EM35" s="257" t="str">
        <f t="shared" si="56"/>
        <v/>
      </c>
      <c r="EN35" s="257" t="str">
        <f t="shared" si="57"/>
        <v/>
      </c>
      <c r="EO35" s="257" t="str">
        <f t="shared" si="58"/>
        <v/>
      </c>
      <c r="EP35" s="257" t="str">
        <f t="shared" si="59"/>
        <v/>
      </c>
      <c r="EQ35" s="756" t="str">
        <f t="shared" si="181"/>
        <v/>
      </c>
      <c r="ER35" s="291" t="str">
        <f t="shared" si="60"/>
        <v xml:space="preserve">  </v>
      </c>
      <c r="ES35" s="243" t="str">
        <f t="shared" si="61"/>
        <v xml:space="preserve"> </v>
      </c>
      <c r="ET35" s="39"/>
      <c r="EU35" s="39"/>
      <c r="EV35" s="257">
        <f t="shared" si="62"/>
        <v>0</v>
      </c>
      <c r="EW35" s="257">
        <f t="shared" si="63"/>
        <v>0</v>
      </c>
      <c r="EX35" s="257">
        <f t="shared" si="64"/>
        <v>0</v>
      </c>
      <c r="EY35" s="257">
        <f t="shared" si="65"/>
        <v>0</v>
      </c>
      <c r="EZ35" s="257">
        <f t="shared" si="66"/>
        <v>0</v>
      </c>
      <c r="FA35" s="257">
        <f t="shared" si="67"/>
        <v>0</v>
      </c>
      <c r="FB35" s="257">
        <f t="shared" si="68"/>
        <v>0</v>
      </c>
      <c r="FC35" s="257">
        <f t="shared" si="69"/>
        <v>0</v>
      </c>
      <c r="FD35" s="257">
        <f t="shared" si="70"/>
        <v>0</v>
      </c>
      <c r="FE35" s="257"/>
      <c r="FF35" s="289">
        <f t="shared" si="71"/>
        <v>0</v>
      </c>
      <c r="FG35" s="257">
        <f t="shared" si="72"/>
        <v>0</v>
      </c>
      <c r="FH35" s="257">
        <f t="shared" si="73"/>
        <v>0</v>
      </c>
      <c r="FI35" s="257">
        <f t="shared" si="74"/>
        <v>0</v>
      </c>
      <c r="FJ35" s="257">
        <f t="shared" si="75"/>
        <v>0</v>
      </c>
      <c r="FK35" s="257">
        <f t="shared" si="76"/>
        <v>0</v>
      </c>
      <c r="FL35" s="257">
        <f t="shared" si="77"/>
        <v>0</v>
      </c>
      <c r="FM35" s="257">
        <f t="shared" si="78"/>
        <v>0</v>
      </c>
      <c r="FN35" s="257">
        <f t="shared" si="79"/>
        <v>0</v>
      </c>
      <c r="FO35" s="257">
        <f t="shared" si="80"/>
        <v>0</v>
      </c>
      <c r="FP35" s="223"/>
      <c r="FQ35" s="289">
        <f t="shared" si="81"/>
        <v>0</v>
      </c>
      <c r="FR35" s="257">
        <f t="shared" si="82"/>
        <v>0</v>
      </c>
      <c r="FS35" s="257">
        <f t="shared" si="83"/>
        <v>0</v>
      </c>
      <c r="FT35" s="257">
        <f t="shared" si="84"/>
        <v>0</v>
      </c>
      <c r="FU35" s="257">
        <f t="shared" si="85"/>
        <v>0</v>
      </c>
      <c r="FV35" s="257">
        <f t="shared" si="86"/>
        <v>0</v>
      </c>
      <c r="FW35" s="257">
        <f t="shared" si="87"/>
        <v>0</v>
      </c>
      <c r="FX35" s="257">
        <f t="shared" si="88"/>
        <v>0</v>
      </c>
      <c r="FY35" s="257">
        <f t="shared" si="89"/>
        <v>0</v>
      </c>
      <c r="FZ35" s="257">
        <f t="shared" si="90"/>
        <v>0</v>
      </c>
      <c r="GA35" s="223"/>
      <c r="GB35" s="289">
        <f t="shared" si="91"/>
        <v>0</v>
      </c>
      <c r="GC35" s="257">
        <f t="shared" si="92"/>
        <v>0</v>
      </c>
      <c r="GD35" s="257">
        <f t="shared" si="93"/>
        <v>0</v>
      </c>
      <c r="GE35" s="257">
        <f t="shared" si="94"/>
        <v>0</v>
      </c>
      <c r="GF35" s="575">
        <f t="shared" si="95"/>
        <v>3</v>
      </c>
      <c r="GG35" s="506">
        <f t="shared" si="96"/>
        <v>0</v>
      </c>
      <c r="GH35" s="39" t="str">
        <f t="shared" si="97"/>
        <v/>
      </c>
      <c r="GI35" s="257">
        <f t="shared" si="98"/>
        <v>0</v>
      </c>
      <c r="GJ35" s="257">
        <f t="shared" si="99"/>
        <v>0</v>
      </c>
      <c r="GK35" s="257">
        <f t="shared" si="100"/>
        <v>0</v>
      </c>
      <c r="GL35" s="575">
        <f t="shared" si="101"/>
        <v>3</v>
      </c>
      <c r="GM35" s="506">
        <f t="shared" si="102"/>
        <v>0</v>
      </c>
      <c r="GN35" s="39" t="str">
        <f t="shared" si="103"/>
        <v/>
      </c>
      <c r="GO35" s="257">
        <f t="shared" si="104"/>
        <v>0</v>
      </c>
      <c r="GP35" s="257">
        <f t="shared" si="105"/>
        <v>0</v>
      </c>
      <c r="GQ35" s="257">
        <f t="shared" si="106"/>
        <v>0</v>
      </c>
      <c r="GR35" s="575">
        <f t="shared" si="107"/>
        <v>3</v>
      </c>
      <c r="GS35" s="506">
        <f t="shared" si="108"/>
        <v>0</v>
      </c>
      <c r="GT35" s="39" t="str">
        <f t="shared" si="109"/>
        <v/>
      </c>
      <c r="GU35" s="257">
        <f t="shared" si="110"/>
        <v>0</v>
      </c>
      <c r="GV35" s="257">
        <f t="shared" si="111"/>
        <v>0</v>
      </c>
      <c r="GW35" s="257">
        <f t="shared" si="112"/>
        <v>0</v>
      </c>
      <c r="GX35" s="575">
        <f t="shared" si="113"/>
        <v>3</v>
      </c>
      <c r="GY35" s="506">
        <f t="shared" si="114"/>
        <v>0</v>
      </c>
      <c r="GZ35" s="39" t="str">
        <f t="shared" si="115"/>
        <v/>
      </c>
      <c r="HA35" s="257">
        <f t="shared" si="116"/>
        <v>0</v>
      </c>
      <c r="HB35" s="257">
        <f t="shared" si="117"/>
        <v>0</v>
      </c>
      <c r="HC35" s="257">
        <f t="shared" si="118"/>
        <v>0</v>
      </c>
      <c r="HD35" s="575">
        <f t="shared" si="119"/>
        <v>3</v>
      </c>
      <c r="HE35" s="506">
        <f t="shared" si="120"/>
        <v>0</v>
      </c>
      <c r="HF35" s="39" t="str">
        <f t="shared" si="121"/>
        <v/>
      </c>
      <c r="HG35" s="257">
        <f t="shared" si="122"/>
        <v>0</v>
      </c>
      <c r="HH35" s="257">
        <f t="shared" si="123"/>
        <v>0</v>
      </c>
      <c r="HI35" s="257">
        <f t="shared" si="124"/>
        <v>0</v>
      </c>
      <c r="HJ35" s="575">
        <f t="shared" si="125"/>
        <v>3</v>
      </c>
      <c r="HK35" s="506">
        <f t="shared" si="126"/>
        <v>0</v>
      </c>
      <c r="HL35" s="39" t="str">
        <f t="shared" si="127"/>
        <v/>
      </c>
      <c r="HM35" s="257">
        <f t="shared" si="128"/>
        <v>0</v>
      </c>
      <c r="HN35" s="257">
        <f t="shared" si="129"/>
        <v>0</v>
      </c>
      <c r="HO35" s="257">
        <f t="shared" si="130"/>
        <v>0</v>
      </c>
      <c r="HP35" s="575">
        <f t="shared" si="131"/>
        <v>3</v>
      </c>
      <c r="HQ35" s="506">
        <f t="shared" si="132"/>
        <v>0</v>
      </c>
      <c r="HR35" s="39" t="str">
        <f t="shared" si="133"/>
        <v/>
      </c>
      <c r="HS35" s="257">
        <f t="shared" si="134"/>
        <v>0</v>
      </c>
      <c r="HT35" s="257">
        <f t="shared" si="135"/>
        <v>0</v>
      </c>
      <c r="HU35" s="257">
        <f t="shared" si="136"/>
        <v>0</v>
      </c>
      <c r="HV35" s="575">
        <f t="shared" si="137"/>
        <v>3</v>
      </c>
      <c r="HW35" s="506">
        <f t="shared" si="138"/>
        <v>0</v>
      </c>
      <c r="HX35" s="39" t="str">
        <f t="shared" si="139"/>
        <v/>
      </c>
      <c r="HY35" s="257">
        <f t="shared" si="140"/>
        <v>0</v>
      </c>
      <c r="HZ35" s="257">
        <f t="shared" si="141"/>
        <v>0</v>
      </c>
      <c r="IA35" s="257">
        <f t="shared" si="142"/>
        <v>0</v>
      </c>
      <c r="IB35" s="575">
        <f t="shared" si="143"/>
        <v>3</v>
      </c>
      <c r="IC35" s="506">
        <f t="shared" si="144"/>
        <v>0</v>
      </c>
      <c r="ID35" s="39" t="str">
        <f t="shared" si="145"/>
        <v/>
      </c>
      <c r="IE35" s="39"/>
      <c r="IF35" s="39" t="str">
        <f t="shared" si="146"/>
        <v/>
      </c>
      <c r="IG35" s="39" t="str">
        <f t="shared" si="147"/>
        <v/>
      </c>
      <c r="IH35" s="39" t="str">
        <f t="shared" si="148"/>
        <v/>
      </c>
      <c r="II35" s="39" t="str">
        <f t="shared" si="149"/>
        <v/>
      </c>
      <c r="IJ35" s="39" t="str">
        <f t="shared" si="150"/>
        <v/>
      </c>
      <c r="IK35" s="39" t="str">
        <f t="shared" si="151"/>
        <v/>
      </c>
      <c r="IL35" s="257" t="str">
        <f t="shared" si="152"/>
        <v/>
      </c>
      <c r="IM35" s="257" t="str">
        <f t="shared" si="153"/>
        <v/>
      </c>
      <c r="IN35" s="257" t="str">
        <f t="shared" si="154"/>
        <v/>
      </c>
      <c r="IO35" s="579" t="str">
        <f t="shared" si="155"/>
        <v/>
      </c>
      <c r="IP35" s="289">
        <f t="shared" si="156"/>
        <v>0</v>
      </c>
      <c r="IQ35" s="289">
        <f t="shared" si="157"/>
        <v>0</v>
      </c>
      <c r="IR35" s="223">
        <f>SISWA!E33</f>
        <v>0</v>
      </c>
      <c r="IS35" s="223" t="str">
        <f t="shared" si="158"/>
        <v/>
      </c>
      <c r="IT35" s="580" t="str">
        <f t="shared" si="159"/>
        <v/>
      </c>
      <c r="IU35" s="580" t="str">
        <f t="shared" si="160"/>
        <v/>
      </c>
      <c r="IV35" s="580" t="str">
        <f t="shared" si="161"/>
        <v/>
      </c>
      <c r="IW35" s="580" t="str">
        <f t="shared" si="162"/>
        <v/>
      </c>
      <c r="IX35" s="580" t="str">
        <f t="shared" si="163"/>
        <v/>
      </c>
      <c r="IY35" s="580" t="str">
        <f t="shared" si="164"/>
        <v/>
      </c>
      <c r="IZ35" s="580" t="str">
        <f t="shared" si="165"/>
        <v/>
      </c>
      <c r="JA35" s="580" t="str">
        <f t="shared" si="166"/>
        <v/>
      </c>
      <c r="JB35" s="580" t="str">
        <f t="shared" si="167"/>
        <v/>
      </c>
      <c r="JC35" s="580"/>
      <c r="JD35" s="580"/>
      <c r="JE35" s="223">
        <f t="shared" si="168"/>
        <v>0</v>
      </c>
      <c r="JF35" s="289" t="e">
        <f t="shared" si="169"/>
        <v>#N/A</v>
      </c>
      <c r="JG35" s="576" t="e">
        <f>IF(IP35&gt;100,"",IF(IP35&gt;EV$1,"sangat baik dalam "&amp;JF35,IF(IP35&gt;=EV$2,"baik dalam "&amp;JF35,IF(IP35&gt;=EV$3,"cukup dalam "&amp;JF35,IF(IP35&lt;EV$3,"dengan bimbingan dapat meningkatkan dalam "&amp;JF35,IF(IP35&lt;1," ",””))))))</f>
        <v>#N/A</v>
      </c>
      <c r="JH35" s="223"/>
      <c r="JI35" s="223" t="str">
        <f t="shared" si="170"/>
        <v/>
      </c>
      <c r="JJ35" s="223" t="str">
        <f t="shared" si="171"/>
        <v/>
      </c>
      <c r="JK35" s="223" t="str">
        <f t="shared" si="172"/>
        <v/>
      </c>
      <c r="JL35" s="223" t="str">
        <f t="shared" si="173"/>
        <v/>
      </c>
      <c r="JM35" s="223" t="str">
        <f t="shared" si="174"/>
        <v/>
      </c>
      <c r="JN35" s="223" t="str">
        <f t="shared" si="175"/>
        <v/>
      </c>
      <c r="JO35" s="223" t="str">
        <f t="shared" si="176"/>
        <v/>
      </c>
      <c r="JP35" s="223" t="str">
        <f t="shared" si="177"/>
        <v/>
      </c>
      <c r="JQ35" s="223" t="str">
        <f t="shared" si="178"/>
        <v/>
      </c>
      <c r="JR35" s="223"/>
      <c r="JS35" s="223"/>
      <c r="JT35" s="223" t="e">
        <f t="shared" si="179"/>
        <v>#N/A</v>
      </c>
      <c r="JU35" s="577" t="e">
        <f>IF(IQ35&gt;100,"",IF(IQ35&gt;=EV$1,"sangat baik dalam "&amp;JT35,IF(IQ35&gt;=EV$2,"baik dalam "&amp;JT35,IF(IQ35&gt;=EV$3,"cukup dalam "&amp;JT35,IF(IQ35&lt;EV$3,"dengan bimbingan dapat meningkatkan dalam "&amp;JT35,IF(IQ35&lt;1," ",””))))))</f>
        <v>#N/A</v>
      </c>
      <c r="JV35" s="223" t="e">
        <f t="shared" si="180"/>
        <v>#N/A</v>
      </c>
    </row>
    <row r="36" spans="1:282">
      <c r="A36" s="39">
        <v>29</v>
      </c>
      <c r="B36" s="223">
        <f>SISWA!B34</f>
        <v>0</v>
      </c>
      <c r="C36" s="123"/>
      <c r="D36" s="123"/>
      <c r="E36" s="123"/>
      <c r="F36" s="123"/>
      <c r="G36" s="123"/>
      <c r="H36" s="123"/>
      <c r="I36" s="123"/>
      <c r="J36" s="123"/>
      <c r="K36" s="123"/>
      <c r="L36" s="255"/>
      <c r="M36" s="255"/>
      <c r="N36" s="255"/>
      <c r="O36" s="255"/>
      <c r="P36" s="255"/>
      <c r="Q36" s="255"/>
      <c r="R36" s="255"/>
      <c r="S36" s="255"/>
      <c r="T36" s="255"/>
      <c r="U36" s="256"/>
      <c r="V36" s="256"/>
      <c r="W36" s="256"/>
      <c r="X36" s="256"/>
      <c r="Y36" s="256"/>
      <c r="Z36" s="256"/>
      <c r="AA36" s="256"/>
      <c r="AB36" s="256"/>
      <c r="AC36" s="256"/>
      <c r="AD36" s="123"/>
      <c r="AE36" s="123"/>
      <c r="AF36" s="123"/>
      <c r="AG36" s="123"/>
      <c r="AH36" s="123"/>
      <c r="AI36" s="123"/>
      <c r="AJ36" s="123"/>
      <c r="AK36" s="123"/>
      <c r="AL36" s="123"/>
      <c r="AM36" s="255"/>
      <c r="AN36" s="255"/>
      <c r="AO36" s="255"/>
      <c r="AP36" s="255"/>
      <c r="AQ36" s="255"/>
      <c r="AR36" s="255"/>
      <c r="AS36" s="255"/>
      <c r="AT36" s="255"/>
      <c r="AU36" s="255"/>
      <c r="AV36" s="256"/>
      <c r="AW36" s="256"/>
      <c r="AX36" s="256"/>
      <c r="AY36" s="256"/>
      <c r="AZ36" s="256"/>
      <c r="BA36" s="256"/>
      <c r="BB36" s="256"/>
      <c r="BC36" s="256"/>
      <c r="BD36" s="256"/>
      <c r="BE36" s="123"/>
      <c r="BF36" s="123"/>
      <c r="BG36" s="123"/>
      <c r="BH36" s="123"/>
      <c r="BI36" s="123"/>
      <c r="BJ36" s="123"/>
      <c r="BK36" s="123"/>
      <c r="BL36" s="123"/>
      <c r="BM36" s="123"/>
      <c r="BN36" s="255"/>
      <c r="BO36" s="255"/>
      <c r="BP36" s="255"/>
      <c r="BQ36" s="255"/>
      <c r="BR36" s="255"/>
      <c r="BS36" s="255"/>
      <c r="BT36" s="255"/>
      <c r="BU36" s="255"/>
      <c r="BV36" s="255"/>
      <c r="BW36" s="256"/>
      <c r="BX36" s="256"/>
      <c r="BY36" s="256"/>
      <c r="BZ36" s="256"/>
      <c r="CA36" s="256"/>
      <c r="CB36" s="256"/>
      <c r="CC36" s="256"/>
      <c r="CD36" s="256"/>
      <c r="CE36" s="256"/>
      <c r="CF36" s="123"/>
      <c r="CG36" s="123"/>
      <c r="CH36" s="123"/>
      <c r="CI36" s="123"/>
      <c r="CJ36" s="123"/>
      <c r="CK36" s="123"/>
      <c r="CL36" s="123"/>
      <c r="CM36" s="123"/>
      <c r="CN36" s="123"/>
      <c r="CO36" s="255"/>
      <c r="CP36" s="255"/>
      <c r="CQ36" s="255"/>
      <c r="CR36" s="255"/>
      <c r="CS36" s="255"/>
      <c r="CT36" s="255"/>
      <c r="CU36" s="255"/>
      <c r="CV36" s="255"/>
      <c r="CW36" s="255"/>
      <c r="CX36" s="256"/>
      <c r="CY36" s="256"/>
      <c r="CZ36" s="256"/>
      <c r="DA36" s="256"/>
      <c r="DB36" s="256"/>
      <c r="DC36" s="256"/>
      <c r="DD36" s="256"/>
      <c r="DE36" s="256"/>
      <c r="DF36" s="256"/>
      <c r="DG36" s="458"/>
      <c r="DH36" s="458"/>
      <c r="DI36" s="458"/>
      <c r="DJ36" s="458"/>
      <c r="DK36" s="458"/>
      <c r="DL36" s="458"/>
      <c r="DM36" s="458"/>
      <c r="DN36" s="458"/>
      <c r="DO36" s="458"/>
      <c r="DP36" s="457"/>
      <c r="DQ36" s="457"/>
      <c r="DR36" s="457"/>
      <c r="DS36" s="457"/>
      <c r="DT36" s="457"/>
      <c r="DU36" s="457"/>
      <c r="DV36" s="457"/>
      <c r="DW36" s="457"/>
      <c r="DX36" s="457"/>
      <c r="DY36" s="256"/>
      <c r="DZ36" s="256"/>
      <c r="EA36" s="256"/>
      <c r="EB36" s="256"/>
      <c r="EC36" s="256"/>
      <c r="ED36" s="256"/>
      <c r="EE36" s="256"/>
      <c r="EF36" s="256"/>
      <c r="EG36" s="256"/>
      <c r="EH36" s="257" t="str">
        <f t="shared" si="51"/>
        <v/>
      </c>
      <c r="EI36" s="257" t="str">
        <f t="shared" si="52"/>
        <v/>
      </c>
      <c r="EJ36" s="257" t="str">
        <f t="shared" si="53"/>
        <v/>
      </c>
      <c r="EK36" s="257" t="str">
        <f t="shared" si="54"/>
        <v/>
      </c>
      <c r="EL36" s="257" t="str">
        <f t="shared" si="55"/>
        <v/>
      </c>
      <c r="EM36" s="257" t="str">
        <f t="shared" si="56"/>
        <v/>
      </c>
      <c r="EN36" s="257" t="str">
        <f t="shared" si="57"/>
        <v/>
      </c>
      <c r="EO36" s="257" t="str">
        <f t="shared" si="58"/>
        <v/>
      </c>
      <c r="EP36" s="257" t="str">
        <f t="shared" si="59"/>
        <v/>
      </c>
      <c r="EQ36" s="756" t="str">
        <f t="shared" si="181"/>
        <v/>
      </c>
      <c r="ER36" s="291" t="str">
        <f t="shared" si="60"/>
        <v xml:space="preserve">  </v>
      </c>
      <c r="ES36" s="243" t="str">
        <f t="shared" si="61"/>
        <v xml:space="preserve"> </v>
      </c>
      <c r="ET36" s="39"/>
      <c r="EU36" s="39"/>
      <c r="EV36" s="257">
        <f t="shared" si="62"/>
        <v>0</v>
      </c>
      <c r="EW36" s="257">
        <f t="shared" si="63"/>
        <v>0</v>
      </c>
      <c r="EX36" s="257">
        <f t="shared" si="64"/>
        <v>0</v>
      </c>
      <c r="EY36" s="257">
        <f t="shared" si="65"/>
        <v>0</v>
      </c>
      <c r="EZ36" s="257">
        <f t="shared" si="66"/>
        <v>0</v>
      </c>
      <c r="FA36" s="257">
        <f t="shared" si="67"/>
        <v>0</v>
      </c>
      <c r="FB36" s="257">
        <f t="shared" si="68"/>
        <v>0</v>
      </c>
      <c r="FC36" s="257">
        <f t="shared" si="69"/>
        <v>0</v>
      </c>
      <c r="FD36" s="257">
        <f t="shared" si="70"/>
        <v>0</v>
      </c>
      <c r="FE36" s="257"/>
      <c r="FF36" s="289">
        <f t="shared" si="71"/>
        <v>0</v>
      </c>
      <c r="FG36" s="257">
        <f t="shared" si="72"/>
        <v>0</v>
      </c>
      <c r="FH36" s="257">
        <f t="shared" si="73"/>
        <v>0</v>
      </c>
      <c r="FI36" s="257">
        <f t="shared" si="74"/>
        <v>0</v>
      </c>
      <c r="FJ36" s="257">
        <f t="shared" si="75"/>
        <v>0</v>
      </c>
      <c r="FK36" s="257">
        <f t="shared" si="76"/>
        <v>0</v>
      </c>
      <c r="FL36" s="257">
        <f t="shared" si="77"/>
        <v>0</v>
      </c>
      <c r="FM36" s="257">
        <f t="shared" si="78"/>
        <v>0</v>
      </c>
      <c r="FN36" s="257">
        <f t="shared" si="79"/>
        <v>0</v>
      </c>
      <c r="FO36" s="257">
        <f t="shared" si="80"/>
        <v>0</v>
      </c>
      <c r="FP36" s="223"/>
      <c r="FQ36" s="289">
        <f t="shared" si="81"/>
        <v>0</v>
      </c>
      <c r="FR36" s="257">
        <f t="shared" si="82"/>
        <v>0</v>
      </c>
      <c r="FS36" s="257">
        <f t="shared" si="83"/>
        <v>0</v>
      </c>
      <c r="FT36" s="257">
        <f t="shared" si="84"/>
        <v>0</v>
      </c>
      <c r="FU36" s="257">
        <f t="shared" si="85"/>
        <v>0</v>
      </c>
      <c r="FV36" s="257">
        <f t="shared" si="86"/>
        <v>0</v>
      </c>
      <c r="FW36" s="257">
        <f t="shared" si="87"/>
        <v>0</v>
      </c>
      <c r="FX36" s="257">
        <f t="shared" si="88"/>
        <v>0</v>
      </c>
      <c r="FY36" s="257">
        <f t="shared" si="89"/>
        <v>0</v>
      </c>
      <c r="FZ36" s="257">
        <f t="shared" si="90"/>
        <v>0</v>
      </c>
      <c r="GA36" s="223"/>
      <c r="GB36" s="289">
        <f t="shared" si="91"/>
        <v>0</v>
      </c>
      <c r="GC36" s="257">
        <f t="shared" si="92"/>
        <v>0</v>
      </c>
      <c r="GD36" s="257">
        <f t="shared" si="93"/>
        <v>0</v>
      </c>
      <c r="GE36" s="257">
        <f t="shared" si="94"/>
        <v>0</v>
      </c>
      <c r="GF36" s="575">
        <f t="shared" si="95"/>
        <v>3</v>
      </c>
      <c r="GG36" s="506">
        <f t="shared" si="96"/>
        <v>0</v>
      </c>
      <c r="GH36" s="39" t="str">
        <f t="shared" si="97"/>
        <v/>
      </c>
      <c r="GI36" s="257">
        <f t="shared" si="98"/>
        <v>0</v>
      </c>
      <c r="GJ36" s="257">
        <f t="shared" si="99"/>
        <v>0</v>
      </c>
      <c r="GK36" s="257">
        <f t="shared" si="100"/>
        <v>0</v>
      </c>
      <c r="GL36" s="575">
        <f t="shared" si="101"/>
        <v>3</v>
      </c>
      <c r="GM36" s="506">
        <f t="shared" si="102"/>
        <v>0</v>
      </c>
      <c r="GN36" s="39" t="str">
        <f t="shared" si="103"/>
        <v/>
      </c>
      <c r="GO36" s="257">
        <f t="shared" si="104"/>
        <v>0</v>
      </c>
      <c r="GP36" s="257">
        <f t="shared" si="105"/>
        <v>0</v>
      </c>
      <c r="GQ36" s="257">
        <f t="shared" si="106"/>
        <v>0</v>
      </c>
      <c r="GR36" s="575">
        <f t="shared" si="107"/>
        <v>3</v>
      </c>
      <c r="GS36" s="506">
        <f t="shared" si="108"/>
        <v>0</v>
      </c>
      <c r="GT36" s="39" t="str">
        <f t="shared" si="109"/>
        <v/>
      </c>
      <c r="GU36" s="257">
        <f t="shared" si="110"/>
        <v>0</v>
      </c>
      <c r="GV36" s="257">
        <f t="shared" si="111"/>
        <v>0</v>
      </c>
      <c r="GW36" s="257">
        <f t="shared" si="112"/>
        <v>0</v>
      </c>
      <c r="GX36" s="575">
        <f t="shared" si="113"/>
        <v>3</v>
      </c>
      <c r="GY36" s="506">
        <f t="shared" si="114"/>
        <v>0</v>
      </c>
      <c r="GZ36" s="39" t="str">
        <f t="shared" si="115"/>
        <v/>
      </c>
      <c r="HA36" s="257">
        <f t="shared" si="116"/>
        <v>0</v>
      </c>
      <c r="HB36" s="257">
        <f t="shared" si="117"/>
        <v>0</v>
      </c>
      <c r="HC36" s="257">
        <f t="shared" si="118"/>
        <v>0</v>
      </c>
      <c r="HD36" s="575">
        <f t="shared" si="119"/>
        <v>3</v>
      </c>
      <c r="HE36" s="506">
        <f t="shared" si="120"/>
        <v>0</v>
      </c>
      <c r="HF36" s="39" t="str">
        <f t="shared" si="121"/>
        <v/>
      </c>
      <c r="HG36" s="257">
        <f t="shared" si="122"/>
        <v>0</v>
      </c>
      <c r="HH36" s="257">
        <f t="shared" si="123"/>
        <v>0</v>
      </c>
      <c r="HI36" s="257">
        <f t="shared" si="124"/>
        <v>0</v>
      </c>
      <c r="HJ36" s="575">
        <f t="shared" si="125"/>
        <v>3</v>
      </c>
      <c r="HK36" s="506">
        <f t="shared" si="126"/>
        <v>0</v>
      </c>
      <c r="HL36" s="39" t="str">
        <f t="shared" si="127"/>
        <v/>
      </c>
      <c r="HM36" s="257">
        <f t="shared" si="128"/>
        <v>0</v>
      </c>
      <c r="HN36" s="257">
        <f t="shared" si="129"/>
        <v>0</v>
      </c>
      <c r="HO36" s="257">
        <f t="shared" si="130"/>
        <v>0</v>
      </c>
      <c r="HP36" s="575">
        <f t="shared" si="131"/>
        <v>3</v>
      </c>
      <c r="HQ36" s="506">
        <f t="shared" si="132"/>
        <v>0</v>
      </c>
      <c r="HR36" s="39" t="str">
        <f t="shared" si="133"/>
        <v/>
      </c>
      <c r="HS36" s="257">
        <f t="shared" si="134"/>
        <v>0</v>
      </c>
      <c r="HT36" s="257">
        <f t="shared" si="135"/>
        <v>0</v>
      </c>
      <c r="HU36" s="257">
        <f t="shared" si="136"/>
        <v>0</v>
      </c>
      <c r="HV36" s="575">
        <f t="shared" si="137"/>
        <v>3</v>
      </c>
      <c r="HW36" s="506">
        <f t="shared" si="138"/>
        <v>0</v>
      </c>
      <c r="HX36" s="39" t="str">
        <f t="shared" si="139"/>
        <v/>
      </c>
      <c r="HY36" s="257">
        <f t="shared" si="140"/>
        <v>0</v>
      </c>
      <c r="HZ36" s="257">
        <f t="shared" si="141"/>
        <v>0</v>
      </c>
      <c r="IA36" s="257">
        <f t="shared" si="142"/>
        <v>0</v>
      </c>
      <c r="IB36" s="575">
        <f t="shared" si="143"/>
        <v>3</v>
      </c>
      <c r="IC36" s="506">
        <f t="shared" si="144"/>
        <v>0</v>
      </c>
      <c r="ID36" s="39" t="str">
        <f t="shared" si="145"/>
        <v/>
      </c>
      <c r="IE36" s="39"/>
      <c r="IF36" s="39" t="str">
        <f t="shared" si="146"/>
        <v/>
      </c>
      <c r="IG36" s="39" t="str">
        <f t="shared" si="147"/>
        <v/>
      </c>
      <c r="IH36" s="39" t="str">
        <f t="shared" si="148"/>
        <v/>
      </c>
      <c r="II36" s="39" t="str">
        <f t="shared" si="149"/>
        <v/>
      </c>
      <c r="IJ36" s="39" t="str">
        <f t="shared" si="150"/>
        <v/>
      </c>
      <c r="IK36" s="39" t="str">
        <f t="shared" si="151"/>
        <v/>
      </c>
      <c r="IL36" s="257" t="str">
        <f t="shared" si="152"/>
        <v/>
      </c>
      <c r="IM36" s="257" t="str">
        <f t="shared" si="153"/>
        <v/>
      </c>
      <c r="IN36" s="257" t="str">
        <f t="shared" si="154"/>
        <v/>
      </c>
      <c r="IO36" s="579" t="str">
        <f t="shared" si="155"/>
        <v/>
      </c>
      <c r="IP36" s="289">
        <f t="shared" si="156"/>
        <v>0</v>
      </c>
      <c r="IQ36" s="289">
        <f t="shared" si="157"/>
        <v>0</v>
      </c>
      <c r="IR36" s="223">
        <f>SISWA!E34</f>
        <v>0</v>
      </c>
      <c r="IS36" s="223" t="str">
        <f t="shared" si="158"/>
        <v/>
      </c>
      <c r="IT36" s="580" t="str">
        <f t="shared" si="159"/>
        <v/>
      </c>
      <c r="IU36" s="580" t="str">
        <f t="shared" si="160"/>
        <v/>
      </c>
      <c r="IV36" s="580" t="str">
        <f t="shared" si="161"/>
        <v/>
      </c>
      <c r="IW36" s="580" t="str">
        <f t="shared" si="162"/>
        <v/>
      </c>
      <c r="IX36" s="580" t="str">
        <f t="shared" si="163"/>
        <v/>
      </c>
      <c r="IY36" s="580" t="str">
        <f t="shared" si="164"/>
        <v/>
      </c>
      <c r="IZ36" s="580" t="str">
        <f t="shared" si="165"/>
        <v/>
      </c>
      <c r="JA36" s="580" t="str">
        <f t="shared" si="166"/>
        <v/>
      </c>
      <c r="JB36" s="580" t="str">
        <f t="shared" si="167"/>
        <v/>
      </c>
      <c r="JC36" s="580"/>
      <c r="JD36" s="580"/>
      <c r="JE36" s="223">
        <f t="shared" si="168"/>
        <v>0</v>
      </c>
      <c r="JF36" s="289" t="e">
        <f t="shared" si="169"/>
        <v>#N/A</v>
      </c>
      <c r="JG36" s="576" t="e">
        <f>IF(IP36&gt;100,"",IF(IP36&gt;EV$1,"sangat baik dalam "&amp;JF36,IF(IP36&gt;=EV$2,"baik dalam "&amp;JF36,IF(IP36&gt;=EV$3,"cukup dalam "&amp;JF36,IF(IP36&lt;EV$3,"dengan bimbingan dapat meningkatkan dalam "&amp;JF36,IF(IP36&lt;1," ",””))))))</f>
        <v>#N/A</v>
      </c>
      <c r="JH36" s="223"/>
      <c r="JI36" s="223" t="str">
        <f t="shared" si="170"/>
        <v/>
      </c>
      <c r="JJ36" s="223" t="str">
        <f t="shared" si="171"/>
        <v/>
      </c>
      <c r="JK36" s="223" t="str">
        <f t="shared" si="172"/>
        <v/>
      </c>
      <c r="JL36" s="223" t="str">
        <f t="shared" si="173"/>
        <v/>
      </c>
      <c r="JM36" s="223" t="str">
        <f t="shared" si="174"/>
        <v/>
      </c>
      <c r="JN36" s="223" t="str">
        <f t="shared" si="175"/>
        <v/>
      </c>
      <c r="JO36" s="223" t="str">
        <f t="shared" si="176"/>
        <v/>
      </c>
      <c r="JP36" s="223" t="str">
        <f t="shared" si="177"/>
        <v/>
      </c>
      <c r="JQ36" s="223" t="str">
        <f t="shared" si="178"/>
        <v/>
      </c>
      <c r="JR36" s="223"/>
      <c r="JS36" s="223"/>
      <c r="JT36" s="223" t="e">
        <f t="shared" si="179"/>
        <v>#N/A</v>
      </c>
      <c r="JU36" s="577" t="e">
        <f>IF(IQ36&gt;100,"",IF(IQ36&gt;=EV$1,"sangat baik dalam "&amp;JT36,IF(IQ36&gt;=EV$2,"baik dalam "&amp;JT36,IF(IQ36&gt;=EV$3,"cukup dalam "&amp;JT36,IF(IQ36&lt;EV$3,"dengan bimbingan dapat meningkatkan dalam "&amp;JT36,IF(IQ36&lt;1," ",””))))))</f>
        <v>#N/A</v>
      </c>
      <c r="JV36" s="223" t="e">
        <f t="shared" si="180"/>
        <v>#N/A</v>
      </c>
    </row>
    <row r="37" spans="1:282">
      <c r="A37" s="39">
        <v>30</v>
      </c>
      <c r="B37" s="223">
        <f>SISWA!B35</f>
        <v>0</v>
      </c>
      <c r="C37" s="123"/>
      <c r="D37" s="123"/>
      <c r="E37" s="123"/>
      <c r="F37" s="123"/>
      <c r="G37" s="123"/>
      <c r="H37" s="123"/>
      <c r="I37" s="123"/>
      <c r="J37" s="123"/>
      <c r="K37" s="123"/>
      <c r="L37" s="255"/>
      <c r="M37" s="255"/>
      <c r="N37" s="255"/>
      <c r="O37" s="255"/>
      <c r="P37" s="255"/>
      <c r="Q37" s="255"/>
      <c r="R37" s="255"/>
      <c r="S37" s="255"/>
      <c r="T37" s="255"/>
      <c r="U37" s="256"/>
      <c r="V37" s="256"/>
      <c r="W37" s="256"/>
      <c r="X37" s="256"/>
      <c r="Y37" s="256"/>
      <c r="Z37" s="256"/>
      <c r="AA37" s="256"/>
      <c r="AB37" s="256"/>
      <c r="AC37" s="256"/>
      <c r="AD37" s="123"/>
      <c r="AE37" s="123"/>
      <c r="AF37" s="123"/>
      <c r="AG37" s="123"/>
      <c r="AH37" s="123"/>
      <c r="AI37" s="123"/>
      <c r="AJ37" s="123"/>
      <c r="AK37" s="123"/>
      <c r="AL37" s="123"/>
      <c r="AM37" s="255"/>
      <c r="AN37" s="255"/>
      <c r="AO37" s="255"/>
      <c r="AP37" s="255"/>
      <c r="AQ37" s="255"/>
      <c r="AR37" s="255"/>
      <c r="AS37" s="255"/>
      <c r="AT37" s="255"/>
      <c r="AU37" s="255"/>
      <c r="AV37" s="256"/>
      <c r="AW37" s="256"/>
      <c r="AX37" s="256"/>
      <c r="AY37" s="256"/>
      <c r="AZ37" s="256"/>
      <c r="BA37" s="256"/>
      <c r="BB37" s="256"/>
      <c r="BC37" s="256"/>
      <c r="BD37" s="256"/>
      <c r="BE37" s="123"/>
      <c r="BF37" s="123"/>
      <c r="BG37" s="123"/>
      <c r="BH37" s="123"/>
      <c r="BI37" s="123"/>
      <c r="BJ37" s="123"/>
      <c r="BK37" s="123"/>
      <c r="BL37" s="123"/>
      <c r="BM37" s="123"/>
      <c r="BN37" s="255"/>
      <c r="BO37" s="255"/>
      <c r="BP37" s="255"/>
      <c r="BQ37" s="255"/>
      <c r="BR37" s="255"/>
      <c r="BS37" s="255"/>
      <c r="BT37" s="255"/>
      <c r="BU37" s="255"/>
      <c r="BV37" s="255"/>
      <c r="BW37" s="256"/>
      <c r="BX37" s="256"/>
      <c r="BY37" s="256"/>
      <c r="BZ37" s="256"/>
      <c r="CA37" s="256"/>
      <c r="CB37" s="256"/>
      <c r="CC37" s="256"/>
      <c r="CD37" s="256"/>
      <c r="CE37" s="256"/>
      <c r="CF37" s="123"/>
      <c r="CG37" s="123"/>
      <c r="CH37" s="123"/>
      <c r="CI37" s="123"/>
      <c r="CJ37" s="123"/>
      <c r="CK37" s="123"/>
      <c r="CL37" s="123"/>
      <c r="CM37" s="123"/>
      <c r="CN37" s="123"/>
      <c r="CO37" s="255"/>
      <c r="CP37" s="255"/>
      <c r="CQ37" s="255"/>
      <c r="CR37" s="255"/>
      <c r="CS37" s="255"/>
      <c r="CT37" s="255"/>
      <c r="CU37" s="255"/>
      <c r="CV37" s="255"/>
      <c r="CW37" s="255"/>
      <c r="CX37" s="256"/>
      <c r="CY37" s="256"/>
      <c r="CZ37" s="256"/>
      <c r="DA37" s="256"/>
      <c r="DB37" s="256"/>
      <c r="DC37" s="256"/>
      <c r="DD37" s="256"/>
      <c r="DE37" s="256"/>
      <c r="DF37" s="256"/>
      <c r="DG37" s="458"/>
      <c r="DH37" s="458"/>
      <c r="DI37" s="458"/>
      <c r="DJ37" s="458"/>
      <c r="DK37" s="458"/>
      <c r="DL37" s="458"/>
      <c r="DM37" s="458"/>
      <c r="DN37" s="458"/>
      <c r="DO37" s="458"/>
      <c r="DP37" s="457"/>
      <c r="DQ37" s="457"/>
      <c r="DR37" s="457"/>
      <c r="DS37" s="457"/>
      <c r="DT37" s="457"/>
      <c r="DU37" s="457"/>
      <c r="DV37" s="457"/>
      <c r="DW37" s="457"/>
      <c r="DX37" s="457"/>
      <c r="DY37" s="256"/>
      <c r="DZ37" s="256"/>
      <c r="EA37" s="256"/>
      <c r="EB37" s="256"/>
      <c r="EC37" s="256"/>
      <c r="ED37" s="256"/>
      <c r="EE37" s="256"/>
      <c r="EF37" s="256"/>
      <c r="EG37" s="256"/>
      <c r="EH37" s="257" t="str">
        <f t="shared" si="51"/>
        <v/>
      </c>
      <c r="EI37" s="257" t="str">
        <f t="shared" si="52"/>
        <v/>
      </c>
      <c r="EJ37" s="257" t="str">
        <f t="shared" si="53"/>
        <v/>
      </c>
      <c r="EK37" s="257" t="str">
        <f t="shared" si="54"/>
        <v/>
      </c>
      <c r="EL37" s="257" t="str">
        <f t="shared" si="55"/>
        <v/>
      </c>
      <c r="EM37" s="257" t="str">
        <f t="shared" si="56"/>
        <v/>
      </c>
      <c r="EN37" s="257" t="str">
        <f t="shared" si="57"/>
        <v/>
      </c>
      <c r="EO37" s="257" t="str">
        <f t="shared" si="58"/>
        <v/>
      </c>
      <c r="EP37" s="257" t="str">
        <f t="shared" si="59"/>
        <v/>
      </c>
      <c r="EQ37" s="756" t="str">
        <f t="shared" si="181"/>
        <v/>
      </c>
      <c r="ER37" s="291" t="str">
        <f t="shared" si="60"/>
        <v xml:space="preserve">  </v>
      </c>
      <c r="ES37" s="243" t="str">
        <f t="shared" si="61"/>
        <v xml:space="preserve"> </v>
      </c>
      <c r="ET37" s="39"/>
      <c r="EU37" s="39"/>
      <c r="EV37" s="257">
        <f t="shared" si="62"/>
        <v>0</v>
      </c>
      <c r="EW37" s="257">
        <f t="shared" si="63"/>
        <v>0</v>
      </c>
      <c r="EX37" s="257">
        <f t="shared" si="64"/>
        <v>0</v>
      </c>
      <c r="EY37" s="257">
        <f t="shared" si="65"/>
        <v>0</v>
      </c>
      <c r="EZ37" s="257">
        <f t="shared" si="66"/>
        <v>0</v>
      </c>
      <c r="FA37" s="257">
        <f t="shared" si="67"/>
        <v>0</v>
      </c>
      <c r="FB37" s="257">
        <f t="shared" si="68"/>
        <v>0</v>
      </c>
      <c r="FC37" s="257">
        <f t="shared" si="69"/>
        <v>0</v>
      </c>
      <c r="FD37" s="257">
        <f t="shared" si="70"/>
        <v>0</v>
      </c>
      <c r="FE37" s="257"/>
      <c r="FF37" s="289">
        <f t="shared" si="71"/>
        <v>0</v>
      </c>
      <c r="FG37" s="257">
        <f t="shared" si="72"/>
        <v>0</v>
      </c>
      <c r="FH37" s="257">
        <f t="shared" si="73"/>
        <v>0</v>
      </c>
      <c r="FI37" s="257">
        <f t="shared" si="74"/>
        <v>0</v>
      </c>
      <c r="FJ37" s="257">
        <f t="shared" si="75"/>
        <v>0</v>
      </c>
      <c r="FK37" s="257">
        <f t="shared" si="76"/>
        <v>0</v>
      </c>
      <c r="FL37" s="257">
        <f t="shared" si="77"/>
        <v>0</v>
      </c>
      <c r="FM37" s="257">
        <f t="shared" si="78"/>
        <v>0</v>
      </c>
      <c r="FN37" s="257">
        <f t="shared" si="79"/>
        <v>0</v>
      </c>
      <c r="FO37" s="257">
        <f t="shared" si="80"/>
        <v>0</v>
      </c>
      <c r="FP37" s="223"/>
      <c r="FQ37" s="289">
        <f t="shared" si="81"/>
        <v>0</v>
      </c>
      <c r="FR37" s="257">
        <f t="shared" si="82"/>
        <v>0</v>
      </c>
      <c r="FS37" s="257">
        <f t="shared" si="83"/>
        <v>0</v>
      </c>
      <c r="FT37" s="257">
        <f t="shared" si="84"/>
        <v>0</v>
      </c>
      <c r="FU37" s="257">
        <f t="shared" si="85"/>
        <v>0</v>
      </c>
      <c r="FV37" s="257">
        <f t="shared" si="86"/>
        <v>0</v>
      </c>
      <c r="FW37" s="257">
        <f t="shared" si="87"/>
        <v>0</v>
      </c>
      <c r="FX37" s="257">
        <f t="shared" si="88"/>
        <v>0</v>
      </c>
      <c r="FY37" s="257">
        <f t="shared" si="89"/>
        <v>0</v>
      </c>
      <c r="FZ37" s="257">
        <f t="shared" si="90"/>
        <v>0</v>
      </c>
      <c r="GA37" s="223"/>
      <c r="GB37" s="289">
        <f t="shared" si="91"/>
        <v>0</v>
      </c>
      <c r="GC37" s="257">
        <f t="shared" si="92"/>
        <v>0</v>
      </c>
      <c r="GD37" s="257">
        <f t="shared" si="93"/>
        <v>0</v>
      </c>
      <c r="GE37" s="257">
        <f t="shared" si="94"/>
        <v>0</v>
      </c>
      <c r="GF37" s="575">
        <f t="shared" si="95"/>
        <v>3</v>
      </c>
      <c r="GG37" s="506">
        <f t="shared" si="96"/>
        <v>0</v>
      </c>
      <c r="GH37" s="39" t="str">
        <f t="shared" si="97"/>
        <v/>
      </c>
      <c r="GI37" s="257">
        <f t="shared" si="98"/>
        <v>0</v>
      </c>
      <c r="GJ37" s="257">
        <f t="shared" si="99"/>
        <v>0</v>
      </c>
      <c r="GK37" s="257">
        <f t="shared" si="100"/>
        <v>0</v>
      </c>
      <c r="GL37" s="575">
        <f t="shared" si="101"/>
        <v>3</v>
      </c>
      <c r="GM37" s="506">
        <f t="shared" si="102"/>
        <v>0</v>
      </c>
      <c r="GN37" s="39" t="str">
        <f t="shared" si="103"/>
        <v/>
      </c>
      <c r="GO37" s="257">
        <f t="shared" si="104"/>
        <v>0</v>
      </c>
      <c r="GP37" s="257">
        <f t="shared" si="105"/>
        <v>0</v>
      </c>
      <c r="GQ37" s="257">
        <f t="shared" si="106"/>
        <v>0</v>
      </c>
      <c r="GR37" s="575">
        <f t="shared" si="107"/>
        <v>3</v>
      </c>
      <c r="GS37" s="506">
        <f t="shared" si="108"/>
        <v>0</v>
      </c>
      <c r="GT37" s="39" t="str">
        <f t="shared" si="109"/>
        <v/>
      </c>
      <c r="GU37" s="257">
        <f t="shared" si="110"/>
        <v>0</v>
      </c>
      <c r="GV37" s="257">
        <f t="shared" si="111"/>
        <v>0</v>
      </c>
      <c r="GW37" s="257">
        <f t="shared" si="112"/>
        <v>0</v>
      </c>
      <c r="GX37" s="575">
        <f t="shared" si="113"/>
        <v>3</v>
      </c>
      <c r="GY37" s="506">
        <f t="shared" si="114"/>
        <v>0</v>
      </c>
      <c r="GZ37" s="39" t="str">
        <f t="shared" si="115"/>
        <v/>
      </c>
      <c r="HA37" s="257">
        <f t="shared" si="116"/>
        <v>0</v>
      </c>
      <c r="HB37" s="257">
        <f t="shared" si="117"/>
        <v>0</v>
      </c>
      <c r="HC37" s="257">
        <f t="shared" si="118"/>
        <v>0</v>
      </c>
      <c r="HD37" s="575">
        <f t="shared" si="119"/>
        <v>3</v>
      </c>
      <c r="HE37" s="506">
        <f t="shared" si="120"/>
        <v>0</v>
      </c>
      <c r="HF37" s="39" t="str">
        <f t="shared" si="121"/>
        <v/>
      </c>
      <c r="HG37" s="257">
        <f t="shared" si="122"/>
        <v>0</v>
      </c>
      <c r="HH37" s="257">
        <f t="shared" si="123"/>
        <v>0</v>
      </c>
      <c r="HI37" s="257">
        <f t="shared" si="124"/>
        <v>0</v>
      </c>
      <c r="HJ37" s="575">
        <f t="shared" si="125"/>
        <v>3</v>
      </c>
      <c r="HK37" s="506">
        <f t="shared" si="126"/>
        <v>0</v>
      </c>
      <c r="HL37" s="39" t="str">
        <f t="shared" si="127"/>
        <v/>
      </c>
      <c r="HM37" s="257">
        <f t="shared" si="128"/>
        <v>0</v>
      </c>
      <c r="HN37" s="257">
        <f t="shared" si="129"/>
        <v>0</v>
      </c>
      <c r="HO37" s="257">
        <f t="shared" si="130"/>
        <v>0</v>
      </c>
      <c r="HP37" s="575">
        <f t="shared" si="131"/>
        <v>3</v>
      </c>
      <c r="HQ37" s="506">
        <f t="shared" si="132"/>
        <v>0</v>
      </c>
      <c r="HR37" s="39" t="str">
        <f t="shared" si="133"/>
        <v/>
      </c>
      <c r="HS37" s="257">
        <f t="shared" si="134"/>
        <v>0</v>
      </c>
      <c r="HT37" s="257">
        <f t="shared" si="135"/>
        <v>0</v>
      </c>
      <c r="HU37" s="257">
        <f t="shared" si="136"/>
        <v>0</v>
      </c>
      <c r="HV37" s="575">
        <f t="shared" si="137"/>
        <v>3</v>
      </c>
      <c r="HW37" s="506">
        <f t="shared" si="138"/>
        <v>0</v>
      </c>
      <c r="HX37" s="39" t="str">
        <f t="shared" si="139"/>
        <v/>
      </c>
      <c r="HY37" s="257">
        <f t="shared" si="140"/>
        <v>0</v>
      </c>
      <c r="HZ37" s="257">
        <f t="shared" si="141"/>
        <v>0</v>
      </c>
      <c r="IA37" s="257">
        <f t="shared" si="142"/>
        <v>0</v>
      </c>
      <c r="IB37" s="575">
        <f t="shared" si="143"/>
        <v>3</v>
      </c>
      <c r="IC37" s="506">
        <f t="shared" si="144"/>
        <v>0</v>
      </c>
      <c r="ID37" s="39" t="str">
        <f t="shared" si="145"/>
        <v/>
      </c>
      <c r="IE37" s="39"/>
      <c r="IF37" s="39" t="str">
        <f t="shared" si="146"/>
        <v/>
      </c>
      <c r="IG37" s="39" t="str">
        <f t="shared" si="147"/>
        <v/>
      </c>
      <c r="IH37" s="39" t="str">
        <f t="shared" si="148"/>
        <v/>
      </c>
      <c r="II37" s="39" t="str">
        <f t="shared" si="149"/>
        <v/>
      </c>
      <c r="IJ37" s="39" t="str">
        <f t="shared" si="150"/>
        <v/>
      </c>
      <c r="IK37" s="39" t="str">
        <f t="shared" si="151"/>
        <v/>
      </c>
      <c r="IL37" s="257" t="str">
        <f t="shared" si="152"/>
        <v/>
      </c>
      <c r="IM37" s="257" t="str">
        <f t="shared" si="153"/>
        <v/>
      </c>
      <c r="IN37" s="257" t="str">
        <f t="shared" si="154"/>
        <v/>
      </c>
      <c r="IO37" s="579" t="str">
        <f t="shared" si="155"/>
        <v/>
      </c>
      <c r="IP37" s="289">
        <f t="shared" si="156"/>
        <v>0</v>
      </c>
      <c r="IQ37" s="289">
        <f t="shared" si="157"/>
        <v>0</v>
      </c>
      <c r="IR37" s="223">
        <f>SISWA!E35</f>
        <v>0</v>
      </c>
      <c r="IS37" s="223" t="str">
        <f t="shared" si="158"/>
        <v/>
      </c>
      <c r="IT37" s="580" t="str">
        <f t="shared" si="159"/>
        <v/>
      </c>
      <c r="IU37" s="580" t="str">
        <f t="shared" si="160"/>
        <v/>
      </c>
      <c r="IV37" s="580" t="str">
        <f t="shared" si="161"/>
        <v/>
      </c>
      <c r="IW37" s="580" t="str">
        <f t="shared" si="162"/>
        <v/>
      </c>
      <c r="IX37" s="580" t="str">
        <f t="shared" si="163"/>
        <v/>
      </c>
      <c r="IY37" s="580" t="str">
        <f t="shared" si="164"/>
        <v/>
      </c>
      <c r="IZ37" s="580" t="str">
        <f t="shared" si="165"/>
        <v/>
      </c>
      <c r="JA37" s="580" t="str">
        <f t="shared" si="166"/>
        <v/>
      </c>
      <c r="JB37" s="580" t="str">
        <f t="shared" si="167"/>
        <v/>
      </c>
      <c r="JC37" s="580"/>
      <c r="JD37" s="580"/>
      <c r="JE37" s="223">
        <f t="shared" si="168"/>
        <v>0</v>
      </c>
      <c r="JF37" s="289" t="e">
        <f t="shared" si="169"/>
        <v>#N/A</v>
      </c>
      <c r="JG37" s="576" t="e">
        <f>IF(IP37&gt;100,"",IF(IP37&gt;EV$1,"sangat baik dalam "&amp;JF37,IF(IP37&gt;=EV$2,"baik dalam "&amp;JF37,IF(IP37&gt;=EV$3,"cukup dalam "&amp;JF37,IF(IP37&lt;EV$3,"dengan bimbingan dapat meningkatkan dalam "&amp;JF37,IF(IP37&lt;1," ",””))))))</f>
        <v>#N/A</v>
      </c>
      <c r="JH37" s="223"/>
      <c r="JI37" s="223" t="str">
        <f t="shared" si="170"/>
        <v/>
      </c>
      <c r="JJ37" s="223" t="str">
        <f t="shared" si="171"/>
        <v/>
      </c>
      <c r="JK37" s="223" t="str">
        <f t="shared" si="172"/>
        <v/>
      </c>
      <c r="JL37" s="223" t="str">
        <f t="shared" si="173"/>
        <v/>
      </c>
      <c r="JM37" s="223" t="str">
        <f t="shared" si="174"/>
        <v/>
      </c>
      <c r="JN37" s="223" t="str">
        <f t="shared" si="175"/>
        <v/>
      </c>
      <c r="JO37" s="223" t="str">
        <f t="shared" si="176"/>
        <v/>
      </c>
      <c r="JP37" s="223" t="str">
        <f t="shared" si="177"/>
        <v/>
      </c>
      <c r="JQ37" s="223" t="str">
        <f t="shared" si="178"/>
        <v/>
      </c>
      <c r="JR37" s="223"/>
      <c r="JS37" s="223"/>
      <c r="JT37" s="223" t="e">
        <f t="shared" si="179"/>
        <v>#N/A</v>
      </c>
      <c r="JU37" s="577" t="e">
        <f>IF(IQ37&gt;100,"",IF(IQ37&gt;=EV$1,"sangat baik dalam "&amp;JT37,IF(IQ37&gt;=EV$2,"baik dalam "&amp;JT37,IF(IQ37&gt;=EV$3,"cukup dalam "&amp;JT37,IF(IQ37&lt;EV$3,"dengan bimbingan dapat meningkatkan dalam "&amp;JT37,IF(IQ37&lt;1," ",””))))))</f>
        <v>#N/A</v>
      </c>
      <c r="JV37" s="223" t="e">
        <f t="shared" si="180"/>
        <v>#N/A</v>
      </c>
    </row>
    <row r="38" spans="1:282">
      <c r="A38" s="39">
        <v>31</v>
      </c>
      <c r="B38" s="223">
        <f>SISWA!B36</f>
        <v>0</v>
      </c>
      <c r="C38" s="123"/>
      <c r="D38" s="123"/>
      <c r="E38" s="123"/>
      <c r="F38" s="123"/>
      <c r="G38" s="123"/>
      <c r="H38" s="123"/>
      <c r="I38" s="123"/>
      <c r="J38" s="123"/>
      <c r="K38" s="123"/>
      <c r="L38" s="255"/>
      <c r="M38" s="255"/>
      <c r="N38" s="255"/>
      <c r="O38" s="255"/>
      <c r="P38" s="255"/>
      <c r="Q38" s="255"/>
      <c r="R38" s="255"/>
      <c r="S38" s="255"/>
      <c r="T38" s="255"/>
      <c r="U38" s="256"/>
      <c r="V38" s="256"/>
      <c r="W38" s="256"/>
      <c r="X38" s="256"/>
      <c r="Y38" s="256"/>
      <c r="Z38" s="256"/>
      <c r="AA38" s="256"/>
      <c r="AB38" s="256"/>
      <c r="AC38" s="256"/>
      <c r="AD38" s="123"/>
      <c r="AE38" s="123"/>
      <c r="AF38" s="123"/>
      <c r="AG38" s="123"/>
      <c r="AH38" s="123"/>
      <c r="AI38" s="123"/>
      <c r="AJ38" s="123"/>
      <c r="AK38" s="123"/>
      <c r="AL38" s="123"/>
      <c r="AM38" s="255"/>
      <c r="AN38" s="255"/>
      <c r="AO38" s="255"/>
      <c r="AP38" s="255"/>
      <c r="AQ38" s="255"/>
      <c r="AR38" s="255"/>
      <c r="AS38" s="255"/>
      <c r="AT38" s="255"/>
      <c r="AU38" s="255"/>
      <c r="AV38" s="256"/>
      <c r="AW38" s="256"/>
      <c r="AX38" s="256"/>
      <c r="AY38" s="256"/>
      <c r="AZ38" s="256"/>
      <c r="BA38" s="256"/>
      <c r="BB38" s="256"/>
      <c r="BC38" s="256"/>
      <c r="BD38" s="256"/>
      <c r="BE38" s="123"/>
      <c r="BF38" s="123"/>
      <c r="BG38" s="123"/>
      <c r="BH38" s="123"/>
      <c r="BI38" s="123"/>
      <c r="BJ38" s="123"/>
      <c r="BK38" s="123"/>
      <c r="BL38" s="123"/>
      <c r="BM38" s="123"/>
      <c r="BN38" s="255"/>
      <c r="BO38" s="255"/>
      <c r="BP38" s="255"/>
      <c r="BQ38" s="255"/>
      <c r="BR38" s="255"/>
      <c r="BS38" s="255"/>
      <c r="BT38" s="255"/>
      <c r="BU38" s="255"/>
      <c r="BV38" s="255"/>
      <c r="BW38" s="256"/>
      <c r="BX38" s="256"/>
      <c r="BY38" s="256"/>
      <c r="BZ38" s="256"/>
      <c r="CA38" s="256"/>
      <c r="CB38" s="256"/>
      <c r="CC38" s="256"/>
      <c r="CD38" s="256"/>
      <c r="CE38" s="256"/>
      <c r="CF38" s="123"/>
      <c r="CG38" s="123"/>
      <c r="CH38" s="123"/>
      <c r="CI38" s="123"/>
      <c r="CJ38" s="123"/>
      <c r="CK38" s="123"/>
      <c r="CL38" s="123"/>
      <c r="CM38" s="123"/>
      <c r="CN38" s="123"/>
      <c r="CO38" s="255"/>
      <c r="CP38" s="255"/>
      <c r="CQ38" s="255"/>
      <c r="CR38" s="255"/>
      <c r="CS38" s="255"/>
      <c r="CT38" s="255"/>
      <c r="CU38" s="255"/>
      <c r="CV38" s="255"/>
      <c r="CW38" s="255"/>
      <c r="CX38" s="256"/>
      <c r="CY38" s="256"/>
      <c r="CZ38" s="256"/>
      <c r="DA38" s="256"/>
      <c r="DB38" s="256"/>
      <c r="DC38" s="256"/>
      <c r="DD38" s="256"/>
      <c r="DE38" s="256"/>
      <c r="DF38" s="256"/>
      <c r="DG38" s="458"/>
      <c r="DH38" s="458"/>
      <c r="DI38" s="458"/>
      <c r="DJ38" s="458"/>
      <c r="DK38" s="458"/>
      <c r="DL38" s="458"/>
      <c r="DM38" s="458"/>
      <c r="DN38" s="458"/>
      <c r="DO38" s="458"/>
      <c r="DP38" s="457"/>
      <c r="DQ38" s="457"/>
      <c r="DR38" s="457"/>
      <c r="DS38" s="457"/>
      <c r="DT38" s="457"/>
      <c r="DU38" s="457"/>
      <c r="DV38" s="457"/>
      <c r="DW38" s="457"/>
      <c r="DX38" s="457"/>
      <c r="DY38" s="256"/>
      <c r="DZ38" s="256"/>
      <c r="EA38" s="256"/>
      <c r="EB38" s="256"/>
      <c r="EC38" s="256"/>
      <c r="ED38" s="256"/>
      <c r="EE38" s="256"/>
      <c r="EF38" s="256"/>
      <c r="EG38" s="256"/>
      <c r="EH38" s="257" t="str">
        <f t="shared" si="51"/>
        <v/>
      </c>
      <c r="EI38" s="257" t="str">
        <f t="shared" si="52"/>
        <v/>
      </c>
      <c r="EJ38" s="257" t="str">
        <f t="shared" si="53"/>
        <v/>
      </c>
      <c r="EK38" s="257" t="str">
        <f t="shared" si="54"/>
        <v/>
      </c>
      <c r="EL38" s="257" t="str">
        <f t="shared" si="55"/>
        <v/>
      </c>
      <c r="EM38" s="257" t="str">
        <f t="shared" si="56"/>
        <v/>
      </c>
      <c r="EN38" s="257" t="str">
        <f t="shared" si="57"/>
        <v/>
      </c>
      <c r="EO38" s="257" t="str">
        <f t="shared" si="58"/>
        <v/>
      </c>
      <c r="EP38" s="257" t="str">
        <f t="shared" si="59"/>
        <v/>
      </c>
      <c r="EQ38" s="756" t="str">
        <f t="shared" si="181"/>
        <v/>
      </c>
      <c r="ER38" s="291" t="str">
        <f t="shared" si="60"/>
        <v xml:space="preserve">  </v>
      </c>
      <c r="ES38" s="243" t="str">
        <f t="shared" si="61"/>
        <v xml:space="preserve"> </v>
      </c>
      <c r="ET38" s="39"/>
      <c r="EU38" s="39"/>
      <c r="EV38" s="257">
        <f t="shared" si="62"/>
        <v>0</v>
      </c>
      <c r="EW38" s="257">
        <f t="shared" si="63"/>
        <v>0</v>
      </c>
      <c r="EX38" s="257">
        <f t="shared" si="64"/>
        <v>0</v>
      </c>
      <c r="EY38" s="257">
        <f t="shared" si="65"/>
        <v>0</v>
      </c>
      <c r="EZ38" s="257">
        <f t="shared" si="66"/>
        <v>0</v>
      </c>
      <c r="FA38" s="257">
        <f t="shared" si="67"/>
        <v>0</v>
      </c>
      <c r="FB38" s="257">
        <f t="shared" si="68"/>
        <v>0</v>
      </c>
      <c r="FC38" s="257">
        <f t="shared" si="69"/>
        <v>0</v>
      </c>
      <c r="FD38" s="257">
        <f t="shared" si="70"/>
        <v>0</v>
      </c>
      <c r="FE38" s="257"/>
      <c r="FF38" s="289">
        <f t="shared" si="71"/>
        <v>0</v>
      </c>
      <c r="FG38" s="257">
        <f t="shared" si="72"/>
        <v>0</v>
      </c>
      <c r="FH38" s="257">
        <f t="shared" si="73"/>
        <v>0</v>
      </c>
      <c r="FI38" s="257">
        <f t="shared" si="74"/>
        <v>0</v>
      </c>
      <c r="FJ38" s="257">
        <f t="shared" si="75"/>
        <v>0</v>
      </c>
      <c r="FK38" s="257">
        <f t="shared" si="76"/>
        <v>0</v>
      </c>
      <c r="FL38" s="257">
        <f t="shared" si="77"/>
        <v>0</v>
      </c>
      <c r="FM38" s="257">
        <f t="shared" si="78"/>
        <v>0</v>
      </c>
      <c r="FN38" s="257">
        <f t="shared" si="79"/>
        <v>0</v>
      </c>
      <c r="FO38" s="257">
        <f t="shared" si="80"/>
        <v>0</v>
      </c>
      <c r="FP38" s="223"/>
      <c r="FQ38" s="289">
        <f t="shared" si="81"/>
        <v>0</v>
      </c>
      <c r="FR38" s="257">
        <f t="shared" si="82"/>
        <v>0</v>
      </c>
      <c r="FS38" s="257">
        <f t="shared" si="83"/>
        <v>0</v>
      </c>
      <c r="FT38" s="257">
        <f t="shared" si="84"/>
        <v>0</v>
      </c>
      <c r="FU38" s="257">
        <f t="shared" si="85"/>
        <v>0</v>
      </c>
      <c r="FV38" s="257">
        <f t="shared" si="86"/>
        <v>0</v>
      </c>
      <c r="FW38" s="257">
        <f t="shared" si="87"/>
        <v>0</v>
      </c>
      <c r="FX38" s="257">
        <f t="shared" si="88"/>
        <v>0</v>
      </c>
      <c r="FY38" s="257">
        <f t="shared" si="89"/>
        <v>0</v>
      </c>
      <c r="FZ38" s="257">
        <f t="shared" si="90"/>
        <v>0</v>
      </c>
      <c r="GA38" s="223"/>
      <c r="GB38" s="289">
        <f t="shared" si="91"/>
        <v>0</v>
      </c>
      <c r="GC38" s="257">
        <f t="shared" si="92"/>
        <v>0</v>
      </c>
      <c r="GD38" s="257">
        <f t="shared" si="93"/>
        <v>0</v>
      </c>
      <c r="GE38" s="257">
        <f t="shared" si="94"/>
        <v>0</v>
      </c>
      <c r="GF38" s="575">
        <f t="shared" si="95"/>
        <v>3</v>
      </c>
      <c r="GG38" s="506">
        <f t="shared" si="96"/>
        <v>0</v>
      </c>
      <c r="GH38" s="39" t="str">
        <f t="shared" si="97"/>
        <v/>
      </c>
      <c r="GI38" s="257">
        <f t="shared" si="98"/>
        <v>0</v>
      </c>
      <c r="GJ38" s="257">
        <f t="shared" si="99"/>
        <v>0</v>
      </c>
      <c r="GK38" s="257">
        <f t="shared" si="100"/>
        <v>0</v>
      </c>
      <c r="GL38" s="575">
        <f t="shared" si="101"/>
        <v>3</v>
      </c>
      <c r="GM38" s="506">
        <f t="shared" si="102"/>
        <v>0</v>
      </c>
      <c r="GN38" s="39" t="str">
        <f t="shared" si="103"/>
        <v/>
      </c>
      <c r="GO38" s="257">
        <f t="shared" si="104"/>
        <v>0</v>
      </c>
      <c r="GP38" s="257">
        <f t="shared" si="105"/>
        <v>0</v>
      </c>
      <c r="GQ38" s="257">
        <f t="shared" si="106"/>
        <v>0</v>
      </c>
      <c r="GR38" s="575">
        <f t="shared" si="107"/>
        <v>3</v>
      </c>
      <c r="GS38" s="506">
        <f t="shared" si="108"/>
        <v>0</v>
      </c>
      <c r="GT38" s="39" t="str">
        <f t="shared" si="109"/>
        <v/>
      </c>
      <c r="GU38" s="257">
        <f t="shared" si="110"/>
        <v>0</v>
      </c>
      <c r="GV38" s="257">
        <f t="shared" si="111"/>
        <v>0</v>
      </c>
      <c r="GW38" s="257">
        <f t="shared" si="112"/>
        <v>0</v>
      </c>
      <c r="GX38" s="575">
        <f t="shared" si="113"/>
        <v>3</v>
      </c>
      <c r="GY38" s="506">
        <f t="shared" si="114"/>
        <v>0</v>
      </c>
      <c r="GZ38" s="39" t="str">
        <f t="shared" si="115"/>
        <v/>
      </c>
      <c r="HA38" s="257">
        <f t="shared" si="116"/>
        <v>0</v>
      </c>
      <c r="HB38" s="257">
        <f t="shared" si="117"/>
        <v>0</v>
      </c>
      <c r="HC38" s="257">
        <f t="shared" si="118"/>
        <v>0</v>
      </c>
      <c r="HD38" s="575">
        <f t="shared" si="119"/>
        <v>3</v>
      </c>
      <c r="HE38" s="506">
        <f t="shared" si="120"/>
        <v>0</v>
      </c>
      <c r="HF38" s="39" t="str">
        <f t="shared" si="121"/>
        <v/>
      </c>
      <c r="HG38" s="257">
        <f t="shared" si="122"/>
        <v>0</v>
      </c>
      <c r="HH38" s="257">
        <f t="shared" si="123"/>
        <v>0</v>
      </c>
      <c r="HI38" s="257">
        <f t="shared" si="124"/>
        <v>0</v>
      </c>
      <c r="HJ38" s="575">
        <f t="shared" si="125"/>
        <v>3</v>
      </c>
      <c r="HK38" s="506">
        <f t="shared" si="126"/>
        <v>0</v>
      </c>
      <c r="HL38" s="39" t="str">
        <f t="shared" si="127"/>
        <v/>
      </c>
      <c r="HM38" s="257">
        <f t="shared" si="128"/>
        <v>0</v>
      </c>
      <c r="HN38" s="257">
        <f t="shared" si="129"/>
        <v>0</v>
      </c>
      <c r="HO38" s="257">
        <f t="shared" si="130"/>
        <v>0</v>
      </c>
      <c r="HP38" s="575">
        <f t="shared" si="131"/>
        <v>3</v>
      </c>
      <c r="HQ38" s="506">
        <f t="shared" si="132"/>
        <v>0</v>
      </c>
      <c r="HR38" s="39" t="str">
        <f t="shared" si="133"/>
        <v/>
      </c>
      <c r="HS38" s="257">
        <f t="shared" si="134"/>
        <v>0</v>
      </c>
      <c r="HT38" s="257">
        <f t="shared" si="135"/>
        <v>0</v>
      </c>
      <c r="HU38" s="257">
        <f t="shared" si="136"/>
        <v>0</v>
      </c>
      <c r="HV38" s="575">
        <f t="shared" si="137"/>
        <v>3</v>
      </c>
      <c r="HW38" s="506">
        <f t="shared" si="138"/>
        <v>0</v>
      </c>
      <c r="HX38" s="39" t="str">
        <f t="shared" si="139"/>
        <v/>
      </c>
      <c r="HY38" s="257">
        <f t="shared" si="140"/>
        <v>0</v>
      </c>
      <c r="HZ38" s="257">
        <f t="shared" si="141"/>
        <v>0</v>
      </c>
      <c r="IA38" s="257">
        <f t="shared" si="142"/>
        <v>0</v>
      </c>
      <c r="IB38" s="575">
        <f t="shared" si="143"/>
        <v>3</v>
      </c>
      <c r="IC38" s="506">
        <f t="shared" si="144"/>
        <v>0</v>
      </c>
      <c r="ID38" s="39" t="str">
        <f t="shared" si="145"/>
        <v/>
      </c>
      <c r="IE38" s="39"/>
      <c r="IF38" s="39" t="str">
        <f t="shared" si="146"/>
        <v/>
      </c>
      <c r="IG38" s="39" t="str">
        <f t="shared" si="147"/>
        <v/>
      </c>
      <c r="IH38" s="39" t="str">
        <f t="shared" si="148"/>
        <v/>
      </c>
      <c r="II38" s="39" t="str">
        <f t="shared" si="149"/>
        <v/>
      </c>
      <c r="IJ38" s="39" t="str">
        <f t="shared" si="150"/>
        <v/>
      </c>
      <c r="IK38" s="39" t="str">
        <f t="shared" si="151"/>
        <v/>
      </c>
      <c r="IL38" s="257" t="str">
        <f t="shared" si="152"/>
        <v/>
      </c>
      <c r="IM38" s="257" t="str">
        <f t="shared" si="153"/>
        <v/>
      </c>
      <c r="IN38" s="257" t="str">
        <f t="shared" si="154"/>
        <v/>
      </c>
      <c r="IO38" s="579" t="str">
        <f t="shared" si="155"/>
        <v/>
      </c>
      <c r="IP38" s="289">
        <f t="shared" si="156"/>
        <v>0</v>
      </c>
      <c r="IQ38" s="289">
        <f t="shared" si="157"/>
        <v>0</v>
      </c>
      <c r="IR38" s="223">
        <f>SISWA!E36</f>
        <v>0</v>
      </c>
      <c r="IS38" s="223" t="str">
        <f t="shared" si="158"/>
        <v/>
      </c>
      <c r="IT38" s="580" t="str">
        <f t="shared" si="159"/>
        <v/>
      </c>
      <c r="IU38" s="580" t="str">
        <f t="shared" si="160"/>
        <v/>
      </c>
      <c r="IV38" s="580" t="str">
        <f t="shared" si="161"/>
        <v/>
      </c>
      <c r="IW38" s="580" t="str">
        <f t="shared" si="162"/>
        <v/>
      </c>
      <c r="IX38" s="580" t="str">
        <f t="shared" si="163"/>
        <v/>
      </c>
      <c r="IY38" s="580" t="str">
        <f t="shared" si="164"/>
        <v/>
      </c>
      <c r="IZ38" s="580" t="str">
        <f t="shared" si="165"/>
        <v/>
      </c>
      <c r="JA38" s="580" t="str">
        <f t="shared" si="166"/>
        <v/>
      </c>
      <c r="JB38" s="580" t="str">
        <f t="shared" si="167"/>
        <v/>
      </c>
      <c r="JC38" s="580"/>
      <c r="JD38" s="580"/>
      <c r="JE38" s="223">
        <f t="shared" si="168"/>
        <v>0</v>
      </c>
      <c r="JF38" s="289" t="e">
        <f t="shared" si="169"/>
        <v>#N/A</v>
      </c>
      <c r="JG38" s="576" t="e">
        <f>IF(IP38&gt;100,"",IF(IP38&gt;EV$1,"sangat baik dalam "&amp;JF38,IF(IP38&gt;=EV$2,"baik dalam "&amp;JF38,IF(IP38&gt;=EV$3,"cukup dalam "&amp;JF38,IF(IP38&lt;EV$3,"dengan bimbingan dapat meningkatkan dalam "&amp;JF38,IF(IP38&lt;1," ",””))))))</f>
        <v>#N/A</v>
      </c>
      <c r="JH38" s="223"/>
      <c r="JI38" s="223" t="str">
        <f t="shared" si="170"/>
        <v/>
      </c>
      <c r="JJ38" s="223" t="str">
        <f t="shared" si="171"/>
        <v/>
      </c>
      <c r="JK38" s="223" t="str">
        <f t="shared" si="172"/>
        <v/>
      </c>
      <c r="JL38" s="223" t="str">
        <f t="shared" si="173"/>
        <v/>
      </c>
      <c r="JM38" s="223" t="str">
        <f t="shared" si="174"/>
        <v/>
      </c>
      <c r="JN38" s="223" t="str">
        <f t="shared" si="175"/>
        <v/>
      </c>
      <c r="JO38" s="223" t="str">
        <f t="shared" si="176"/>
        <v/>
      </c>
      <c r="JP38" s="223" t="str">
        <f t="shared" si="177"/>
        <v/>
      </c>
      <c r="JQ38" s="223" t="str">
        <f t="shared" si="178"/>
        <v/>
      </c>
      <c r="JR38" s="223"/>
      <c r="JS38" s="223"/>
      <c r="JT38" s="223" t="e">
        <f t="shared" si="179"/>
        <v>#N/A</v>
      </c>
      <c r="JU38" s="577" t="e">
        <f>IF(IQ38&gt;100,"",IF(IQ38&gt;=EV$1,"sangat baik dalam "&amp;JT38,IF(IQ38&gt;=EV$2,"baik dalam "&amp;JT38,IF(IQ38&gt;=EV$3,"cukup dalam "&amp;JT38,IF(IQ38&lt;EV$3,"dengan bimbingan dapat meningkatkan dalam "&amp;JT38,IF(IQ38&lt;1," ",””))))))</f>
        <v>#N/A</v>
      </c>
      <c r="JV38" s="223" t="e">
        <f t="shared" si="180"/>
        <v>#N/A</v>
      </c>
    </row>
    <row r="39" spans="1:282">
      <c r="A39" s="39">
        <v>32</v>
      </c>
      <c r="B39" s="223">
        <f>SISWA!B37</f>
        <v>0</v>
      </c>
      <c r="C39" s="123"/>
      <c r="D39" s="123"/>
      <c r="E39" s="123"/>
      <c r="F39" s="123"/>
      <c r="G39" s="123"/>
      <c r="H39" s="123"/>
      <c r="I39" s="123"/>
      <c r="J39" s="123"/>
      <c r="K39" s="123"/>
      <c r="L39" s="255"/>
      <c r="M39" s="255"/>
      <c r="N39" s="255"/>
      <c r="O39" s="255"/>
      <c r="P39" s="255"/>
      <c r="Q39" s="255"/>
      <c r="R39" s="255"/>
      <c r="S39" s="255"/>
      <c r="T39" s="255"/>
      <c r="U39" s="256"/>
      <c r="V39" s="256"/>
      <c r="W39" s="256"/>
      <c r="X39" s="256"/>
      <c r="Y39" s="256"/>
      <c r="Z39" s="256"/>
      <c r="AA39" s="256"/>
      <c r="AB39" s="256"/>
      <c r="AC39" s="256"/>
      <c r="AD39" s="123"/>
      <c r="AE39" s="123"/>
      <c r="AF39" s="123"/>
      <c r="AG39" s="123"/>
      <c r="AH39" s="123"/>
      <c r="AI39" s="123"/>
      <c r="AJ39" s="123"/>
      <c r="AK39" s="123"/>
      <c r="AL39" s="123"/>
      <c r="AM39" s="255"/>
      <c r="AN39" s="255"/>
      <c r="AO39" s="255"/>
      <c r="AP39" s="255"/>
      <c r="AQ39" s="255"/>
      <c r="AR39" s="255"/>
      <c r="AS39" s="255"/>
      <c r="AT39" s="255"/>
      <c r="AU39" s="255"/>
      <c r="AV39" s="256"/>
      <c r="AW39" s="256"/>
      <c r="AX39" s="256"/>
      <c r="AY39" s="256"/>
      <c r="AZ39" s="256"/>
      <c r="BA39" s="256"/>
      <c r="BB39" s="256"/>
      <c r="BC39" s="256"/>
      <c r="BD39" s="256"/>
      <c r="BE39" s="123"/>
      <c r="BF39" s="123"/>
      <c r="BG39" s="123"/>
      <c r="BH39" s="123"/>
      <c r="BI39" s="123"/>
      <c r="BJ39" s="123"/>
      <c r="BK39" s="123"/>
      <c r="BL39" s="123"/>
      <c r="BM39" s="123"/>
      <c r="BN39" s="255"/>
      <c r="BO39" s="255"/>
      <c r="BP39" s="255"/>
      <c r="BQ39" s="255"/>
      <c r="BR39" s="255"/>
      <c r="BS39" s="255"/>
      <c r="BT39" s="255"/>
      <c r="BU39" s="255"/>
      <c r="BV39" s="255"/>
      <c r="BW39" s="256"/>
      <c r="BX39" s="256"/>
      <c r="BY39" s="256"/>
      <c r="BZ39" s="256"/>
      <c r="CA39" s="256"/>
      <c r="CB39" s="256"/>
      <c r="CC39" s="256"/>
      <c r="CD39" s="256"/>
      <c r="CE39" s="256"/>
      <c r="CF39" s="123"/>
      <c r="CG39" s="123"/>
      <c r="CH39" s="123"/>
      <c r="CI39" s="123"/>
      <c r="CJ39" s="123"/>
      <c r="CK39" s="123"/>
      <c r="CL39" s="123"/>
      <c r="CM39" s="123"/>
      <c r="CN39" s="123"/>
      <c r="CO39" s="255"/>
      <c r="CP39" s="255"/>
      <c r="CQ39" s="255"/>
      <c r="CR39" s="255"/>
      <c r="CS39" s="255"/>
      <c r="CT39" s="255"/>
      <c r="CU39" s="255"/>
      <c r="CV39" s="255"/>
      <c r="CW39" s="255"/>
      <c r="CX39" s="256"/>
      <c r="CY39" s="256"/>
      <c r="CZ39" s="256"/>
      <c r="DA39" s="256"/>
      <c r="DB39" s="256"/>
      <c r="DC39" s="256"/>
      <c r="DD39" s="256"/>
      <c r="DE39" s="256"/>
      <c r="DF39" s="256"/>
      <c r="DG39" s="458"/>
      <c r="DH39" s="458"/>
      <c r="DI39" s="458"/>
      <c r="DJ39" s="458"/>
      <c r="DK39" s="458"/>
      <c r="DL39" s="458"/>
      <c r="DM39" s="458"/>
      <c r="DN39" s="458"/>
      <c r="DO39" s="458"/>
      <c r="DP39" s="457"/>
      <c r="DQ39" s="457"/>
      <c r="DR39" s="457"/>
      <c r="DS39" s="457"/>
      <c r="DT39" s="457"/>
      <c r="DU39" s="457"/>
      <c r="DV39" s="457"/>
      <c r="DW39" s="457"/>
      <c r="DX39" s="457"/>
      <c r="DY39" s="256"/>
      <c r="DZ39" s="256"/>
      <c r="EA39" s="256"/>
      <c r="EB39" s="256"/>
      <c r="EC39" s="256"/>
      <c r="ED39" s="256"/>
      <c r="EE39" s="256"/>
      <c r="EF39" s="256"/>
      <c r="EG39" s="256"/>
      <c r="EH39" s="257" t="str">
        <f t="shared" si="51"/>
        <v/>
      </c>
      <c r="EI39" s="257" t="str">
        <f t="shared" si="52"/>
        <v/>
      </c>
      <c r="EJ39" s="257" t="str">
        <f t="shared" si="53"/>
        <v/>
      </c>
      <c r="EK39" s="257" t="str">
        <f t="shared" si="54"/>
        <v/>
      </c>
      <c r="EL39" s="257" t="str">
        <f t="shared" si="55"/>
        <v/>
      </c>
      <c r="EM39" s="257" t="str">
        <f t="shared" si="56"/>
        <v/>
      </c>
      <c r="EN39" s="257" t="str">
        <f t="shared" si="57"/>
        <v/>
      </c>
      <c r="EO39" s="257" t="str">
        <f t="shared" si="58"/>
        <v/>
      </c>
      <c r="EP39" s="257" t="str">
        <f t="shared" si="59"/>
        <v/>
      </c>
      <c r="EQ39" s="756" t="str">
        <f t="shared" si="181"/>
        <v/>
      </c>
      <c r="ER39" s="291" t="str">
        <f t="shared" si="60"/>
        <v xml:space="preserve">  </v>
      </c>
      <c r="ES39" s="243" t="str">
        <f t="shared" si="61"/>
        <v xml:space="preserve"> </v>
      </c>
      <c r="ET39" s="39"/>
      <c r="EU39" s="39"/>
      <c r="EV39" s="257">
        <f t="shared" si="62"/>
        <v>0</v>
      </c>
      <c r="EW39" s="257">
        <f t="shared" si="63"/>
        <v>0</v>
      </c>
      <c r="EX39" s="257">
        <f t="shared" si="64"/>
        <v>0</v>
      </c>
      <c r="EY39" s="257">
        <f t="shared" si="65"/>
        <v>0</v>
      </c>
      <c r="EZ39" s="257">
        <f t="shared" si="66"/>
        <v>0</v>
      </c>
      <c r="FA39" s="257">
        <f t="shared" si="67"/>
        <v>0</v>
      </c>
      <c r="FB39" s="257">
        <f t="shared" si="68"/>
        <v>0</v>
      </c>
      <c r="FC39" s="257">
        <f t="shared" si="69"/>
        <v>0</v>
      </c>
      <c r="FD39" s="257">
        <f t="shared" si="70"/>
        <v>0</v>
      </c>
      <c r="FE39" s="257"/>
      <c r="FF39" s="289">
        <f t="shared" si="71"/>
        <v>0</v>
      </c>
      <c r="FG39" s="257">
        <f t="shared" si="72"/>
        <v>0</v>
      </c>
      <c r="FH39" s="257">
        <f t="shared" si="73"/>
        <v>0</v>
      </c>
      <c r="FI39" s="257">
        <f t="shared" si="74"/>
        <v>0</v>
      </c>
      <c r="FJ39" s="257">
        <f t="shared" si="75"/>
        <v>0</v>
      </c>
      <c r="FK39" s="257">
        <f t="shared" si="76"/>
        <v>0</v>
      </c>
      <c r="FL39" s="257">
        <f t="shared" si="77"/>
        <v>0</v>
      </c>
      <c r="FM39" s="257">
        <f t="shared" si="78"/>
        <v>0</v>
      </c>
      <c r="FN39" s="257">
        <f t="shared" si="79"/>
        <v>0</v>
      </c>
      <c r="FO39" s="257">
        <f t="shared" si="80"/>
        <v>0</v>
      </c>
      <c r="FP39" s="223"/>
      <c r="FQ39" s="289">
        <f t="shared" si="81"/>
        <v>0</v>
      </c>
      <c r="FR39" s="257">
        <f t="shared" si="82"/>
        <v>0</v>
      </c>
      <c r="FS39" s="257">
        <f t="shared" si="83"/>
        <v>0</v>
      </c>
      <c r="FT39" s="257">
        <f t="shared" si="84"/>
        <v>0</v>
      </c>
      <c r="FU39" s="257">
        <f t="shared" si="85"/>
        <v>0</v>
      </c>
      <c r="FV39" s="257">
        <f t="shared" si="86"/>
        <v>0</v>
      </c>
      <c r="FW39" s="257">
        <f t="shared" si="87"/>
        <v>0</v>
      </c>
      <c r="FX39" s="257">
        <f t="shared" si="88"/>
        <v>0</v>
      </c>
      <c r="FY39" s="257">
        <f t="shared" si="89"/>
        <v>0</v>
      </c>
      <c r="FZ39" s="257">
        <f t="shared" si="90"/>
        <v>0</v>
      </c>
      <c r="GA39" s="223"/>
      <c r="GB39" s="289">
        <f t="shared" si="91"/>
        <v>0</v>
      </c>
      <c r="GC39" s="257">
        <f t="shared" si="92"/>
        <v>0</v>
      </c>
      <c r="GD39" s="257">
        <f t="shared" si="93"/>
        <v>0</v>
      </c>
      <c r="GE39" s="257">
        <f t="shared" si="94"/>
        <v>0</v>
      </c>
      <c r="GF39" s="575">
        <f t="shared" si="95"/>
        <v>3</v>
      </c>
      <c r="GG39" s="506">
        <f t="shared" si="96"/>
        <v>0</v>
      </c>
      <c r="GH39" s="39" t="str">
        <f t="shared" si="97"/>
        <v/>
      </c>
      <c r="GI39" s="257">
        <f t="shared" si="98"/>
        <v>0</v>
      </c>
      <c r="GJ39" s="257">
        <f t="shared" si="99"/>
        <v>0</v>
      </c>
      <c r="GK39" s="257">
        <f t="shared" si="100"/>
        <v>0</v>
      </c>
      <c r="GL39" s="575">
        <f t="shared" si="101"/>
        <v>3</v>
      </c>
      <c r="GM39" s="506">
        <f t="shared" si="102"/>
        <v>0</v>
      </c>
      <c r="GN39" s="39" t="str">
        <f t="shared" si="103"/>
        <v/>
      </c>
      <c r="GO39" s="257">
        <f t="shared" si="104"/>
        <v>0</v>
      </c>
      <c r="GP39" s="257">
        <f t="shared" si="105"/>
        <v>0</v>
      </c>
      <c r="GQ39" s="257">
        <f t="shared" si="106"/>
        <v>0</v>
      </c>
      <c r="GR39" s="575">
        <f t="shared" si="107"/>
        <v>3</v>
      </c>
      <c r="GS39" s="506">
        <f t="shared" si="108"/>
        <v>0</v>
      </c>
      <c r="GT39" s="39" t="str">
        <f t="shared" si="109"/>
        <v/>
      </c>
      <c r="GU39" s="257">
        <f t="shared" si="110"/>
        <v>0</v>
      </c>
      <c r="GV39" s="257">
        <f t="shared" si="111"/>
        <v>0</v>
      </c>
      <c r="GW39" s="257">
        <f t="shared" si="112"/>
        <v>0</v>
      </c>
      <c r="GX39" s="575">
        <f t="shared" si="113"/>
        <v>3</v>
      </c>
      <c r="GY39" s="506">
        <f t="shared" si="114"/>
        <v>0</v>
      </c>
      <c r="GZ39" s="39" t="str">
        <f t="shared" si="115"/>
        <v/>
      </c>
      <c r="HA39" s="257">
        <f t="shared" si="116"/>
        <v>0</v>
      </c>
      <c r="HB39" s="257">
        <f t="shared" si="117"/>
        <v>0</v>
      </c>
      <c r="HC39" s="257">
        <f t="shared" si="118"/>
        <v>0</v>
      </c>
      <c r="HD39" s="575">
        <f t="shared" si="119"/>
        <v>3</v>
      </c>
      <c r="HE39" s="506">
        <f t="shared" si="120"/>
        <v>0</v>
      </c>
      <c r="HF39" s="39" t="str">
        <f t="shared" si="121"/>
        <v/>
      </c>
      <c r="HG39" s="257">
        <f t="shared" si="122"/>
        <v>0</v>
      </c>
      <c r="HH39" s="257">
        <f t="shared" si="123"/>
        <v>0</v>
      </c>
      <c r="HI39" s="257">
        <f t="shared" si="124"/>
        <v>0</v>
      </c>
      <c r="HJ39" s="575">
        <f t="shared" si="125"/>
        <v>3</v>
      </c>
      <c r="HK39" s="506">
        <f t="shared" si="126"/>
        <v>0</v>
      </c>
      <c r="HL39" s="39" t="str">
        <f t="shared" si="127"/>
        <v/>
      </c>
      <c r="HM39" s="257">
        <f t="shared" si="128"/>
        <v>0</v>
      </c>
      <c r="HN39" s="257">
        <f t="shared" si="129"/>
        <v>0</v>
      </c>
      <c r="HO39" s="257">
        <f t="shared" si="130"/>
        <v>0</v>
      </c>
      <c r="HP39" s="575">
        <f t="shared" si="131"/>
        <v>3</v>
      </c>
      <c r="HQ39" s="506">
        <f t="shared" si="132"/>
        <v>0</v>
      </c>
      <c r="HR39" s="39" t="str">
        <f t="shared" si="133"/>
        <v/>
      </c>
      <c r="HS39" s="257">
        <f t="shared" si="134"/>
        <v>0</v>
      </c>
      <c r="HT39" s="257">
        <f t="shared" si="135"/>
        <v>0</v>
      </c>
      <c r="HU39" s="257">
        <f t="shared" si="136"/>
        <v>0</v>
      </c>
      <c r="HV39" s="575">
        <f t="shared" si="137"/>
        <v>3</v>
      </c>
      <c r="HW39" s="506">
        <f t="shared" si="138"/>
        <v>0</v>
      </c>
      <c r="HX39" s="39" t="str">
        <f t="shared" si="139"/>
        <v/>
      </c>
      <c r="HY39" s="257">
        <f t="shared" si="140"/>
        <v>0</v>
      </c>
      <c r="HZ39" s="257">
        <f t="shared" si="141"/>
        <v>0</v>
      </c>
      <c r="IA39" s="257">
        <f t="shared" si="142"/>
        <v>0</v>
      </c>
      <c r="IB39" s="575">
        <f t="shared" si="143"/>
        <v>3</v>
      </c>
      <c r="IC39" s="506">
        <f t="shared" si="144"/>
        <v>0</v>
      </c>
      <c r="ID39" s="39" t="str">
        <f t="shared" si="145"/>
        <v/>
      </c>
      <c r="IE39" s="39"/>
      <c r="IF39" s="39" t="str">
        <f t="shared" si="146"/>
        <v/>
      </c>
      <c r="IG39" s="39" t="str">
        <f t="shared" si="147"/>
        <v/>
      </c>
      <c r="IH39" s="39" t="str">
        <f t="shared" si="148"/>
        <v/>
      </c>
      <c r="II39" s="39" t="str">
        <f t="shared" si="149"/>
        <v/>
      </c>
      <c r="IJ39" s="39" t="str">
        <f t="shared" si="150"/>
        <v/>
      </c>
      <c r="IK39" s="39" t="str">
        <f t="shared" si="151"/>
        <v/>
      </c>
      <c r="IL39" s="257" t="str">
        <f t="shared" si="152"/>
        <v/>
      </c>
      <c r="IM39" s="257" t="str">
        <f t="shared" si="153"/>
        <v/>
      </c>
      <c r="IN39" s="257" t="str">
        <f t="shared" si="154"/>
        <v/>
      </c>
      <c r="IO39" s="579" t="str">
        <f t="shared" si="155"/>
        <v/>
      </c>
      <c r="IP39" s="289">
        <f t="shared" si="156"/>
        <v>0</v>
      </c>
      <c r="IQ39" s="289">
        <f t="shared" si="157"/>
        <v>0</v>
      </c>
      <c r="IR39" s="223">
        <f>SISWA!E37</f>
        <v>0</v>
      </c>
      <c r="IS39" s="223" t="str">
        <f t="shared" si="158"/>
        <v/>
      </c>
      <c r="IT39" s="580" t="str">
        <f t="shared" si="159"/>
        <v/>
      </c>
      <c r="IU39" s="580" t="str">
        <f t="shared" si="160"/>
        <v/>
      </c>
      <c r="IV39" s="580" t="str">
        <f t="shared" si="161"/>
        <v/>
      </c>
      <c r="IW39" s="580" t="str">
        <f t="shared" si="162"/>
        <v/>
      </c>
      <c r="IX39" s="580" t="str">
        <f t="shared" si="163"/>
        <v/>
      </c>
      <c r="IY39" s="580" t="str">
        <f t="shared" si="164"/>
        <v/>
      </c>
      <c r="IZ39" s="580" t="str">
        <f t="shared" si="165"/>
        <v/>
      </c>
      <c r="JA39" s="580" t="str">
        <f t="shared" si="166"/>
        <v/>
      </c>
      <c r="JB39" s="580" t="str">
        <f t="shared" si="167"/>
        <v/>
      </c>
      <c r="JC39" s="580"/>
      <c r="JD39" s="580"/>
      <c r="JE39" s="223">
        <f t="shared" si="168"/>
        <v>0</v>
      </c>
      <c r="JF39" s="289" t="e">
        <f t="shared" si="169"/>
        <v>#N/A</v>
      </c>
      <c r="JG39" s="576" t="e">
        <f>IF(IP39&gt;100,"",IF(IP39&gt;EV$1,"sangat baik dalam "&amp;JF39,IF(IP39&gt;=EV$2,"baik dalam "&amp;JF39,IF(IP39&gt;=EV$3,"cukup dalam "&amp;JF39,IF(IP39&lt;EV$3,"dengan bimbingan dapat meningkatkan dalam "&amp;JF39,IF(IP39&lt;1," ",””))))))</f>
        <v>#N/A</v>
      </c>
      <c r="JH39" s="223"/>
      <c r="JI39" s="223" t="str">
        <f t="shared" si="170"/>
        <v/>
      </c>
      <c r="JJ39" s="223" t="str">
        <f t="shared" si="171"/>
        <v/>
      </c>
      <c r="JK39" s="223" t="str">
        <f t="shared" si="172"/>
        <v/>
      </c>
      <c r="JL39" s="223" t="str">
        <f t="shared" si="173"/>
        <v/>
      </c>
      <c r="JM39" s="223" t="str">
        <f t="shared" si="174"/>
        <v/>
      </c>
      <c r="JN39" s="223" t="str">
        <f t="shared" si="175"/>
        <v/>
      </c>
      <c r="JO39" s="223" t="str">
        <f t="shared" si="176"/>
        <v/>
      </c>
      <c r="JP39" s="223" t="str">
        <f t="shared" si="177"/>
        <v/>
      </c>
      <c r="JQ39" s="223" t="str">
        <f t="shared" si="178"/>
        <v/>
      </c>
      <c r="JR39" s="223"/>
      <c r="JS39" s="223"/>
      <c r="JT39" s="223" t="e">
        <f t="shared" si="179"/>
        <v>#N/A</v>
      </c>
      <c r="JU39" s="577" t="e">
        <f>IF(IQ39&gt;100,"",IF(IQ39&gt;=EV$1,"sangat baik dalam "&amp;JT39,IF(IQ39&gt;=EV$2,"baik dalam "&amp;JT39,IF(IQ39&gt;=EV$3,"cukup dalam "&amp;JT39,IF(IQ39&lt;EV$3,"dengan bimbingan dapat meningkatkan dalam "&amp;JT39,IF(IQ39&lt;1," ",””))))))</f>
        <v>#N/A</v>
      </c>
      <c r="JV39" s="223" t="e">
        <f t="shared" si="180"/>
        <v>#N/A</v>
      </c>
    </row>
    <row r="40" spans="1:282">
      <c r="A40" s="39">
        <v>33</v>
      </c>
      <c r="B40" s="223">
        <f>SISWA!B38</f>
        <v>0</v>
      </c>
      <c r="C40" s="123"/>
      <c r="D40" s="123"/>
      <c r="E40" s="123"/>
      <c r="F40" s="123"/>
      <c r="G40" s="123"/>
      <c r="H40" s="123"/>
      <c r="I40" s="123"/>
      <c r="J40" s="123"/>
      <c r="K40" s="123"/>
      <c r="L40" s="255"/>
      <c r="M40" s="255"/>
      <c r="N40" s="255"/>
      <c r="O40" s="255"/>
      <c r="P40" s="255"/>
      <c r="Q40" s="255"/>
      <c r="R40" s="255"/>
      <c r="S40" s="255"/>
      <c r="T40" s="255"/>
      <c r="U40" s="256"/>
      <c r="V40" s="256"/>
      <c r="W40" s="256"/>
      <c r="X40" s="256"/>
      <c r="Y40" s="256"/>
      <c r="Z40" s="256"/>
      <c r="AA40" s="256"/>
      <c r="AB40" s="256"/>
      <c r="AC40" s="256"/>
      <c r="AD40" s="123"/>
      <c r="AE40" s="123"/>
      <c r="AF40" s="123"/>
      <c r="AG40" s="123"/>
      <c r="AH40" s="123"/>
      <c r="AI40" s="123"/>
      <c r="AJ40" s="123"/>
      <c r="AK40" s="123"/>
      <c r="AL40" s="123"/>
      <c r="AM40" s="255"/>
      <c r="AN40" s="255"/>
      <c r="AO40" s="255"/>
      <c r="AP40" s="255"/>
      <c r="AQ40" s="255"/>
      <c r="AR40" s="255"/>
      <c r="AS40" s="255"/>
      <c r="AT40" s="255"/>
      <c r="AU40" s="255"/>
      <c r="AV40" s="256"/>
      <c r="AW40" s="256"/>
      <c r="AX40" s="256"/>
      <c r="AY40" s="256"/>
      <c r="AZ40" s="256"/>
      <c r="BA40" s="256"/>
      <c r="BB40" s="256"/>
      <c r="BC40" s="256"/>
      <c r="BD40" s="256"/>
      <c r="BE40" s="123"/>
      <c r="BF40" s="123"/>
      <c r="BG40" s="123"/>
      <c r="BH40" s="123"/>
      <c r="BI40" s="123"/>
      <c r="BJ40" s="123"/>
      <c r="BK40" s="123"/>
      <c r="BL40" s="123"/>
      <c r="BM40" s="123"/>
      <c r="BN40" s="255"/>
      <c r="BO40" s="255"/>
      <c r="BP40" s="255"/>
      <c r="BQ40" s="255"/>
      <c r="BR40" s="255"/>
      <c r="BS40" s="255"/>
      <c r="BT40" s="255"/>
      <c r="BU40" s="255"/>
      <c r="BV40" s="255"/>
      <c r="BW40" s="256"/>
      <c r="BX40" s="256"/>
      <c r="BY40" s="256"/>
      <c r="BZ40" s="256"/>
      <c r="CA40" s="256"/>
      <c r="CB40" s="256"/>
      <c r="CC40" s="256"/>
      <c r="CD40" s="256"/>
      <c r="CE40" s="256"/>
      <c r="CF40" s="123"/>
      <c r="CG40" s="123"/>
      <c r="CH40" s="123"/>
      <c r="CI40" s="123"/>
      <c r="CJ40" s="123"/>
      <c r="CK40" s="123"/>
      <c r="CL40" s="123"/>
      <c r="CM40" s="123"/>
      <c r="CN40" s="123"/>
      <c r="CO40" s="255"/>
      <c r="CP40" s="255"/>
      <c r="CQ40" s="255"/>
      <c r="CR40" s="255"/>
      <c r="CS40" s="255"/>
      <c r="CT40" s="255"/>
      <c r="CU40" s="255"/>
      <c r="CV40" s="255"/>
      <c r="CW40" s="255"/>
      <c r="CX40" s="256"/>
      <c r="CY40" s="256"/>
      <c r="CZ40" s="256"/>
      <c r="DA40" s="256"/>
      <c r="DB40" s="256"/>
      <c r="DC40" s="256"/>
      <c r="DD40" s="256"/>
      <c r="DE40" s="256"/>
      <c r="DF40" s="256"/>
      <c r="DG40" s="458"/>
      <c r="DH40" s="458"/>
      <c r="DI40" s="458"/>
      <c r="DJ40" s="458"/>
      <c r="DK40" s="458"/>
      <c r="DL40" s="458"/>
      <c r="DM40" s="458"/>
      <c r="DN40" s="458"/>
      <c r="DO40" s="458"/>
      <c r="DP40" s="457"/>
      <c r="DQ40" s="457"/>
      <c r="DR40" s="457"/>
      <c r="DS40" s="457"/>
      <c r="DT40" s="457"/>
      <c r="DU40" s="457"/>
      <c r="DV40" s="457"/>
      <c r="DW40" s="457"/>
      <c r="DX40" s="457"/>
      <c r="DY40" s="256"/>
      <c r="DZ40" s="256"/>
      <c r="EA40" s="256"/>
      <c r="EB40" s="256"/>
      <c r="EC40" s="256"/>
      <c r="ED40" s="256"/>
      <c r="EE40" s="256"/>
      <c r="EF40" s="256"/>
      <c r="EG40" s="256"/>
      <c r="EH40" s="257" t="str">
        <f t="shared" si="51"/>
        <v/>
      </c>
      <c r="EI40" s="257" t="str">
        <f t="shared" si="52"/>
        <v/>
      </c>
      <c r="EJ40" s="257" t="str">
        <f t="shared" si="53"/>
        <v/>
      </c>
      <c r="EK40" s="257" t="str">
        <f t="shared" si="54"/>
        <v/>
      </c>
      <c r="EL40" s="257" t="str">
        <f t="shared" si="55"/>
        <v/>
      </c>
      <c r="EM40" s="257" t="str">
        <f t="shared" si="56"/>
        <v/>
      </c>
      <c r="EN40" s="257" t="str">
        <f t="shared" si="57"/>
        <v/>
      </c>
      <c r="EO40" s="257" t="str">
        <f t="shared" si="58"/>
        <v/>
      </c>
      <c r="EP40" s="257" t="str">
        <f t="shared" si="59"/>
        <v/>
      </c>
      <c r="EQ40" s="756" t="str">
        <f t="shared" si="181"/>
        <v/>
      </c>
      <c r="ER40" s="291" t="str">
        <f t="shared" si="60"/>
        <v xml:space="preserve">  </v>
      </c>
      <c r="ES40" s="243" t="str">
        <f t="shared" si="61"/>
        <v xml:space="preserve"> </v>
      </c>
      <c r="ET40" s="39"/>
      <c r="EU40" s="39"/>
      <c r="EV40" s="257">
        <f t="shared" si="62"/>
        <v>0</v>
      </c>
      <c r="EW40" s="257">
        <f t="shared" si="63"/>
        <v>0</v>
      </c>
      <c r="EX40" s="257">
        <f t="shared" si="64"/>
        <v>0</v>
      </c>
      <c r="EY40" s="257">
        <f t="shared" si="65"/>
        <v>0</v>
      </c>
      <c r="EZ40" s="257">
        <f t="shared" si="66"/>
        <v>0</v>
      </c>
      <c r="FA40" s="257">
        <f t="shared" si="67"/>
        <v>0</v>
      </c>
      <c r="FB40" s="257">
        <f t="shared" si="68"/>
        <v>0</v>
      </c>
      <c r="FC40" s="257">
        <f t="shared" si="69"/>
        <v>0</v>
      </c>
      <c r="FD40" s="257">
        <f t="shared" si="70"/>
        <v>0</v>
      </c>
      <c r="FE40" s="257"/>
      <c r="FF40" s="289">
        <f t="shared" si="71"/>
        <v>0</v>
      </c>
      <c r="FG40" s="257">
        <f t="shared" si="72"/>
        <v>0</v>
      </c>
      <c r="FH40" s="257">
        <f t="shared" si="73"/>
        <v>0</v>
      </c>
      <c r="FI40" s="257">
        <f t="shared" si="74"/>
        <v>0</v>
      </c>
      <c r="FJ40" s="257">
        <f t="shared" si="75"/>
        <v>0</v>
      </c>
      <c r="FK40" s="257">
        <f t="shared" si="76"/>
        <v>0</v>
      </c>
      <c r="FL40" s="257">
        <f t="shared" si="77"/>
        <v>0</v>
      </c>
      <c r="FM40" s="257">
        <f t="shared" si="78"/>
        <v>0</v>
      </c>
      <c r="FN40" s="257">
        <f t="shared" si="79"/>
        <v>0</v>
      </c>
      <c r="FO40" s="257">
        <f t="shared" si="80"/>
        <v>0</v>
      </c>
      <c r="FP40" s="223"/>
      <c r="FQ40" s="289">
        <f t="shared" si="81"/>
        <v>0</v>
      </c>
      <c r="FR40" s="257">
        <f t="shared" si="82"/>
        <v>0</v>
      </c>
      <c r="FS40" s="257">
        <f t="shared" si="83"/>
        <v>0</v>
      </c>
      <c r="FT40" s="257">
        <f t="shared" si="84"/>
        <v>0</v>
      </c>
      <c r="FU40" s="257">
        <f t="shared" si="85"/>
        <v>0</v>
      </c>
      <c r="FV40" s="257">
        <f t="shared" si="86"/>
        <v>0</v>
      </c>
      <c r="FW40" s="257">
        <f t="shared" si="87"/>
        <v>0</v>
      </c>
      <c r="FX40" s="257">
        <f t="shared" si="88"/>
        <v>0</v>
      </c>
      <c r="FY40" s="257">
        <f t="shared" si="89"/>
        <v>0</v>
      </c>
      <c r="FZ40" s="257">
        <f t="shared" si="90"/>
        <v>0</v>
      </c>
      <c r="GA40" s="223"/>
      <c r="GB40" s="289">
        <f t="shared" si="91"/>
        <v>0</v>
      </c>
      <c r="GC40" s="257">
        <f t="shared" si="92"/>
        <v>0</v>
      </c>
      <c r="GD40" s="257">
        <f t="shared" si="93"/>
        <v>0</v>
      </c>
      <c r="GE40" s="257">
        <f t="shared" si="94"/>
        <v>0</v>
      </c>
      <c r="GF40" s="575">
        <f t="shared" si="95"/>
        <v>3</v>
      </c>
      <c r="GG40" s="506">
        <f t="shared" si="96"/>
        <v>0</v>
      </c>
      <c r="GH40" s="39" t="str">
        <f t="shared" si="97"/>
        <v/>
      </c>
      <c r="GI40" s="257">
        <f t="shared" si="98"/>
        <v>0</v>
      </c>
      <c r="GJ40" s="257">
        <f t="shared" si="99"/>
        <v>0</v>
      </c>
      <c r="GK40" s="257">
        <f t="shared" si="100"/>
        <v>0</v>
      </c>
      <c r="GL40" s="575">
        <f t="shared" si="101"/>
        <v>3</v>
      </c>
      <c r="GM40" s="506">
        <f t="shared" si="102"/>
        <v>0</v>
      </c>
      <c r="GN40" s="39" t="str">
        <f t="shared" si="103"/>
        <v/>
      </c>
      <c r="GO40" s="257">
        <f t="shared" si="104"/>
        <v>0</v>
      </c>
      <c r="GP40" s="257">
        <f t="shared" si="105"/>
        <v>0</v>
      </c>
      <c r="GQ40" s="257">
        <f t="shared" si="106"/>
        <v>0</v>
      </c>
      <c r="GR40" s="575">
        <f t="shared" si="107"/>
        <v>3</v>
      </c>
      <c r="GS40" s="506">
        <f t="shared" si="108"/>
        <v>0</v>
      </c>
      <c r="GT40" s="39" t="str">
        <f t="shared" si="109"/>
        <v/>
      </c>
      <c r="GU40" s="257">
        <f t="shared" si="110"/>
        <v>0</v>
      </c>
      <c r="GV40" s="257">
        <f t="shared" si="111"/>
        <v>0</v>
      </c>
      <c r="GW40" s="257">
        <f t="shared" si="112"/>
        <v>0</v>
      </c>
      <c r="GX40" s="575">
        <f t="shared" si="113"/>
        <v>3</v>
      </c>
      <c r="GY40" s="506">
        <f t="shared" si="114"/>
        <v>0</v>
      </c>
      <c r="GZ40" s="39" t="str">
        <f t="shared" si="115"/>
        <v/>
      </c>
      <c r="HA40" s="257">
        <f t="shared" si="116"/>
        <v>0</v>
      </c>
      <c r="HB40" s="257">
        <f t="shared" si="117"/>
        <v>0</v>
      </c>
      <c r="HC40" s="257">
        <f t="shared" si="118"/>
        <v>0</v>
      </c>
      <c r="HD40" s="575">
        <f t="shared" si="119"/>
        <v>3</v>
      </c>
      <c r="HE40" s="506">
        <f t="shared" si="120"/>
        <v>0</v>
      </c>
      <c r="HF40" s="39" t="str">
        <f t="shared" si="121"/>
        <v/>
      </c>
      <c r="HG40" s="257">
        <f t="shared" si="122"/>
        <v>0</v>
      </c>
      <c r="HH40" s="257">
        <f t="shared" si="123"/>
        <v>0</v>
      </c>
      <c r="HI40" s="257">
        <f t="shared" si="124"/>
        <v>0</v>
      </c>
      <c r="HJ40" s="575">
        <f t="shared" si="125"/>
        <v>3</v>
      </c>
      <c r="HK40" s="506">
        <f t="shared" si="126"/>
        <v>0</v>
      </c>
      <c r="HL40" s="39" t="str">
        <f t="shared" si="127"/>
        <v/>
      </c>
      <c r="HM40" s="257">
        <f t="shared" si="128"/>
        <v>0</v>
      </c>
      <c r="HN40" s="257">
        <f t="shared" si="129"/>
        <v>0</v>
      </c>
      <c r="HO40" s="257">
        <f t="shared" si="130"/>
        <v>0</v>
      </c>
      <c r="HP40" s="575">
        <f t="shared" si="131"/>
        <v>3</v>
      </c>
      <c r="HQ40" s="506">
        <f t="shared" si="132"/>
        <v>0</v>
      </c>
      <c r="HR40" s="39" t="str">
        <f t="shared" si="133"/>
        <v/>
      </c>
      <c r="HS40" s="257">
        <f t="shared" si="134"/>
        <v>0</v>
      </c>
      <c r="HT40" s="257">
        <f t="shared" si="135"/>
        <v>0</v>
      </c>
      <c r="HU40" s="257">
        <f t="shared" si="136"/>
        <v>0</v>
      </c>
      <c r="HV40" s="575">
        <f t="shared" si="137"/>
        <v>3</v>
      </c>
      <c r="HW40" s="506">
        <f t="shared" si="138"/>
        <v>0</v>
      </c>
      <c r="HX40" s="39" t="str">
        <f t="shared" si="139"/>
        <v/>
      </c>
      <c r="HY40" s="257">
        <f t="shared" si="140"/>
        <v>0</v>
      </c>
      <c r="HZ40" s="257">
        <f t="shared" si="141"/>
        <v>0</v>
      </c>
      <c r="IA40" s="257">
        <f t="shared" si="142"/>
        <v>0</v>
      </c>
      <c r="IB40" s="575">
        <f t="shared" si="143"/>
        <v>3</v>
      </c>
      <c r="IC40" s="506">
        <f t="shared" si="144"/>
        <v>0</v>
      </c>
      <c r="ID40" s="39" t="str">
        <f t="shared" si="145"/>
        <v/>
      </c>
      <c r="IE40" s="39"/>
      <c r="IF40" s="39" t="str">
        <f t="shared" si="146"/>
        <v/>
      </c>
      <c r="IG40" s="39" t="str">
        <f t="shared" si="147"/>
        <v/>
      </c>
      <c r="IH40" s="39" t="str">
        <f t="shared" si="148"/>
        <v/>
      </c>
      <c r="II40" s="39" t="str">
        <f t="shared" si="149"/>
        <v/>
      </c>
      <c r="IJ40" s="39" t="str">
        <f t="shared" si="150"/>
        <v/>
      </c>
      <c r="IK40" s="39" t="str">
        <f t="shared" si="151"/>
        <v/>
      </c>
      <c r="IL40" s="257" t="str">
        <f t="shared" si="152"/>
        <v/>
      </c>
      <c r="IM40" s="257" t="str">
        <f t="shared" si="153"/>
        <v/>
      </c>
      <c r="IN40" s="257" t="str">
        <f t="shared" si="154"/>
        <v/>
      </c>
      <c r="IO40" s="579" t="str">
        <f t="shared" si="155"/>
        <v/>
      </c>
      <c r="IP40" s="289">
        <f t="shared" si="156"/>
        <v>0</v>
      </c>
      <c r="IQ40" s="289">
        <f t="shared" si="157"/>
        <v>0</v>
      </c>
      <c r="IR40" s="223">
        <f>SISWA!E38</f>
        <v>0</v>
      </c>
      <c r="IS40" s="223" t="str">
        <f t="shared" si="158"/>
        <v/>
      </c>
      <c r="IT40" s="580" t="str">
        <f t="shared" si="159"/>
        <v/>
      </c>
      <c r="IU40" s="580" t="str">
        <f t="shared" si="160"/>
        <v/>
      </c>
      <c r="IV40" s="580" t="str">
        <f t="shared" si="161"/>
        <v/>
      </c>
      <c r="IW40" s="580" t="str">
        <f t="shared" si="162"/>
        <v/>
      </c>
      <c r="IX40" s="580" t="str">
        <f t="shared" si="163"/>
        <v/>
      </c>
      <c r="IY40" s="580" t="str">
        <f t="shared" si="164"/>
        <v/>
      </c>
      <c r="IZ40" s="580" t="str">
        <f t="shared" si="165"/>
        <v/>
      </c>
      <c r="JA40" s="580" t="str">
        <f t="shared" si="166"/>
        <v/>
      </c>
      <c r="JB40" s="580" t="str">
        <f t="shared" si="167"/>
        <v/>
      </c>
      <c r="JC40" s="580"/>
      <c r="JD40" s="580"/>
      <c r="JE40" s="223">
        <f t="shared" si="168"/>
        <v>0</v>
      </c>
      <c r="JF40" s="289" t="e">
        <f t="shared" si="169"/>
        <v>#N/A</v>
      </c>
      <c r="JG40" s="576" t="e">
        <f>IF(IP40&gt;100,"",IF(IP40&gt;EV$1,"sangat baik dalam "&amp;JF40,IF(IP40&gt;=EV$2,"baik dalam "&amp;JF40,IF(IP40&gt;=EV$3,"cukup dalam "&amp;JF40,IF(IP40&lt;EV$3,"dengan bimbingan dapat meningkatkan dalam "&amp;JF40,IF(IP40&lt;1," ",””))))))</f>
        <v>#N/A</v>
      </c>
      <c r="JH40" s="223"/>
      <c r="JI40" s="223" t="str">
        <f t="shared" si="170"/>
        <v/>
      </c>
      <c r="JJ40" s="223" t="str">
        <f t="shared" si="171"/>
        <v/>
      </c>
      <c r="JK40" s="223" t="str">
        <f t="shared" si="172"/>
        <v/>
      </c>
      <c r="JL40" s="223" t="str">
        <f t="shared" si="173"/>
        <v/>
      </c>
      <c r="JM40" s="223" t="str">
        <f t="shared" si="174"/>
        <v/>
      </c>
      <c r="JN40" s="223" t="str">
        <f t="shared" si="175"/>
        <v/>
      </c>
      <c r="JO40" s="223" t="str">
        <f t="shared" si="176"/>
        <v/>
      </c>
      <c r="JP40" s="223" t="str">
        <f t="shared" si="177"/>
        <v/>
      </c>
      <c r="JQ40" s="223" t="str">
        <f t="shared" si="178"/>
        <v/>
      </c>
      <c r="JR40" s="223"/>
      <c r="JS40" s="223"/>
      <c r="JT40" s="223" t="e">
        <f t="shared" si="179"/>
        <v>#N/A</v>
      </c>
      <c r="JU40" s="577" t="e">
        <f>IF(IQ40&gt;100,"",IF(IQ40&gt;=EV$1,"sangat baik dalam "&amp;JT40,IF(IQ40&gt;=EV$2,"baik dalam "&amp;JT40,IF(IQ40&gt;=EV$3,"cukup dalam "&amp;JT40,IF(IQ40&lt;EV$3,"dengan bimbingan dapat meningkatkan dalam "&amp;JT40,IF(IQ40&lt;1," ",””))))))</f>
        <v>#N/A</v>
      </c>
      <c r="JV40" s="223" t="e">
        <f t="shared" si="180"/>
        <v>#N/A</v>
      </c>
    </row>
    <row r="41" spans="1:282">
      <c r="A41" s="39">
        <v>34</v>
      </c>
      <c r="B41" s="223">
        <f>SISWA!B39</f>
        <v>0</v>
      </c>
      <c r="C41" s="123"/>
      <c r="D41" s="123"/>
      <c r="E41" s="123"/>
      <c r="F41" s="123"/>
      <c r="G41" s="123"/>
      <c r="H41" s="123"/>
      <c r="I41" s="123"/>
      <c r="J41" s="123"/>
      <c r="K41" s="123"/>
      <c r="L41" s="255"/>
      <c r="M41" s="255"/>
      <c r="N41" s="255"/>
      <c r="O41" s="255"/>
      <c r="P41" s="255"/>
      <c r="Q41" s="255"/>
      <c r="R41" s="255"/>
      <c r="S41" s="255"/>
      <c r="T41" s="255"/>
      <c r="U41" s="256"/>
      <c r="V41" s="256"/>
      <c r="W41" s="256"/>
      <c r="X41" s="256"/>
      <c r="Y41" s="256"/>
      <c r="Z41" s="256"/>
      <c r="AA41" s="256"/>
      <c r="AB41" s="256"/>
      <c r="AC41" s="256"/>
      <c r="AD41" s="123"/>
      <c r="AE41" s="123"/>
      <c r="AF41" s="123"/>
      <c r="AG41" s="123"/>
      <c r="AH41" s="123"/>
      <c r="AI41" s="123"/>
      <c r="AJ41" s="123"/>
      <c r="AK41" s="123"/>
      <c r="AL41" s="123"/>
      <c r="AM41" s="255"/>
      <c r="AN41" s="255"/>
      <c r="AO41" s="255"/>
      <c r="AP41" s="255"/>
      <c r="AQ41" s="255"/>
      <c r="AR41" s="255"/>
      <c r="AS41" s="255"/>
      <c r="AT41" s="255"/>
      <c r="AU41" s="255"/>
      <c r="AV41" s="256"/>
      <c r="AW41" s="256"/>
      <c r="AX41" s="256"/>
      <c r="AY41" s="256"/>
      <c r="AZ41" s="256"/>
      <c r="BA41" s="256"/>
      <c r="BB41" s="256"/>
      <c r="BC41" s="256"/>
      <c r="BD41" s="256"/>
      <c r="BE41" s="123"/>
      <c r="BF41" s="123"/>
      <c r="BG41" s="123"/>
      <c r="BH41" s="123"/>
      <c r="BI41" s="123"/>
      <c r="BJ41" s="123"/>
      <c r="BK41" s="123"/>
      <c r="BL41" s="123"/>
      <c r="BM41" s="123"/>
      <c r="BN41" s="255"/>
      <c r="BO41" s="255"/>
      <c r="BP41" s="255"/>
      <c r="BQ41" s="255"/>
      <c r="BR41" s="255"/>
      <c r="BS41" s="255"/>
      <c r="BT41" s="255"/>
      <c r="BU41" s="255"/>
      <c r="BV41" s="255"/>
      <c r="BW41" s="256"/>
      <c r="BX41" s="256"/>
      <c r="BY41" s="256"/>
      <c r="BZ41" s="256"/>
      <c r="CA41" s="256"/>
      <c r="CB41" s="256"/>
      <c r="CC41" s="256"/>
      <c r="CD41" s="256"/>
      <c r="CE41" s="256"/>
      <c r="CF41" s="123"/>
      <c r="CG41" s="123"/>
      <c r="CH41" s="123"/>
      <c r="CI41" s="123"/>
      <c r="CJ41" s="123"/>
      <c r="CK41" s="123"/>
      <c r="CL41" s="123"/>
      <c r="CM41" s="123"/>
      <c r="CN41" s="123"/>
      <c r="CO41" s="255"/>
      <c r="CP41" s="255"/>
      <c r="CQ41" s="255"/>
      <c r="CR41" s="255"/>
      <c r="CS41" s="255"/>
      <c r="CT41" s="255"/>
      <c r="CU41" s="255"/>
      <c r="CV41" s="255"/>
      <c r="CW41" s="255"/>
      <c r="CX41" s="256"/>
      <c r="CY41" s="256"/>
      <c r="CZ41" s="256"/>
      <c r="DA41" s="256"/>
      <c r="DB41" s="256"/>
      <c r="DC41" s="256"/>
      <c r="DD41" s="256"/>
      <c r="DE41" s="256"/>
      <c r="DF41" s="256"/>
      <c r="DG41" s="458"/>
      <c r="DH41" s="458"/>
      <c r="DI41" s="458"/>
      <c r="DJ41" s="458"/>
      <c r="DK41" s="458"/>
      <c r="DL41" s="458"/>
      <c r="DM41" s="458"/>
      <c r="DN41" s="458"/>
      <c r="DO41" s="458"/>
      <c r="DP41" s="457"/>
      <c r="DQ41" s="457"/>
      <c r="DR41" s="457"/>
      <c r="DS41" s="457"/>
      <c r="DT41" s="457"/>
      <c r="DU41" s="457"/>
      <c r="DV41" s="457"/>
      <c r="DW41" s="457"/>
      <c r="DX41" s="457"/>
      <c r="DY41" s="256"/>
      <c r="DZ41" s="256"/>
      <c r="EA41" s="256"/>
      <c r="EB41" s="256"/>
      <c r="EC41" s="256"/>
      <c r="ED41" s="256"/>
      <c r="EE41" s="256"/>
      <c r="EF41" s="256"/>
      <c r="EG41" s="256"/>
      <c r="EH41" s="257" t="str">
        <f t="shared" si="51"/>
        <v/>
      </c>
      <c r="EI41" s="257" t="str">
        <f t="shared" si="52"/>
        <v/>
      </c>
      <c r="EJ41" s="257" t="str">
        <f t="shared" si="53"/>
        <v/>
      </c>
      <c r="EK41" s="257" t="str">
        <f t="shared" si="54"/>
        <v/>
      </c>
      <c r="EL41" s="257" t="str">
        <f t="shared" si="55"/>
        <v/>
      </c>
      <c r="EM41" s="257" t="str">
        <f t="shared" si="56"/>
        <v/>
      </c>
      <c r="EN41" s="257" t="str">
        <f t="shared" si="57"/>
        <v/>
      </c>
      <c r="EO41" s="257" t="str">
        <f t="shared" si="58"/>
        <v/>
      </c>
      <c r="EP41" s="257" t="str">
        <f t="shared" si="59"/>
        <v/>
      </c>
      <c r="EQ41" s="756" t="str">
        <f t="shared" si="181"/>
        <v/>
      </c>
      <c r="ER41" s="291" t="str">
        <f t="shared" si="60"/>
        <v xml:space="preserve">  </v>
      </c>
      <c r="ES41" s="243" t="str">
        <f t="shared" si="61"/>
        <v xml:space="preserve"> </v>
      </c>
      <c r="ET41" s="39"/>
      <c r="EU41" s="39"/>
      <c r="EV41" s="257">
        <f t="shared" si="62"/>
        <v>0</v>
      </c>
      <c r="EW41" s="257">
        <f t="shared" si="63"/>
        <v>0</v>
      </c>
      <c r="EX41" s="257">
        <f t="shared" si="64"/>
        <v>0</v>
      </c>
      <c r="EY41" s="257">
        <f t="shared" si="65"/>
        <v>0</v>
      </c>
      <c r="EZ41" s="257">
        <f t="shared" si="66"/>
        <v>0</v>
      </c>
      <c r="FA41" s="257">
        <f t="shared" si="67"/>
        <v>0</v>
      </c>
      <c r="FB41" s="257">
        <f t="shared" si="68"/>
        <v>0</v>
      </c>
      <c r="FC41" s="257">
        <f t="shared" si="69"/>
        <v>0</v>
      </c>
      <c r="FD41" s="257">
        <f t="shared" si="70"/>
        <v>0</v>
      </c>
      <c r="FE41" s="257"/>
      <c r="FF41" s="289">
        <f t="shared" si="71"/>
        <v>0</v>
      </c>
      <c r="FG41" s="257">
        <f t="shared" si="72"/>
        <v>0</v>
      </c>
      <c r="FH41" s="257">
        <f t="shared" si="73"/>
        <v>0</v>
      </c>
      <c r="FI41" s="257">
        <f t="shared" si="74"/>
        <v>0</v>
      </c>
      <c r="FJ41" s="257">
        <f t="shared" si="75"/>
        <v>0</v>
      </c>
      <c r="FK41" s="257">
        <f t="shared" si="76"/>
        <v>0</v>
      </c>
      <c r="FL41" s="257">
        <f t="shared" si="77"/>
        <v>0</v>
      </c>
      <c r="FM41" s="257">
        <f t="shared" si="78"/>
        <v>0</v>
      </c>
      <c r="FN41" s="257">
        <f t="shared" si="79"/>
        <v>0</v>
      </c>
      <c r="FO41" s="257">
        <f t="shared" si="80"/>
        <v>0</v>
      </c>
      <c r="FP41" s="223"/>
      <c r="FQ41" s="289">
        <f t="shared" si="81"/>
        <v>0</v>
      </c>
      <c r="FR41" s="257">
        <f t="shared" si="82"/>
        <v>0</v>
      </c>
      <c r="FS41" s="257">
        <f t="shared" si="83"/>
        <v>0</v>
      </c>
      <c r="FT41" s="257">
        <f t="shared" si="84"/>
        <v>0</v>
      </c>
      <c r="FU41" s="257">
        <f t="shared" si="85"/>
        <v>0</v>
      </c>
      <c r="FV41" s="257">
        <f t="shared" si="86"/>
        <v>0</v>
      </c>
      <c r="FW41" s="257">
        <f t="shared" si="87"/>
        <v>0</v>
      </c>
      <c r="FX41" s="257">
        <f t="shared" si="88"/>
        <v>0</v>
      </c>
      <c r="FY41" s="257">
        <f t="shared" si="89"/>
        <v>0</v>
      </c>
      <c r="FZ41" s="257">
        <f t="shared" si="90"/>
        <v>0</v>
      </c>
      <c r="GA41" s="223"/>
      <c r="GB41" s="289">
        <f t="shared" si="91"/>
        <v>0</v>
      </c>
      <c r="GC41" s="257">
        <f t="shared" si="92"/>
        <v>0</v>
      </c>
      <c r="GD41" s="257">
        <f t="shared" si="93"/>
        <v>0</v>
      </c>
      <c r="GE41" s="257">
        <f t="shared" si="94"/>
        <v>0</v>
      </c>
      <c r="GF41" s="575">
        <f t="shared" si="95"/>
        <v>3</v>
      </c>
      <c r="GG41" s="506">
        <f t="shared" si="96"/>
        <v>0</v>
      </c>
      <c r="GH41" s="39" t="str">
        <f t="shared" si="97"/>
        <v/>
      </c>
      <c r="GI41" s="257">
        <f t="shared" si="98"/>
        <v>0</v>
      </c>
      <c r="GJ41" s="257">
        <f t="shared" si="99"/>
        <v>0</v>
      </c>
      <c r="GK41" s="257">
        <f t="shared" si="100"/>
        <v>0</v>
      </c>
      <c r="GL41" s="575">
        <f t="shared" si="101"/>
        <v>3</v>
      </c>
      <c r="GM41" s="506">
        <f t="shared" si="102"/>
        <v>0</v>
      </c>
      <c r="GN41" s="39" t="str">
        <f t="shared" si="103"/>
        <v/>
      </c>
      <c r="GO41" s="257">
        <f t="shared" si="104"/>
        <v>0</v>
      </c>
      <c r="GP41" s="257">
        <f t="shared" si="105"/>
        <v>0</v>
      </c>
      <c r="GQ41" s="257">
        <f t="shared" si="106"/>
        <v>0</v>
      </c>
      <c r="GR41" s="575">
        <f t="shared" si="107"/>
        <v>3</v>
      </c>
      <c r="GS41" s="506">
        <f t="shared" si="108"/>
        <v>0</v>
      </c>
      <c r="GT41" s="39" t="str">
        <f t="shared" si="109"/>
        <v/>
      </c>
      <c r="GU41" s="257">
        <f t="shared" si="110"/>
        <v>0</v>
      </c>
      <c r="GV41" s="257">
        <f t="shared" si="111"/>
        <v>0</v>
      </c>
      <c r="GW41" s="257">
        <f t="shared" si="112"/>
        <v>0</v>
      </c>
      <c r="GX41" s="575">
        <f t="shared" si="113"/>
        <v>3</v>
      </c>
      <c r="GY41" s="506">
        <f t="shared" si="114"/>
        <v>0</v>
      </c>
      <c r="GZ41" s="39" t="str">
        <f t="shared" si="115"/>
        <v/>
      </c>
      <c r="HA41" s="257">
        <f t="shared" si="116"/>
        <v>0</v>
      </c>
      <c r="HB41" s="257">
        <f t="shared" si="117"/>
        <v>0</v>
      </c>
      <c r="HC41" s="257">
        <f t="shared" si="118"/>
        <v>0</v>
      </c>
      <c r="HD41" s="575">
        <f t="shared" si="119"/>
        <v>3</v>
      </c>
      <c r="HE41" s="506">
        <f t="shared" si="120"/>
        <v>0</v>
      </c>
      <c r="HF41" s="39" t="str">
        <f t="shared" si="121"/>
        <v/>
      </c>
      <c r="HG41" s="257">
        <f t="shared" si="122"/>
        <v>0</v>
      </c>
      <c r="HH41" s="257">
        <f t="shared" si="123"/>
        <v>0</v>
      </c>
      <c r="HI41" s="257">
        <f t="shared" si="124"/>
        <v>0</v>
      </c>
      <c r="HJ41" s="575">
        <f t="shared" si="125"/>
        <v>3</v>
      </c>
      <c r="HK41" s="506">
        <f t="shared" si="126"/>
        <v>0</v>
      </c>
      <c r="HL41" s="39" t="str">
        <f t="shared" si="127"/>
        <v/>
      </c>
      <c r="HM41" s="257">
        <f t="shared" si="128"/>
        <v>0</v>
      </c>
      <c r="HN41" s="257">
        <f t="shared" si="129"/>
        <v>0</v>
      </c>
      <c r="HO41" s="257">
        <f t="shared" si="130"/>
        <v>0</v>
      </c>
      <c r="HP41" s="575">
        <f t="shared" si="131"/>
        <v>3</v>
      </c>
      <c r="HQ41" s="506">
        <f t="shared" si="132"/>
        <v>0</v>
      </c>
      <c r="HR41" s="39" t="str">
        <f t="shared" si="133"/>
        <v/>
      </c>
      <c r="HS41" s="257">
        <f t="shared" si="134"/>
        <v>0</v>
      </c>
      <c r="HT41" s="257">
        <f t="shared" si="135"/>
        <v>0</v>
      </c>
      <c r="HU41" s="257">
        <f t="shared" si="136"/>
        <v>0</v>
      </c>
      <c r="HV41" s="575">
        <f t="shared" si="137"/>
        <v>3</v>
      </c>
      <c r="HW41" s="506">
        <f t="shared" si="138"/>
        <v>0</v>
      </c>
      <c r="HX41" s="39" t="str">
        <f t="shared" si="139"/>
        <v/>
      </c>
      <c r="HY41" s="257">
        <f t="shared" si="140"/>
        <v>0</v>
      </c>
      <c r="HZ41" s="257">
        <f t="shared" si="141"/>
        <v>0</v>
      </c>
      <c r="IA41" s="257">
        <f t="shared" si="142"/>
        <v>0</v>
      </c>
      <c r="IB41" s="575">
        <f t="shared" si="143"/>
        <v>3</v>
      </c>
      <c r="IC41" s="506">
        <f t="shared" si="144"/>
        <v>0</v>
      </c>
      <c r="ID41" s="39" t="str">
        <f t="shared" si="145"/>
        <v/>
      </c>
      <c r="IE41" s="39"/>
      <c r="IF41" s="39" t="str">
        <f t="shared" si="146"/>
        <v/>
      </c>
      <c r="IG41" s="39" t="str">
        <f t="shared" si="147"/>
        <v/>
      </c>
      <c r="IH41" s="39" t="str">
        <f t="shared" si="148"/>
        <v/>
      </c>
      <c r="II41" s="39" t="str">
        <f t="shared" si="149"/>
        <v/>
      </c>
      <c r="IJ41" s="39" t="str">
        <f t="shared" si="150"/>
        <v/>
      </c>
      <c r="IK41" s="39" t="str">
        <f t="shared" si="151"/>
        <v/>
      </c>
      <c r="IL41" s="257" t="str">
        <f t="shared" si="152"/>
        <v/>
      </c>
      <c r="IM41" s="257" t="str">
        <f t="shared" si="153"/>
        <v/>
      </c>
      <c r="IN41" s="257" t="str">
        <f t="shared" si="154"/>
        <v/>
      </c>
      <c r="IO41" s="579" t="str">
        <f t="shared" si="155"/>
        <v/>
      </c>
      <c r="IP41" s="289">
        <f t="shared" si="156"/>
        <v>0</v>
      </c>
      <c r="IQ41" s="289">
        <f t="shared" si="157"/>
        <v>0</v>
      </c>
      <c r="IR41" s="223">
        <f>SISWA!E39</f>
        <v>0</v>
      </c>
      <c r="IS41" s="223" t="str">
        <f t="shared" si="158"/>
        <v/>
      </c>
      <c r="IT41" s="580" t="str">
        <f t="shared" si="159"/>
        <v/>
      </c>
      <c r="IU41" s="580" t="str">
        <f t="shared" si="160"/>
        <v/>
      </c>
      <c r="IV41" s="580" t="str">
        <f t="shared" si="161"/>
        <v/>
      </c>
      <c r="IW41" s="580" t="str">
        <f t="shared" si="162"/>
        <v/>
      </c>
      <c r="IX41" s="580" t="str">
        <f t="shared" si="163"/>
        <v/>
      </c>
      <c r="IY41" s="580" t="str">
        <f t="shared" si="164"/>
        <v/>
      </c>
      <c r="IZ41" s="580" t="str">
        <f t="shared" si="165"/>
        <v/>
      </c>
      <c r="JA41" s="580" t="str">
        <f t="shared" si="166"/>
        <v/>
      </c>
      <c r="JB41" s="580" t="str">
        <f t="shared" si="167"/>
        <v/>
      </c>
      <c r="JC41" s="580"/>
      <c r="JD41" s="580"/>
      <c r="JE41" s="223">
        <f t="shared" si="168"/>
        <v>0</v>
      </c>
      <c r="JF41" s="289" t="e">
        <f t="shared" si="169"/>
        <v>#N/A</v>
      </c>
      <c r="JG41" s="576" t="e">
        <f>IF(IP41&gt;100,"",IF(IP41&gt;EV$1,"sangat baik dalam "&amp;JF41,IF(IP41&gt;=EV$2,"baik dalam "&amp;JF41,IF(IP41&gt;=EV$3,"cukup dalam "&amp;JF41,IF(IP41&lt;EV$3,"dengan bimbingan dapat meningkatkan dalam "&amp;JF41,IF(IP41&lt;1," ",””))))))</f>
        <v>#N/A</v>
      </c>
      <c r="JH41" s="223"/>
      <c r="JI41" s="223" t="str">
        <f t="shared" si="170"/>
        <v/>
      </c>
      <c r="JJ41" s="223" t="str">
        <f t="shared" si="171"/>
        <v/>
      </c>
      <c r="JK41" s="223" t="str">
        <f t="shared" si="172"/>
        <v/>
      </c>
      <c r="JL41" s="223" t="str">
        <f t="shared" si="173"/>
        <v/>
      </c>
      <c r="JM41" s="223" t="str">
        <f t="shared" si="174"/>
        <v/>
      </c>
      <c r="JN41" s="223" t="str">
        <f t="shared" si="175"/>
        <v/>
      </c>
      <c r="JO41" s="223" t="str">
        <f t="shared" si="176"/>
        <v/>
      </c>
      <c r="JP41" s="223" t="str">
        <f t="shared" si="177"/>
        <v/>
      </c>
      <c r="JQ41" s="223" t="str">
        <f t="shared" si="178"/>
        <v/>
      </c>
      <c r="JR41" s="223"/>
      <c r="JS41" s="223"/>
      <c r="JT41" s="223" t="e">
        <f t="shared" si="179"/>
        <v>#N/A</v>
      </c>
      <c r="JU41" s="577" t="e">
        <f>IF(IQ41&gt;100,"",IF(IQ41&gt;=EV$1,"sangat baik dalam "&amp;JT41,IF(IQ41&gt;=EV$2,"baik dalam "&amp;JT41,IF(IQ41&gt;=EV$3,"cukup dalam "&amp;JT41,IF(IQ41&lt;EV$3,"dengan bimbingan dapat meningkatkan dalam "&amp;JT41,IF(IQ41&lt;1," ",””))))))</f>
        <v>#N/A</v>
      </c>
      <c r="JV41" s="223" t="e">
        <f t="shared" si="180"/>
        <v>#N/A</v>
      </c>
    </row>
    <row r="42" spans="1:282">
      <c r="A42" s="39">
        <v>35</v>
      </c>
      <c r="B42" s="223">
        <f>SISWA!B40</f>
        <v>0</v>
      </c>
      <c r="C42" s="123"/>
      <c r="D42" s="123"/>
      <c r="E42" s="123"/>
      <c r="F42" s="123"/>
      <c r="G42" s="123"/>
      <c r="H42" s="123"/>
      <c r="I42" s="123"/>
      <c r="J42" s="123"/>
      <c r="K42" s="123"/>
      <c r="L42" s="255"/>
      <c r="M42" s="255"/>
      <c r="N42" s="255"/>
      <c r="O42" s="255"/>
      <c r="P42" s="255"/>
      <c r="Q42" s="255"/>
      <c r="R42" s="255"/>
      <c r="S42" s="255"/>
      <c r="T42" s="255"/>
      <c r="U42" s="256"/>
      <c r="V42" s="256"/>
      <c r="W42" s="256"/>
      <c r="X42" s="256"/>
      <c r="Y42" s="256"/>
      <c r="Z42" s="256"/>
      <c r="AA42" s="256"/>
      <c r="AB42" s="256"/>
      <c r="AC42" s="256"/>
      <c r="AD42" s="123"/>
      <c r="AE42" s="123"/>
      <c r="AF42" s="123"/>
      <c r="AG42" s="123"/>
      <c r="AH42" s="123"/>
      <c r="AI42" s="123"/>
      <c r="AJ42" s="123"/>
      <c r="AK42" s="123"/>
      <c r="AL42" s="123"/>
      <c r="AM42" s="255"/>
      <c r="AN42" s="255"/>
      <c r="AO42" s="255"/>
      <c r="AP42" s="255"/>
      <c r="AQ42" s="255"/>
      <c r="AR42" s="255"/>
      <c r="AS42" s="255"/>
      <c r="AT42" s="255"/>
      <c r="AU42" s="255"/>
      <c r="AV42" s="256"/>
      <c r="AW42" s="256"/>
      <c r="AX42" s="256"/>
      <c r="AY42" s="256"/>
      <c r="AZ42" s="256"/>
      <c r="BA42" s="256"/>
      <c r="BB42" s="256"/>
      <c r="BC42" s="256"/>
      <c r="BD42" s="256"/>
      <c r="BE42" s="123"/>
      <c r="BF42" s="123"/>
      <c r="BG42" s="123"/>
      <c r="BH42" s="123"/>
      <c r="BI42" s="123"/>
      <c r="BJ42" s="123"/>
      <c r="BK42" s="123"/>
      <c r="BL42" s="123"/>
      <c r="BM42" s="123"/>
      <c r="BN42" s="255"/>
      <c r="BO42" s="255"/>
      <c r="BP42" s="255"/>
      <c r="BQ42" s="255"/>
      <c r="BR42" s="255"/>
      <c r="BS42" s="255"/>
      <c r="BT42" s="255"/>
      <c r="BU42" s="255"/>
      <c r="BV42" s="255"/>
      <c r="BW42" s="256"/>
      <c r="BX42" s="256"/>
      <c r="BY42" s="256"/>
      <c r="BZ42" s="256"/>
      <c r="CA42" s="256"/>
      <c r="CB42" s="256"/>
      <c r="CC42" s="256"/>
      <c r="CD42" s="256"/>
      <c r="CE42" s="256"/>
      <c r="CF42" s="123"/>
      <c r="CG42" s="123"/>
      <c r="CH42" s="123"/>
      <c r="CI42" s="123"/>
      <c r="CJ42" s="123"/>
      <c r="CK42" s="123"/>
      <c r="CL42" s="123"/>
      <c r="CM42" s="123"/>
      <c r="CN42" s="123"/>
      <c r="CO42" s="255"/>
      <c r="CP42" s="255"/>
      <c r="CQ42" s="255"/>
      <c r="CR42" s="255"/>
      <c r="CS42" s="255"/>
      <c r="CT42" s="255"/>
      <c r="CU42" s="255"/>
      <c r="CV42" s="255"/>
      <c r="CW42" s="255"/>
      <c r="CX42" s="256"/>
      <c r="CY42" s="256"/>
      <c r="CZ42" s="256"/>
      <c r="DA42" s="256"/>
      <c r="DB42" s="256"/>
      <c r="DC42" s="256"/>
      <c r="DD42" s="256"/>
      <c r="DE42" s="256"/>
      <c r="DF42" s="256"/>
      <c r="DG42" s="458"/>
      <c r="DH42" s="458"/>
      <c r="DI42" s="458"/>
      <c r="DJ42" s="458"/>
      <c r="DK42" s="458"/>
      <c r="DL42" s="458"/>
      <c r="DM42" s="458"/>
      <c r="DN42" s="458"/>
      <c r="DO42" s="458"/>
      <c r="DP42" s="457"/>
      <c r="DQ42" s="457"/>
      <c r="DR42" s="457"/>
      <c r="DS42" s="457"/>
      <c r="DT42" s="457"/>
      <c r="DU42" s="457"/>
      <c r="DV42" s="457"/>
      <c r="DW42" s="457"/>
      <c r="DX42" s="457"/>
      <c r="DY42" s="256"/>
      <c r="DZ42" s="256"/>
      <c r="EA42" s="256"/>
      <c r="EB42" s="256"/>
      <c r="EC42" s="256"/>
      <c r="ED42" s="256"/>
      <c r="EE42" s="256"/>
      <c r="EF42" s="256"/>
      <c r="EG42" s="256"/>
      <c r="EH42" s="257" t="str">
        <f t="shared" si="51"/>
        <v/>
      </c>
      <c r="EI42" s="257" t="str">
        <f t="shared" si="52"/>
        <v/>
      </c>
      <c r="EJ42" s="257" t="str">
        <f t="shared" si="53"/>
        <v/>
      </c>
      <c r="EK42" s="257" t="str">
        <f t="shared" si="54"/>
        <v/>
      </c>
      <c r="EL42" s="257" t="str">
        <f t="shared" si="55"/>
        <v/>
      </c>
      <c r="EM42" s="257" t="str">
        <f t="shared" si="56"/>
        <v/>
      </c>
      <c r="EN42" s="257" t="str">
        <f t="shared" si="57"/>
        <v/>
      </c>
      <c r="EO42" s="257" t="str">
        <f t="shared" si="58"/>
        <v/>
      </c>
      <c r="EP42" s="257" t="str">
        <f t="shared" si="59"/>
        <v/>
      </c>
      <c r="EQ42" s="756" t="str">
        <f t="shared" si="181"/>
        <v/>
      </c>
      <c r="ER42" s="291" t="str">
        <f t="shared" si="60"/>
        <v xml:space="preserve">  </v>
      </c>
      <c r="ES42" s="243" t="str">
        <f t="shared" si="61"/>
        <v xml:space="preserve"> </v>
      </c>
      <c r="ET42" s="39"/>
      <c r="EU42" s="39"/>
      <c r="EV42" s="257">
        <f t="shared" si="62"/>
        <v>0</v>
      </c>
      <c r="EW42" s="257">
        <f t="shared" si="63"/>
        <v>0</v>
      </c>
      <c r="EX42" s="257">
        <f t="shared" si="64"/>
        <v>0</v>
      </c>
      <c r="EY42" s="257">
        <f t="shared" si="65"/>
        <v>0</v>
      </c>
      <c r="EZ42" s="257">
        <f t="shared" si="66"/>
        <v>0</v>
      </c>
      <c r="FA42" s="257">
        <f t="shared" si="67"/>
        <v>0</v>
      </c>
      <c r="FB42" s="257">
        <f t="shared" si="68"/>
        <v>0</v>
      </c>
      <c r="FC42" s="257">
        <f t="shared" si="69"/>
        <v>0</v>
      </c>
      <c r="FD42" s="257">
        <f t="shared" si="70"/>
        <v>0</v>
      </c>
      <c r="FE42" s="257"/>
      <c r="FF42" s="289">
        <f t="shared" si="71"/>
        <v>0</v>
      </c>
      <c r="FG42" s="257">
        <f t="shared" si="72"/>
        <v>0</v>
      </c>
      <c r="FH42" s="257">
        <f t="shared" si="73"/>
        <v>0</v>
      </c>
      <c r="FI42" s="257">
        <f t="shared" si="74"/>
        <v>0</v>
      </c>
      <c r="FJ42" s="257">
        <f t="shared" si="75"/>
        <v>0</v>
      </c>
      <c r="FK42" s="257">
        <f t="shared" si="76"/>
        <v>0</v>
      </c>
      <c r="FL42" s="257">
        <f t="shared" si="77"/>
        <v>0</v>
      </c>
      <c r="FM42" s="257">
        <f t="shared" si="78"/>
        <v>0</v>
      </c>
      <c r="FN42" s="257">
        <f t="shared" si="79"/>
        <v>0</v>
      </c>
      <c r="FO42" s="257">
        <f t="shared" si="80"/>
        <v>0</v>
      </c>
      <c r="FP42" s="223"/>
      <c r="FQ42" s="289">
        <f t="shared" si="81"/>
        <v>0</v>
      </c>
      <c r="FR42" s="257">
        <f t="shared" si="82"/>
        <v>0</v>
      </c>
      <c r="FS42" s="257">
        <f t="shared" si="83"/>
        <v>0</v>
      </c>
      <c r="FT42" s="257">
        <f t="shared" si="84"/>
        <v>0</v>
      </c>
      <c r="FU42" s="257">
        <f t="shared" si="85"/>
        <v>0</v>
      </c>
      <c r="FV42" s="257">
        <f t="shared" si="86"/>
        <v>0</v>
      </c>
      <c r="FW42" s="257">
        <f t="shared" si="87"/>
        <v>0</v>
      </c>
      <c r="FX42" s="257">
        <f t="shared" si="88"/>
        <v>0</v>
      </c>
      <c r="FY42" s="257">
        <f t="shared" si="89"/>
        <v>0</v>
      </c>
      <c r="FZ42" s="257">
        <f t="shared" si="90"/>
        <v>0</v>
      </c>
      <c r="GA42" s="223"/>
      <c r="GB42" s="289">
        <f t="shared" si="91"/>
        <v>0</v>
      </c>
      <c r="GC42" s="257">
        <f t="shared" si="92"/>
        <v>0</v>
      </c>
      <c r="GD42" s="257">
        <f t="shared" si="93"/>
        <v>0</v>
      </c>
      <c r="GE42" s="257">
        <f t="shared" si="94"/>
        <v>0</v>
      </c>
      <c r="GF42" s="575">
        <f t="shared" si="95"/>
        <v>3</v>
      </c>
      <c r="GG42" s="506">
        <f t="shared" si="96"/>
        <v>0</v>
      </c>
      <c r="GH42" s="39" t="str">
        <f t="shared" si="97"/>
        <v/>
      </c>
      <c r="GI42" s="257">
        <f t="shared" si="98"/>
        <v>0</v>
      </c>
      <c r="GJ42" s="257">
        <f t="shared" si="99"/>
        <v>0</v>
      </c>
      <c r="GK42" s="257">
        <f t="shared" si="100"/>
        <v>0</v>
      </c>
      <c r="GL42" s="575">
        <f t="shared" si="101"/>
        <v>3</v>
      </c>
      <c r="GM42" s="506">
        <f t="shared" si="102"/>
        <v>0</v>
      </c>
      <c r="GN42" s="39" t="str">
        <f t="shared" si="103"/>
        <v/>
      </c>
      <c r="GO42" s="257">
        <f t="shared" si="104"/>
        <v>0</v>
      </c>
      <c r="GP42" s="257">
        <f t="shared" si="105"/>
        <v>0</v>
      </c>
      <c r="GQ42" s="257">
        <f t="shared" si="106"/>
        <v>0</v>
      </c>
      <c r="GR42" s="575">
        <f t="shared" si="107"/>
        <v>3</v>
      </c>
      <c r="GS42" s="506">
        <f t="shared" si="108"/>
        <v>0</v>
      </c>
      <c r="GT42" s="39" t="str">
        <f t="shared" si="109"/>
        <v/>
      </c>
      <c r="GU42" s="257">
        <f t="shared" si="110"/>
        <v>0</v>
      </c>
      <c r="GV42" s="257">
        <f t="shared" si="111"/>
        <v>0</v>
      </c>
      <c r="GW42" s="257">
        <f t="shared" si="112"/>
        <v>0</v>
      </c>
      <c r="GX42" s="575">
        <f t="shared" si="113"/>
        <v>3</v>
      </c>
      <c r="GY42" s="506">
        <f t="shared" si="114"/>
        <v>0</v>
      </c>
      <c r="GZ42" s="39" t="str">
        <f t="shared" si="115"/>
        <v/>
      </c>
      <c r="HA42" s="257">
        <f t="shared" si="116"/>
        <v>0</v>
      </c>
      <c r="HB42" s="257">
        <f t="shared" si="117"/>
        <v>0</v>
      </c>
      <c r="HC42" s="257">
        <f t="shared" si="118"/>
        <v>0</v>
      </c>
      <c r="HD42" s="575">
        <f t="shared" si="119"/>
        <v>3</v>
      </c>
      <c r="HE42" s="506">
        <f t="shared" si="120"/>
        <v>0</v>
      </c>
      <c r="HF42" s="39" t="str">
        <f t="shared" si="121"/>
        <v/>
      </c>
      <c r="HG42" s="257">
        <f t="shared" si="122"/>
        <v>0</v>
      </c>
      <c r="HH42" s="257">
        <f t="shared" si="123"/>
        <v>0</v>
      </c>
      <c r="HI42" s="257">
        <f t="shared" si="124"/>
        <v>0</v>
      </c>
      <c r="HJ42" s="575">
        <f t="shared" si="125"/>
        <v>3</v>
      </c>
      <c r="HK42" s="506">
        <f t="shared" si="126"/>
        <v>0</v>
      </c>
      <c r="HL42" s="39" t="str">
        <f t="shared" si="127"/>
        <v/>
      </c>
      <c r="HM42" s="257">
        <f t="shared" si="128"/>
        <v>0</v>
      </c>
      <c r="HN42" s="257">
        <f t="shared" si="129"/>
        <v>0</v>
      </c>
      <c r="HO42" s="257">
        <f t="shared" si="130"/>
        <v>0</v>
      </c>
      <c r="HP42" s="575">
        <f t="shared" si="131"/>
        <v>3</v>
      </c>
      <c r="HQ42" s="506">
        <f t="shared" si="132"/>
        <v>0</v>
      </c>
      <c r="HR42" s="39" t="str">
        <f t="shared" si="133"/>
        <v/>
      </c>
      <c r="HS42" s="257">
        <f t="shared" si="134"/>
        <v>0</v>
      </c>
      <c r="HT42" s="257">
        <f t="shared" si="135"/>
        <v>0</v>
      </c>
      <c r="HU42" s="257">
        <f t="shared" si="136"/>
        <v>0</v>
      </c>
      <c r="HV42" s="575">
        <f t="shared" si="137"/>
        <v>3</v>
      </c>
      <c r="HW42" s="506">
        <f t="shared" si="138"/>
        <v>0</v>
      </c>
      <c r="HX42" s="39" t="str">
        <f t="shared" si="139"/>
        <v/>
      </c>
      <c r="HY42" s="257">
        <f t="shared" si="140"/>
        <v>0</v>
      </c>
      <c r="HZ42" s="257">
        <f t="shared" si="141"/>
        <v>0</v>
      </c>
      <c r="IA42" s="257">
        <f t="shared" si="142"/>
        <v>0</v>
      </c>
      <c r="IB42" s="575">
        <f t="shared" si="143"/>
        <v>3</v>
      </c>
      <c r="IC42" s="506">
        <f t="shared" si="144"/>
        <v>0</v>
      </c>
      <c r="ID42" s="39" t="str">
        <f t="shared" si="145"/>
        <v/>
      </c>
      <c r="IE42" s="39"/>
      <c r="IF42" s="39" t="str">
        <f t="shared" si="146"/>
        <v/>
      </c>
      <c r="IG42" s="39" t="str">
        <f t="shared" si="147"/>
        <v/>
      </c>
      <c r="IH42" s="39" t="str">
        <f t="shared" si="148"/>
        <v/>
      </c>
      <c r="II42" s="39" t="str">
        <f t="shared" si="149"/>
        <v/>
      </c>
      <c r="IJ42" s="39" t="str">
        <f t="shared" si="150"/>
        <v/>
      </c>
      <c r="IK42" s="39" t="str">
        <f t="shared" si="151"/>
        <v/>
      </c>
      <c r="IL42" s="257" t="str">
        <f t="shared" si="152"/>
        <v/>
      </c>
      <c r="IM42" s="257" t="str">
        <f t="shared" si="153"/>
        <v/>
      </c>
      <c r="IN42" s="257" t="str">
        <f t="shared" si="154"/>
        <v/>
      </c>
      <c r="IO42" s="579" t="str">
        <f t="shared" si="155"/>
        <v/>
      </c>
      <c r="IP42" s="289">
        <f t="shared" si="156"/>
        <v>0</v>
      </c>
      <c r="IQ42" s="289">
        <f t="shared" si="157"/>
        <v>0</v>
      </c>
      <c r="IR42" s="223">
        <f>SISWA!E40</f>
        <v>0</v>
      </c>
      <c r="IS42" s="223" t="str">
        <f t="shared" si="158"/>
        <v/>
      </c>
      <c r="IT42" s="580" t="str">
        <f t="shared" si="159"/>
        <v/>
      </c>
      <c r="IU42" s="580" t="str">
        <f t="shared" si="160"/>
        <v/>
      </c>
      <c r="IV42" s="580" t="str">
        <f t="shared" si="161"/>
        <v/>
      </c>
      <c r="IW42" s="580" t="str">
        <f t="shared" si="162"/>
        <v/>
      </c>
      <c r="IX42" s="580" t="str">
        <f t="shared" si="163"/>
        <v/>
      </c>
      <c r="IY42" s="580" t="str">
        <f t="shared" si="164"/>
        <v/>
      </c>
      <c r="IZ42" s="580" t="str">
        <f t="shared" si="165"/>
        <v/>
      </c>
      <c r="JA42" s="580" t="str">
        <f t="shared" si="166"/>
        <v/>
      </c>
      <c r="JB42" s="580" t="str">
        <f t="shared" si="167"/>
        <v/>
      </c>
      <c r="JC42" s="580"/>
      <c r="JD42" s="580"/>
      <c r="JE42" s="223">
        <f t="shared" si="168"/>
        <v>0</v>
      </c>
      <c r="JF42" s="289" t="e">
        <f t="shared" si="169"/>
        <v>#N/A</v>
      </c>
      <c r="JG42" s="576" t="e">
        <f>IF(IP42&gt;100,"",IF(IP42&gt;EV$1,"sangat baik dalam "&amp;JF42,IF(IP42&gt;=EV$2,"baik dalam "&amp;JF42,IF(IP42&gt;=EV$3,"cukup dalam "&amp;JF42,IF(IP42&lt;EV$3,"dengan bimbingan dapat meningkatkan dalam "&amp;JF42,IF(IP42&lt;1," ",””))))))</f>
        <v>#N/A</v>
      </c>
      <c r="JH42" s="223"/>
      <c r="JI42" s="223" t="str">
        <f t="shared" si="170"/>
        <v/>
      </c>
      <c r="JJ42" s="223" t="str">
        <f t="shared" si="171"/>
        <v/>
      </c>
      <c r="JK42" s="223" t="str">
        <f t="shared" si="172"/>
        <v/>
      </c>
      <c r="JL42" s="223" t="str">
        <f t="shared" si="173"/>
        <v/>
      </c>
      <c r="JM42" s="223" t="str">
        <f t="shared" si="174"/>
        <v/>
      </c>
      <c r="JN42" s="223" t="str">
        <f t="shared" si="175"/>
        <v/>
      </c>
      <c r="JO42" s="223" t="str">
        <f t="shared" si="176"/>
        <v/>
      </c>
      <c r="JP42" s="223" t="str">
        <f t="shared" si="177"/>
        <v/>
      </c>
      <c r="JQ42" s="223" t="str">
        <f t="shared" si="178"/>
        <v/>
      </c>
      <c r="JR42" s="223"/>
      <c r="JS42" s="223"/>
      <c r="JT42" s="223" t="e">
        <f t="shared" si="179"/>
        <v>#N/A</v>
      </c>
      <c r="JU42" s="577" t="e">
        <f>IF(IQ42&gt;100,"",IF(IQ42&gt;=EV$1,"sangat baik dalam "&amp;JT42,IF(IQ42&gt;=EV$2,"baik dalam "&amp;JT42,IF(IQ42&gt;=EV$3,"cukup dalam "&amp;JT42,IF(IQ42&lt;EV$3,"dengan bimbingan dapat meningkatkan dalam "&amp;JT42,IF(IQ42&lt;1," ",””))))))</f>
        <v>#N/A</v>
      </c>
      <c r="JV42" s="223" t="e">
        <f t="shared" si="180"/>
        <v>#N/A</v>
      </c>
    </row>
    <row r="43" spans="1:282">
      <c r="DG43" s="221"/>
      <c r="DH43" s="221"/>
      <c r="DI43" s="221"/>
      <c r="DJ43" s="221"/>
      <c r="DK43" s="221"/>
      <c r="DL43" s="221"/>
      <c r="DM43" s="221"/>
      <c r="DN43" s="221"/>
      <c r="DO43" s="221"/>
    </row>
    <row r="44" spans="1:282">
      <c r="B44" s="244" t="str">
        <f>"Kompetensi Dasar "&amp;C2&amp;" :"</f>
        <v>Kompetensi Dasar I P A :</v>
      </c>
      <c r="DG44" s="221"/>
      <c r="DH44" s="221"/>
      <c r="DI44" s="221"/>
      <c r="DJ44" s="221"/>
      <c r="DK44" s="221"/>
      <c r="DL44" s="221"/>
      <c r="DM44" s="221"/>
      <c r="DN44" s="221"/>
      <c r="DO44" s="221"/>
    </row>
    <row r="45" spans="1:282">
      <c r="A45" s="245" t="str">
        <f>'KDKI-4'!A37</f>
        <v>4.1</v>
      </c>
      <c r="B45" s="334" t="str">
        <f>'KDKI-4'!B37</f>
        <v>membuat model sederhana alat gerak manusia atau hewan</v>
      </c>
      <c r="C45" s="246"/>
      <c r="D45" s="246"/>
      <c r="E45" s="246"/>
      <c r="F45" s="246"/>
      <c r="G45" s="246"/>
      <c r="H45" s="246"/>
      <c r="I45" s="246"/>
      <c r="J45" s="246"/>
      <c r="K45" s="246"/>
      <c r="L45" s="246"/>
      <c r="M45" s="246"/>
      <c r="N45" s="246"/>
      <c r="O45" s="246"/>
      <c r="P45" s="246"/>
      <c r="Q45" s="246"/>
      <c r="R45" s="246"/>
      <c r="S45" s="246"/>
      <c r="T45" s="246"/>
      <c r="U45" s="246"/>
      <c r="V45" s="246"/>
      <c r="W45" s="246"/>
      <c r="X45" s="246"/>
      <c r="Y45" s="246"/>
      <c r="Z45" s="246"/>
      <c r="AA45" s="246"/>
      <c r="AB45" s="246"/>
      <c r="AC45" s="246"/>
      <c r="AD45" s="246"/>
      <c r="AE45" s="246"/>
      <c r="AF45" s="246"/>
      <c r="AG45" s="246"/>
      <c r="AH45" s="246"/>
      <c r="AI45" s="246"/>
      <c r="AJ45" s="246"/>
      <c r="AK45" s="246"/>
      <c r="AL45" s="246"/>
      <c r="AM45" s="246"/>
      <c r="AN45" s="246"/>
      <c r="AO45" s="246"/>
      <c r="AP45" s="246"/>
      <c r="AQ45" s="246"/>
      <c r="AR45" s="246"/>
      <c r="AS45" s="247"/>
      <c r="AT45" s="250"/>
      <c r="AU45" s="250"/>
      <c r="DG45" s="221"/>
      <c r="DH45" s="221"/>
      <c r="DI45" s="221"/>
      <c r="DJ45" s="221"/>
      <c r="DK45" s="221"/>
      <c r="DL45" s="221"/>
      <c r="DM45" s="221"/>
      <c r="DN45" s="221"/>
      <c r="DO45" s="221"/>
    </row>
    <row r="46" spans="1:282">
      <c r="A46" s="245" t="str">
        <f>'KDKI-4'!A38</f>
        <v>4.2</v>
      </c>
      <c r="B46" s="334" t="str">
        <f>'KDKI-4'!B38</f>
        <v>membuat model sederhana organ pernapasan manusia</v>
      </c>
      <c r="C46" s="248"/>
      <c r="D46" s="248"/>
      <c r="E46" s="248"/>
      <c r="F46" s="248"/>
      <c r="G46" s="248"/>
      <c r="H46" s="248"/>
      <c r="I46" s="248"/>
      <c r="J46" s="248"/>
      <c r="K46" s="248"/>
      <c r="L46" s="248"/>
      <c r="M46" s="248"/>
      <c r="N46" s="248"/>
      <c r="O46" s="248"/>
      <c r="P46" s="248"/>
      <c r="Q46" s="248"/>
      <c r="R46" s="248"/>
      <c r="S46" s="248"/>
      <c r="T46" s="248"/>
      <c r="U46" s="248"/>
      <c r="V46" s="248"/>
      <c r="W46" s="248"/>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9"/>
      <c r="AT46" s="250"/>
      <c r="AU46" s="250"/>
      <c r="DG46" s="221"/>
      <c r="DH46" s="221"/>
      <c r="DI46" s="221"/>
      <c r="DJ46" s="221"/>
      <c r="DK46" s="221"/>
      <c r="DL46" s="221"/>
      <c r="DM46" s="221"/>
      <c r="DN46" s="221"/>
      <c r="DO46" s="221"/>
    </row>
    <row r="47" spans="1:282">
      <c r="A47" s="245" t="str">
        <f>'KDKI-4'!A39</f>
        <v>4.3</v>
      </c>
      <c r="B47" s="334" t="str">
        <f>'KDKI-4'!B39</f>
        <v>menyajikan karya tentang konsep organ dan fungsi pencernaan pada hewan atau manusia.</v>
      </c>
      <c r="C47" s="250"/>
      <c r="D47" s="250"/>
      <c r="E47" s="250"/>
      <c r="F47" s="250"/>
      <c r="G47" s="250"/>
      <c r="H47" s="250"/>
      <c r="I47" s="250"/>
      <c r="J47" s="250"/>
      <c r="K47" s="250"/>
      <c r="L47" s="250"/>
      <c r="M47" s="250"/>
      <c r="N47" s="250"/>
      <c r="O47" s="250"/>
      <c r="P47" s="250"/>
      <c r="Q47" s="250"/>
      <c r="R47" s="250"/>
      <c r="S47" s="250"/>
      <c r="T47" s="250"/>
      <c r="U47" s="250"/>
      <c r="V47" s="250"/>
      <c r="W47" s="250"/>
      <c r="X47" s="250"/>
      <c r="Y47" s="250"/>
      <c r="Z47" s="250"/>
      <c r="AA47" s="250"/>
      <c r="AB47" s="250"/>
      <c r="AC47" s="250"/>
      <c r="AD47" s="250"/>
      <c r="AE47" s="250"/>
      <c r="AF47" s="250"/>
      <c r="AG47" s="250"/>
      <c r="AH47" s="250"/>
      <c r="AI47" s="250"/>
      <c r="AJ47" s="250"/>
      <c r="AK47" s="250"/>
      <c r="AL47" s="250"/>
      <c r="AM47" s="250"/>
      <c r="AN47" s="250"/>
      <c r="AO47" s="250"/>
      <c r="AP47" s="250"/>
      <c r="AQ47" s="250"/>
      <c r="AR47" s="250"/>
      <c r="AS47" s="251"/>
      <c r="AT47" s="250"/>
      <c r="AU47" s="250"/>
      <c r="DG47" s="221"/>
      <c r="DH47" s="221"/>
      <c r="DI47" s="221"/>
      <c r="DJ47" s="221"/>
      <c r="DK47" s="221"/>
      <c r="DL47" s="221"/>
      <c r="DM47" s="221"/>
      <c r="DN47" s="221"/>
      <c r="DO47" s="221"/>
    </row>
    <row r="48" spans="1:282">
      <c r="A48" s="245" t="str">
        <f>'KDKI-4'!A40</f>
        <v>4.4</v>
      </c>
      <c r="B48" s="334" t="str">
        <f>'KDKI-4'!B40</f>
        <v>menyajikan karya tentang organ peredaran darah pada manusia</v>
      </c>
      <c r="C48" s="248"/>
      <c r="D48" s="248"/>
      <c r="E48" s="248"/>
      <c r="F48" s="248"/>
      <c r="G48" s="248"/>
      <c r="H48" s="248"/>
      <c r="I48" s="248"/>
      <c r="J48" s="248"/>
      <c r="K48" s="248"/>
      <c r="L48" s="248"/>
      <c r="M48" s="248"/>
      <c r="N48" s="248"/>
      <c r="O48" s="248"/>
      <c r="P48" s="248"/>
      <c r="Q48" s="248"/>
      <c r="R48" s="248"/>
      <c r="S48" s="248"/>
      <c r="T48" s="248"/>
      <c r="U48" s="248"/>
      <c r="V48" s="248"/>
      <c r="W48" s="248"/>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9"/>
      <c r="AT48" s="250"/>
      <c r="AU48" s="250"/>
      <c r="DG48" s="221"/>
      <c r="DH48" s="221"/>
      <c r="DI48" s="221"/>
      <c r="DJ48" s="221"/>
      <c r="DK48" s="221"/>
      <c r="DL48" s="221"/>
      <c r="DM48" s="221"/>
      <c r="DN48" s="221"/>
      <c r="DO48" s="221"/>
    </row>
    <row r="49" spans="1:47">
      <c r="A49" s="245" t="str">
        <f>'KDKI-4'!A41</f>
        <v>4.5</v>
      </c>
      <c r="B49" s="334" t="str">
        <f>'KDKI-4'!B41</f>
        <v>membuat karya tentang konsep jaring-jaring makanan dalam suatu ekosistem</v>
      </c>
      <c r="C49" s="250"/>
      <c r="D49" s="250"/>
      <c r="E49" s="250"/>
      <c r="F49" s="250"/>
      <c r="G49" s="250"/>
      <c r="H49" s="250"/>
      <c r="I49" s="250"/>
      <c r="J49" s="250"/>
      <c r="K49" s="250"/>
      <c r="L49" s="250"/>
      <c r="M49" s="250"/>
      <c r="N49" s="250"/>
      <c r="O49" s="250"/>
      <c r="P49" s="250"/>
      <c r="Q49" s="250"/>
      <c r="R49" s="250"/>
      <c r="S49" s="250"/>
      <c r="T49" s="250"/>
      <c r="U49" s="250"/>
      <c r="V49" s="250"/>
      <c r="W49" s="250"/>
      <c r="X49" s="250"/>
      <c r="Y49" s="250"/>
      <c r="Z49" s="250"/>
      <c r="AA49" s="250"/>
      <c r="AB49" s="250"/>
      <c r="AC49" s="250"/>
      <c r="AD49" s="250"/>
      <c r="AE49" s="250"/>
      <c r="AF49" s="250"/>
      <c r="AG49" s="250"/>
      <c r="AH49" s="250"/>
      <c r="AI49" s="250"/>
      <c r="AJ49" s="250"/>
      <c r="AK49" s="250"/>
      <c r="AL49" s="250"/>
      <c r="AM49" s="250"/>
      <c r="AN49" s="250"/>
      <c r="AO49" s="250"/>
      <c r="AP49" s="250"/>
      <c r="AQ49" s="250"/>
      <c r="AR49" s="250"/>
      <c r="AS49" s="251"/>
      <c r="AT49" s="250"/>
      <c r="AU49" s="250"/>
    </row>
    <row r="50" spans="1:47">
      <c r="A50" s="245" t="str">
        <f>'KDKI-4'!A42</f>
        <v>4.6</v>
      </c>
      <c r="B50" s="334" t="str">
        <f>'KDKI-4'!B42</f>
        <v>melaporkan hasil pengamatan tentang perpindahan kalor</v>
      </c>
      <c r="C50" s="248"/>
      <c r="D50" s="248"/>
      <c r="E50" s="248"/>
      <c r="F50" s="248"/>
      <c r="G50" s="248"/>
      <c r="H50" s="248"/>
      <c r="I50" s="248"/>
      <c r="J50" s="248"/>
      <c r="K50" s="248"/>
      <c r="L50" s="248"/>
      <c r="M50" s="248"/>
      <c r="N50" s="248"/>
      <c r="O50" s="248"/>
      <c r="P50" s="248"/>
      <c r="Q50" s="248"/>
      <c r="R50" s="248"/>
      <c r="S50" s="248"/>
      <c r="T50" s="248"/>
      <c r="U50" s="248"/>
      <c r="V50" s="248"/>
      <c r="W50" s="248"/>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9"/>
      <c r="AT50" s="250"/>
      <c r="AU50" s="250"/>
    </row>
    <row r="51" spans="1:47">
      <c r="A51" s="245" t="str">
        <f>'KDKI-4'!A43</f>
        <v>4.7</v>
      </c>
      <c r="B51" s="334" t="str">
        <f>'KDKI-4'!B43</f>
        <v>melaporkan hasil percobaan pengaruh kalor pada benda</v>
      </c>
      <c r="C51" s="250"/>
      <c r="D51" s="250"/>
      <c r="E51" s="250"/>
      <c r="F51" s="250"/>
      <c r="G51" s="250"/>
      <c r="H51" s="250"/>
      <c r="I51" s="250"/>
      <c r="J51" s="250"/>
      <c r="K51" s="250"/>
      <c r="L51" s="250"/>
      <c r="M51" s="250"/>
      <c r="N51" s="250"/>
      <c r="O51" s="250"/>
      <c r="P51" s="250"/>
      <c r="Q51" s="250"/>
      <c r="R51" s="250"/>
      <c r="S51" s="250"/>
      <c r="T51" s="250"/>
      <c r="U51" s="250"/>
      <c r="V51" s="250"/>
      <c r="W51" s="250"/>
      <c r="X51" s="250"/>
      <c r="Y51" s="250"/>
      <c r="Z51" s="250"/>
      <c r="AA51" s="250"/>
      <c r="AB51" s="250"/>
      <c r="AC51" s="250"/>
      <c r="AD51" s="250"/>
      <c r="AE51" s="250"/>
      <c r="AF51" s="250"/>
      <c r="AG51" s="250"/>
      <c r="AH51" s="250"/>
      <c r="AI51" s="250"/>
      <c r="AJ51" s="250"/>
      <c r="AK51" s="250"/>
      <c r="AL51" s="250"/>
      <c r="AM51" s="250"/>
      <c r="AN51" s="250"/>
      <c r="AO51" s="250"/>
      <c r="AP51" s="250"/>
      <c r="AQ51" s="250"/>
      <c r="AR51" s="250"/>
      <c r="AS51" s="251"/>
      <c r="AT51" s="250"/>
      <c r="AU51" s="250"/>
    </row>
    <row r="52" spans="1:47">
      <c r="A52" s="245" t="str">
        <f>'KDKI-4'!A44</f>
        <v>4.8</v>
      </c>
      <c r="B52" s="334" t="str">
        <f>'KDKI-4'!B44</f>
        <v>membuat karya tentang skema siklus air berdasarkan informasi dari berbagai sumber</v>
      </c>
      <c r="C52" s="248"/>
      <c r="D52" s="248"/>
      <c r="E52" s="248"/>
      <c r="F52" s="248"/>
      <c r="G52" s="248"/>
      <c r="H52" s="248"/>
      <c r="I52" s="248"/>
      <c r="J52" s="248"/>
      <c r="K52" s="248"/>
      <c r="L52" s="248"/>
      <c r="M52" s="248"/>
      <c r="N52" s="248"/>
      <c r="O52" s="248"/>
      <c r="P52" s="248"/>
      <c r="Q52" s="248"/>
      <c r="R52" s="248"/>
      <c r="S52" s="248"/>
      <c r="T52" s="248"/>
      <c r="U52" s="248"/>
      <c r="V52" s="248"/>
      <c r="W52" s="248"/>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9"/>
      <c r="AT52" s="250"/>
      <c r="AU52" s="250"/>
    </row>
    <row r="53" spans="1:47">
      <c r="A53" s="245" t="str">
        <f>'KDKI-4'!A45</f>
        <v>4.9</v>
      </c>
      <c r="B53" s="334" t="str">
        <f>'KDKI-4'!B45</f>
        <v>melaporkan hasil pengamatan sifat-sifat campuran dan komponen penyusunnya dalam kehidupan sehari-hari</v>
      </c>
      <c r="C53" s="250"/>
      <c r="D53" s="250"/>
      <c r="E53" s="250"/>
      <c r="F53" s="250"/>
      <c r="G53" s="250"/>
      <c r="H53" s="250"/>
      <c r="I53" s="250"/>
      <c r="J53" s="250"/>
      <c r="K53" s="250"/>
      <c r="L53" s="250"/>
      <c r="M53" s="250"/>
      <c r="N53" s="250"/>
      <c r="O53" s="250"/>
      <c r="P53" s="250"/>
      <c r="Q53" s="250"/>
      <c r="R53" s="250"/>
      <c r="S53" s="250"/>
      <c r="T53" s="250"/>
      <c r="U53" s="250"/>
      <c r="V53" s="250"/>
      <c r="W53" s="250"/>
      <c r="X53" s="250"/>
      <c r="Y53" s="250"/>
      <c r="Z53" s="250"/>
      <c r="AA53" s="250"/>
      <c r="AB53" s="250"/>
      <c r="AC53" s="250"/>
      <c r="AD53" s="250"/>
      <c r="AE53" s="250"/>
      <c r="AF53" s="250"/>
      <c r="AG53" s="250"/>
      <c r="AH53" s="250"/>
      <c r="AI53" s="250"/>
      <c r="AJ53" s="250"/>
      <c r="AK53" s="250"/>
      <c r="AL53" s="250"/>
      <c r="AM53" s="250"/>
      <c r="AN53" s="250"/>
      <c r="AO53" s="250"/>
      <c r="AP53" s="250"/>
      <c r="AQ53" s="250"/>
      <c r="AR53" s="250"/>
      <c r="AS53" s="251"/>
      <c r="AT53" s="250"/>
      <c r="AU53" s="250"/>
    </row>
    <row r="54" spans="1:47">
      <c r="A54" s="252"/>
      <c r="B54" s="335"/>
      <c r="C54" s="248"/>
      <c r="D54" s="248"/>
      <c r="E54" s="248"/>
      <c r="F54" s="248"/>
      <c r="G54" s="248"/>
      <c r="H54" s="248"/>
      <c r="I54" s="248"/>
      <c r="J54" s="248"/>
      <c r="K54" s="248"/>
      <c r="L54" s="248"/>
      <c r="M54" s="248"/>
      <c r="N54" s="248"/>
      <c r="O54" s="248"/>
      <c r="P54" s="248"/>
      <c r="Q54" s="248"/>
      <c r="R54" s="248"/>
      <c r="S54" s="248"/>
      <c r="T54" s="248"/>
      <c r="U54" s="248"/>
      <c r="V54" s="248"/>
      <c r="W54" s="248"/>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9"/>
      <c r="AT54" s="250"/>
      <c r="AU54" s="250"/>
    </row>
    <row r="55" spans="1:47">
      <c r="A55" s="252"/>
      <c r="B55" s="337"/>
      <c r="C55" s="253"/>
      <c r="D55" s="253"/>
      <c r="E55" s="253"/>
      <c r="F55" s="253"/>
      <c r="G55" s="253"/>
      <c r="H55" s="253"/>
      <c r="I55" s="253"/>
      <c r="J55" s="253"/>
      <c r="K55" s="253"/>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3"/>
      <c r="AL55" s="253"/>
      <c r="AM55" s="253"/>
      <c r="AN55" s="253"/>
      <c r="AO55" s="253"/>
      <c r="AP55" s="253"/>
      <c r="AQ55" s="253"/>
      <c r="AR55" s="253"/>
      <c r="AS55" s="254"/>
      <c r="AT55" s="250"/>
      <c r="AU55" s="250"/>
    </row>
    <row r="56" spans="1:47"/>
    <row r="57" spans="1:47"/>
    <row r="58" spans="1:47"/>
    <row r="59" spans="1:47"/>
    <row r="60" spans="1:47"/>
    <row r="61" spans="1:47"/>
    <row r="62" spans="1:47"/>
  </sheetData>
  <sheetProtection password="CA9C" sheet="1" objects="1" scenarios="1" formatCells="0" formatRows="0"/>
  <mergeCells count="99">
    <mergeCell ref="BW6:CE6"/>
    <mergeCell ref="CF6:CN6"/>
    <mergeCell ref="CO6:CW6"/>
    <mergeCell ref="JV6:JV7"/>
    <mergeCell ref="JO6:JO7"/>
    <mergeCell ref="JP6:JP7"/>
    <mergeCell ref="JQ6:JQ7"/>
    <mergeCell ref="JR6:JR7"/>
    <mergeCell ref="JT6:JT7"/>
    <mergeCell ref="JJ6:JJ7"/>
    <mergeCell ref="JK6:JK7"/>
    <mergeCell ref="JL6:JL7"/>
    <mergeCell ref="JM6:JM7"/>
    <mergeCell ref="JN6:JN7"/>
    <mergeCell ref="JD6:JD7"/>
    <mergeCell ref="JE6:JE7"/>
    <mergeCell ref="JF6:JF7"/>
    <mergeCell ref="JG6:JG7"/>
    <mergeCell ref="JI6:JI7"/>
    <mergeCell ref="IY6:IY7"/>
    <mergeCell ref="IZ6:IZ7"/>
    <mergeCell ref="JA6:JA7"/>
    <mergeCell ref="JB6:JB7"/>
    <mergeCell ref="JC6:JC7"/>
    <mergeCell ref="IT6:IT7"/>
    <mergeCell ref="IU6:IU7"/>
    <mergeCell ref="IV6:IV7"/>
    <mergeCell ref="IW6:IW7"/>
    <mergeCell ref="IX6:IX7"/>
    <mergeCell ref="HM6:HO7"/>
    <mergeCell ref="HP6:HP7"/>
    <mergeCell ref="HQ6:HQ7"/>
    <mergeCell ref="HR6:HR7"/>
    <mergeCell ref="IR6:IR7"/>
    <mergeCell ref="HS6:HU7"/>
    <mergeCell ref="HV6:HV7"/>
    <mergeCell ref="HW6:HW7"/>
    <mergeCell ref="HX6:HX7"/>
    <mergeCell ref="HY6:IA7"/>
    <mergeCell ref="IB6:IB7"/>
    <mergeCell ref="IC6:IC7"/>
    <mergeCell ref="ID6:ID7"/>
    <mergeCell ref="HF6:HF7"/>
    <mergeCell ref="HG6:HI7"/>
    <mergeCell ref="HJ6:HJ7"/>
    <mergeCell ref="HK6:HK7"/>
    <mergeCell ref="HL6:HL7"/>
    <mergeCell ref="GY6:GY7"/>
    <mergeCell ref="GZ6:GZ7"/>
    <mergeCell ref="HA6:HC7"/>
    <mergeCell ref="HD6:HD7"/>
    <mergeCell ref="HE6:HE7"/>
    <mergeCell ref="GR6:GR7"/>
    <mergeCell ref="GS6:GS7"/>
    <mergeCell ref="GT6:GT7"/>
    <mergeCell ref="GU6:GW7"/>
    <mergeCell ref="GX6:GX7"/>
    <mergeCell ref="GI6:GK7"/>
    <mergeCell ref="GL6:GL7"/>
    <mergeCell ref="GM6:GM7"/>
    <mergeCell ref="GN6:GN7"/>
    <mergeCell ref="GO6:GQ7"/>
    <mergeCell ref="GB6:GB7"/>
    <mergeCell ref="GC6:GE7"/>
    <mergeCell ref="GF6:GF7"/>
    <mergeCell ref="GG6:GG7"/>
    <mergeCell ref="GH6:GH7"/>
    <mergeCell ref="FQ6:FQ7"/>
    <mergeCell ref="FR6:GA6"/>
    <mergeCell ref="FF6:FF7"/>
    <mergeCell ref="EV6:FE6"/>
    <mergeCell ref="FG6:FP6"/>
    <mergeCell ref="B1:AX1"/>
    <mergeCell ref="C2:U2"/>
    <mergeCell ref="ES5:ES7"/>
    <mergeCell ref="BE5:CC5"/>
    <mergeCell ref="CF5:DD5"/>
    <mergeCell ref="ER5:ER7"/>
    <mergeCell ref="EQ5:EQ7"/>
    <mergeCell ref="EH5:EP5"/>
    <mergeCell ref="DG5:EG5"/>
    <mergeCell ref="DP6:DX6"/>
    <mergeCell ref="CX6:DF6"/>
    <mergeCell ref="DG6:DO6"/>
    <mergeCell ref="DY6:EG6"/>
    <mergeCell ref="C3:AA3"/>
    <mergeCell ref="BE6:BM6"/>
    <mergeCell ref="BN6:BV6"/>
    <mergeCell ref="A5:A7"/>
    <mergeCell ref="B5:B7"/>
    <mergeCell ref="C5:AA5"/>
    <mergeCell ref="AD5:BB5"/>
    <mergeCell ref="C4:AA4"/>
    <mergeCell ref="C6:K6"/>
    <mergeCell ref="L6:T6"/>
    <mergeCell ref="U6:AC6"/>
    <mergeCell ref="AD6:AL6"/>
    <mergeCell ref="AM6:AU6"/>
    <mergeCell ref="AV6:BD6"/>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GN61"/>
  <sheetViews>
    <sheetView showRowColHeaders="0" showZeros="0" workbookViewId="0">
      <pane xSplit="2" ySplit="7" topLeftCell="DE18" activePane="bottomRight" state="frozen"/>
      <selection pane="topRight" activeCell="C1" sqref="C1"/>
      <selection pane="bottomLeft" activeCell="A8" sqref="A8"/>
      <selection pane="bottomRight" activeCell="DI23" sqref="DI23"/>
    </sheetView>
  </sheetViews>
  <sheetFormatPr defaultColWidth="0" defaultRowHeight="15" zeroHeight="1"/>
  <cols>
    <col min="1" max="1" width="4.7109375" customWidth="1"/>
    <col min="2" max="2" width="31" customWidth="1"/>
    <col min="3" max="101" width="3.7109375" customWidth="1"/>
    <col min="102" max="119" width="4.28515625" customWidth="1"/>
    <col min="120" max="121" width="6.7109375" customWidth="1"/>
    <col min="122" max="122" width="130.85546875" customWidth="1"/>
    <col min="123" max="123" width="3.7109375" customWidth="1"/>
    <col min="124" max="180" width="3.7109375" hidden="1" customWidth="1"/>
    <col min="181" max="190" width="5.7109375" hidden="1" customWidth="1"/>
    <col min="191" max="191" width="15.7109375" hidden="1" customWidth="1"/>
    <col min="192" max="194" width="5.7109375" hidden="1" customWidth="1"/>
    <col min="195" max="196" width="15.7109375" hidden="1" customWidth="1"/>
    <col min="197" max="16384" width="9.140625" hidden="1"/>
  </cols>
  <sheetData>
    <row r="1" spans="1:191">
      <c r="A1" s="352"/>
      <c r="B1" s="894" t="s">
        <v>0</v>
      </c>
      <c r="C1" s="894"/>
      <c r="D1" s="894"/>
      <c r="E1" s="894"/>
      <c r="F1" s="894"/>
      <c r="G1" s="894"/>
      <c r="H1" s="894"/>
      <c r="I1" s="894"/>
      <c r="J1" s="894"/>
      <c r="K1" s="894"/>
      <c r="L1" s="894"/>
      <c r="M1" s="894"/>
      <c r="N1" s="894"/>
      <c r="O1" s="894"/>
      <c r="P1" s="894"/>
      <c r="Q1" s="894"/>
      <c r="R1" s="894"/>
      <c r="S1" s="894"/>
      <c r="T1" s="894"/>
      <c r="U1" s="894"/>
      <c r="V1" s="894"/>
      <c r="W1" s="894"/>
      <c r="X1" s="894"/>
      <c r="Y1" s="894"/>
      <c r="Z1" s="894"/>
      <c r="AA1" s="894"/>
      <c r="AB1" s="894"/>
      <c r="AC1" s="894"/>
      <c r="AD1" s="894"/>
      <c r="AE1" s="894"/>
      <c r="AF1" s="894"/>
      <c r="DP1" t="s">
        <v>1</v>
      </c>
      <c r="DQ1">
        <f>KKM!D29</f>
        <v>92</v>
      </c>
      <c r="DT1">
        <v>100</v>
      </c>
      <c r="FF1" s="4"/>
      <c r="FG1" s="4"/>
      <c r="FH1" s="4"/>
      <c r="FI1" s="4"/>
      <c r="FJ1" s="4"/>
      <c r="FK1" s="4"/>
      <c r="FL1" s="4"/>
      <c r="FM1" s="4"/>
      <c r="FN1" s="4"/>
      <c r="FO1" s="4"/>
      <c r="FP1" s="4"/>
      <c r="FQ1" s="4"/>
      <c r="FR1" s="4"/>
      <c r="FS1" s="4"/>
      <c r="FT1" s="4"/>
      <c r="FU1" s="4"/>
      <c r="FV1" s="4"/>
      <c r="FW1" s="4"/>
      <c r="FX1" s="4"/>
      <c r="GC1" s="4"/>
      <c r="GD1" s="4"/>
      <c r="GE1" s="4"/>
      <c r="GF1" s="4"/>
      <c r="GG1" s="4"/>
      <c r="GH1" s="4"/>
      <c r="GI1" s="4"/>
    </row>
    <row r="2" spans="1:191">
      <c r="A2" s="352"/>
      <c r="B2" s="7" t="s">
        <v>3</v>
      </c>
      <c r="C2" s="1181" t="s">
        <v>204</v>
      </c>
      <c r="D2" s="996"/>
      <c r="E2" s="996"/>
      <c r="F2" s="996"/>
      <c r="G2" s="996"/>
      <c r="H2" s="996"/>
      <c r="I2" s="996"/>
      <c r="J2" s="996"/>
      <c r="K2" s="996"/>
      <c r="L2" s="996"/>
      <c r="M2" s="8"/>
      <c r="N2" s="9"/>
      <c r="O2" s="9"/>
      <c r="P2" s="9"/>
      <c r="Q2" s="9"/>
      <c r="R2" s="9"/>
      <c r="S2" s="9"/>
      <c r="T2" s="9"/>
      <c r="U2" s="9"/>
      <c r="V2" s="9"/>
      <c r="W2" s="10"/>
      <c r="X2" s="10"/>
      <c r="AD2" s="9"/>
      <c r="AE2" s="11"/>
      <c r="AF2" s="12"/>
      <c r="DP2" t="s">
        <v>2</v>
      </c>
      <c r="DQ2">
        <f>KKM!D30</f>
        <v>83</v>
      </c>
      <c r="DT2">
        <f>(DT1-DQ2)/2</f>
        <v>8.5</v>
      </c>
      <c r="FF2" s="4"/>
      <c r="FG2" s="4"/>
      <c r="FH2" s="4"/>
      <c r="FI2" s="4"/>
      <c r="FJ2" s="4"/>
      <c r="FK2" s="4"/>
      <c r="FL2" s="4"/>
      <c r="FM2" s="4"/>
      <c r="FN2" s="4"/>
      <c r="FO2" s="4"/>
      <c r="FP2" s="4"/>
      <c r="FQ2" s="4"/>
      <c r="FR2" s="4"/>
      <c r="FS2" s="4"/>
      <c r="FT2" s="4"/>
      <c r="FU2" s="4"/>
      <c r="FV2" s="4"/>
      <c r="FW2" s="4"/>
      <c r="FX2" s="4"/>
      <c r="GC2" s="4"/>
      <c r="GD2" s="4"/>
      <c r="GE2" s="4"/>
      <c r="GF2" s="4"/>
      <c r="GG2" s="4"/>
      <c r="GH2" s="4"/>
      <c r="GI2" s="4"/>
    </row>
    <row r="3" spans="1:191" ht="15.75">
      <c r="A3" s="352"/>
      <c r="B3" s="14" t="s">
        <v>7</v>
      </c>
      <c r="C3" s="992" t="str">
        <f>MENU!N20&amp;" / "&amp;MENU!N21</f>
        <v>V ( Lima ) / 1 ( satu )</v>
      </c>
      <c r="D3" s="992"/>
      <c r="E3" s="992"/>
      <c r="F3" s="992"/>
      <c r="G3" s="992"/>
      <c r="H3" s="992"/>
      <c r="I3" s="992"/>
      <c r="J3" s="992"/>
      <c r="K3" s="992"/>
      <c r="L3" s="992"/>
      <c r="M3" s="992"/>
      <c r="N3" s="992"/>
      <c r="O3" s="992"/>
      <c r="P3" s="992"/>
      <c r="Q3" s="992"/>
      <c r="R3" s="992"/>
      <c r="S3" s="992"/>
      <c r="T3" s="992"/>
      <c r="U3" s="992"/>
      <c r="V3" s="992"/>
      <c r="W3" s="21"/>
      <c r="X3" s="8"/>
      <c r="Y3" s="8"/>
      <c r="Z3" s="8"/>
      <c r="AA3" s="8"/>
      <c r="AB3" s="8"/>
      <c r="AC3" s="8"/>
      <c r="AD3" s="8"/>
      <c r="AE3" s="8"/>
      <c r="AG3" s="997"/>
      <c r="AH3" s="997"/>
      <c r="AI3" s="997"/>
      <c r="AJ3" s="997"/>
      <c r="AK3" s="997"/>
      <c r="AL3" s="997"/>
      <c r="AM3" s="997"/>
      <c r="AN3" s="997"/>
      <c r="AW3" s="23"/>
      <c r="DP3" t="s">
        <v>64</v>
      </c>
      <c r="DQ3">
        <f>KKM!D31</f>
        <v>75</v>
      </c>
      <c r="FF3" s="555"/>
      <c r="FG3" s="555"/>
      <c r="FH3" s="555"/>
      <c r="FI3" s="555"/>
      <c r="FJ3" s="555"/>
      <c r="FK3" s="555"/>
      <c r="FL3" s="555"/>
      <c r="FM3" s="555"/>
      <c r="FN3" s="555"/>
      <c r="FO3" s="555"/>
      <c r="FP3" s="555"/>
      <c r="FQ3" s="555"/>
      <c r="FR3" s="555"/>
      <c r="FS3" s="555"/>
      <c r="FT3" s="555"/>
      <c r="FU3" s="555"/>
      <c r="FV3" s="555"/>
      <c r="FW3" s="555"/>
      <c r="FX3" s="555"/>
      <c r="GC3" s="355"/>
      <c r="GD3" s="355"/>
      <c r="GE3" s="355"/>
      <c r="GF3" s="355"/>
      <c r="GG3" s="355"/>
      <c r="GH3" s="355"/>
      <c r="GI3" s="2"/>
    </row>
    <row r="4" spans="1:191">
      <c r="C4" s="993">
        <f>KKM!C22</f>
        <v>75</v>
      </c>
      <c r="D4" s="993"/>
      <c r="E4" s="993"/>
      <c r="F4" s="993"/>
      <c r="G4" s="993"/>
      <c r="H4" s="993"/>
      <c r="I4" s="993"/>
      <c r="J4" s="993"/>
      <c r="K4" s="993"/>
      <c r="L4" s="993"/>
      <c r="M4" s="993"/>
      <c r="N4" s="993"/>
      <c r="O4" s="993"/>
      <c r="P4" s="993"/>
      <c r="Q4" s="993"/>
      <c r="R4" s="993"/>
      <c r="S4" s="993"/>
      <c r="T4" s="993"/>
      <c r="U4" s="27"/>
      <c r="V4" s="27"/>
      <c r="W4" s="27"/>
      <c r="X4" s="27"/>
      <c r="Y4" s="27"/>
      <c r="Z4" s="27"/>
      <c r="AA4" s="27"/>
      <c r="AB4" s="27"/>
      <c r="AC4" s="27"/>
      <c r="AD4" s="27"/>
      <c r="AE4" s="27"/>
      <c r="AF4" s="27"/>
      <c r="AG4" s="27"/>
      <c r="DP4" t="s">
        <v>146</v>
      </c>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1007" t="s">
        <v>23</v>
      </c>
      <c r="GC4" s="4"/>
      <c r="GD4" s="4"/>
      <c r="GE4" s="4"/>
      <c r="GF4" s="4"/>
      <c r="GG4" s="4"/>
      <c r="GH4" s="4"/>
      <c r="GI4" s="4"/>
    </row>
    <row r="5" spans="1:191" ht="14.1" customHeight="1">
      <c r="A5" s="900" t="s">
        <v>9</v>
      </c>
      <c r="B5" s="900" t="s">
        <v>10</v>
      </c>
      <c r="C5" s="1235" t="s">
        <v>269</v>
      </c>
      <c r="D5" s="1236"/>
      <c r="E5" s="1236"/>
      <c r="F5" s="1236"/>
      <c r="G5" s="1236"/>
      <c r="H5" s="1236"/>
      <c r="I5" s="1236"/>
      <c r="J5" s="1236"/>
      <c r="K5" s="1236"/>
      <c r="L5" s="1236"/>
      <c r="M5" s="1236"/>
      <c r="N5" s="1236"/>
      <c r="O5" s="1236"/>
      <c r="P5" s="1236"/>
      <c r="Q5" s="1236"/>
      <c r="R5" s="1236"/>
      <c r="S5" s="1236"/>
      <c r="T5" s="1237"/>
      <c r="U5" s="934" t="s">
        <v>270</v>
      </c>
      <c r="V5" s="935"/>
      <c r="W5" s="935"/>
      <c r="X5" s="935"/>
      <c r="Y5" s="935"/>
      <c r="Z5" s="935"/>
      <c r="AA5" s="935"/>
      <c r="AB5" s="935"/>
      <c r="AC5" s="935"/>
      <c r="AD5" s="935"/>
      <c r="AE5" s="935"/>
      <c r="AF5" s="935"/>
      <c r="AG5" s="935"/>
      <c r="AH5" s="935"/>
      <c r="AI5" s="935"/>
      <c r="AJ5" s="935"/>
      <c r="AK5" s="935"/>
      <c r="AL5" s="936"/>
      <c r="AM5" s="1201" t="s">
        <v>271</v>
      </c>
      <c r="AN5" s="1201"/>
      <c r="AO5" s="1201"/>
      <c r="AP5" s="1201"/>
      <c r="AQ5" s="1201"/>
      <c r="AR5" s="1201"/>
      <c r="AS5" s="1201"/>
      <c r="AT5" s="1201"/>
      <c r="AU5" s="1201"/>
      <c r="AV5" s="1201"/>
      <c r="AW5" s="1201"/>
      <c r="AX5" s="1201"/>
      <c r="AY5" s="1201"/>
      <c r="AZ5" s="1201"/>
      <c r="BA5" s="1201"/>
      <c r="BB5" s="1201"/>
      <c r="BC5" s="1201"/>
      <c r="BD5" s="1201"/>
      <c r="BE5" s="934" t="s">
        <v>272</v>
      </c>
      <c r="BF5" s="935"/>
      <c r="BG5" s="935"/>
      <c r="BH5" s="935"/>
      <c r="BI5" s="935"/>
      <c r="BJ5" s="935"/>
      <c r="BK5" s="935"/>
      <c r="BL5" s="935"/>
      <c r="BM5" s="935"/>
      <c r="BN5" s="935"/>
      <c r="BO5" s="935"/>
      <c r="BP5" s="935"/>
      <c r="BQ5" s="935"/>
      <c r="BR5" s="935"/>
      <c r="BS5" s="935"/>
      <c r="BT5" s="935"/>
      <c r="BU5" s="935"/>
      <c r="BV5" s="936"/>
      <c r="BW5" s="1235" t="s">
        <v>61</v>
      </c>
      <c r="BX5" s="1236"/>
      <c r="BY5" s="1236"/>
      <c r="BZ5" s="1236"/>
      <c r="CA5" s="1236"/>
      <c r="CB5" s="1236"/>
      <c r="CC5" s="1236"/>
      <c r="CD5" s="1236"/>
      <c r="CE5" s="1236"/>
      <c r="CF5" s="1236"/>
      <c r="CG5" s="1236"/>
      <c r="CH5" s="1236"/>
      <c r="CI5" s="1236"/>
      <c r="CJ5" s="1236"/>
      <c r="CK5" s="1236"/>
      <c r="CL5" s="1236"/>
      <c r="CM5" s="1236"/>
      <c r="CN5" s="1237"/>
      <c r="CO5" s="956" t="s">
        <v>13</v>
      </c>
      <c r="CP5" s="957"/>
      <c r="CQ5" s="957"/>
      <c r="CR5" s="957"/>
      <c r="CS5" s="957"/>
      <c r="CT5" s="957"/>
      <c r="CU5" s="957"/>
      <c r="CV5" s="957"/>
      <c r="CW5" s="958"/>
      <c r="CX5" s="1178" t="s">
        <v>379</v>
      </c>
      <c r="CY5" s="1179"/>
      <c r="CZ5" s="1179"/>
      <c r="DA5" s="1179"/>
      <c r="DB5" s="1179"/>
      <c r="DC5" s="1179"/>
      <c r="DD5" s="1179"/>
      <c r="DE5" s="1179"/>
      <c r="DF5" s="1180"/>
      <c r="DG5" s="956" t="s">
        <v>378</v>
      </c>
      <c r="DH5" s="957"/>
      <c r="DI5" s="957"/>
      <c r="DJ5" s="957"/>
      <c r="DK5" s="957"/>
      <c r="DL5" s="957"/>
      <c r="DM5" s="957"/>
      <c r="DN5" s="957"/>
      <c r="DO5" s="958"/>
      <c r="DP5" s="28" t="s">
        <v>14</v>
      </c>
      <c r="DQ5" s="1018" t="s">
        <v>15</v>
      </c>
      <c r="DR5" s="1021" t="s">
        <v>16</v>
      </c>
      <c r="DS5" s="281"/>
      <c r="DT5" s="556"/>
      <c r="DU5" s="1027" t="s">
        <v>380</v>
      </c>
      <c r="DV5" s="1028"/>
      <c r="DW5" s="1028"/>
      <c r="DX5" s="1028"/>
      <c r="DY5" s="1028"/>
      <c r="DZ5" s="1028"/>
      <c r="EA5" s="1028"/>
      <c r="EB5" s="1028"/>
      <c r="EC5" s="1028"/>
      <c r="ED5" s="1029"/>
      <c r="EE5" s="1024"/>
      <c r="EF5" s="4"/>
      <c r="EG5" s="990" t="s">
        <v>17</v>
      </c>
      <c r="EH5" s="991"/>
      <c r="EI5" s="991"/>
      <c r="EJ5" s="991"/>
      <c r="EK5" s="991"/>
      <c r="EL5" s="991"/>
      <c r="EM5" s="991"/>
      <c r="EN5" s="991"/>
      <c r="EO5" s="991"/>
      <c r="EP5" s="31"/>
      <c r="EQ5" s="31"/>
      <c r="ER5" s="31"/>
      <c r="ES5" s="31"/>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1008"/>
      <c r="GC5" s="4"/>
      <c r="GD5" s="4"/>
      <c r="GE5" s="4"/>
      <c r="GF5" s="4"/>
      <c r="GG5" s="4"/>
      <c r="GH5" s="4"/>
      <c r="GI5" s="4"/>
    </row>
    <row r="6" spans="1:191" ht="15.95" customHeight="1">
      <c r="A6" s="900"/>
      <c r="B6" s="900"/>
      <c r="C6" s="1003" t="s">
        <v>380</v>
      </c>
      <c r="D6" s="1004"/>
      <c r="E6" s="1004"/>
      <c r="F6" s="1004"/>
      <c r="G6" s="1004"/>
      <c r="H6" s="1004"/>
      <c r="I6" s="1004"/>
      <c r="J6" s="1004"/>
      <c r="K6" s="1172"/>
      <c r="L6" s="1005" t="s">
        <v>278</v>
      </c>
      <c r="M6" s="1006"/>
      <c r="N6" s="1006"/>
      <c r="O6" s="1006"/>
      <c r="P6" s="1006"/>
      <c r="Q6" s="1006"/>
      <c r="R6" s="1006"/>
      <c r="S6" s="1006"/>
      <c r="T6" s="1173"/>
      <c r="U6" s="1003" t="s">
        <v>380</v>
      </c>
      <c r="V6" s="1004"/>
      <c r="W6" s="1004"/>
      <c r="X6" s="1004"/>
      <c r="Y6" s="1004"/>
      <c r="Z6" s="1004"/>
      <c r="AA6" s="1004"/>
      <c r="AB6" s="1004"/>
      <c r="AC6" s="1172"/>
      <c r="AD6" s="1005" t="s">
        <v>278</v>
      </c>
      <c r="AE6" s="1006"/>
      <c r="AF6" s="1006"/>
      <c r="AG6" s="1006"/>
      <c r="AH6" s="1006"/>
      <c r="AI6" s="1006"/>
      <c r="AJ6" s="1006"/>
      <c r="AK6" s="1006"/>
      <c r="AL6" s="1173"/>
      <c r="AM6" s="1003" t="s">
        <v>380</v>
      </c>
      <c r="AN6" s="1004"/>
      <c r="AO6" s="1004"/>
      <c r="AP6" s="1004"/>
      <c r="AQ6" s="1004"/>
      <c r="AR6" s="1004"/>
      <c r="AS6" s="1004"/>
      <c r="AT6" s="1004"/>
      <c r="AU6" s="1172"/>
      <c r="AV6" s="1005" t="s">
        <v>278</v>
      </c>
      <c r="AW6" s="1006"/>
      <c r="AX6" s="1006"/>
      <c r="AY6" s="1006"/>
      <c r="AZ6" s="1006"/>
      <c r="BA6" s="1006"/>
      <c r="BB6" s="1006"/>
      <c r="BC6" s="1006"/>
      <c r="BD6" s="1173"/>
      <c r="BE6" s="1003" t="s">
        <v>380</v>
      </c>
      <c r="BF6" s="1004"/>
      <c r="BG6" s="1004"/>
      <c r="BH6" s="1004"/>
      <c r="BI6" s="1004"/>
      <c r="BJ6" s="1004"/>
      <c r="BK6" s="1004"/>
      <c r="BL6" s="1004"/>
      <c r="BM6" s="1172"/>
      <c r="BN6" s="1005" t="s">
        <v>278</v>
      </c>
      <c r="BO6" s="1006"/>
      <c r="BP6" s="1006"/>
      <c r="BQ6" s="1006"/>
      <c r="BR6" s="1006"/>
      <c r="BS6" s="1006"/>
      <c r="BT6" s="1006"/>
      <c r="BU6" s="1006"/>
      <c r="BV6" s="1173"/>
      <c r="BW6" s="1003" t="s">
        <v>380</v>
      </c>
      <c r="BX6" s="1004"/>
      <c r="BY6" s="1004"/>
      <c r="BZ6" s="1004"/>
      <c r="CA6" s="1004"/>
      <c r="CB6" s="1004"/>
      <c r="CC6" s="1004"/>
      <c r="CD6" s="1004"/>
      <c r="CE6" s="1172"/>
      <c r="CF6" s="1005" t="s">
        <v>278</v>
      </c>
      <c r="CG6" s="1006"/>
      <c r="CH6" s="1006"/>
      <c r="CI6" s="1006"/>
      <c r="CJ6" s="1006"/>
      <c r="CK6" s="1006"/>
      <c r="CL6" s="1006"/>
      <c r="CM6" s="1006"/>
      <c r="CN6" s="1173"/>
      <c r="CO6" s="32" t="s">
        <v>19</v>
      </c>
      <c r="CP6" s="32" t="s">
        <v>19</v>
      </c>
      <c r="CQ6" s="32" t="s">
        <v>19</v>
      </c>
      <c r="CR6" s="32" t="s">
        <v>19</v>
      </c>
      <c r="CS6" s="32" t="s">
        <v>19</v>
      </c>
      <c r="CT6" s="32" t="s">
        <v>19</v>
      </c>
      <c r="CU6" s="32" t="s">
        <v>19</v>
      </c>
      <c r="CV6" s="32" t="s">
        <v>19</v>
      </c>
      <c r="CW6" s="32" t="s">
        <v>19</v>
      </c>
      <c r="CX6" s="551" t="s">
        <v>19</v>
      </c>
      <c r="CY6" s="551" t="s">
        <v>19</v>
      </c>
      <c r="CZ6" s="551" t="s">
        <v>19</v>
      </c>
      <c r="DA6" s="551" t="s">
        <v>19</v>
      </c>
      <c r="DB6" s="551" t="s">
        <v>19</v>
      </c>
      <c r="DC6" s="551" t="s">
        <v>19</v>
      </c>
      <c r="DD6" s="551" t="s">
        <v>19</v>
      </c>
      <c r="DE6" s="551" t="s">
        <v>19</v>
      </c>
      <c r="DF6" s="551" t="s">
        <v>19</v>
      </c>
      <c r="DG6" s="32" t="s">
        <v>19</v>
      </c>
      <c r="DH6" s="32" t="s">
        <v>19</v>
      </c>
      <c r="DI6" s="32" t="s">
        <v>19</v>
      </c>
      <c r="DJ6" s="32" t="s">
        <v>19</v>
      </c>
      <c r="DK6" s="32" t="s">
        <v>19</v>
      </c>
      <c r="DL6" s="32" t="s">
        <v>19</v>
      </c>
      <c r="DM6" s="32" t="s">
        <v>19</v>
      </c>
      <c r="DN6" s="32" t="s">
        <v>19</v>
      </c>
      <c r="DO6" s="32" t="s">
        <v>19</v>
      </c>
      <c r="DP6" s="33"/>
      <c r="DQ6" s="1019"/>
      <c r="DR6" s="1022"/>
      <c r="DS6" s="281"/>
      <c r="DT6" s="556"/>
      <c r="DU6" s="32" t="s">
        <v>19</v>
      </c>
      <c r="DV6" s="32" t="s">
        <v>19</v>
      </c>
      <c r="DW6" s="32" t="s">
        <v>19</v>
      </c>
      <c r="DX6" s="32" t="s">
        <v>19</v>
      </c>
      <c r="DY6" s="32" t="s">
        <v>19</v>
      </c>
      <c r="DZ6" s="32" t="s">
        <v>19</v>
      </c>
      <c r="EA6" s="32" t="s">
        <v>19</v>
      </c>
      <c r="EB6" s="32"/>
      <c r="EC6" s="32"/>
      <c r="ED6" s="32"/>
      <c r="EE6" s="1025"/>
      <c r="EF6" s="4"/>
      <c r="EG6" s="36" t="str">
        <f>A45</f>
        <v>3.1</v>
      </c>
      <c r="EH6" s="36" t="str">
        <f>A46</f>
        <v>3.2</v>
      </c>
      <c r="EI6" s="36" t="str">
        <f>A47</f>
        <v>3.3</v>
      </c>
      <c r="EJ6" s="36" t="str">
        <f>A48</f>
        <v>3.4</v>
      </c>
      <c r="EK6" s="36">
        <f>A49</f>
        <v>0</v>
      </c>
      <c r="EL6" s="36">
        <f>A50</f>
        <v>0</v>
      </c>
      <c r="EM6" s="36">
        <f>A51</f>
        <v>0</v>
      </c>
      <c r="EN6" s="36">
        <f>A52</f>
        <v>0</v>
      </c>
      <c r="EO6" s="36">
        <f>A53</f>
        <v>0</v>
      </c>
      <c r="EP6" s="36"/>
      <c r="EQ6" s="37"/>
      <c r="ER6" s="37"/>
      <c r="ES6" s="37"/>
      <c r="ET6" s="4"/>
      <c r="EU6" s="4"/>
      <c r="EV6" s="987" t="str">
        <f>B45</f>
        <v xml:space="preserve">mengidentifikasi karakteristik geografis Indonesia sebagai negara kepulauan/maritim dan agraris serta pengaruhnya terhadap kehidupan ekonomi, sosial, budaya, komunikasi, serta transportasi. </v>
      </c>
      <c r="EW6" s="987" t="str">
        <f>B46</f>
        <v>menganalisis bentuk bentuk interaksi manusia dengan lingkungan dan pengaruhnya terhadap pembangunan sosial, budaya, dan ekonomi masyarakat Indonesia.</v>
      </c>
      <c r="EX6" s="987" t="str">
        <f>B47</f>
        <v>menganalisis peran ekonomi dalam upaya menyejahterakan kehidupan masyarakat di bidang sosial dan budaya untuk memperkuat kesatuan dan persatuan bangsa.</v>
      </c>
      <c r="EY6" s="987" t="str">
        <f>B48</f>
        <v>mengidentifikasi faktor-faktor penting penyebab penjajahan bangsa Indonesia dan upaya bangsa Indonesia dalam mempertahankan kedaulatannya.</v>
      </c>
      <c r="EZ6" s="987">
        <f>B49</f>
        <v>0</v>
      </c>
      <c r="FA6" s="987">
        <f>IFERROR((B50)," ")</f>
        <v>0</v>
      </c>
      <c r="FB6" s="987">
        <f>B51</f>
        <v>0</v>
      </c>
      <c r="FC6" s="989">
        <f>B52</f>
        <v>0</v>
      </c>
      <c r="FD6" s="989">
        <f>B53</f>
        <v>0</v>
      </c>
      <c r="FE6" s="989">
        <f>B54</f>
        <v>0</v>
      </c>
      <c r="FF6" s="37"/>
      <c r="FG6" s="978" t="s">
        <v>24</v>
      </c>
      <c r="FH6" s="38"/>
      <c r="FI6" s="1016" t="s">
        <v>21</v>
      </c>
      <c r="FK6" s="981" t="str">
        <f>EV6</f>
        <v xml:space="preserve">mengidentifikasi karakteristik geografis Indonesia sebagai negara kepulauan/maritim dan agraris serta pengaruhnya terhadap kehidupan ekonomi, sosial, budaya, komunikasi, serta transportasi. </v>
      </c>
      <c r="FL6" s="981" t="str">
        <f t="shared" ref="FL6:FT6" si="0">EW6</f>
        <v>menganalisis bentuk bentuk interaksi manusia dengan lingkungan dan pengaruhnya terhadap pembangunan sosial, budaya, dan ekonomi masyarakat Indonesia.</v>
      </c>
      <c r="FM6" s="981" t="str">
        <f t="shared" si="0"/>
        <v>menganalisis peran ekonomi dalam upaya menyejahterakan kehidupan masyarakat di bidang sosial dan budaya untuk memperkuat kesatuan dan persatuan bangsa.</v>
      </c>
      <c r="FN6" s="981" t="str">
        <f t="shared" si="0"/>
        <v>mengidentifikasi faktor-faktor penting penyebab penjajahan bangsa Indonesia dan upaya bangsa Indonesia dalam mempertahankan kedaulatannya.</v>
      </c>
      <c r="FO6" s="981">
        <f t="shared" si="0"/>
        <v>0</v>
      </c>
      <c r="FP6" s="981">
        <f t="shared" si="0"/>
        <v>0</v>
      </c>
      <c r="FQ6" s="981">
        <f t="shared" si="0"/>
        <v>0</v>
      </c>
      <c r="FR6" s="981">
        <f t="shared" si="0"/>
        <v>0</v>
      </c>
      <c r="FS6" s="981">
        <f t="shared" si="0"/>
        <v>0</v>
      </c>
      <c r="FT6" s="981">
        <f t="shared" si="0"/>
        <v>0</v>
      </c>
      <c r="FU6" s="1012" t="s">
        <v>25</v>
      </c>
      <c r="FV6" s="1013" t="s">
        <v>381</v>
      </c>
      <c r="FW6" s="39"/>
      <c r="FX6" s="1008"/>
      <c r="GC6" s="981" t="str">
        <f t="shared" ref="GC6:GD6" si="1">"perlu bimbingan dalam "&amp;FN6</f>
        <v>perlu bimbingan dalam mengidentifikasi faktor-faktor penting penyebab penjajahan bangsa Indonesia dan upaya bangsa Indonesia dalam mempertahankan kedaulatannya.</v>
      </c>
      <c r="GD6" s="981" t="str">
        <f t="shared" si="1"/>
        <v>perlu bimbingan dalam 0</v>
      </c>
      <c r="GE6" s="1012" t="s">
        <v>22</v>
      </c>
      <c r="GG6" s="39"/>
      <c r="GH6" s="40" t="s">
        <v>23</v>
      </c>
      <c r="GI6" s="4"/>
    </row>
    <row r="7" spans="1:191" ht="15.95" customHeight="1">
      <c r="A7" s="900"/>
      <c r="B7" s="900"/>
      <c r="C7" s="41" t="str">
        <f>A45</f>
        <v>3.1</v>
      </c>
      <c r="D7" s="41" t="str">
        <f>A46</f>
        <v>3.2</v>
      </c>
      <c r="E7" s="41" t="str">
        <f>A47</f>
        <v>3.3</v>
      </c>
      <c r="F7" s="41" t="str">
        <f>A48</f>
        <v>3.4</v>
      </c>
      <c r="G7" s="41">
        <f>A49</f>
        <v>0</v>
      </c>
      <c r="H7" s="41">
        <f>A50</f>
        <v>0</v>
      </c>
      <c r="I7" s="41">
        <f>A51</f>
        <v>0</v>
      </c>
      <c r="J7" s="41">
        <f>A52</f>
        <v>0</v>
      </c>
      <c r="K7" s="41">
        <f>A53</f>
        <v>0</v>
      </c>
      <c r="L7" s="42" t="str">
        <f t="shared" ref="L7:BV7" si="2">C7</f>
        <v>3.1</v>
      </c>
      <c r="M7" s="42" t="str">
        <f t="shared" si="2"/>
        <v>3.2</v>
      </c>
      <c r="N7" s="42" t="str">
        <f t="shared" si="2"/>
        <v>3.3</v>
      </c>
      <c r="O7" s="42" t="str">
        <f t="shared" si="2"/>
        <v>3.4</v>
      </c>
      <c r="P7" s="42">
        <f t="shared" si="2"/>
        <v>0</v>
      </c>
      <c r="Q7" s="42">
        <f t="shared" si="2"/>
        <v>0</v>
      </c>
      <c r="R7" s="42">
        <f t="shared" si="2"/>
        <v>0</v>
      </c>
      <c r="S7" s="42">
        <f t="shared" si="2"/>
        <v>0</v>
      </c>
      <c r="T7" s="42">
        <f t="shared" si="2"/>
        <v>0</v>
      </c>
      <c r="U7" s="42" t="str">
        <f t="shared" si="2"/>
        <v>3.1</v>
      </c>
      <c r="V7" s="42" t="str">
        <f t="shared" si="2"/>
        <v>3.2</v>
      </c>
      <c r="W7" s="42" t="str">
        <f t="shared" si="2"/>
        <v>3.3</v>
      </c>
      <c r="X7" s="42" t="str">
        <f t="shared" si="2"/>
        <v>3.4</v>
      </c>
      <c r="Y7" s="42">
        <f t="shared" si="2"/>
        <v>0</v>
      </c>
      <c r="Z7" s="42">
        <f t="shared" si="2"/>
        <v>0</v>
      </c>
      <c r="AA7" s="42">
        <f t="shared" si="2"/>
        <v>0</v>
      </c>
      <c r="AB7" s="42">
        <f t="shared" si="2"/>
        <v>0</v>
      </c>
      <c r="AC7" s="42">
        <f t="shared" si="2"/>
        <v>0</v>
      </c>
      <c r="AD7" s="42" t="str">
        <f t="shared" si="2"/>
        <v>3.1</v>
      </c>
      <c r="AE7" s="42" t="str">
        <f t="shared" si="2"/>
        <v>3.2</v>
      </c>
      <c r="AF7" s="42" t="str">
        <f t="shared" si="2"/>
        <v>3.3</v>
      </c>
      <c r="AG7" s="42" t="str">
        <f t="shared" si="2"/>
        <v>3.4</v>
      </c>
      <c r="AH7" s="42">
        <f t="shared" si="2"/>
        <v>0</v>
      </c>
      <c r="AI7" s="42">
        <f t="shared" si="2"/>
        <v>0</v>
      </c>
      <c r="AJ7" s="42">
        <f t="shared" si="2"/>
        <v>0</v>
      </c>
      <c r="AK7" s="42">
        <f t="shared" si="2"/>
        <v>0</v>
      </c>
      <c r="AL7" s="42">
        <f t="shared" si="2"/>
        <v>0</v>
      </c>
      <c r="AM7" s="42" t="str">
        <f t="shared" si="2"/>
        <v>3.1</v>
      </c>
      <c r="AN7" s="42" t="str">
        <f t="shared" si="2"/>
        <v>3.2</v>
      </c>
      <c r="AO7" s="42" t="str">
        <f t="shared" si="2"/>
        <v>3.3</v>
      </c>
      <c r="AP7" s="42" t="str">
        <f t="shared" si="2"/>
        <v>3.4</v>
      </c>
      <c r="AQ7" s="42">
        <f t="shared" si="2"/>
        <v>0</v>
      </c>
      <c r="AR7" s="42">
        <f t="shared" si="2"/>
        <v>0</v>
      </c>
      <c r="AS7" s="42">
        <f t="shared" si="2"/>
        <v>0</v>
      </c>
      <c r="AT7" s="42">
        <f t="shared" si="2"/>
        <v>0</v>
      </c>
      <c r="AU7" s="42">
        <f t="shared" si="2"/>
        <v>0</v>
      </c>
      <c r="AV7" s="42" t="str">
        <f t="shared" si="2"/>
        <v>3.1</v>
      </c>
      <c r="AW7" s="42" t="str">
        <f t="shared" si="2"/>
        <v>3.2</v>
      </c>
      <c r="AX7" s="42" t="str">
        <f t="shared" si="2"/>
        <v>3.3</v>
      </c>
      <c r="AY7" s="42" t="str">
        <f t="shared" si="2"/>
        <v>3.4</v>
      </c>
      <c r="AZ7" s="42">
        <f t="shared" si="2"/>
        <v>0</v>
      </c>
      <c r="BA7" s="42">
        <f t="shared" si="2"/>
        <v>0</v>
      </c>
      <c r="BB7" s="42">
        <f t="shared" si="2"/>
        <v>0</v>
      </c>
      <c r="BC7" s="42">
        <f t="shared" si="2"/>
        <v>0</v>
      </c>
      <c r="BD7" s="42">
        <f t="shared" si="2"/>
        <v>0</v>
      </c>
      <c r="BE7" s="42" t="str">
        <f t="shared" si="2"/>
        <v>3.1</v>
      </c>
      <c r="BF7" s="42" t="str">
        <f t="shared" si="2"/>
        <v>3.2</v>
      </c>
      <c r="BG7" s="42" t="str">
        <f t="shared" si="2"/>
        <v>3.3</v>
      </c>
      <c r="BH7" s="42" t="str">
        <f t="shared" si="2"/>
        <v>3.4</v>
      </c>
      <c r="BI7" s="42">
        <f t="shared" si="2"/>
        <v>0</v>
      </c>
      <c r="BJ7" s="42">
        <f t="shared" si="2"/>
        <v>0</v>
      </c>
      <c r="BK7" s="42">
        <f t="shared" si="2"/>
        <v>0</v>
      </c>
      <c r="BL7" s="42">
        <f t="shared" si="2"/>
        <v>0</v>
      </c>
      <c r="BM7" s="42">
        <f t="shared" si="2"/>
        <v>0</v>
      </c>
      <c r="BN7" s="42" t="str">
        <f t="shared" si="2"/>
        <v>3.1</v>
      </c>
      <c r="BO7" s="42" t="str">
        <f t="shared" si="2"/>
        <v>3.2</v>
      </c>
      <c r="BP7" s="42" t="str">
        <f t="shared" si="2"/>
        <v>3.3</v>
      </c>
      <c r="BQ7" s="42" t="str">
        <f t="shared" si="2"/>
        <v>3.4</v>
      </c>
      <c r="BR7" s="42">
        <f t="shared" si="2"/>
        <v>0</v>
      </c>
      <c r="BS7" s="42">
        <f t="shared" si="2"/>
        <v>0</v>
      </c>
      <c r="BT7" s="42">
        <f t="shared" si="2"/>
        <v>0</v>
      </c>
      <c r="BU7" s="42">
        <f t="shared" si="2"/>
        <v>0</v>
      </c>
      <c r="BV7" s="42">
        <f t="shared" si="2"/>
        <v>0</v>
      </c>
      <c r="BW7" s="42" t="str">
        <f t="shared" ref="BW7" si="3">BN7</f>
        <v>3.1</v>
      </c>
      <c r="BX7" s="42" t="str">
        <f t="shared" ref="BX7" si="4">BO7</f>
        <v>3.2</v>
      </c>
      <c r="BY7" s="42" t="str">
        <f t="shared" ref="BY7" si="5">BP7</f>
        <v>3.3</v>
      </c>
      <c r="BZ7" s="42" t="str">
        <f t="shared" ref="BZ7" si="6">BQ7</f>
        <v>3.4</v>
      </c>
      <c r="CA7" s="42">
        <f t="shared" ref="CA7" si="7">BR7</f>
        <v>0</v>
      </c>
      <c r="CB7" s="42">
        <f t="shared" ref="CB7" si="8">BS7</f>
        <v>0</v>
      </c>
      <c r="CC7" s="42">
        <f t="shared" ref="CC7" si="9">BT7</f>
        <v>0</v>
      </c>
      <c r="CD7" s="42">
        <f t="shared" ref="CD7" si="10">BU7</f>
        <v>0</v>
      </c>
      <c r="CE7" s="42">
        <f t="shared" ref="CE7" si="11">BV7</f>
        <v>0</v>
      </c>
      <c r="CF7" s="42" t="str">
        <f t="shared" ref="CF7" si="12">BW7</f>
        <v>3.1</v>
      </c>
      <c r="CG7" s="42" t="str">
        <f t="shared" ref="CG7" si="13">BX7</f>
        <v>3.2</v>
      </c>
      <c r="CH7" s="42" t="str">
        <f t="shared" ref="CH7" si="14">BY7</f>
        <v>3.3</v>
      </c>
      <c r="CI7" s="42" t="str">
        <f t="shared" ref="CI7" si="15">BZ7</f>
        <v>3.4</v>
      </c>
      <c r="CJ7" s="42">
        <f t="shared" ref="CJ7" si="16">CA7</f>
        <v>0</v>
      </c>
      <c r="CK7" s="42">
        <f t="shared" ref="CK7" si="17">CB7</f>
        <v>0</v>
      </c>
      <c r="CL7" s="42">
        <f t="shared" ref="CL7" si="18">CC7</f>
        <v>0</v>
      </c>
      <c r="CM7" s="42">
        <f t="shared" ref="CM7" si="19">CD7</f>
        <v>0</v>
      </c>
      <c r="CN7" s="42">
        <f t="shared" ref="CN7" si="20">CE7</f>
        <v>0</v>
      </c>
      <c r="CO7" s="43" t="str">
        <f>BN7</f>
        <v>3.1</v>
      </c>
      <c r="CP7" s="43" t="str">
        <f t="shared" ref="CP7:CW7" si="21">BO7</f>
        <v>3.2</v>
      </c>
      <c r="CQ7" s="43" t="str">
        <f t="shared" si="21"/>
        <v>3.3</v>
      </c>
      <c r="CR7" s="43" t="str">
        <f t="shared" si="21"/>
        <v>3.4</v>
      </c>
      <c r="CS7" s="43">
        <f t="shared" si="21"/>
        <v>0</v>
      </c>
      <c r="CT7" s="43">
        <f t="shared" si="21"/>
        <v>0</v>
      </c>
      <c r="CU7" s="43">
        <f t="shared" si="21"/>
        <v>0</v>
      </c>
      <c r="CV7" s="43">
        <f t="shared" si="21"/>
        <v>0</v>
      </c>
      <c r="CW7" s="43">
        <f t="shared" si="21"/>
        <v>0</v>
      </c>
      <c r="CX7" s="552" t="str">
        <f>BW7</f>
        <v>3.1</v>
      </c>
      <c r="CY7" s="552" t="str">
        <f t="shared" ref="CY7" si="22">BX7</f>
        <v>3.2</v>
      </c>
      <c r="CZ7" s="552" t="str">
        <f t="shared" ref="CZ7" si="23">BY7</f>
        <v>3.3</v>
      </c>
      <c r="DA7" s="552" t="str">
        <f t="shared" ref="DA7" si="24">BZ7</f>
        <v>3.4</v>
      </c>
      <c r="DB7" s="552">
        <f t="shared" ref="DB7" si="25">CA7</f>
        <v>0</v>
      </c>
      <c r="DC7" s="552">
        <f t="shared" ref="DC7" si="26">CB7</f>
        <v>0</v>
      </c>
      <c r="DD7" s="552">
        <f t="shared" ref="DD7" si="27">CC7</f>
        <v>0</v>
      </c>
      <c r="DE7" s="552">
        <f t="shared" ref="DE7" si="28">CD7</f>
        <v>0</v>
      </c>
      <c r="DF7" s="552">
        <f t="shared" ref="DF7" si="29">CE7</f>
        <v>0</v>
      </c>
      <c r="DG7" s="43" t="str">
        <f>BW7</f>
        <v>3.1</v>
      </c>
      <c r="DH7" s="43" t="str">
        <f t="shared" ref="DH7" si="30">BX7</f>
        <v>3.2</v>
      </c>
      <c r="DI7" s="43" t="str">
        <f t="shared" ref="DI7" si="31">BY7</f>
        <v>3.3</v>
      </c>
      <c r="DJ7" s="43" t="str">
        <f t="shared" ref="DJ7" si="32">BZ7</f>
        <v>3.4</v>
      </c>
      <c r="DK7" s="43">
        <f t="shared" ref="DK7" si="33">CA7</f>
        <v>0</v>
      </c>
      <c r="DL7" s="43">
        <f t="shared" ref="DL7" si="34">CB7</f>
        <v>0</v>
      </c>
      <c r="DM7" s="43">
        <f t="shared" ref="DM7" si="35">CC7</f>
        <v>0</v>
      </c>
      <c r="DN7" s="43">
        <f t="shared" ref="DN7" si="36">CD7</f>
        <v>0</v>
      </c>
      <c r="DO7" s="43">
        <f t="shared" ref="DO7" si="37">CE7</f>
        <v>0</v>
      </c>
      <c r="DP7" s="44"/>
      <c r="DQ7" s="1020"/>
      <c r="DR7" s="1023"/>
      <c r="DS7" s="281"/>
      <c r="DT7" s="556"/>
      <c r="DU7" s="43" t="str">
        <f>A45</f>
        <v>3.1</v>
      </c>
      <c r="DV7" s="43" t="str">
        <f>A46</f>
        <v>3.2</v>
      </c>
      <c r="DW7" s="43" t="str">
        <f>A47</f>
        <v>3.3</v>
      </c>
      <c r="DX7" s="43" t="str">
        <f>A48</f>
        <v>3.4</v>
      </c>
      <c r="DY7" s="43">
        <f>A49</f>
        <v>0</v>
      </c>
      <c r="DZ7" s="43">
        <f>A50</f>
        <v>0</v>
      </c>
      <c r="EA7" s="43"/>
      <c r="EB7" s="43"/>
      <c r="EC7" s="43"/>
      <c r="ED7" s="43"/>
      <c r="EE7" s="1026"/>
      <c r="EF7" s="4"/>
      <c r="EG7" s="46"/>
      <c r="EH7" s="46"/>
      <c r="EI7" s="46"/>
      <c r="EJ7" s="46"/>
      <c r="EK7" s="46"/>
      <c r="EL7" s="46"/>
      <c r="EM7" s="46"/>
      <c r="EN7" s="46"/>
      <c r="EO7" s="46"/>
      <c r="EP7" s="46"/>
      <c r="EQ7" s="47"/>
      <c r="ER7" s="48" t="s">
        <v>24</v>
      </c>
      <c r="ES7" s="48" t="s">
        <v>25</v>
      </c>
      <c r="EU7" s="49"/>
      <c r="EV7" s="988"/>
      <c r="EW7" s="988"/>
      <c r="EX7" s="988"/>
      <c r="EY7" s="988"/>
      <c r="EZ7" s="988"/>
      <c r="FA7" s="988"/>
      <c r="FB7" s="988"/>
      <c r="FC7" s="989"/>
      <c r="FD7" s="989"/>
      <c r="FE7" s="989"/>
      <c r="FF7" s="49"/>
      <c r="FG7" s="1015"/>
      <c r="FH7" s="38"/>
      <c r="FI7" s="1017"/>
      <c r="FK7" s="981"/>
      <c r="FL7" s="981"/>
      <c r="FM7" s="981"/>
      <c r="FN7" s="981"/>
      <c r="FO7" s="981"/>
      <c r="FP7" s="981"/>
      <c r="FQ7" s="981"/>
      <c r="FR7" s="981"/>
      <c r="FS7" s="981"/>
      <c r="FT7" s="981"/>
      <c r="FU7" s="1012"/>
      <c r="FV7" s="1014"/>
      <c r="FX7" s="1009"/>
      <c r="GC7" s="981"/>
      <c r="GD7" s="981"/>
      <c r="GE7" s="1012"/>
      <c r="GH7" s="49"/>
      <c r="GI7" s="4"/>
    </row>
    <row r="8" spans="1:191" s="63" customFormat="1" ht="34.5" customHeight="1">
      <c r="A8" s="359">
        <v>1</v>
      </c>
      <c r="B8" s="283" t="str">
        <f>SISWA!B6</f>
        <v>Afif Rafiudin</v>
      </c>
      <c r="C8" s="259">
        <v>75</v>
      </c>
      <c r="D8" s="259"/>
      <c r="E8" s="259"/>
      <c r="F8" s="259"/>
      <c r="G8" s="259"/>
      <c r="H8" s="259"/>
      <c r="I8" s="259"/>
      <c r="J8" s="259"/>
      <c r="K8" s="259"/>
      <c r="L8" s="256">
        <v>75</v>
      </c>
      <c r="M8" s="256"/>
      <c r="N8" s="256"/>
      <c r="O8" s="256"/>
      <c r="P8" s="256"/>
      <c r="Q8" s="256"/>
      <c r="R8" s="256"/>
      <c r="S8" s="256"/>
      <c r="T8" s="256"/>
      <c r="U8" s="259"/>
      <c r="V8" s="259"/>
      <c r="W8" s="259">
        <v>75</v>
      </c>
      <c r="X8" s="259"/>
      <c r="Y8" s="259"/>
      <c r="Z8" s="259"/>
      <c r="AA8" s="259"/>
      <c r="AB8" s="259"/>
      <c r="AC8" s="259"/>
      <c r="AD8" s="256"/>
      <c r="AE8" s="256"/>
      <c r="AF8" s="256">
        <v>75</v>
      </c>
      <c r="AG8" s="256"/>
      <c r="AH8" s="256"/>
      <c r="AI8" s="256"/>
      <c r="AJ8" s="256"/>
      <c r="AK8" s="256"/>
      <c r="AL8" s="256"/>
      <c r="AM8" s="259"/>
      <c r="AN8" s="259">
        <v>80</v>
      </c>
      <c r="AO8" s="259"/>
      <c r="AP8" s="259"/>
      <c r="AQ8" s="259"/>
      <c r="AR8" s="259"/>
      <c r="AS8" s="259"/>
      <c r="AT8" s="259"/>
      <c r="AU8" s="259"/>
      <c r="AV8" s="256"/>
      <c r="AW8" s="256">
        <v>87</v>
      </c>
      <c r="AX8" s="256"/>
      <c r="AY8" s="256"/>
      <c r="AZ8" s="256"/>
      <c r="BA8" s="256"/>
      <c r="BB8" s="256"/>
      <c r="BC8" s="256"/>
      <c r="BD8" s="256"/>
      <c r="BE8" s="259"/>
      <c r="BF8" s="259">
        <v>87</v>
      </c>
      <c r="BG8" s="259">
        <v>75</v>
      </c>
      <c r="BH8" s="259"/>
      <c r="BI8" s="259"/>
      <c r="BJ8" s="259"/>
      <c r="BK8" s="259"/>
      <c r="BL8" s="259"/>
      <c r="BM8" s="259"/>
      <c r="BN8" s="256"/>
      <c r="BO8" s="256">
        <v>80</v>
      </c>
      <c r="BP8" s="256">
        <v>75</v>
      </c>
      <c r="BQ8" s="256"/>
      <c r="BR8" s="256"/>
      <c r="BS8" s="256"/>
      <c r="BT8" s="256"/>
      <c r="BU8" s="256"/>
      <c r="BV8" s="256"/>
      <c r="BW8" s="460">
        <v>93</v>
      </c>
      <c r="BX8" s="460"/>
      <c r="BY8" s="460"/>
      <c r="BZ8" s="460"/>
      <c r="CA8" s="460"/>
      <c r="CB8" s="460"/>
      <c r="CC8" s="460"/>
      <c r="CD8" s="460"/>
      <c r="CE8" s="460"/>
      <c r="CF8" s="346">
        <v>75</v>
      </c>
      <c r="CG8" s="346"/>
      <c r="CH8" s="346"/>
      <c r="CI8" s="346"/>
      <c r="CJ8" s="346"/>
      <c r="CK8" s="346"/>
      <c r="CL8" s="346"/>
      <c r="CM8" s="346"/>
      <c r="CN8" s="346"/>
      <c r="CO8" s="260">
        <f>IFERROR(AVERAGE(C8,L8,U8,AD8,AM8,AV8,BE8,BN8,BW8,CF8)," ")</f>
        <v>79.5</v>
      </c>
      <c r="CP8" s="260">
        <f t="shared" ref="CP8:CS8" si="38">IFERROR(AVERAGE(D8,M8,V8,AE8,AN8,AW8,BF8,BO8,BX8,CG8)," ")</f>
        <v>83.5</v>
      </c>
      <c r="CQ8" s="260">
        <f t="shared" si="38"/>
        <v>75</v>
      </c>
      <c r="CR8" s="260" t="str">
        <f t="shared" si="38"/>
        <v xml:space="preserve"> </v>
      </c>
      <c r="CS8" s="260" t="str">
        <f t="shared" si="38"/>
        <v xml:space="preserve"> </v>
      </c>
      <c r="CT8" s="260" t="str">
        <f t="shared" ref="CT8:CW23" si="39">IFERROR(AVERAGE(H8,Q8,Z8,AI8,AR8,BA8,BJ8,BS8)," ")</f>
        <v xml:space="preserve"> </v>
      </c>
      <c r="CU8" s="260" t="str">
        <f t="shared" si="39"/>
        <v xml:space="preserve"> </v>
      </c>
      <c r="CV8" s="260" t="str">
        <f t="shared" si="39"/>
        <v xml:space="preserve"> </v>
      </c>
      <c r="CW8" s="260" t="str">
        <f t="shared" si="39"/>
        <v xml:space="preserve"> </v>
      </c>
      <c r="CX8" s="547">
        <v>75</v>
      </c>
      <c r="CY8" s="547">
        <v>76</v>
      </c>
      <c r="CZ8" s="547"/>
      <c r="DA8" s="547"/>
      <c r="DB8" s="547"/>
      <c r="DC8" s="547"/>
      <c r="DD8" s="547"/>
      <c r="DE8" s="547"/>
      <c r="DF8" s="547"/>
      <c r="DG8" s="564">
        <v>83</v>
      </c>
      <c r="DH8" s="564">
        <v>80</v>
      </c>
      <c r="DI8" s="564">
        <v>76</v>
      </c>
      <c r="DJ8" s="564"/>
      <c r="DK8" s="564"/>
      <c r="DL8" s="564"/>
      <c r="DM8" s="564"/>
      <c r="DN8" s="564"/>
      <c r="DO8" s="564"/>
      <c r="DP8" s="549">
        <f>IFERROR(EQ8," ")</f>
        <v>78</v>
      </c>
      <c r="DQ8" s="291" t="str">
        <f>IF(DP8&gt;100,"  ",IF(DP8&gt;=DQ$1,"A",IF(DP8&gt;=DQ$2,"B",IF(DP8&gt;=DQ$3,"C",IF(DP8&gt;=1,"D","")))))</f>
        <v>C</v>
      </c>
      <c r="DR8" s="50" t="str">
        <f>IFERROR(FX8," ")</f>
        <v>Ananda Afif cukup dalam menganalisis bentuk bentuk interaksi manusia dengan lingkungan dan pengaruhnya terhadap pembangunan sosial, budaya, dan ekonomi masyarakat Indonesia., cukup dalam menganalisis peran ekonomi dalam upaya menyejahterakan kehidupan masyarakat di bidang sosial dan budaya untuk memperkuat kesatuan dan persatuan bangsa.</v>
      </c>
      <c r="DS8" s="282"/>
      <c r="DT8" s="51"/>
      <c r="DU8" s="46">
        <f>CO8</f>
        <v>79.5</v>
      </c>
      <c r="DV8" s="46">
        <f t="shared" ref="DV8:EC8" si="40">CP8</f>
        <v>83.5</v>
      </c>
      <c r="DW8" s="46">
        <f t="shared" si="40"/>
        <v>75</v>
      </c>
      <c r="DX8" s="46" t="str">
        <f t="shared" si="40"/>
        <v xml:space="preserve"> </v>
      </c>
      <c r="DY8" s="46" t="str">
        <f t="shared" si="40"/>
        <v xml:space="preserve"> </v>
      </c>
      <c r="DZ8" s="46" t="str">
        <f t="shared" si="40"/>
        <v xml:space="preserve"> </v>
      </c>
      <c r="EA8" s="46" t="str">
        <f t="shared" si="40"/>
        <v xml:space="preserve"> </v>
      </c>
      <c r="EB8" s="46" t="str">
        <f t="shared" si="40"/>
        <v xml:space="preserve"> </v>
      </c>
      <c r="EC8" s="46" t="str">
        <f t="shared" si="40"/>
        <v xml:space="preserve"> </v>
      </c>
      <c r="ED8" s="46"/>
      <c r="EE8" s="52">
        <f>[2]uts!J7</f>
        <v>72</v>
      </c>
      <c r="EF8" s="51"/>
      <c r="EG8" s="53">
        <f>IFERROR(AVERAGE(CO8,CX8,DG8,DU8),"  ")</f>
        <v>79.25</v>
      </c>
      <c r="EH8" s="53">
        <f t="shared" ref="EH8:EO8" si="41">IFERROR(AVERAGE(CP8,CY8,DH8,DV8),"  ")</f>
        <v>80.75</v>
      </c>
      <c r="EI8" s="53">
        <f t="shared" si="41"/>
        <v>75.333333333333329</v>
      </c>
      <c r="EJ8" s="53" t="str">
        <f t="shared" si="41"/>
        <v xml:space="preserve">  </v>
      </c>
      <c r="EK8" s="53" t="str">
        <f t="shared" si="41"/>
        <v xml:space="preserve">  </v>
      </c>
      <c r="EL8" s="53" t="str">
        <f t="shared" si="41"/>
        <v xml:space="preserve">  </v>
      </c>
      <c r="EM8" s="53" t="str">
        <f t="shared" si="41"/>
        <v xml:space="preserve">  </v>
      </c>
      <c r="EN8" s="53" t="str">
        <f t="shared" si="41"/>
        <v xml:space="preserve">  </v>
      </c>
      <c r="EO8" s="53" t="str">
        <f t="shared" si="41"/>
        <v xml:space="preserve">  </v>
      </c>
      <c r="EP8" s="53"/>
      <c r="EQ8" s="54">
        <f>IFERROR(ROUND(AVERAGE(EG8:EP8),0)," ")</f>
        <v>78</v>
      </c>
      <c r="ER8" s="55">
        <f>MAX(EG8:EP8)</f>
        <v>80.75</v>
      </c>
      <c r="ES8" s="55">
        <f>MIN(EG8:EP8)</f>
        <v>75.333333333333329</v>
      </c>
      <c r="ET8" s="51" t="str">
        <f>SISWA!E6</f>
        <v>Afif</v>
      </c>
      <c r="EU8" s="51" t="str">
        <f>IF(FF8&gt;1,"Ananda "&amp;ET8&amp;" ","")</f>
        <v xml:space="preserve">Ananda Afif </v>
      </c>
      <c r="EV8" s="56" t="str">
        <f>IF(EG8=$ER8,$ER8,"")</f>
        <v/>
      </c>
      <c r="EW8" s="57">
        <f>IF(EH8=$ER8,$ER8,"")</f>
        <v>80.75</v>
      </c>
      <c r="EX8" s="57" t="str">
        <f t="shared" ref="EX8:FD8" si="42">IF(EI8=$ER8,$ER8,"")</f>
        <v/>
      </c>
      <c r="EY8" s="57" t="str">
        <f t="shared" si="42"/>
        <v/>
      </c>
      <c r="EZ8" s="57" t="str">
        <f t="shared" si="42"/>
        <v/>
      </c>
      <c r="FA8" s="57" t="str">
        <f t="shared" si="42"/>
        <v/>
      </c>
      <c r="FB8" s="57" t="str">
        <f t="shared" si="42"/>
        <v/>
      </c>
      <c r="FC8" s="57" t="str">
        <f t="shared" si="42"/>
        <v/>
      </c>
      <c r="FD8" s="57" t="str">
        <f t="shared" si="42"/>
        <v/>
      </c>
      <c r="FE8" s="57"/>
      <c r="FF8" s="58">
        <f>SUM(EV8:FE8)</f>
        <v>80.75</v>
      </c>
      <c r="FG8" s="55" t="str">
        <f t="shared" ref="FG8" si="43">LOOKUP(ER8,(EV8:FE8),($EV$6:$FE$6))</f>
        <v>menganalisis bentuk bentuk interaksi manusia dengan lingkungan dan pengaruhnya terhadap pembangunan sosial, budaya, dan ekonomi masyarakat Indonesia.</v>
      </c>
      <c r="FH8" s="58"/>
      <c r="FI8" s="59" t="str">
        <f>IF(ER8&gt;100,"",IF(ER8&gt;DQ$1,"sangat baik dalam "&amp;FG8,IF(ER8&gt;=DQ$2,"baik dalam "&amp;FG8,IF(ER8&gt;=DQ$3,"cukup dalam "&amp;FG8,IF(ER8&lt;DQ$3,"dengan bimbingan dapat meningkatkan dalam "&amp;FG8,IF(ER8&lt;1," ",””))))))</f>
        <v>cukup dalam menganalisis bentuk bentuk interaksi manusia dengan lingkungan dan pengaruhnya terhadap pembangunan sosial, budaya, dan ekonomi masyarakat Indonesia.</v>
      </c>
      <c r="FJ8" s="58"/>
      <c r="FK8" s="57" t="str">
        <f t="shared" ref="FK8:FS8" si="44">IF(EG8=$ES8,$ES8,"")</f>
        <v/>
      </c>
      <c r="FL8" s="57" t="str">
        <f t="shared" si="44"/>
        <v/>
      </c>
      <c r="FM8" s="57">
        <f t="shared" si="44"/>
        <v>75.333333333333329</v>
      </c>
      <c r="FN8" s="57" t="str">
        <f t="shared" si="44"/>
        <v/>
      </c>
      <c r="FO8" s="57" t="str">
        <f t="shared" si="44"/>
        <v/>
      </c>
      <c r="FP8" s="57" t="str">
        <f t="shared" si="44"/>
        <v/>
      </c>
      <c r="FQ8" s="57" t="str">
        <f t="shared" si="44"/>
        <v/>
      </c>
      <c r="FR8" s="57" t="str">
        <f t="shared" si="44"/>
        <v/>
      </c>
      <c r="FS8" s="57" t="str">
        <f t="shared" si="44"/>
        <v/>
      </c>
      <c r="FT8" s="57"/>
      <c r="FU8" s="59" t="str">
        <f>LOOKUP(ES8,(FK8:FT8),($FK$6:$FT$6))</f>
        <v>menganalisis peran ekonomi dalam upaya menyejahterakan kehidupan masyarakat di bidang sosial dan budaya untuk memperkuat kesatuan dan persatuan bangsa.</v>
      </c>
      <c r="FV8" s="59" t="str">
        <f>IF(ES8&gt;100,"",IF(ES8&gt;DQ$1,"sangat baik dalam "&amp;FU8,IF(ES8&gt;=DQ$2,"baik dalam "&amp;FU8,IF(ES8&gt;=DQ$3,"cukup dalam "&amp;FU8,IF(ES8&lt;DQ$3,"dengan bimbingan dapat meningkatkan dalam "&amp;FU8,IF(ES8&lt;1," ",””))))))</f>
        <v>cukup dalam menganalisis peran ekonomi dalam upaya menyejahterakan kehidupan masyarakat di bidang sosial dan budaya untuk memperkuat kesatuan dan persatuan bangsa.</v>
      </c>
      <c r="FW8" s="61"/>
      <c r="FX8" s="62" t="str">
        <f>CONCATENATE(EU8&amp;FI8&amp;", "&amp;FV8)</f>
        <v>Ananda Afif cukup dalam menganalisis bentuk bentuk interaksi manusia dengan lingkungan dan pengaruhnya terhadap pembangunan sosial, budaya, dan ekonomi masyarakat Indonesia., cukup dalam menganalisis peran ekonomi dalam upaya menyejahterakan kehidupan masyarakat di bidang sosial dan budaya untuk memperkuat kesatuan dan persatuan bangsa.</v>
      </c>
      <c r="FY8"/>
      <c r="FZ8"/>
      <c r="GA8"/>
      <c r="GB8"/>
      <c r="GC8" s="57"/>
      <c r="GD8" s="57"/>
      <c r="GE8" s="59" t="e">
        <f t="shared" ref="GE8:GE42" si="45">LOOKUP(FC8,(FU8:GD8),($FU$6:$GD$6))</f>
        <v>#N/A</v>
      </c>
      <c r="GF8" s="60"/>
      <c r="GG8" s="61"/>
      <c r="GH8" s="62" t="e">
        <f>CONCATENATE(FS8&amp;", "&amp;GE8)</f>
        <v>#N/A</v>
      </c>
      <c r="GI8" s="51"/>
    </row>
    <row r="9" spans="1:191" ht="34.5" customHeight="1">
      <c r="A9" s="39">
        <v>2</v>
      </c>
      <c r="B9" s="283" t="str">
        <f>SISWA!B7</f>
        <v>Ahmad Faiq Athaya</v>
      </c>
      <c r="C9" s="123">
        <v>80</v>
      </c>
      <c r="D9" s="123"/>
      <c r="E9" s="123"/>
      <c r="F9" s="123"/>
      <c r="G9" s="123"/>
      <c r="H9" s="123"/>
      <c r="I9" s="123"/>
      <c r="J9" s="123"/>
      <c r="K9" s="123"/>
      <c r="L9" s="256">
        <v>75</v>
      </c>
      <c r="M9" s="256"/>
      <c r="N9" s="256"/>
      <c r="O9" s="256"/>
      <c r="P9" s="256"/>
      <c r="Q9" s="256"/>
      <c r="R9" s="256"/>
      <c r="S9" s="256"/>
      <c r="T9" s="256"/>
      <c r="U9" s="123"/>
      <c r="V9" s="123"/>
      <c r="W9" s="123">
        <v>80</v>
      </c>
      <c r="X9" s="123"/>
      <c r="Y9" s="123"/>
      <c r="Z9" s="123"/>
      <c r="AA9" s="123"/>
      <c r="AB9" s="123"/>
      <c r="AC9" s="123"/>
      <c r="AD9" s="256"/>
      <c r="AE9" s="256"/>
      <c r="AF9" s="256">
        <v>100</v>
      </c>
      <c r="AG9" s="256"/>
      <c r="AH9" s="256"/>
      <c r="AI9" s="256"/>
      <c r="AJ9" s="256"/>
      <c r="AK9" s="256"/>
      <c r="AL9" s="256"/>
      <c r="AM9" s="123"/>
      <c r="AN9" s="123">
        <v>87</v>
      </c>
      <c r="AO9" s="123"/>
      <c r="AP9" s="123"/>
      <c r="AQ9" s="123"/>
      <c r="AR9" s="123"/>
      <c r="AS9" s="123"/>
      <c r="AT9" s="123"/>
      <c r="AU9" s="123"/>
      <c r="AV9" s="256"/>
      <c r="AW9" s="256">
        <v>87</v>
      </c>
      <c r="AX9" s="256"/>
      <c r="AY9" s="256"/>
      <c r="AZ9" s="256"/>
      <c r="BA9" s="256"/>
      <c r="BB9" s="256"/>
      <c r="BC9" s="256"/>
      <c r="BD9" s="256"/>
      <c r="BE9" s="123"/>
      <c r="BF9" s="123">
        <v>93</v>
      </c>
      <c r="BG9" s="123">
        <v>93</v>
      </c>
      <c r="BH9" s="123"/>
      <c r="BI9" s="123"/>
      <c r="BJ9" s="123"/>
      <c r="BK9" s="123"/>
      <c r="BL9" s="123"/>
      <c r="BM9" s="123"/>
      <c r="BN9" s="256"/>
      <c r="BO9" s="256">
        <v>93</v>
      </c>
      <c r="BP9" s="256">
        <v>75</v>
      </c>
      <c r="BQ9" s="256"/>
      <c r="BR9" s="256"/>
      <c r="BS9" s="256"/>
      <c r="BT9" s="256"/>
      <c r="BU9" s="256"/>
      <c r="BV9" s="256"/>
      <c r="BW9" s="460">
        <v>93</v>
      </c>
      <c r="BX9" s="460"/>
      <c r="BY9" s="460"/>
      <c r="BZ9" s="460"/>
      <c r="CA9" s="460"/>
      <c r="CB9" s="460"/>
      <c r="CC9" s="460"/>
      <c r="CD9" s="460"/>
      <c r="CE9" s="460"/>
      <c r="CF9" s="346">
        <v>100</v>
      </c>
      <c r="CG9" s="346"/>
      <c r="CH9" s="346"/>
      <c r="CI9" s="346"/>
      <c r="CJ9" s="346"/>
      <c r="CK9" s="346"/>
      <c r="CL9" s="346"/>
      <c r="CM9" s="346"/>
      <c r="CN9" s="346"/>
      <c r="CO9" s="260">
        <f t="shared" ref="CO9:CO42" si="46">IFERROR(AVERAGE(C9,L9,U9,AD9,AM9,AV9,BE9,BN9,BW9,CF9)," ")</f>
        <v>87</v>
      </c>
      <c r="CP9" s="260">
        <f t="shared" ref="CP9:CP42" si="47">IFERROR(AVERAGE(D9,M9,V9,AE9,AN9,AW9,BF9,BO9,BX9,CG9)," ")</f>
        <v>90</v>
      </c>
      <c r="CQ9" s="260">
        <f t="shared" ref="CQ9:CQ42" si="48">IFERROR(AVERAGE(E9,N9,W9,AF9,AO9,AX9,BG9,BP9,BY9,CH9)," ")</f>
        <v>87</v>
      </c>
      <c r="CR9" s="260" t="str">
        <f t="shared" ref="CR9:CR42" si="49">IFERROR(AVERAGE(F9,O9,X9,AG9,AP9,AY9,BH9,BQ9,BZ9,CI9)," ")</f>
        <v xml:space="preserve"> </v>
      </c>
      <c r="CS9" s="260" t="str">
        <f t="shared" ref="CS9:CS42" si="50">IFERROR(AVERAGE(G9,P9,Y9,AH9,AQ9,AZ9,BI9,BR9,CA9,CJ9)," ")</f>
        <v xml:space="preserve"> </v>
      </c>
      <c r="CT9" s="260" t="str">
        <f t="shared" si="39"/>
        <v xml:space="preserve"> </v>
      </c>
      <c r="CU9" s="260" t="str">
        <f t="shared" si="39"/>
        <v xml:space="preserve"> </v>
      </c>
      <c r="CV9" s="260" t="str">
        <f t="shared" si="39"/>
        <v xml:space="preserve"> </v>
      </c>
      <c r="CW9" s="260" t="str">
        <f t="shared" si="39"/>
        <v xml:space="preserve"> </v>
      </c>
      <c r="CX9" s="547">
        <v>93</v>
      </c>
      <c r="CY9" s="547">
        <v>92</v>
      </c>
      <c r="CZ9" s="547"/>
      <c r="DA9" s="547"/>
      <c r="DB9" s="547"/>
      <c r="DC9" s="547"/>
      <c r="DD9" s="547"/>
      <c r="DE9" s="547"/>
      <c r="DF9" s="547"/>
      <c r="DG9" s="564">
        <v>80</v>
      </c>
      <c r="DH9" s="564">
        <v>80</v>
      </c>
      <c r="DI9" s="564">
        <v>88</v>
      </c>
      <c r="DJ9" s="564"/>
      <c r="DK9" s="564"/>
      <c r="DL9" s="564"/>
      <c r="DM9" s="564"/>
      <c r="DN9" s="564"/>
      <c r="DO9" s="564"/>
      <c r="DP9" s="549">
        <f t="shared" ref="DP9:DP42" si="51">IFERROR(EQ9," ")</f>
        <v>87</v>
      </c>
      <c r="DQ9" s="291" t="str">
        <f t="shared" ref="DQ9:DQ42" si="52">IF(DP9&gt;100,"  ",IF(DP9&gt;=DQ$1,"A",IF(DP9&gt;=DQ$2,"B",IF(DP9&gt;=DQ$3,"C",IF(DP9&gt;=1,"D","")))))</f>
        <v>B</v>
      </c>
      <c r="DR9" s="50" t="str">
        <f t="shared" ref="DR9:DR42" si="53">IFERROR(FX9," ")</f>
        <v xml:space="preserve">Ananda Athaya baik dalam menganalisis bentuk bentuk interaksi manusia dengan lingkungan dan pengaruhnya terhadap pembangunan sosial, budaya, dan ekonomi masyarakat Indonesia., baik dalam mengidentifikasi karakteristik geografis Indonesia sebagai negara kepulauan/maritim dan agraris serta pengaruhnya terhadap kehidupan ekonomi, sosial, budaya, komunikasi, serta transportasi. </v>
      </c>
      <c r="DS9" s="282"/>
      <c r="DT9" s="51"/>
      <c r="DU9" s="46">
        <f t="shared" ref="DU9:DU42" si="54">CO9</f>
        <v>87</v>
      </c>
      <c r="DV9" s="46">
        <f t="shared" ref="DV9:DV42" si="55">CP9</f>
        <v>90</v>
      </c>
      <c r="DW9" s="46">
        <f t="shared" ref="DW9:DW42" si="56">CQ9</f>
        <v>87</v>
      </c>
      <c r="DX9" s="46" t="str">
        <f t="shared" ref="DX9:DX42" si="57">CR9</f>
        <v xml:space="preserve"> </v>
      </c>
      <c r="DY9" s="46" t="str">
        <f t="shared" ref="DY9:DY42" si="58">CS9</f>
        <v xml:space="preserve"> </v>
      </c>
      <c r="DZ9" s="46" t="str">
        <f t="shared" ref="DZ9:DZ42" si="59">CT9</f>
        <v xml:space="preserve"> </v>
      </c>
      <c r="EA9" s="46" t="str">
        <f t="shared" ref="EA9:EA42" si="60">CU9</f>
        <v xml:space="preserve"> </v>
      </c>
      <c r="EB9" s="46" t="str">
        <f t="shared" ref="EB9:EB42" si="61">CV9</f>
        <v xml:space="preserve"> </v>
      </c>
      <c r="EC9" s="46" t="str">
        <f t="shared" ref="EC9:EC42" si="62">CW9</f>
        <v xml:space="preserve"> </v>
      </c>
      <c r="ED9" s="46"/>
      <c r="EE9" s="52">
        <f>[2]uts!J8</f>
        <v>73.666666666666671</v>
      </c>
      <c r="EF9" s="51"/>
      <c r="EG9" s="53">
        <f t="shared" ref="EG9:EG42" si="63">IFERROR(AVERAGE(CO9,CX9,DG9,DU9),"  ")</f>
        <v>86.75</v>
      </c>
      <c r="EH9" s="53">
        <f t="shared" ref="EH9:EH42" si="64">IFERROR(AVERAGE(CP9,CY9,DH9,DV9),"  ")</f>
        <v>88</v>
      </c>
      <c r="EI9" s="53">
        <f t="shared" ref="EI9:EI42" si="65">IFERROR(AVERAGE(CQ9,CZ9,DI9,DW9),"  ")</f>
        <v>87.333333333333329</v>
      </c>
      <c r="EJ9" s="53" t="str">
        <f t="shared" ref="EJ9:EJ42" si="66">IFERROR(AVERAGE(CR9,DA9,DJ9,DX9),"  ")</f>
        <v xml:space="preserve">  </v>
      </c>
      <c r="EK9" s="53" t="str">
        <f t="shared" ref="EK9:EK42" si="67">IFERROR(AVERAGE(CS9,DB9,DK9,DY9),"  ")</f>
        <v xml:space="preserve">  </v>
      </c>
      <c r="EL9" s="53" t="str">
        <f t="shared" ref="EL9:EL42" si="68">IFERROR(AVERAGE(CT9,DC9,DL9,DZ9),"  ")</f>
        <v xml:space="preserve">  </v>
      </c>
      <c r="EM9" s="53" t="str">
        <f t="shared" ref="EM9:EM42" si="69">IFERROR(AVERAGE(CU9,DD9,DM9,EA9),"  ")</f>
        <v xml:space="preserve">  </v>
      </c>
      <c r="EN9" s="53" t="str">
        <f t="shared" ref="EN9:EN42" si="70">IFERROR(AVERAGE(CV9,DE9,DN9,EB9),"  ")</f>
        <v xml:space="preserve">  </v>
      </c>
      <c r="EO9" s="53" t="str">
        <f t="shared" ref="EO9:EO42" si="71">IFERROR(AVERAGE(CW9,DF9,DO9,EC9),"  ")</f>
        <v xml:space="preserve">  </v>
      </c>
      <c r="EP9" s="53"/>
      <c r="EQ9" s="54">
        <f t="shared" ref="EQ9:EQ42" si="72">IFERROR(ROUND(AVERAGE(EG9:EP9),0)," ")</f>
        <v>87</v>
      </c>
      <c r="ER9" s="55">
        <f t="shared" ref="ER9:ER42" si="73">MAX(EG9:EP9)</f>
        <v>88</v>
      </c>
      <c r="ES9" s="55">
        <f t="shared" ref="ES9:ES42" si="74">MIN(EG9:EP9)</f>
        <v>86.75</v>
      </c>
      <c r="ET9" s="51" t="str">
        <f>SISWA!E7</f>
        <v>Athaya</v>
      </c>
      <c r="EU9" s="51" t="str">
        <f t="shared" ref="EU9:EU42" si="75">IF(FF9&gt;1,"Ananda "&amp;ET9&amp;" ","")</f>
        <v xml:space="preserve">Ananda Athaya </v>
      </c>
      <c r="EV9" s="56" t="str">
        <f t="shared" ref="EV9:EV42" si="76">IF(EG9=$ER9,$ER9,"")</f>
        <v/>
      </c>
      <c r="EW9" s="57">
        <f t="shared" ref="EW9:EW42" si="77">IF(EH9=$ER9,$ER9,"")</f>
        <v>88</v>
      </c>
      <c r="EX9" s="57" t="str">
        <f t="shared" ref="EX9:EX42" si="78">IF(EI9=$ER9,$ER9,"")</f>
        <v/>
      </c>
      <c r="EY9" s="57" t="str">
        <f t="shared" ref="EY9:EY42" si="79">IF(EJ9=$ER9,$ER9,"")</f>
        <v/>
      </c>
      <c r="EZ9" s="57" t="str">
        <f t="shared" ref="EZ9:EZ42" si="80">IF(EK9=$ER9,$ER9,"")</f>
        <v/>
      </c>
      <c r="FA9" s="57" t="str">
        <f t="shared" ref="FA9:FA42" si="81">IF(EL9=$ER9,$ER9,"")</f>
        <v/>
      </c>
      <c r="FB9" s="57" t="str">
        <f t="shared" ref="FB9:FB42" si="82">IF(EM9=$ER9,$ER9,"")</f>
        <v/>
      </c>
      <c r="FC9" s="57" t="str">
        <f t="shared" ref="FC9:FC42" si="83">IF(EN9=$ER9,$ER9,"")</f>
        <v/>
      </c>
      <c r="FD9" s="57" t="str">
        <f t="shared" ref="FD9:FD42" si="84">IF(EO9=$ER9,$ER9,"")</f>
        <v/>
      </c>
      <c r="FE9" s="57"/>
      <c r="FF9" s="58">
        <f t="shared" ref="FF9:FF42" si="85">SUM(EV9:FE9)</f>
        <v>88</v>
      </c>
      <c r="FG9" s="55" t="str">
        <f t="shared" ref="FG9:FG42" si="86">LOOKUP(ER9,(EV9:FE9),($EV$6:$FE$6))</f>
        <v>menganalisis bentuk bentuk interaksi manusia dengan lingkungan dan pengaruhnya terhadap pembangunan sosial, budaya, dan ekonomi masyarakat Indonesia.</v>
      </c>
      <c r="FH9" s="58"/>
      <c r="FI9" s="59" t="str">
        <f>IF(ER9&gt;100,"",IF(ER9&gt;DQ$1,"sangat baik dalam "&amp;FG9,IF(ER9&gt;=DQ$2,"baik dalam "&amp;FG9,IF(ER9&gt;=DQ$3,"cukup dalam "&amp;FG9,IF(ER9&lt;DQ$3,"dengan bimbingan dapat meningkatkan dalam "&amp;FG9,IF(ER9&lt;1," ",””))))))</f>
        <v>baik dalam menganalisis bentuk bentuk interaksi manusia dengan lingkungan dan pengaruhnya terhadap pembangunan sosial, budaya, dan ekonomi masyarakat Indonesia.</v>
      </c>
      <c r="FJ9" s="58"/>
      <c r="FK9" s="57">
        <f t="shared" ref="FK9:FK42" si="87">IF(EG9=$ES9,$ES9,"")</f>
        <v>86.75</v>
      </c>
      <c r="FL9" s="57" t="str">
        <f t="shared" ref="FL9:FL42" si="88">IF(EH9=$ES9,$ES9,"")</f>
        <v/>
      </c>
      <c r="FM9" s="57" t="str">
        <f t="shared" ref="FM9:FM42" si="89">IF(EI9=$ES9,$ES9,"")</f>
        <v/>
      </c>
      <c r="FN9" s="57" t="str">
        <f t="shared" ref="FN9:FN42" si="90">IF(EJ9=$ES9,$ES9,"")</f>
        <v/>
      </c>
      <c r="FO9" s="57" t="str">
        <f t="shared" ref="FO9:FO42" si="91">IF(EK9=$ES9,$ES9,"")</f>
        <v/>
      </c>
      <c r="FP9" s="57" t="str">
        <f t="shared" ref="FP9:FP42" si="92">IF(EL9=$ES9,$ES9,"")</f>
        <v/>
      </c>
      <c r="FQ9" s="57" t="str">
        <f t="shared" ref="FQ9:FQ42" si="93">IF(EM9=$ES9,$ES9,"")</f>
        <v/>
      </c>
      <c r="FR9" s="57" t="str">
        <f t="shared" ref="FR9:FR42" si="94">IF(EN9=$ES9,$ES9,"")</f>
        <v/>
      </c>
      <c r="FS9" s="57" t="str">
        <f t="shared" ref="FS9:FS42" si="95">IF(EO9=$ES9,$ES9,"")</f>
        <v/>
      </c>
      <c r="FT9" s="57"/>
      <c r="FU9" s="59" t="str">
        <f t="shared" ref="FU9:FU42" si="96">LOOKUP(ES9,(FK9:FT9),($FK$6:$FT$6))</f>
        <v xml:space="preserve">mengidentifikasi karakteristik geografis Indonesia sebagai negara kepulauan/maritim dan agraris serta pengaruhnya terhadap kehidupan ekonomi, sosial, budaya, komunikasi, serta transportasi. </v>
      </c>
      <c r="FV9" s="59" t="str">
        <f>IF(ES9&gt;100,"",IF(ES9&gt;DQ$1,"sangat baik dalam "&amp;FU9,IF(ES9&gt;=DQ$2,"baik dalam "&amp;FU9,IF(ES9&gt;=DQ$3,"cukup dalam "&amp;FU9,IF(ES9&lt;DQ$3,"dengan bimbingan dapat meningkatkan dalam "&amp;FU9,IF(ES9&lt;1," ",””))))))</f>
        <v xml:space="preserve">baik dalam mengidentifikasi karakteristik geografis Indonesia sebagai negara kepulauan/maritim dan agraris serta pengaruhnya terhadap kehidupan ekonomi, sosial, budaya, komunikasi, serta transportasi. </v>
      </c>
      <c r="FW9" s="61"/>
      <c r="FX9" s="62" t="str">
        <f t="shared" ref="FX9:FX42" si="97">CONCATENATE(EU9&amp;FI9&amp;", "&amp;FV9)</f>
        <v xml:space="preserve">Ananda Athaya baik dalam menganalisis bentuk bentuk interaksi manusia dengan lingkungan dan pengaruhnya terhadap pembangunan sosial, budaya, dan ekonomi masyarakat Indonesia., baik dalam mengidentifikasi karakteristik geografis Indonesia sebagai negara kepulauan/maritim dan agraris serta pengaruhnya terhadap kehidupan ekonomi, sosial, budaya, komunikasi, serta transportasi. </v>
      </c>
      <c r="FY9" s="57" t="str">
        <f t="shared" ref="FY9:GA42" si="98">IF(EU9=$FC9,$FC9,"")</f>
        <v/>
      </c>
      <c r="FZ9" s="57" t="str">
        <f t="shared" si="98"/>
        <v/>
      </c>
      <c r="GA9" s="57" t="str">
        <f t="shared" si="98"/>
        <v/>
      </c>
      <c r="GB9" s="57"/>
      <c r="GC9" s="57"/>
      <c r="GD9" s="57"/>
      <c r="GE9" s="59">
        <f t="shared" si="45"/>
        <v>0</v>
      </c>
      <c r="GF9" s="60"/>
      <c r="GG9" s="61"/>
      <c r="GH9" s="62" t="str">
        <f t="shared" ref="GH9:GH42" si="99">CONCATENATE(FS9&amp;", "&amp;GE9)</f>
        <v>, 0</v>
      </c>
      <c r="GI9" s="4"/>
    </row>
    <row r="10" spans="1:191" ht="34.5" customHeight="1">
      <c r="A10" s="39">
        <v>3</v>
      </c>
      <c r="B10" s="283" t="str">
        <f>SISWA!B8</f>
        <v>Amira Zerlinda</v>
      </c>
      <c r="C10" s="123">
        <v>80</v>
      </c>
      <c r="D10" s="123"/>
      <c r="E10" s="123"/>
      <c r="F10" s="123"/>
      <c r="G10" s="123"/>
      <c r="H10" s="123"/>
      <c r="I10" s="123"/>
      <c r="J10" s="123"/>
      <c r="K10" s="123"/>
      <c r="L10" s="256">
        <v>93</v>
      </c>
      <c r="M10" s="256"/>
      <c r="N10" s="256"/>
      <c r="O10" s="256"/>
      <c r="P10" s="256"/>
      <c r="Q10" s="256"/>
      <c r="R10" s="256"/>
      <c r="S10" s="256"/>
      <c r="T10" s="256"/>
      <c r="U10" s="123"/>
      <c r="V10" s="123"/>
      <c r="W10" s="123">
        <v>75</v>
      </c>
      <c r="X10" s="123"/>
      <c r="Y10" s="123"/>
      <c r="Z10" s="123"/>
      <c r="AA10" s="123"/>
      <c r="AB10" s="123"/>
      <c r="AC10" s="123"/>
      <c r="AD10" s="256"/>
      <c r="AE10" s="256"/>
      <c r="AF10" s="256">
        <v>75</v>
      </c>
      <c r="AG10" s="256"/>
      <c r="AH10" s="256"/>
      <c r="AI10" s="256"/>
      <c r="AJ10" s="256"/>
      <c r="AK10" s="256"/>
      <c r="AL10" s="256"/>
      <c r="AM10" s="123"/>
      <c r="AN10" s="123">
        <v>100</v>
      </c>
      <c r="AO10" s="123"/>
      <c r="AP10" s="123"/>
      <c r="AQ10" s="123"/>
      <c r="AR10" s="123"/>
      <c r="AS10" s="123"/>
      <c r="AT10" s="123"/>
      <c r="AU10" s="123"/>
      <c r="AV10" s="256"/>
      <c r="AW10" s="256">
        <v>93</v>
      </c>
      <c r="AX10" s="256"/>
      <c r="AY10" s="256"/>
      <c r="AZ10" s="256"/>
      <c r="BA10" s="256"/>
      <c r="BB10" s="256"/>
      <c r="BC10" s="256"/>
      <c r="BD10" s="256"/>
      <c r="BE10" s="123"/>
      <c r="BF10" s="123">
        <v>87</v>
      </c>
      <c r="BG10" s="123">
        <v>93</v>
      </c>
      <c r="BH10" s="123"/>
      <c r="BI10" s="123"/>
      <c r="BJ10" s="123"/>
      <c r="BK10" s="123"/>
      <c r="BL10" s="123"/>
      <c r="BM10" s="123"/>
      <c r="BN10" s="256"/>
      <c r="BO10" s="256">
        <v>87</v>
      </c>
      <c r="BP10" s="256">
        <v>93</v>
      </c>
      <c r="BQ10" s="256"/>
      <c r="BR10" s="256"/>
      <c r="BS10" s="256"/>
      <c r="BT10" s="256"/>
      <c r="BU10" s="256"/>
      <c r="BV10" s="256"/>
      <c r="BW10" s="460">
        <v>75</v>
      </c>
      <c r="BX10" s="460"/>
      <c r="BY10" s="460"/>
      <c r="BZ10" s="460"/>
      <c r="CA10" s="460"/>
      <c r="CB10" s="460"/>
      <c r="CC10" s="460"/>
      <c r="CD10" s="460"/>
      <c r="CE10" s="460"/>
      <c r="CF10" s="346">
        <v>75</v>
      </c>
      <c r="CG10" s="346"/>
      <c r="CH10" s="346"/>
      <c r="CI10" s="346"/>
      <c r="CJ10" s="346"/>
      <c r="CK10" s="346"/>
      <c r="CL10" s="346"/>
      <c r="CM10" s="346"/>
      <c r="CN10" s="346"/>
      <c r="CO10" s="260">
        <f t="shared" si="46"/>
        <v>80.75</v>
      </c>
      <c r="CP10" s="260">
        <f t="shared" si="47"/>
        <v>91.75</v>
      </c>
      <c r="CQ10" s="260">
        <f t="shared" si="48"/>
        <v>84</v>
      </c>
      <c r="CR10" s="260" t="str">
        <f t="shared" si="49"/>
        <v xml:space="preserve"> </v>
      </c>
      <c r="CS10" s="260" t="str">
        <f t="shared" si="50"/>
        <v xml:space="preserve"> </v>
      </c>
      <c r="CT10" s="260" t="str">
        <f t="shared" si="39"/>
        <v xml:space="preserve"> </v>
      </c>
      <c r="CU10" s="260" t="str">
        <f t="shared" si="39"/>
        <v xml:space="preserve"> </v>
      </c>
      <c r="CV10" s="260" t="str">
        <f t="shared" si="39"/>
        <v xml:space="preserve"> </v>
      </c>
      <c r="CW10" s="260" t="str">
        <f t="shared" si="39"/>
        <v xml:space="preserve"> </v>
      </c>
      <c r="CX10" s="547">
        <v>75</v>
      </c>
      <c r="CY10" s="547">
        <v>75</v>
      </c>
      <c r="CZ10" s="547"/>
      <c r="DA10" s="547"/>
      <c r="DB10" s="547"/>
      <c r="DC10" s="547"/>
      <c r="DD10" s="547"/>
      <c r="DE10" s="547"/>
      <c r="DF10" s="547"/>
      <c r="DG10" s="564">
        <v>75</v>
      </c>
      <c r="DH10" s="564">
        <v>75</v>
      </c>
      <c r="DI10" s="564">
        <v>75</v>
      </c>
      <c r="DJ10" s="564"/>
      <c r="DK10" s="564"/>
      <c r="DL10" s="564"/>
      <c r="DM10" s="564"/>
      <c r="DN10" s="564"/>
      <c r="DO10" s="564"/>
      <c r="DP10" s="549">
        <f t="shared" si="51"/>
        <v>81</v>
      </c>
      <c r="DQ10" s="291" t="str">
        <f t="shared" si="52"/>
        <v>C</v>
      </c>
      <c r="DR10" s="50" t="str">
        <f t="shared" si="53"/>
        <v xml:space="preserve">Ananda Amira baik dalam menganalisis bentuk bentuk interaksi manusia dengan lingkungan dan pengaruhnya terhadap pembangunan sosial, budaya, dan ekonomi masyarakat Indonesia., cukup dalam mengidentifikasi karakteristik geografis Indonesia sebagai negara kepulauan/maritim dan agraris serta pengaruhnya terhadap kehidupan ekonomi, sosial, budaya, komunikasi, serta transportasi. </v>
      </c>
      <c r="DS10" s="282"/>
      <c r="DT10" s="51"/>
      <c r="DU10" s="46">
        <f t="shared" si="54"/>
        <v>80.75</v>
      </c>
      <c r="DV10" s="46">
        <f t="shared" si="55"/>
        <v>91.75</v>
      </c>
      <c r="DW10" s="46">
        <f t="shared" si="56"/>
        <v>84</v>
      </c>
      <c r="DX10" s="46" t="str">
        <f t="shared" si="57"/>
        <v xml:space="preserve"> </v>
      </c>
      <c r="DY10" s="46" t="str">
        <f t="shared" si="58"/>
        <v xml:space="preserve"> </v>
      </c>
      <c r="DZ10" s="46" t="str">
        <f t="shared" si="59"/>
        <v xml:space="preserve"> </v>
      </c>
      <c r="EA10" s="46" t="str">
        <f t="shared" si="60"/>
        <v xml:space="preserve"> </v>
      </c>
      <c r="EB10" s="46" t="str">
        <f t="shared" si="61"/>
        <v xml:space="preserve"> </v>
      </c>
      <c r="EC10" s="46" t="str">
        <f t="shared" si="62"/>
        <v xml:space="preserve"> </v>
      </c>
      <c r="ED10" s="46"/>
      <c r="EE10" s="52">
        <f>[2]uts!J9</f>
        <v>71.333333333333329</v>
      </c>
      <c r="EF10" s="51"/>
      <c r="EG10" s="53">
        <f t="shared" si="63"/>
        <v>77.875</v>
      </c>
      <c r="EH10" s="53">
        <f t="shared" si="64"/>
        <v>83.375</v>
      </c>
      <c r="EI10" s="53">
        <f t="shared" si="65"/>
        <v>81</v>
      </c>
      <c r="EJ10" s="53" t="str">
        <f t="shared" si="66"/>
        <v xml:space="preserve">  </v>
      </c>
      <c r="EK10" s="53" t="str">
        <f t="shared" si="67"/>
        <v xml:space="preserve">  </v>
      </c>
      <c r="EL10" s="53" t="str">
        <f t="shared" si="68"/>
        <v xml:space="preserve">  </v>
      </c>
      <c r="EM10" s="53" t="str">
        <f t="shared" si="69"/>
        <v xml:space="preserve">  </v>
      </c>
      <c r="EN10" s="53" t="str">
        <f t="shared" si="70"/>
        <v xml:space="preserve">  </v>
      </c>
      <c r="EO10" s="53" t="str">
        <f t="shared" si="71"/>
        <v xml:space="preserve">  </v>
      </c>
      <c r="EP10" s="53"/>
      <c r="EQ10" s="54">
        <f t="shared" si="72"/>
        <v>81</v>
      </c>
      <c r="ER10" s="55">
        <f t="shared" si="73"/>
        <v>83.375</v>
      </c>
      <c r="ES10" s="55">
        <f t="shared" si="74"/>
        <v>77.875</v>
      </c>
      <c r="ET10" s="51" t="str">
        <f>SISWA!E8</f>
        <v>Amira</v>
      </c>
      <c r="EU10" s="51" t="str">
        <f t="shared" si="75"/>
        <v xml:space="preserve">Ananda Amira </v>
      </c>
      <c r="EV10" s="56" t="str">
        <f t="shared" si="76"/>
        <v/>
      </c>
      <c r="EW10" s="57">
        <f t="shared" si="77"/>
        <v>83.375</v>
      </c>
      <c r="EX10" s="57" t="str">
        <f t="shared" si="78"/>
        <v/>
      </c>
      <c r="EY10" s="57" t="str">
        <f t="shared" si="79"/>
        <v/>
      </c>
      <c r="EZ10" s="57" t="str">
        <f t="shared" si="80"/>
        <v/>
      </c>
      <c r="FA10" s="57" t="str">
        <f t="shared" si="81"/>
        <v/>
      </c>
      <c r="FB10" s="57" t="str">
        <f t="shared" si="82"/>
        <v/>
      </c>
      <c r="FC10" s="57" t="str">
        <f t="shared" si="83"/>
        <v/>
      </c>
      <c r="FD10" s="57" t="str">
        <f t="shared" si="84"/>
        <v/>
      </c>
      <c r="FE10" s="57"/>
      <c r="FF10" s="58">
        <f t="shared" si="85"/>
        <v>83.375</v>
      </c>
      <c r="FG10" s="55" t="str">
        <f t="shared" si="86"/>
        <v>menganalisis bentuk bentuk interaksi manusia dengan lingkungan dan pengaruhnya terhadap pembangunan sosial, budaya, dan ekonomi masyarakat Indonesia.</v>
      </c>
      <c r="FH10" s="58"/>
      <c r="FI10" s="59" t="str">
        <f>IF(ER10&gt;100,"",IF(ER10&gt;DQ$1,"sangat baik dalam "&amp;FG10,IF(ER10&gt;=DQ$2,"baik dalam "&amp;FG10,IF(ER10&gt;=DQ$3,"cukup dalam "&amp;FG10,IF(ER10&lt;DQ$3,"dengan bimbingan dapat meningkatkan dalam "&amp;FG10,IF(ER10&lt;1," ",””))))))</f>
        <v>baik dalam menganalisis bentuk bentuk interaksi manusia dengan lingkungan dan pengaruhnya terhadap pembangunan sosial, budaya, dan ekonomi masyarakat Indonesia.</v>
      </c>
      <c r="FJ10" s="58"/>
      <c r="FK10" s="57">
        <f t="shared" si="87"/>
        <v>77.875</v>
      </c>
      <c r="FL10" s="57" t="str">
        <f t="shared" si="88"/>
        <v/>
      </c>
      <c r="FM10" s="57" t="str">
        <f t="shared" si="89"/>
        <v/>
      </c>
      <c r="FN10" s="57" t="str">
        <f t="shared" si="90"/>
        <v/>
      </c>
      <c r="FO10" s="57" t="str">
        <f t="shared" si="91"/>
        <v/>
      </c>
      <c r="FP10" s="57" t="str">
        <f t="shared" si="92"/>
        <v/>
      </c>
      <c r="FQ10" s="57" t="str">
        <f t="shared" si="93"/>
        <v/>
      </c>
      <c r="FR10" s="57" t="str">
        <f t="shared" si="94"/>
        <v/>
      </c>
      <c r="FS10" s="57" t="str">
        <f t="shared" si="95"/>
        <v/>
      </c>
      <c r="FT10" s="57"/>
      <c r="FU10" s="59" t="str">
        <f t="shared" si="96"/>
        <v xml:space="preserve">mengidentifikasi karakteristik geografis Indonesia sebagai negara kepulauan/maritim dan agraris serta pengaruhnya terhadap kehidupan ekonomi, sosial, budaya, komunikasi, serta transportasi. </v>
      </c>
      <c r="FV10" s="59" t="str">
        <f>IF(ES10&gt;100,"",IF(ES10&gt;DQ$1,"sangat baik dalam "&amp;FU10,IF(ES10&gt;=DQ$2,"baik dalam "&amp;FU10,IF(ES10&gt;=DQ$3,"cukup dalam "&amp;FU10,IF(ES10&lt;DQ$3,"dengan bimbingan dapat meningkatkan dalam "&amp;FU10,IF(ES10&lt;1," ",””))))))</f>
        <v xml:space="preserve">cukup dalam mengidentifikasi karakteristik geografis Indonesia sebagai negara kepulauan/maritim dan agraris serta pengaruhnya terhadap kehidupan ekonomi, sosial, budaya, komunikasi, serta transportasi. </v>
      </c>
      <c r="FW10" s="61"/>
      <c r="FX10" s="62" t="str">
        <f t="shared" si="97"/>
        <v xml:space="preserve">Ananda Amira baik dalam menganalisis bentuk bentuk interaksi manusia dengan lingkungan dan pengaruhnya terhadap pembangunan sosial, budaya, dan ekonomi masyarakat Indonesia., cukup dalam mengidentifikasi karakteristik geografis Indonesia sebagai negara kepulauan/maritim dan agraris serta pengaruhnya terhadap kehidupan ekonomi, sosial, budaya, komunikasi, serta transportasi. </v>
      </c>
      <c r="FY10" s="57" t="str">
        <f t="shared" si="98"/>
        <v/>
      </c>
      <c r="FZ10" s="57" t="str">
        <f t="shared" si="98"/>
        <v/>
      </c>
      <c r="GA10" s="57" t="str">
        <f t="shared" si="98"/>
        <v/>
      </c>
      <c r="GB10" s="57"/>
      <c r="GC10" s="57"/>
      <c r="GD10" s="57"/>
      <c r="GE10" s="59">
        <f t="shared" si="45"/>
        <v>0</v>
      </c>
      <c r="GF10" s="60"/>
      <c r="GG10" s="61"/>
      <c r="GH10" s="62" t="str">
        <f t="shared" si="99"/>
        <v>, 0</v>
      </c>
      <c r="GI10" s="4"/>
    </row>
    <row r="11" spans="1:191" ht="34.5" customHeight="1">
      <c r="A11" s="39">
        <v>4</v>
      </c>
      <c r="B11" s="283" t="str">
        <f>SISWA!B9</f>
        <v>Andrian Putra Pangestu</v>
      </c>
      <c r="C11" s="123">
        <v>75</v>
      </c>
      <c r="D11" s="123"/>
      <c r="E11" s="123"/>
      <c r="F11" s="123"/>
      <c r="G11" s="123"/>
      <c r="H11" s="123"/>
      <c r="I11" s="123"/>
      <c r="J11" s="123"/>
      <c r="K11" s="123"/>
      <c r="L11" s="256">
        <v>75</v>
      </c>
      <c r="M11" s="256"/>
      <c r="N11" s="256"/>
      <c r="O11" s="256"/>
      <c r="P11" s="256"/>
      <c r="Q11" s="256"/>
      <c r="R11" s="256"/>
      <c r="S11" s="256"/>
      <c r="T11" s="256"/>
      <c r="U11" s="123"/>
      <c r="V11" s="123"/>
      <c r="W11" s="123">
        <v>75</v>
      </c>
      <c r="X11" s="123"/>
      <c r="Y11" s="123"/>
      <c r="Z11" s="123"/>
      <c r="AA11" s="123"/>
      <c r="AB11" s="123"/>
      <c r="AC11" s="123"/>
      <c r="AD11" s="256"/>
      <c r="AE11" s="256"/>
      <c r="AF11" s="256">
        <v>75</v>
      </c>
      <c r="AG11" s="256"/>
      <c r="AH11" s="256"/>
      <c r="AI11" s="256"/>
      <c r="AJ11" s="256"/>
      <c r="AK11" s="256"/>
      <c r="AL11" s="256"/>
      <c r="AM11" s="123"/>
      <c r="AN11" s="123">
        <v>75</v>
      </c>
      <c r="AO11" s="123"/>
      <c r="AP11" s="123"/>
      <c r="AQ11" s="123"/>
      <c r="AR11" s="123"/>
      <c r="AS11" s="123"/>
      <c r="AT11" s="123"/>
      <c r="AU11" s="123"/>
      <c r="AV11" s="256"/>
      <c r="AW11" s="256">
        <v>75</v>
      </c>
      <c r="AX11" s="256"/>
      <c r="AY11" s="256"/>
      <c r="AZ11" s="256"/>
      <c r="BA11" s="256"/>
      <c r="BB11" s="256"/>
      <c r="BC11" s="256"/>
      <c r="BD11" s="256"/>
      <c r="BE11" s="123"/>
      <c r="BF11" s="123">
        <v>80</v>
      </c>
      <c r="BG11" s="123">
        <v>75</v>
      </c>
      <c r="BH11" s="123"/>
      <c r="BI11" s="123"/>
      <c r="BJ11" s="123"/>
      <c r="BK11" s="123"/>
      <c r="BL11" s="123"/>
      <c r="BM11" s="123"/>
      <c r="BN11" s="256"/>
      <c r="BO11" s="256">
        <v>70</v>
      </c>
      <c r="BP11" s="256">
        <v>75</v>
      </c>
      <c r="BQ11" s="256"/>
      <c r="BR11" s="256"/>
      <c r="BS11" s="256"/>
      <c r="BT11" s="256"/>
      <c r="BU11" s="256"/>
      <c r="BV11" s="256"/>
      <c r="BW11" s="460">
        <v>75</v>
      </c>
      <c r="BX11" s="460"/>
      <c r="BY11" s="460"/>
      <c r="BZ11" s="460"/>
      <c r="CA11" s="460"/>
      <c r="CB11" s="460"/>
      <c r="CC11" s="460"/>
      <c r="CD11" s="460"/>
      <c r="CE11" s="460"/>
      <c r="CF11" s="346">
        <v>75</v>
      </c>
      <c r="CG11" s="346"/>
      <c r="CH11" s="346"/>
      <c r="CI11" s="346"/>
      <c r="CJ11" s="346"/>
      <c r="CK11" s="346"/>
      <c r="CL11" s="346"/>
      <c r="CM11" s="346"/>
      <c r="CN11" s="346"/>
      <c r="CO11" s="260">
        <f t="shared" si="46"/>
        <v>75</v>
      </c>
      <c r="CP11" s="260">
        <f t="shared" si="47"/>
        <v>75</v>
      </c>
      <c r="CQ11" s="260">
        <f t="shared" si="48"/>
        <v>75</v>
      </c>
      <c r="CR11" s="260" t="str">
        <f t="shared" si="49"/>
        <v xml:space="preserve"> </v>
      </c>
      <c r="CS11" s="260" t="str">
        <f t="shared" si="50"/>
        <v xml:space="preserve"> </v>
      </c>
      <c r="CT11" s="260" t="str">
        <f t="shared" si="39"/>
        <v xml:space="preserve"> </v>
      </c>
      <c r="CU11" s="260" t="str">
        <f t="shared" si="39"/>
        <v xml:space="preserve"> </v>
      </c>
      <c r="CV11" s="260" t="str">
        <f t="shared" si="39"/>
        <v xml:space="preserve"> </v>
      </c>
      <c r="CW11" s="260" t="str">
        <f t="shared" si="39"/>
        <v xml:space="preserve"> </v>
      </c>
      <c r="CX11" s="547">
        <v>75</v>
      </c>
      <c r="CY11" s="547">
        <v>75</v>
      </c>
      <c r="CZ11" s="547"/>
      <c r="DA11" s="547"/>
      <c r="DB11" s="547"/>
      <c r="DC11" s="547"/>
      <c r="DD11" s="547"/>
      <c r="DE11" s="547"/>
      <c r="DF11" s="547"/>
      <c r="DG11" s="564">
        <v>75</v>
      </c>
      <c r="DH11" s="564">
        <v>75</v>
      </c>
      <c r="DI11" s="564">
        <v>75</v>
      </c>
      <c r="DJ11" s="564"/>
      <c r="DK11" s="564"/>
      <c r="DL11" s="564"/>
      <c r="DM11" s="564"/>
      <c r="DN11" s="564"/>
      <c r="DO11" s="564"/>
      <c r="DP11" s="549">
        <f t="shared" si="51"/>
        <v>75</v>
      </c>
      <c r="DQ11" s="291" t="str">
        <f t="shared" si="52"/>
        <v>C</v>
      </c>
      <c r="DR11" s="50" t="str">
        <f t="shared" si="53"/>
        <v>Ananda Andri cukup dalam menganalisis peran ekonomi dalam upaya menyejahterakan kehidupan masyarakat di bidang sosial dan budaya untuk memperkuat kesatuan dan persatuan bangsa., cukup dalam menganalisis peran ekonomi dalam upaya menyejahterakan kehidupan masyarakat di bidang sosial dan budaya untuk memperkuat kesatuan dan persatuan bangsa.</v>
      </c>
      <c r="DS11" s="282"/>
      <c r="DT11" s="51"/>
      <c r="DU11" s="46">
        <f t="shared" si="54"/>
        <v>75</v>
      </c>
      <c r="DV11" s="46">
        <f t="shared" si="55"/>
        <v>75</v>
      </c>
      <c r="DW11" s="46">
        <f t="shared" si="56"/>
        <v>75</v>
      </c>
      <c r="DX11" s="46" t="str">
        <f t="shared" si="57"/>
        <v xml:space="preserve"> </v>
      </c>
      <c r="DY11" s="46" t="str">
        <f t="shared" si="58"/>
        <v xml:space="preserve"> </v>
      </c>
      <c r="DZ11" s="46" t="str">
        <f t="shared" si="59"/>
        <v xml:space="preserve"> </v>
      </c>
      <c r="EA11" s="46" t="str">
        <f t="shared" si="60"/>
        <v xml:space="preserve"> </v>
      </c>
      <c r="EB11" s="46" t="str">
        <f t="shared" si="61"/>
        <v xml:space="preserve"> </v>
      </c>
      <c r="EC11" s="46" t="str">
        <f t="shared" si="62"/>
        <v xml:space="preserve"> </v>
      </c>
      <c r="ED11" s="46"/>
      <c r="EE11" s="52">
        <f>[2]uts!J10</f>
        <v>76.666666666666671</v>
      </c>
      <c r="EF11" s="51"/>
      <c r="EG11" s="53">
        <f t="shared" si="63"/>
        <v>75</v>
      </c>
      <c r="EH11" s="53">
        <f t="shared" si="64"/>
        <v>75</v>
      </c>
      <c r="EI11" s="53">
        <f t="shared" si="65"/>
        <v>75</v>
      </c>
      <c r="EJ11" s="53" t="str">
        <f t="shared" si="66"/>
        <v xml:space="preserve">  </v>
      </c>
      <c r="EK11" s="53" t="str">
        <f t="shared" si="67"/>
        <v xml:space="preserve">  </v>
      </c>
      <c r="EL11" s="53" t="str">
        <f t="shared" si="68"/>
        <v xml:space="preserve">  </v>
      </c>
      <c r="EM11" s="53" t="str">
        <f t="shared" si="69"/>
        <v xml:space="preserve">  </v>
      </c>
      <c r="EN11" s="53" t="str">
        <f t="shared" si="70"/>
        <v xml:space="preserve">  </v>
      </c>
      <c r="EO11" s="53" t="str">
        <f t="shared" si="71"/>
        <v xml:space="preserve">  </v>
      </c>
      <c r="EP11" s="53"/>
      <c r="EQ11" s="54">
        <f t="shared" si="72"/>
        <v>75</v>
      </c>
      <c r="ER11" s="55">
        <f t="shared" si="73"/>
        <v>75</v>
      </c>
      <c r="ES11" s="55">
        <f t="shared" si="74"/>
        <v>75</v>
      </c>
      <c r="ET11" s="51" t="str">
        <f>SISWA!E9</f>
        <v>Andri</v>
      </c>
      <c r="EU11" s="51" t="str">
        <f t="shared" si="75"/>
        <v xml:space="preserve">Ananda Andri </v>
      </c>
      <c r="EV11" s="56">
        <f t="shared" si="76"/>
        <v>75</v>
      </c>
      <c r="EW11" s="57">
        <f t="shared" si="77"/>
        <v>75</v>
      </c>
      <c r="EX11" s="57">
        <f t="shared" si="78"/>
        <v>75</v>
      </c>
      <c r="EY11" s="57" t="str">
        <f t="shared" si="79"/>
        <v/>
      </c>
      <c r="EZ11" s="57" t="str">
        <f t="shared" si="80"/>
        <v/>
      </c>
      <c r="FA11" s="57" t="str">
        <f t="shared" si="81"/>
        <v/>
      </c>
      <c r="FB11" s="57" t="str">
        <f t="shared" si="82"/>
        <v/>
      </c>
      <c r="FC11" s="57" t="str">
        <f t="shared" si="83"/>
        <v/>
      </c>
      <c r="FD11" s="57" t="str">
        <f t="shared" si="84"/>
        <v/>
      </c>
      <c r="FE11" s="57"/>
      <c r="FF11" s="58">
        <f t="shared" si="85"/>
        <v>225</v>
      </c>
      <c r="FG11" s="55" t="str">
        <f t="shared" si="86"/>
        <v>menganalisis peran ekonomi dalam upaya menyejahterakan kehidupan masyarakat di bidang sosial dan budaya untuk memperkuat kesatuan dan persatuan bangsa.</v>
      </c>
      <c r="FH11" s="58"/>
      <c r="FI11" s="59" t="str">
        <f>IF(ER11&gt;100,"",IF(ER11&gt;DQ$1,"sangat baik dalam "&amp;FG11,IF(ER11&gt;=DQ$2,"baik dalam "&amp;FG11,IF(ER11&gt;=DQ$3,"cukup dalam "&amp;FG11,IF(ER11&lt;DQ$3,"dengan bimbingan dapat meningkatkan dalam "&amp;FG11,IF(ER11&lt;1," ",””))))))</f>
        <v>cukup dalam menganalisis peran ekonomi dalam upaya menyejahterakan kehidupan masyarakat di bidang sosial dan budaya untuk memperkuat kesatuan dan persatuan bangsa.</v>
      </c>
      <c r="FJ11" s="58"/>
      <c r="FK11" s="57">
        <f t="shared" si="87"/>
        <v>75</v>
      </c>
      <c r="FL11" s="57">
        <f t="shared" si="88"/>
        <v>75</v>
      </c>
      <c r="FM11" s="57">
        <f t="shared" si="89"/>
        <v>75</v>
      </c>
      <c r="FN11" s="57" t="str">
        <f t="shared" si="90"/>
        <v/>
      </c>
      <c r="FO11" s="57" t="str">
        <f t="shared" si="91"/>
        <v/>
      </c>
      <c r="FP11" s="57" t="str">
        <f t="shared" si="92"/>
        <v/>
      </c>
      <c r="FQ11" s="57" t="str">
        <f t="shared" si="93"/>
        <v/>
      </c>
      <c r="FR11" s="57" t="str">
        <f t="shared" si="94"/>
        <v/>
      </c>
      <c r="FS11" s="57" t="str">
        <f t="shared" si="95"/>
        <v/>
      </c>
      <c r="FT11" s="57"/>
      <c r="FU11" s="59" t="str">
        <f t="shared" si="96"/>
        <v>menganalisis peran ekonomi dalam upaya menyejahterakan kehidupan masyarakat di bidang sosial dan budaya untuk memperkuat kesatuan dan persatuan bangsa.</v>
      </c>
      <c r="FV11" s="59" t="str">
        <f>IF(ES11&gt;100,"",IF(ES11&gt;DQ$1,"sangat baik dalam "&amp;FU11,IF(ES11&gt;=DQ$2,"baik dalam "&amp;FU11,IF(ES11&gt;=DQ$3,"cukup dalam "&amp;FU11,IF(ES11&lt;DQ$3,"dengan bimbingan dapat meningkatkan dalam "&amp;FU11,IF(ES11&lt;1," ",””))))))</f>
        <v>cukup dalam menganalisis peran ekonomi dalam upaya menyejahterakan kehidupan masyarakat di bidang sosial dan budaya untuk memperkuat kesatuan dan persatuan bangsa.</v>
      </c>
      <c r="FW11" s="61"/>
      <c r="FX11" s="62" t="str">
        <f t="shared" si="97"/>
        <v>Ananda Andri cukup dalam menganalisis peran ekonomi dalam upaya menyejahterakan kehidupan masyarakat di bidang sosial dan budaya untuk memperkuat kesatuan dan persatuan bangsa., cukup dalam menganalisis peran ekonomi dalam upaya menyejahterakan kehidupan masyarakat di bidang sosial dan budaya untuk memperkuat kesatuan dan persatuan bangsa.</v>
      </c>
      <c r="FY11" s="57" t="str">
        <f t="shared" si="98"/>
        <v/>
      </c>
      <c r="FZ11" s="57" t="str">
        <f t="shared" si="98"/>
        <v/>
      </c>
      <c r="GA11" s="57" t="str">
        <f t="shared" si="98"/>
        <v/>
      </c>
      <c r="GB11" s="57"/>
      <c r="GC11" s="57"/>
      <c r="GD11" s="57"/>
      <c r="GE11" s="59">
        <f t="shared" si="45"/>
        <v>0</v>
      </c>
      <c r="GF11" s="60"/>
      <c r="GG11" s="61"/>
      <c r="GH11" s="62" t="str">
        <f t="shared" si="99"/>
        <v>, 0</v>
      </c>
      <c r="GI11" s="4"/>
    </row>
    <row r="12" spans="1:191" ht="34.5" customHeight="1">
      <c r="A12" s="39">
        <v>5</v>
      </c>
      <c r="B12" s="283" t="str">
        <f>SISWA!B10</f>
        <v>Gresiya Suma Safitri</v>
      </c>
      <c r="C12" s="123">
        <v>87</v>
      </c>
      <c r="D12" s="123"/>
      <c r="E12" s="123"/>
      <c r="F12" s="123"/>
      <c r="G12" s="123"/>
      <c r="H12" s="123"/>
      <c r="I12" s="123"/>
      <c r="J12" s="123"/>
      <c r="K12" s="123"/>
      <c r="L12" s="256">
        <v>87</v>
      </c>
      <c r="M12" s="256"/>
      <c r="N12" s="256"/>
      <c r="O12" s="256"/>
      <c r="P12" s="256"/>
      <c r="Q12" s="256"/>
      <c r="R12" s="256"/>
      <c r="S12" s="256"/>
      <c r="T12" s="256"/>
      <c r="U12" s="123"/>
      <c r="V12" s="123"/>
      <c r="W12" s="123">
        <v>75</v>
      </c>
      <c r="X12" s="123"/>
      <c r="Y12" s="123"/>
      <c r="Z12" s="123"/>
      <c r="AA12" s="123"/>
      <c r="AB12" s="123"/>
      <c r="AC12" s="123"/>
      <c r="AD12" s="256"/>
      <c r="AE12" s="256"/>
      <c r="AF12" s="256">
        <v>93</v>
      </c>
      <c r="AG12" s="256"/>
      <c r="AH12" s="256"/>
      <c r="AI12" s="256"/>
      <c r="AJ12" s="256"/>
      <c r="AK12" s="256"/>
      <c r="AL12" s="256"/>
      <c r="AM12" s="123"/>
      <c r="AN12" s="123">
        <v>80</v>
      </c>
      <c r="AO12" s="123"/>
      <c r="AP12" s="123"/>
      <c r="AQ12" s="123"/>
      <c r="AR12" s="123"/>
      <c r="AS12" s="123"/>
      <c r="AT12" s="123"/>
      <c r="AU12" s="123"/>
      <c r="AV12" s="256"/>
      <c r="AW12" s="256">
        <v>100</v>
      </c>
      <c r="AX12" s="256"/>
      <c r="AY12" s="256"/>
      <c r="AZ12" s="256"/>
      <c r="BA12" s="256"/>
      <c r="BB12" s="256"/>
      <c r="BC12" s="256"/>
      <c r="BD12" s="256"/>
      <c r="BE12" s="123"/>
      <c r="BF12" s="123">
        <v>75</v>
      </c>
      <c r="BG12" s="123">
        <v>75</v>
      </c>
      <c r="BH12" s="123"/>
      <c r="BI12" s="123"/>
      <c r="BJ12" s="123"/>
      <c r="BK12" s="123"/>
      <c r="BL12" s="123"/>
      <c r="BM12" s="123"/>
      <c r="BN12" s="256"/>
      <c r="BO12" s="256">
        <v>80</v>
      </c>
      <c r="BP12" s="256">
        <v>75</v>
      </c>
      <c r="BQ12" s="256"/>
      <c r="BR12" s="256"/>
      <c r="BS12" s="256"/>
      <c r="BT12" s="256"/>
      <c r="BU12" s="256"/>
      <c r="BV12" s="256"/>
      <c r="BW12" s="460">
        <v>87</v>
      </c>
      <c r="BX12" s="460"/>
      <c r="BY12" s="460"/>
      <c r="BZ12" s="460"/>
      <c r="CA12" s="460"/>
      <c r="CB12" s="460"/>
      <c r="CC12" s="460"/>
      <c r="CD12" s="460"/>
      <c r="CE12" s="460"/>
      <c r="CF12" s="346">
        <v>87</v>
      </c>
      <c r="CG12" s="346"/>
      <c r="CH12" s="346"/>
      <c r="CI12" s="346"/>
      <c r="CJ12" s="346"/>
      <c r="CK12" s="346"/>
      <c r="CL12" s="346"/>
      <c r="CM12" s="346"/>
      <c r="CN12" s="346"/>
      <c r="CO12" s="260">
        <f t="shared" si="46"/>
        <v>87</v>
      </c>
      <c r="CP12" s="260">
        <f t="shared" si="47"/>
        <v>83.75</v>
      </c>
      <c r="CQ12" s="260">
        <f t="shared" si="48"/>
        <v>79.5</v>
      </c>
      <c r="CR12" s="260" t="str">
        <f t="shared" si="49"/>
        <v xml:space="preserve"> </v>
      </c>
      <c r="CS12" s="260" t="str">
        <f t="shared" si="50"/>
        <v xml:space="preserve"> </v>
      </c>
      <c r="CT12" s="260" t="str">
        <f t="shared" si="39"/>
        <v xml:space="preserve"> </v>
      </c>
      <c r="CU12" s="260" t="str">
        <f t="shared" si="39"/>
        <v xml:space="preserve"> </v>
      </c>
      <c r="CV12" s="260" t="str">
        <f t="shared" si="39"/>
        <v xml:space="preserve"> </v>
      </c>
      <c r="CW12" s="260" t="str">
        <f t="shared" si="39"/>
        <v xml:space="preserve"> </v>
      </c>
      <c r="CX12" s="547">
        <v>75</v>
      </c>
      <c r="CY12" s="547">
        <v>75</v>
      </c>
      <c r="CZ12" s="547"/>
      <c r="DA12" s="547"/>
      <c r="DB12" s="547"/>
      <c r="DC12" s="547"/>
      <c r="DD12" s="547"/>
      <c r="DE12" s="547"/>
      <c r="DF12" s="547"/>
      <c r="DG12" s="564">
        <v>75</v>
      </c>
      <c r="DH12" s="564">
        <v>77</v>
      </c>
      <c r="DI12" s="564">
        <v>76</v>
      </c>
      <c r="DJ12" s="564"/>
      <c r="DK12" s="564"/>
      <c r="DL12" s="564"/>
      <c r="DM12" s="564"/>
      <c r="DN12" s="564"/>
      <c r="DO12" s="564"/>
      <c r="DP12" s="549">
        <f t="shared" si="51"/>
        <v>80</v>
      </c>
      <c r="DQ12" s="291" t="str">
        <f t="shared" si="52"/>
        <v>C</v>
      </c>
      <c r="DR12" s="50" t="str">
        <f t="shared" si="53"/>
        <v>Ananda Gresia cukup dalam mengidentifikasi karakteristik geografis Indonesia sebagai negara kepulauan/maritim dan agraris serta pengaruhnya terhadap kehidupan ekonomi, sosial, budaya, komunikasi, serta transportasi. , cukup dalam menganalisis peran ekonomi dalam upaya menyejahterakan kehidupan masyarakat di bidang sosial dan budaya untuk memperkuat kesatuan dan persatuan bangsa.</v>
      </c>
      <c r="DS12" s="282"/>
      <c r="DT12" s="51"/>
      <c r="DU12" s="46">
        <f t="shared" si="54"/>
        <v>87</v>
      </c>
      <c r="DV12" s="46">
        <f t="shared" si="55"/>
        <v>83.75</v>
      </c>
      <c r="DW12" s="46">
        <f t="shared" si="56"/>
        <v>79.5</v>
      </c>
      <c r="DX12" s="46" t="str">
        <f t="shared" si="57"/>
        <v xml:space="preserve"> </v>
      </c>
      <c r="DY12" s="46" t="str">
        <f t="shared" si="58"/>
        <v xml:space="preserve"> </v>
      </c>
      <c r="DZ12" s="46" t="str">
        <f t="shared" si="59"/>
        <v xml:space="preserve"> </v>
      </c>
      <c r="EA12" s="46" t="str">
        <f t="shared" si="60"/>
        <v xml:space="preserve"> </v>
      </c>
      <c r="EB12" s="46" t="str">
        <f t="shared" si="61"/>
        <v xml:space="preserve"> </v>
      </c>
      <c r="EC12" s="46" t="str">
        <f t="shared" si="62"/>
        <v xml:space="preserve"> </v>
      </c>
      <c r="ED12" s="46"/>
      <c r="EE12" s="52">
        <f>[2]uts!J11</f>
        <v>80.666666666666671</v>
      </c>
      <c r="EF12" s="51"/>
      <c r="EG12" s="53">
        <f t="shared" si="63"/>
        <v>81</v>
      </c>
      <c r="EH12" s="53">
        <f t="shared" si="64"/>
        <v>79.875</v>
      </c>
      <c r="EI12" s="53">
        <f t="shared" si="65"/>
        <v>78.333333333333329</v>
      </c>
      <c r="EJ12" s="53" t="str">
        <f t="shared" si="66"/>
        <v xml:space="preserve">  </v>
      </c>
      <c r="EK12" s="53" t="str">
        <f t="shared" si="67"/>
        <v xml:space="preserve">  </v>
      </c>
      <c r="EL12" s="53" t="str">
        <f t="shared" si="68"/>
        <v xml:space="preserve">  </v>
      </c>
      <c r="EM12" s="53" t="str">
        <f t="shared" si="69"/>
        <v xml:space="preserve">  </v>
      </c>
      <c r="EN12" s="53" t="str">
        <f t="shared" si="70"/>
        <v xml:space="preserve">  </v>
      </c>
      <c r="EO12" s="53" t="str">
        <f t="shared" si="71"/>
        <v xml:space="preserve">  </v>
      </c>
      <c r="EP12" s="53"/>
      <c r="EQ12" s="54">
        <f t="shared" si="72"/>
        <v>80</v>
      </c>
      <c r="ER12" s="55">
        <f t="shared" si="73"/>
        <v>81</v>
      </c>
      <c r="ES12" s="55">
        <f t="shared" si="74"/>
        <v>78.333333333333329</v>
      </c>
      <c r="ET12" s="51" t="str">
        <f>SISWA!E10</f>
        <v>Gresia</v>
      </c>
      <c r="EU12" s="51" t="str">
        <f t="shared" si="75"/>
        <v xml:space="preserve">Ananda Gresia </v>
      </c>
      <c r="EV12" s="56">
        <f t="shared" si="76"/>
        <v>81</v>
      </c>
      <c r="EW12" s="57" t="str">
        <f t="shared" si="77"/>
        <v/>
      </c>
      <c r="EX12" s="57" t="str">
        <f t="shared" si="78"/>
        <v/>
      </c>
      <c r="EY12" s="57" t="str">
        <f t="shared" si="79"/>
        <v/>
      </c>
      <c r="EZ12" s="57" t="str">
        <f t="shared" si="80"/>
        <v/>
      </c>
      <c r="FA12" s="57" t="str">
        <f t="shared" si="81"/>
        <v/>
      </c>
      <c r="FB12" s="57" t="str">
        <f t="shared" si="82"/>
        <v/>
      </c>
      <c r="FC12" s="57" t="str">
        <f t="shared" si="83"/>
        <v/>
      </c>
      <c r="FD12" s="57" t="str">
        <f t="shared" si="84"/>
        <v/>
      </c>
      <c r="FE12" s="57"/>
      <c r="FF12" s="58">
        <f t="shared" si="85"/>
        <v>81</v>
      </c>
      <c r="FG12" s="55" t="str">
        <f t="shared" si="86"/>
        <v xml:space="preserve">mengidentifikasi karakteristik geografis Indonesia sebagai negara kepulauan/maritim dan agraris serta pengaruhnya terhadap kehidupan ekonomi, sosial, budaya, komunikasi, serta transportasi. </v>
      </c>
      <c r="FH12" s="58"/>
      <c r="FI12" s="59" t="str">
        <f>IF(ER12&gt;100,"",IF(ER12&gt;DQ$1,"sangat baik dalam "&amp;FG12,IF(ER12&gt;=DQ$2,"baik dalam "&amp;FG12,IF(ER12&gt;=DQ$3,"cukup dalam "&amp;FG12,IF(ER12&lt;DQ$3,"dengan bimbingan dapat meningkatkan dalam "&amp;FG12,IF(ER12&lt;1," ",””))))))</f>
        <v xml:space="preserve">cukup dalam mengidentifikasi karakteristik geografis Indonesia sebagai negara kepulauan/maritim dan agraris serta pengaruhnya terhadap kehidupan ekonomi, sosial, budaya, komunikasi, serta transportasi. </v>
      </c>
      <c r="FJ12" s="58"/>
      <c r="FK12" s="57" t="str">
        <f t="shared" si="87"/>
        <v/>
      </c>
      <c r="FL12" s="57" t="str">
        <f t="shared" si="88"/>
        <v/>
      </c>
      <c r="FM12" s="57">
        <f t="shared" si="89"/>
        <v>78.333333333333329</v>
      </c>
      <c r="FN12" s="57" t="str">
        <f t="shared" si="90"/>
        <v/>
      </c>
      <c r="FO12" s="57" t="str">
        <f t="shared" si="91"/>
        <v/>
      </c>
      <c r="FP12" s="57" t="str">
        <f t="shared" si="92"/>
        <v/>
      </c>
      <c r="FQ12" s="57" t="str">
        <f t="shared" si="93"/>
        <v/>
      </c>
      <c r="FR12" s="57" t="str">
        <f t="shared" si="94"/>
        <v/>
      </c>
      <c r="FS12" s="57" t="str">
        <f t="shared" si="95"/>
        <v/>
      </c>
      <c r="FT12" s="57"/>
      <c r="FU12" s="59" t="str">
        <f t="shared" si="96"/>
        <v>menganalisis peran ekonomi dalam upaya menyejahterakan kehidupan masyarakat di bidang sosial dan budaya untuk memperkuat kesatuan dan persatuan bangsa.</v>
      </c>
      <c r="FV12" s="59" t="str">
        <f>IF(ES12&gt;100,"",IF(ES12&gt;DQ$1,"sangat baik dalam "&amp;FU12,IF(ES12&gt;=DQ$2,"baik dalam "&amp;FU12,IF(ES12&gt;=DQ$3,"cukup dalam "&amp;FU12,IF(ES12&lt;DQ$3,"dengan bimbingan dapat meningkatkan dalam "&amp;FU12,IF(ES12&lt;1," ",””))))))</f>
        <v>cukup dalam menganalisis peran ekonomi dalam upaya menyejahterakan kehidupan masyarakat di bidang sosial dan budaya untuk memperkuat kesatuan dan persatuan bangsa.</v>
      </c>
      <c r="FW12" s="61"/>
      <c r="FX12" s="62" t="str">
        <f t="shared" si="97"/>
        <v>Ananda Gresia cukup dalam mengidentifikasi karakteristik geografis Indonesia sebagai negara kepulauan/maritim dan agraris serta pengaruhnya terhadap kehidupan ekonomi, sosial, budaya, komunikasi, serta transportasi. , cukup dalam menganalisis peran ekonomi dalam upaya menyejahterakan kehidupan masyarakat di bidang sosial dan budaya untuk memperkuat kesatuan dan persatuan bangsa.</v>
      </c>
      <c r="FY12" s="57" t="str">
        <f t="shared" si="98"/>
        <v/>
      </c>
      <c r="FZ12" s="57" t="str">
        <f t="shared" si="98"/>
        <v/>
      </c>
      <c r="GA12" s="57" t="str">
        <f t="shared" si="98"/>
        <v/>
      </c>
      <c r="GB12" s="57"/>
      <c r="GC12" s="57"/>
      <c r="GD12" s="57"/>
      <c r="GE12" s="59">
        <f t="shared" si="45"/>
        <v>0</v>
      </c>
      <c r="GF12" s="60"/>
      <c r="GG12" s="61"/>
      <c r="GH12" s="62" t="str">
        <f t="shared" si="99"/>
        <v>, 0</v>
      </c>
      <c r="GI12" s="4" t="str">
        <f t="shared" ref="GI12:GI27" si="100">CONCATENATE(IF(EQ12&gt;100,"  ",IF(EQ12&gt;95,"Sangat pandai "&amp;$B$45,IF(EQ12&gt;87,"Pandai "&amp;$B$45,IF(EQ12&gt;79,"Cukup pandai "&amp;$B$45,IF(EQ12&gt;71,"Menguasai dengan baik "&amp;$B$45,IF(EQ12&gt;62,"Perlu banyak latihan "&amp;$B$45,IF(EQ12&gt;0,"Perlu bimbingan "&amp;$B$45,IF(EQ12="","")))))))),IF(ER12&gt;100,"  ",IF(ER12&gt;95," Sangat pandai "&amp;$B$46,IF(ER12&gt;87," Pandai "&amp;$B$46,IF(ER12&gt;79," Cukup pandai "&amp;$B$46,IF(ER12&gt;71," Menguasai dengan baik "&amp;$B$46,IF(ER12&gt;62," Perlu banyak latihan "&amp;$B$46,IF(ER12&gt;0," Perlu bimbingan "&amp;$B$46,IF(ER12="","")))))))),IF(ES12&gt;100,"  ",IF(ES12&gt;95," Sangat pandai "&amp;$B$47,IF(ES12&gt;87," Pandai "&amp;$B$47,IF(ES12&gt;79," cukup pandai "&amp;$B$47,IF(ES12&gt;71," Menguasai dengan baik "&amp;$B$47,IF(ES12&gt;62," Perlu banyak latihan "&amp;$B$47,IF(ES12&gt;0," Perlu bimbingan "&amp;$B$47,IF(ES12="","")))))))),IF(ET12&gt;100,"  ",IF(ET12&gt;95," Sangat pandai "&amp;$B$48,IF(ET12&gt;87," Pandai "&amp;$B$48,IF(ET12&gt;79," Cukup pandai "&amp;$B$48,IF(ET12&gt;71," Menguasai dengan baik "&amp;$B$48,IF(ET12&gt;62," Perlu banyak latihan "&amp;$B$48,IF(ET12&gt;0," Perlu bimbingan "&amp;$B$48,IF(ET12="","")))))))),IF(EU12&gt;100,"  ",IF(EU12&gt;95," Sangat pandai "&amp;$B$49,IF(EU12&gt;87," Pandai "&amp;$B$49,IF(EU12&gt;79," Cukup pandai "&amp;$B$49,IF(EU12&gt;71," Menguasai dengan baik "&amp;$B$49,IF(EU12&gt;62," Perlu banyak latihan "&amp;$B$49,IF(EU12&gt;0," Perlu bimbingan "&amp;$B$49,IF(EU12="","")))))))),IF(EV12&gt;100,"  ",IF(EV12&gt;95," Sangat pandai "&amp;$B$50,IF(EV12&gt;87," Pandai "&amp;$B$50,IF(EV12&gt;79," Cukup pandai "&amp;$B$50,IF(EV12&gt;71," Menguasai dengan baik "&amp;$B$50,IF(EV12&gt;62," Perlu banyak latihan "&amp;$B$50,IF(EV12&gt;0," Perlu bimbingan "&amp;$B$50,IF(EV12="","")))))))),IF(EW12&gt;100,"  ",IF(EW12&gt;95," Sangat pandai "&amp;$B$51,IF(EW12&gt;87," Pandai "&amp;$B$51,IF(EW12&gt;79," Cukup pandai "&amp;$B$51,IF(EW12&gt;71," Menguasai dengan baik "&amp;$B$51,IF(EW12&gt;62," Perlu banyak latihan "&amp;$B$51,IF(EW12&gt;0," Perlu bimbingan "&amp;$B$51,IF(EW12="","")))))))))</f>
        <v xml:space="preserve">Cukup pandai mengidentifikasi karakteristik geografis Indonesia sebagai negara kepulauan/maritim dan agraris serta pengaruhnya terhadap kehidupan ekonomi, sosial, budaya, komunikasi, serta transportasi.  Cukup pandai menganalisis bentuk bentuk interaksi manusia dengan lingkungan dan pengaruhnya terhadap pembangunan sosial, budaya, dan ekonomi masyarakat Indonesia. Menguasai dengan baik menganalisis peran ekonomi dalam upaya menyejahterakan kehidupan masyarakat di bidang sosial dan budaya untuk memperkuat kesatuan dan persatuan bangsa.     Cukup pandai 0  </v>
      </c>
    </row>
    <row r="13" spans="1:191" ht="34.5" customHeight="1">
      <c r="A13" s="39">
        <v>6</v>
      </c>
      <c r="B13" s="283" t="str">
        <f>SISWA!B11</f>
        <v>Hasna Fathitya Sabrina</v>
      </c>
      <c r="C13" s="123">
        <v>75</v>
      </c>
      <c r="D13" s="123"/>
      <c r="E13" s="123"/>
      <c r="F13" s="123"/>
      <c r="G13" s="123"/>
      <c r="H13" s="123"/>
      <c r="I13" s="123"/>
      <c r="J13" s="123"/>
      <c r="K13" s="123"/>
      <c r="L13" s="256">
        <v>93</v>
      </c>
      <c r="M13" s="256"/>
      <c r="N13" s="256"/>
      <c r="O13" s="256"/>
      <c r="P13" s="256"/>
      <c r="Q13" s="256"/>
      <c r="R13" s="256"/>
      <c r="S13" s="256"/>
      <c r="T13" s="256"/>
      <c r="U13" s="123"/>
      <c r="V13" s="123"/>
      <c r="W13" s="123">
        <v>87</v>
      </c>
      <c r="X13" s="123"/>
      <c r="Y13" s="123"/>
      <c r="Z13" s="123"/>
      <c r="AA13" s="123"/>
      <c r="AB13" s="123"/>
      <c r="AC13" s="123"/>
      <c r="AD13" s="256"/>
      <c r="AE13" s="256"/>
      <c r="AF13" s="256">
        <v>80</v>
      </c>
      <c r="AG13" s="256"/>
      <c r="AH13" s="256"/>
      <c r="AI13" s="256"/>
      <c r="AJ13" s="256"/>
      <c r="AK13" s="256"/>
      <c r="AL13" s="256"/>
      <c r="AM13" s="123"/>
      <c r="AN13" s="123">
        <v>100</v>
      </c>
      <c r="AO13" s="123"/>
      <c r="AP13" s="123"/>
      <c r="AQ13" s="123"/>
      <c r="AR13" s="123"/>
      <c r="AS13" s="123"/>
      <c r="AT13" s="123"/>
      <c r="AU13" s="123"/>
      <c r="AV13" s="256"/>
      <c r="AW13" s="256">
        <v>75</v>
      </c>
      <c r="AX13" s="256"/>
      <c r="AY13" s="256"/>
      <c r="AZ13" s="256"/>
      <c r="BA13" s="256"/>
      <c r="BB13" s="256"/>
      <c r="BC13" s="256"/>
      <c r="BD13" s="256"/>
      <c r="BE13" s="123"/>
      <c r="BF13" s="123">
        <v>75</v>
      </c>
      <c r="BG13" s="123">
        <v>75</v>
      </c>
      <c r="BH13" s="123"/>
      <c r="BI13" s="123"/>
      <c r="BJ13" s="123"/>
      <c r="BK13" s="123"/>
      <c r="BL13" s="123"/>
      <c r="BM13" s="123"/>
      <c r="BN13" s="256"/>
      <c r="BO13" s="256">
        <v>87</v>
      </c>
      <c r="BP13" s="256">
        <v>87</v>
      </c>
      <c r="BQ13" s="256"/>
      <c r="BR13" s="256"/>
      <c r="BS13" s="256"/>
      <c r="BT13" s="256"/>
      <c r="BU13" s="256"/>
      <c r="BV13" s="256"/>
      <c r="BW13" s="460">
        <v>75</v>
      </c>
      <c r="BX13" s="460"/>
      <c r="BY13" s="460"/>
      <c r="BZ13" s="460"/>
      <c r="CA13" s="460"/>
      <c r="CB13" s="460"/>
      <c r="CC13" s="460"/>
      <c r="CD13" s="460"/>
      <c r="CE13" s="460"/>
      <c r="CF13" s="346">
        <v>80</v>
      </c>
      <c r="CG13" s="346"/>
      <c r="CH13" s="346"/>
      <c r="CI13" s="346"/>
      <c r="CJ13" s="346"/>
      <c r="CK13" s="346"/>
      <c r="CL13" s="346"/>
      <c r="CM13" s="346"/>
      <c r="CN13" s="346"/>
      <c r="CO13" s="260">
        <f t="shared" si="46"/>
        <v>80.75</v>
      </c>
      <c r="CP13" s="260">
        <f t="shared" si="47"/>
        <v>84.25</v>
      </c>
      <c r="CQ13" s="260">
        <f t="shared" si="48"/>
        <v>82.25</v>
      </c>
      <c r="CR13" s="260" t="str">
        <f t="shared" si="49"/>
        <v xml:space="preserve"> </v>
      </c>
      <c r="CS13" s="260" t="str">
        <f t="shared" si="50"/>
        <v xml:space="preserve"> </v>
      </c>
      <c r="CT13" s="260" t="str">
        <f t="shared" si="39"/>
        <v xml:space="preserve"> </v>
      </c>
      <c r="CU13" s="260" t="str">
        <f t="shared" si="39"/>
        <v xml:space="preserve"> </v>
      </c>
      <c r="CV13" s="260" t="str">
        <f t="shared" si="39"/>
        <v xml:space="preserve"> </v>
      </c>
      <c r="CW13" s="260" t="str">
        <f t="shared" si="39"/>
        <v xml:space="preserve"> </v>
      </c>
      <c r="CX13" s="547">
        <v>75</v>
      </c>
      <c r="CY13" s="547">
        <v>75</v>
      </c>
      <c r="CZ13" s="547"/>
      <c r="DA13" s="547"/>
      <c r="DB13" s="547"/>
      <c r="DC13" s="547"/>
      <c r="DD13" s="547"/>
      <c r="DE13" s="547"/>
      <c r="DF13" s="547"/>
      <c r="DG13" s="564">
        <v>75</v>
      </c>
      <c r="DH13" s="564">
        <v>75</v>
      </c>
      <c r="DI13" s="564">
        <v>80</v>
      </c>
      <c r="DJ13" s="564"/>
      <c r="DK13" s="564"/>
      <c r="DL13" s="564"/>
      <c r="DM13" s="564"/>
      <c r="DN13" s="564"/>
      <c r="DO13" s="564"/>
      <c r="DP13" s="549">
        <f t="shared" si="51"/>
        <v>80</v>
      </c>
      <c r="DQ13" s="291" t="str">
        <f t="shared" si="52"/>
        <v>C</v>
      </c>
      <c r="DR13" s="50" t="str">
        <f t="shared" si="53"/>
        <v xml:space="preserve">Ananda Hasna cukup dalam menganalisis peran ekonomi dalam upaya menyejahterakan kehidupan masyarakat di bidang sosial dan budaya untuk memperkuat kesatuan dan persatuan bangsa., cukup dalam mengidentifikasi karakteristik geografis Indonesia sebagai negara kepulauan/maritim dan agraris serta pengaruhnya terhadap kehidupan ekonomi, sosial, budaya, komunikasi, serta transportasi. </v>
      </c>
      <c r="DS13" s="282"/>
      <c r="DT13" s="51"/>
      <c r="DU13" s="46">
        <f t="shared" si="54"/>
        <v>80.75</v>
      </c>
      <c r="DV13" s="46">
        <f t="shared" si="55"/>
        <v>84.25</v>
      </c>
      <c r="DW13" s="46">
        <f t="shared" si="56"/>
        <v>82.25</v>
      </c>
      <c r="DX13" s="46" t="str">
        <f t="shared" si="57"/>
        <v xml:space="preserve"> </v>
      </c>
      <c r="DY13" s="46" t="str">
        <f t="shared" si="58"/>
        <v xml:space="preserve"> </v>
      </c>
      <c r="DZ13" s="46" t="str">
        <f t="shared" si="59"/>
        <v xml:space="preserve"> </v>
      </c>
      <c r="EA13" s="46" t="str">
        <f t="shared" si="60"/>
        <v xml:space="preserve"> </v>
      </c>
      <c r="EB13" s="46" t="str">
        <f t="shared" si="61"/>
        <v xml:space="preserve"> </v>
      </c>
      <c r="EC13" s="46" t="str">
        <f t="shared" si="62"/>
        <v xml:space="preserve"> </v>
      </c>
      <c r="ED13" s="46"/>
      <c r="EE13" s="52">
        <f>[2]uts!J12</f>
        <v>72</v>
      </c>
      <c r="EF13" s="51"/>
      <c r="EG13" s="53">
        <f t="shared" si="63"/>
        <v>77.875</v>
      </c>
      <c r="EH13" s="53">
        <f t="shared" si="64"/>
        <v>79.625</v>
      </c>
      <c r="EI13" s="53">
        <f t="shared" si="65"/>
        <v>81.5</v>
      </c>
      <c r="EJ13" s="53" t="str">
        <f t="shared" si="66"/>
        <v xml:space="preserve">  </v>
      </c>
      <c r="EK13" s="53" t="str">
        <f t="shared" si="67"/>
        <v xml:space="preserve">  </v>
      </c>
      <c r="EL13" s="53" t="str">
        <f t="shared" si="68"/>
        <v xml:space="preserve">  </v>
      </c>
      <c r="EM13" s="53" t="str">
        <f t="shared" si="69"/>
        <v xml:space="preserve">  </v>
      </c>
      <c r="EN13" s="53" t="str">
        <f t="shared" si="70"/>
        <v xml:space="preserve">  </v>
      </c>
      <c r="EO13" s="53" t="str">
        <f t="shared" si="71"/>
        <v xml:space="preserve">  </v>
      </c>
      <c r="EP13" s="53"/>
      <c r="EQ13" s="54">
        <f t="shared" si="72"/>
        <v>80</v>
      </c>
      <c r="ER13" s="55">
        <f t="shared" si="73"/>
        <v>81.5</v>
      </c>
      <c r="ES13" s="55">
        <f t="shared" si="74"/>
        <v>77.875</v>
      </c>
      <c r="ET13" s="51" t="str">
        <f>SISWA!E11</f>
        <v>Hasna</v>
      </c>
      <c r="EU13" s="51" t="str">
        <f t="shared" si="75"/>
        <v xml:space="preserve">Ananda Hasna </v>
      </c>
      <c r="EV13" s="56" t="str">
        <f t="shared" si="76"/>
        <v/>
      </c>
      <c r="EW13" s="57" t="str">
        <f t="shared" si="77"/>
        <v/>
      </c>
      <c r="EX13" s="57">
        <f t="shared" si="78"/>
        <v>81.5</v>
      </c>
      <c r="EY13" s="57" t="str">
        <f t="shared" si="79"/>
        <v/>
      </c>
      <c r="EZ13" s="57" t="str">
        <f t="shared" si="80"/>
        <v/>
      </c>
      <c r="FA13" s="57" t="str">
        <f t="shared" si="81"/>
        <v/>
      </c>
      <c r="FB13" s="57" t="str">
        <f t="shared" si="82"/>
        <v/>
      </c>
      <c r="FC13" s="57" t="str">
        <f t="shared" si="83"/>
        <v/>
      </c>
      <c r="FD13" s="57" t="str">
        <f t="shared" si="84"/>
        <v/>
      </c>
      <c r="FE13" s="57"/>
      <c r="FF13" s="58">
        <f t="shared" si="85"/>
        <v>81.5</v>
      </c>
      <c r="FG13" s="55" t="str">
        <f t="shared" si="86"/>
        <v>menganalisis peran ekonomi dalam upaya menyejahterakan kehidupan masyarakat di bidang sosial dan budaya untuk memperkuat kesatuan dan persatuan bangsa.</v>
      </c>
      <c r="FH13" s="58"/>
      <c r="FI13" s="59" t="str">
        <f>IF(ER13&gt;100,"",IF(ER13&gt;DQ$1,"sangat baik dalam "&amp;FG13,IF(ER13&gt;=DQ$2,"baik dalam "&amp;FG13,IF(ER13&gt;=DQ$3,"cukup dalam "&amp;FG13,IF(ER13&lt;DQ$3,"dengan bimbingan dapat meningkatkan dalam "&amp;FG13,IF(ER13&lt;1," ",””))))))</f>
        <v>cukup dalam menganalisis peran ekonomi dalam upaya menyejahterakan kehidupan masyarakat di bidang sosial dan budaya untuk memperkuat kesatuan dan persatuan bangsa.</v>
      </c>
      <c r="FJ13" s="58"/>
      <c r="FK13" s="57">
        <f t="shared" si="87"/>
        <v>77.875</v>
      </c>
      <c r="FL13" s="57" t="str">
        <f t="shared" si="88"/>
        <v/>
      </c>
      <c r="FM13" s="57" t="str">
        <f t="shared" si="89"/>
        <v/>
      </c>
      <c r="FN13" s="57" t="str">
        <f t="shared" si="90"/>
        <v/>
      </c>
      <c r="FO13" s="57" t="str">
        <f t="shared" si="91"/>
        <v/>
      </c>
      <c r="FP13" s="57" t="str">
        <f t="shared" si="92"/>
        <v/>
      </c>
      <c r="FQ13" s="57" t="str">
        <f t="shared" si="93"/>
        <v/>
      </c>
      <c r="FR13" s="57" t="str">
        <f t="shared" si="94"/>
        <v/>
      </c>
      <c r="FS13" s="57" t="str">
        <f t="shared" si="95"/>
        <v/>
      </c>
      <c r="FT13" s="57"/>
      <c r="FU13" s="59" t="str">
        <f t="shared" si="96"/>
        <v xml:space="preserve">mengidentifikasi karakteristik geografis Indonesia sebagai negara kepulauan/maritim dan agraris serta pengaruhnya terhadap kehidupan ekonomi, sosial, budaya, komunikasi, serta transportasi. </v>
      </c>
      <c r="FV13" s="59" t="str">
        <f>IF(ES13&gt;100,"",IF(ES13&gt;DQ$1,"sangat baik dalam "&amp;FU13,IF(ES13&gt;=DQ$2,"baik dalam "&amp;FU13,IF(ES13&gt;=DQ$3,"cukup dalam "&amp;FU13,IF(ES13&lt;DQ$3,"dengan bimbingan dapat meningkatkan dalam "&amp;FU13,IF(ES13&lt;1," ",””))))))</f>
        <v xml:space="preserve">cukup dalam mengidentifikasi karakteristik geografis Indonesia sebagai negara kepulauan/maritim dan agraris serta pengaruhnya terhadap kehidupan ekonomi, sosial, budaya, komunikasi, serta transportasi. </v>
      </c>
      <c r="FW13" s="61"/>
      <c r="FX13" s="62" t="str">
        <f t="shared" si="97"/>
        <v xml:space="preserve">Ananda Hasna cukup dalam menganalisis peran ekonomi dalam upaya menyejahterakan kehidupan masyarakat di bidang sosial dan budaya untuk memperkuat kesatuan dan persatuan bangsa., cukup dalam mengidentifikasi karakteristik geografis Indonesia sebagai negara kepulauan/maritim dan agraris serta pengaruhnya terhadap kehidupan ekonomi, sosial, budaya, komunikasi, serta transportasi. </v>
      </c>
      <c r="FY13" s="57" t="str">
        <f t="shared" si="98"/>
        <v/>
      </c>
      <c r="FZ13" s="57" t="str">
        <f t="shared" si="98"/>
        <v/>
      </c>
      <c r="GA13" s="57" t="str">
        <f t="shared" si="98"/>
        <v/>
      </c>
      <c r="GB13" s="57"/>
      <c r="GC13" s="57"/>
      <c r="GD13" s="57"/>
      <c r="GE13" s="59">
        <f t="shared" si="45"/>
        <v>0</v>
      </c>
      <c r="GF13" s="60"/>
      <c r="GG13" s="61"/>
      <c r="GH13" s="62" t="str">
        <f t="shared" si="99"/>
        <v>, 0</v>
      </c>
      <c r="GI13" s="4" t="str">
        <f t="shared" si="100"/>
        <v xml:space="preserve">Cukup pandai mengidentifikasi karakteristik geografis Indonesia sebagai negara kepulauan/maritim dan agraris serta pengaruhnya terhadap kehidupan ekonomi, sosial, budaya, komunikasi, serta transportasi.  Cukup pandai menganalisis bentuk bentuk interaksi manusia dengan lingkungan dan pengaruhnya terhadap pembangunan sosial, budaya, dan ekonomi masyarakat Indonesia. Menguasai dengan baik menganalisis peran ekonomi dalam upaya menyejahterakan kehidupan masyarakat di bidang sosial dan budaya untuk memperkuat kesatuan dan persatuan bangsa.        </v>
      </c>
    </row>
    <row r="14" spans="1:191" ht="34.5" customHeight="1">
      <c r="A14" s="39">
        <v>7</v>
      </c>
      <c r="B14" s="283" t="str">
        <f>SISWA!B12</f>
        <v>Indah Fitria Ningrum</v>
      </c>
      <c r="C14" s="123">
        <v>87</v>
      </c>
      <c r="D14" s="123"/>
      <c r="E14" s="123"/>
      <c r="F14" s="123"/>
      <c r="G14" s="123"/>
      <c r="H14" s="123"/>
      <c r="I14" s="123"/>
      <c r="J14" s="123"/>
      <c r="K14" s="123"/>
      <c r="L14" s="256">
        <v>75</v>
      </c>
      <c r="M14" s="256"/>
      <c r="N14" s="256"/>
      <c r="O14" s="256"/>
      <c r="P14" s="256"/>
      <c r="Q14" s="256"/>
      <c r="R14" s="256"/>
      <c r="S14" s="256"/>
      <c r="T14" s="256"/>
      <c r="U14" s="123"/>
      <c r="V14" s="123"/>
      <c r="W14" s="123">
        <v>80</v>
      </c>
      <c r="X14" s="123"/>
      <c r="Y14" s="123"/>
      <c r="Z14" s="123"/>
      <c r="AA14" s="123"/>
      <c r="AB14" s="123"/>
      <c r="AC14" s="123"/>
      <c r="AD14" s="256"/>
      <c r="AE14" s="256"/>
      <c r="AF14" s="256">
        <v>93</v>
      </c>
      <c r="AG14" s="256"/>
      <c r="AH14" s="256"/>
      <c r="AI14" s="256"/>
      <c r="AJ14" s="256"/>
      <c r="AK14" s="256"/>
      <c r="AL14" s="256"/>
      <c r="AM14" s="123"/>
      <c r="AN14" s="123">
        <v>80</v>
      </c>
      <c r="AO14" s="123"/>
      <c r="AP14" s="123"/>
      <c r="AQ14" s="123"/>
      <c r="AR14" s="123"/>
      <c r="AS14" s="123"/>
      <c r="AT14" s="123"/>
      <c r="AU14" s="123"/>
      <c r="AV14" s="256"/>
      <c r="AW14" s="256">
        <v>80</v>
      </c>
      <c r="AX14" s="256"/>
      <c r="AY14" s="256"/>
      <c r="AZ14" s="256"/>
      <c r="BA14" s="256"/>
      <c r="BB14" s="256"/>
      <c r="BC14" s="256"/>
      <c r="BD14" s="256"/>
      <c r="BE14" s="123"/>
      <c r="BF14" s="123">
        <v>80</v>
      </c>
      <c r="BG14" s="123">
        <v>87</v>
      </c>
      <c r="BH14" s="123"/>
      <c r="BI14" s="123"/>
      <c r="BJ14" s="123"/>
      <c r="BK14" s="123"/>
      <c r="BL14" s="123"/>
      <c r="BM14" s="123"/>
      <c r="BN14" s="256"/>
      <c r="BO14" s="256">
        <v>100</v>
      </c>
      <c r="BP14" s="256">
        <v>75</v>
      </c>
      <c r="BQ14" s="256"/>
      <c r="BR14" s="256"/>
      <c r="BS14" s="256"/>
      <c r="BT14" s="256"/>
      <c r="BU14" s="256"/>
      <c r="BV14" s="256"/>
      <c r="BW14" s="460">
        <v>80</v>
      </c>
      <c r="BX14" s="460"/>
      <c r="BY14" s="460"/>
      <c r="BZ14" s="460"/>
      <c r="CA14" s="460"/>
      <c r="CB14" s="460"/>
      <c r="CC14" s="460"/>
      <c r="CD14" s="460"/>
      <c r="CE14" s="460"/>
      <c r="CF14" s="346">
        <v>87</v>
      </c>
      <c r="CG14" s="346"/>
      <c r="CH14" s="346"/>
      <c r="CI14" s="346"/>
      <c r="CJ14" s="346"/>
      <c r="CK14" s="346"/>
      <c r="CL14" s="346"/>
      <c r="CM14" s="346"/>
      <c r="CN14" s="346"/>
      <c r="CO14" s="260">
        <f t="shared" si="46"/>
        <v>82.25</v>
      </c>
      <c r="CP14" s="260">
        <f t="shared" si="47"/>
        <v>85</v>
      </c>
      <c r="CQ14" s="260">
        <f t="shared" si="48"/>
        <v>83.75</v>
      </c>
      <c r="CR14" s="260" t="str">
        <f t="shared" si="49"/>
        <v xml:space="preserve"> </v>
      </c>
      <c r="CS14" s="260" t="str">
        <f t="shared" si="50"/>
        <v xml:space="preserve"> </v>
      </c>
      <c r="CT14" s="260" t="str">
        <f t="shared" si="39"/>
        <v xml:space="preserve"> </v>
      </c>
      <c r="CU14" s="260" t="str">
        <f t="shared" si="39"/>
        <v xml:space="preserve"> </v>
      </c>
      <c r="CV14" s="260" t="str">
        <f t="shared" si="39"/>
        <v xml:space="preserve"> </v>
      </c>
      <c r="CW14" s="260" t="str">
        <f t="shared" si="39"/>
        <v xml:space="preserve"> </v>
      </c>
      <c r="CX14" s="547">
        <v>75</v>
      </c>
      <c r="CY14" s="547">
        <v>88</v>
      </c>
      <c r="CZ14" s="547"/>
      <c r="DA14" s="547"/>
      <c r="DB14" s="547"/>
      <c r="DC14" s="547"/>
      <c r="DD14" s="547"/>
      <c r="DE14" s="547"/>
      <c r="DF14" s="547"/>
      <c r="DG14" s="564">
        <v>88</v>
      </c>
      <c r="DH14" s="564">
        <v>83</v>
      </c>
      <c r="DI14" s="564">
        <v>85</v>
      </c>
      <c r="DJ14" s="564"/>
      <c r="DK14" s="564"/>
      <c r="DL14" s="564"/>
      <c r="DM14" s="564"/>
      <c r="DN14" s="564"/>
      <c r="DO14" s="564"/>
      <c r="DP14" s="549">
        <f t="shared" si="51"/>
        <v>84</v>
      </c>
      <c r="DQ14" s="291" t="str">
        <f t="shared" si="52"/>
        <v>B</v>
      </c>
      <c r="DR14" s="50" t="str">
        <f t="shared" si="53"/>
        <v xml:space="preserve">Ananda Indah baik dalam menganalisis bentuk bentuk interaksi manusia dengan lingkungan dan pengaruhnya terhadap pembangunan sosial, budaya, dan ekonomi masyarakat Indonesia., cukup dalam mengidentifikasi karakteristik geografis Indonesia sebagai negara kepulauan/maritim dan agraris serta pengaruhnya terhadap kehidupan ekonomi, sosial, budaya, komunikasi, serta transportasi. </v>
      </c>
      <c r="DS14" s="282"/>
      <c r="DT14" s="51"/>
      <c r="DU14" s="46">
        <f t="shared" si="54"/>
        <v>82.25</v>
      </c>
      <c r="DV14" s="46">
        <f t="shared" si="55"/>
        <v>85</v>
      </c>
      <c r="DW14" s="46">
        <f t="shared" si="56"/>
        <v>83.75</v>
      </c>
      <c r="DX14" s="46" t="str">
        <f t="shared" si="57"/>
        <v xml:space="preserve"> </v>
      </c>
      <c r="DY14" s="46" t="str">
        <f t="shared" si="58"/>
        <v xml:space="preserve"> </v>
      </c>
      <c r="DZ14" s="46" t="str">
        <f t="shared" si="59"/>
        <v xml:space="preserve"> </v>
      </c>
      <c r="EA14" s="46" t="str">
        <f t="shared" si="60"/>
        <v xml:space="preserve"> </v>
      </c>
      <c r="EB14" s="46" t="str">
        <f t="shared" si="61"/>
        <v xml:space="preserve"> </v>
      </c>
      <c r="EC14" s="46" t="str">
        <f t="shared" si="62"/>
        <v xml:space="preserve"> </v>
      </c>
      <c r="ED14" s="46"/>
      <c r="EE14" s="52">
        <f>[2]uts!J13</f>
        <v>72.333333333333329</v>
      </c>
      <c r="EF14" s="51"/>
      <c r="EG14" s="53">
        <f t="shared" si="63"/>
        <v>81.875</v>
      </c>
      <c r="EH14" s="53">
        <f t="shared" si="64"/>
        <v>85.25</v>
      </c>
      <c r="EI14" s="53">
        <f t="shared" si="65"/>
        <v>84.166666666666671</v>
      </c>
      <c r="EJ14" s="53" t="str">
        <f t="shared" si="66"/>
        <v xml:space="preserve">  </v>
      </c>
      <c r="EK14" s="53" t="str">
        <f t="shared" si="67"/>
        <v xml:space="preserve">  </v>
      </c>
      <c r="EL14" s="53" t="str">
        <f t="shared" si="68"/>
        <v xml:space="preserve">  </v>
      </c>
      <c r="EM14" s="53" t="str">
        <f t="shared" si="69"/>
        <v xml:space="preserve">  </v>
      </c>
      <c r="EN14" s="53" t="str">
        <f t="shared" si="70"/>
        <v xml:space="preserve">  </v>
      </c>
      <c r="EO14" s="53" t="str">
        <f t="shared" si="71"/>
        <v xml:space="preserve">  </v>
      </c>
      <c r="EP14" s="53"/>
      <c r="EQ14" s="54">
        <f t="shared" si="72"/>
        <v>84</v>
      </c>
      <c r="ER14" s="55">
        <f t="shared" si="73"/>
        <v>85.25</v>
      </c>
      <c r="ES14" s="55">
        <f t="shared" si="74"/>
        <v>81.875</v>
      </c>
      <c r="ET14" s="51" t="str">
        <f>SISWA!E12</f>
        <v>Indah</v>
      </c>
      <c r="EU14" s="51" t="str">
        <f t="shared" si="75"/>
        <v xml:space="preserve">Ananda Indah </v>
      </c>
      <c r="EV14" s="56" t="str">
        <f t="shared" si="76"/>
        <v/>
      </c>
      <c r="EW14" s="57">
        <f t="shared" si="77"/>
        <v>85.25</v>
      </c>
      <c r="EX14" s="57" t="str">
        <f t="shared" si="78"/>
        <v/>
      </c>
      <c r="EY14" s="57" t="str">
        <f t="shared" si="79"/>
        <v/>
      </c>
      <c r="EZ14" s="57" t="str">
        <f t="shared" si="80"/>
        <v/>
      </c>
      <c r="FA14" s="57" t="str">
        <f t="shared" si="81"/>
        <v/>
      </c>
      <c r="FB14" s="57" t="str">
        <f t="shared" si="82"/>
        <v/>
      </c>
      <c r="FC14" s="57" t="str">
        <f t="shared" si="83"/>
        <v/>
      </c>
      <c r="FD14" s="57" t="str">
        <f t="shared" si="84"/>
        <v/>
      </c>
      <c r="FE14" s="57"/>
      <c r="FF14" s="58">
        <f t="shared" si="85"/>
        <v>85.25</v>
      </c>
      <c r="FG14" s="55" t="str">
        <f t="shared" si="86"/>
        <v>menganalisis bentuk bentuk interaksi manusia dengan lingkungan dan pengaruhnya terhadap pembangunan sosial, budaya, dan ekonomi masyarakat Indonesia.</v>
      </c>
      <c r="FH14" s="58"/>
      <c r="FI14" s="59" t="str">
        <f>IF(ER14&gt;100,"",IF(ER14&gt;DQ$1,"sangat baik dalam "&amp;FG14,IF(ER14&gt;=DQ$2,"baik dalam "&amp;FG14,IF(ER14&gt;=DQ$3,"cukup dalam "&amp;FG14,IF(ER14&lt;DQ$3,"dengan bimbingan dapat meningkatkan dalam "&amp;FG14,IF(ER14&lt;1," ",””))))))</f>
        <v>baik dalam menganalisis bentuk bentuk interaksi manusia dengan lingkungan dan pengaruhnya terhadap pembangunan sosial, budaya, dan ekonomi masyarakat Indonesia.</v>
      </c>
      <c r="FJ14" s="58"/>
      <c r="FK14" s="57">
        <f t="shared" si="87"/>
        <v>81.875</v>
      </c>
      <c r="FL14" s="57" t="str">
        <f t="shared" si="88"/>
        <v/>
      </c>
      <c r="FM14" s="57" t="str">
        <f t="shared" si="89"/>
        <v/>
      </c>
      <c r="FN14" s="57" t="str">
        <f t="shared" si="90"/>
        <v/>
      </c>
      <c r="FO14" s="57" t="str">
        <f t="shared" si="91"/>
        <v/>
      </c>
      <c r="FP14" s="57" t="str">
        <f t="shared" si="92"/>
        <v/>
      </c>
      <c r="FQ14" s="57" t="str">
        <f t="shared" si="93"/>
        <v/>
      </c>
      <c r="FR14" s="57" t="str">
        <f t="shared" si="94"/>
        <v/>
      </c>
      <c r="FS14" s="57" t="str">
        <f t="shared" si="95"/>
        <v/>
      </c>
      <c r="FT14" s="57"/>
      <c r="FU14" s="59" t="str">
        <f t="shared" si="96"/>
        <v xml:space="preserve">mengidentifikasi karakteristik geografis Indonesia sebagai negara kepulauan/maritim dan agraris serta pengaruhnya terhadap kehidupan ekonomi, sosial, budaya, komunikasi, serta transportasi. </v>
      </c>
      <c r="FV14" s="59" t="str">
        <f>IF(ES14&gt;100,"",IF(ES14&gt;DQ$1,"sangat baik dalam "&amp;FU14,IF(ES14&gt;=DQ$2,"baik dalam "&amp;FU14,IF(ES14&gt;=DQ$3,"cukup dalam "&amp;FU14,IF(ES14&lt;DQ$3,"dengan bimbingan dapat meningkatkan dalam "&amp;FU14,IF(ES14&lt;1," ",””))))))</f>
        <v xml:space="preserve">cukup dalam mengidentifikasi karakteristik geografis Indonesia sebagai negara kepulauan/maritim dan agraris serta pengaruhnya terhadap kehidupan ekonomi, sosial, budaya, komunikasi, serta transportasi. </v>
      </c>
      <c r="FW14" s="61"/>
      <c r="FX14" s="62" t="str">
        <f t="shared" si="97"/>
        <v xml:space="preserve">Ananda Indah baik dalam menganalisis bentuk bentuk interaksi manusia dengan lingkungan dan pengaruhnya terhadap pembangunan sosial, budaya, dan ekonomi masyarakat Indonesia., cukup dalam mengidentifikasi karakteristik geografis Indonesia sebagai negara kepulauan/maritim dan agraris serta pengaruhnya terhadap kehidupan ekonomi, sosial, budaya, komunikasi, serta transportasi. </v>
      </c>
      <c r="FY14" s="57" t="str">
        <f t="shared" si="98"/>
        <v/>
      </c>
      <c r="FZ14" s="57" t="str">
        <f t="shared" si="98"/>
        <v/>
      </c>
      <c r="GA14" s="57" t="str">
        <f t="shared" si="98"/>
        <v/>
      </c>
      <c r="GB14" s="57"/>
      <c r="GC14" s="57"/>
      <c r="GD14" s="57"/>
      <c r="GE14" s="59">
        <f t="shared" si="45"/>
        <v>0</v>
      </c>
      <c r="GF14" s="60"/>
      <c r="GG14" s="61"/>
      <c r="GH14" s="62" t="str">
        <f t="shared" si="99"/>
        <v>, 0</v>
      </c>
      <c r="GI14" s="4" t="str">
        <f t="shared" si="100"/>
        <v>Cukup pandai mengidentifikasi karakteristik geografis Indonesia sebagai negara kepulauan/maritim dan agraris serta pengaruhnya terhadap kehidupan ekonomi, sosial, budaya, komunikasi, serta transportasi.  Cukup pandai menganalisis bentuk bentuk interaksi manusia dengan lingkungan dan pengaruhnya terhadap pembangunan sosial, budaya, dan ekonomi masyarakat Indonesia. cukup pandai menganalisis peran ekonomi dalam upaya menyejahterakan kehidupan masyarakat di bidang sosial dan budaya untuk memperkuat kesatuan dan persatuan bangsa.       Cukup pandai 0</v>
      </c>
    </row>
    <row r="15" spans="1:191" ht="34.5" customHeight="1">
      <c r="A15" s="39">
        <v>8</v>
      </c>
      <c r="B15" s="283" t="str">
        <f>SISWA!B13</f>
        <v>Muhammad Ilham Sarifuddin</v>
      </c>
      <c r="C15" s="123">
        <v>75</v>
      </c>
      <c r="D15" s="123"/>
      <c r="E15" s="123"/>
      <c r="F15" s="123"/>
      <c r="G15" s="123"/>
      <c r="H15" s="123"/>
      <c r="I15" s="123"/>
      <c r="J15" s="123"/>
      <c r="K15" s="123"/>
      <c r="L15" s="256">
        <v>75</v>
      </c>
      <c r="M15" s="256"/>
      <c r="N15" s="256"/>
      <c r="O15" s="256"/>
      <c r="P15" s="256"/>
      <c r="Q15" s="256"/>
      <c r="R15" s="256"/>
      <c r="S15" s="256"/>
      <c r="T15" s="256"/>
      <c r="U15" s="123"/>
      <c r="V15" s="123"/>
      <c r="W15" s="123">
        <v>80</v>
      </c>
      <c r="X15" s="123"/>
      <c r="Y15" s="123"/>
      <c r="Z15" s="123"/>
      <c r="AA15" s="123"/>
      <c r="AB15" s="123"/>
      <c r="AC15" s="123"/>
      <c r="AD15" s="256"/>
      <c r="AE15" s="256"/>
      <c r="AF15" s="256">
        <v>75</v>
      </c>
      <c r="AG15" s="256"/>
      <c r="AH15" s="256"/>
      <c r="AI15" s="256"/>
      <c r="AJ15" s="256"/>
      <c r="AK15" s="256"/>
      <c r="AL15" s="256"/>
      <c r="AM15" s="123"/>
      <c r="AN15" s="123">
        <v>75</v>
      </c>
      <c r="AO15" s="123"/>
      <c r="AP15" s="123"/>
      <c r="AQ15" s="123"/>
      <c r="AR15" s="123"/>
      <c r="AS15" s="123"/>
      <c r="AT15" s="123"/>
      <c r="AU15" s="123"/>
      <c r="AV15" s="256"/>
      <c r="AW15" s="256">
        <v>75</v>
      </c>
      <c r="AX15" s="256"/>
      <c r="AY15" s="256"/>
      <c r="AZ15" s="256"/>
      <c r="BA15" s="256"/>
      <c r="BB15" s="256"/>
      <c r="BC15" s="256"/>
      <c r="BD15" s="256"/>
      <c r="BE15" s="123"/>
      <c r="BF15" s="123">
        <v>75</v>
      </c>
      <c r="BG15" s="123">
        <v>75</v>
      </c>
      <c r="BH15" s="123"/>
      <c r="BI15" s="123"/>
      <c r="BJ15" s="123"/>
      <c r="BK15" s="123"/>
      <c r="BL15" s="123"/>
      <c r="BM15" s="123"/>
      <c r="BN15" s="256"/>
      <c r="BO15" s="256">
        <v>80</v>
      </c>
      <c r="BP15" s="256">
        <v>75</v>
      </c>
      <c r="BQ15" s="256"/>
      <c r="BR15" s="256"/>
      <c r="BS15" s="256"/>
      <c r="BT15" s="256"/>
      <c r="BU15" s="256"/>
      <c r="BV15" s="256"/>
      <c r="BW15" s="460">
        <v>100</v>
      </c>
      <c r="BX15" s="460"/>
      <c r="BY15" s="460"/>
      <c r="BZ15" s="460"/>
      <c r="CA15" s="460"/>
      <c r="CB15" s="460"/>
      <c r="CC15" s="460"/>
      <c r="CD15" s="460"/>
      <c r="CE15" s="460"/>
      <c r="CF15" s="346">
        <v>87</v>
      </c>
      <c r="CG15" s="346"/>
      <c r="CH15" s="346"/>
      <c r="CI15" s="346"/>
      <c r="CJ15" s="346"/>
      <c r="CK15" s="346"/>
      <c r="CL15" s="346"/>
      <c r="CM15" s="346"/>
      <c r="CN15" s="346"/>
      <c r="CO15" s="260">
        <f t="shared" si="46"/>
        <v>84.25</v>
      </c>
      <c r="CP15" s="260">
        <f t="shared" si="47"/>
        <v>76.25</v>
      </c>
      <c r="CQ15" s="260">
        <f t="shared" si="48"/>
        <v>76.25</v>
      </c>
      <c r="CR15" s="260" t="str">
        <f t="shared" si="49"/>
        <v xml:space="preserve"> </v>
      </c>
      <c r="CS15" s="260" t="str">
        <f t="shared" si="50"/>
        <v xml:space="preserve"> </v>
      </c>
      <c r="CT15" s="260" t="str">
        <f t="shared" si="39"/>
        <v xml:space="preserve"> </v>
      </c>
      <c r="CU15" s="260" t="str">
        <f t="shared" si="39"/>
        <v xml:space="preserve"> </v>
      </c>
      <c r="CV15" s="260" t="str">
        <f t="shared" si="39"/>
        <v xml:space="preserve"> </v>
      </c>
      <c r="CW15" s="260" t="str">
        <f t="shared" si="39"/>
        <v xml:space="preserve"> </v>
      </c>
      <c r="CX15" s="547">
        <v>75</v>
      </c>
      <c r="CY15" s="547">
        <v>75</v>
      </c>
      <c r="CZ15" s="547"/>
      <c r="DA15" s="547"/>
      <c r="DB15" s="547"/>
      <c r="DC15" s="547"/>
      <c r="DD15" s="547"/>
      <c r="DE15" s="547"/>
      <c r="DF15" s="547"/>
      <c r="DG15" s="564">
        <v>75</v>
      </c>
      <c r="DH15" s="564">
        <v>82</v>
      </c>
      <c r="DI15" s="564">
        <v>76</v>
      </c>
      <c r="DJ15" s="564"/>
      <c r="DK15" s="564"/>
      <c r="DL15" s="564"/>
      <c r="DM15" s="564"/>
      <c r="DN15" s="564"/>
      <c r="DO15" s="564"/>
      <c r="DP15" s="549">
        <f t="shared" si="51"/>
        <v>78</v>
      </c>
      <c r="DQ15" s="291" t="str">
        <f t="shared" si="52"/>
        <v>C</v>
      </c>
      <c r="DR15" s="50" t="str">
        <f t="shared" si="53"/>
        <v>Ananda Ilham cukup dalam mengidentifikasi karakteristik geografis Indonesia sebagai negara kepulauan/maritim dan agraris serta pengaruhnya terhadap kehidupan ekonomi, sosial, budaya, komunikasi, serta transportasi. , cukup dalam menganalisis peran ekonomi dalam upaya menyejahterakan kehidupan masyarakat di bidang sosial dan budaya untuk memperkuat kesatuan dan persatuan bangsa.</v>
      </c>
      <c r="DS15" s="282"/>
      <c r="DT15" s="51"/>
      <c r="DU15" s="46">
        <f t="shared" si="54"/>
        <v>84.25</v>
      </c>
      <c r="DV15" s="46">
        <f t="shared" si="55"/>
        <v>76.25</v>
      </c>
      <c r="DW15" s="46">
        <f t="shared" si="56"/>
        <v>76.25</v>
      </c>
      <c r="DX15" s="46" t="str">
        <f t="shared" si="57"/>
        <v xml:space="preserve"> </v>
      </c>
      <c r="DY15" s="46" t="str">
        <f t="shared" si="58"/>
        <v xml:space="preserve"> </v>
      </c>
      <c r="DZ15" s="46" t="str">
        <f t="shared" si="59"/>
        <v xml:space="preserve"> </v>
      </c>
      <c r="EA15" s="46" t="str">
        <f t="shared" si="60"/>
        <v xml:space="preserve"> </v>
      </c>
      <c r="EB15" s="46" t="str">
        <f t="shared" si="61"/>
        <v xml:space="preserve"> </v>
      </c>
      <c r="EC15" s="46" t="str">
        <f t="shared" si="62"/>
        <v xml:space="preserve"> </v>
      </c>
      <c r="ED15" s="46"/>
      <c r="EE15" s="52">
        <f>[2]uts!J14</f>
        <v>80</v>
      </c>
      <c r="EF15" s="51"/>
      <c r="EG15" s="53">
        <f t="shared" si="63"/>
        <v>79.625</v>
      </c>
      <c r="EH15" s="53">
        <f t="shared" si="64"/>
        <v>77.375</v>
      </c>
      <c r="EI15" s="53">
        <f t="shared" si="65"/>
        <v>76.166666666666671</v>
      </c>
      <c r="EJ15" s="53" t="str">
        <f t="shared" si="66"/>
        <v xml:space="preserve">  </v>
      </c>
      <c r="EK15" s="53" t="str">
        <f t="shared" si="67"/>
        <v xml:space="preserve">  </v>
      </c>
      <c r="EL15" s="53" t="str">
        <f t="shared" si="68"/>
        <v xml:space="preserve">  </v>
      </c>
      <c r="EM15" s="53" t="str">
        <f t="shared" si="69"/>
        <v xml:space="preserve">  </v>
      </c>
      <c r="EN15" s="53" t="str">
        <f t="shared" si="70"/>
        <v xml:space="preserve">  </v>
      </c>
      <c r="EO15" s="53" t="str">
        <f t="shared" si="71"/>
        <v xml:space="preserve">  </v>
      </c>
      <c r="EP15" s="53"/>
      <c r="EQ15" s="54">
        <f t="shared" si="72"/>
        <v>78</v>
      </c>
      <c r="ER15" s="55">
        <f t="shared" si="73"/>
        <v>79.625</v>
      </c>
      <c r="ES15" s="55">
        <f t="shared" si="74"/>
        <v>76.166666666666671</v>
      </c>
      <c r="ET15" s="51" t="str">
        <f>SISWA!E13</f>
        <v>Ilham</v>
      </c>
      <c r="EU15" s="51" t="str">
        <f t="shared" si="75"/>
        <v xml:space="preserve">Ananda Ilham </v>
      </c>
      <c r="EV15" s="56">
        <f t="shared" si="76"/>
        <v>79.625</v>
      </c>
      <c r="EW15" s="57" t="str">
        <f t="shared" si="77"/>
        <v/>
      </c>
      <c r="EX15" s="57" t="str">
        <f t="shared" si="78"/>
        <v/>
      </c>
      <c r="EY15" s="57" t="str">
        <f t="shared" si="79"/>
        <v/>
      </c>
      <c r="EZ15" s="57" t="str">
        <f t="shared" si="80"/>
        <v/>
      </c>
      <c r="FA15" s="57" t="str">
        <f t="shared" si="81"/>
        <v/>
      </c>
      <c r="FB15" s="57" t="str">
        <f t="shared" si="82"/>
        <v/>
      </c>
      <c r="FC15" s="57" t="str">
        <f t="shared" si="83"/>
        <v/>
      </c>
      <c r="FD15" s="57" t="str">
        <f t="shared" si="84"/>
        <v/>
      </c>
      <c r="FE15" s="57"/>
      <c r="FF15" s="58">
        <f t="shared" si="85"/>
        <v>79.625</v>
      </c>
      <c r="FG15" s="55" t="str">
        <f t="shared" si="86"/>
        <v xml:space="preserve">mengidentifikasi karakteristik geografis Indonesia sebagai negara kepulauan/maritim dan agraris serta pengaruhnya terhadap kehidupan ekonomi, sosial, budaya, komunikasi, serta transportasi. </v>
      </c>
      <c r="FH15" s="58"/>
      <c r="FI15" s="59" t="str">
        <f>IF(ER15&gt;100,"",IF(ER15&gt;DQ$1,"sangat baik dalam "&amp;FG15,IF(ER15&gt;=DQ$2,"baik dalam "&amp;FG15,IF(ER15&gt;=DQ$3,"cukup dalam "&amp;FG15,IF(ER15&lt;DQ$3,"dengan bimbingan dapat meningkatkan dalam "&amp;FG15,IF(ER15&lt;1," ",””))))))</f>
        <v xml:space="preserve">cukup dalam mengidentifikasi karakteristik geografis Indonesia sebagai negara kepulauan/maritim dan agraris serta pengaruhnya terhadap kehidupan ekonomi, sosial, budaya, komunikasi, serta transportasi. </v>
      </c>
      <c r="FJ15" s="58"/>
      <c r="FK15" s="57" t="str">
        <f t="shared" si="87"/>
        <v/>
      </c>
      <c r="FL15" s="57" t="str">
        <f t="shared" si="88"/>
        <v/>
      </c>
      <c r="FM15" s="57">
        <f t="shared" si="89"/>
        <v>76.166666666666671</v>
      </c>
      <c r="FN15" s="57" t="str">
        <f t="shared" si="90"/>
        <v/>
      </c>
      <c r="FO15" s="57" t="str">
        <f t="shared" si="91"/>
        <v/>
      </c>
      <c r="FP15" s="57" t="str">
        <f t="shared" si="92"/>
        <v/>
      </c>
      <c r="FQ15" s="57" t="str">
        <f t="shared" si="93"/>
        <v/>
      </c>
      <c r="FR15" s="57" t="str">
        <f t="shared" si="94"/>
        <v/>
      </c>
      <c r="FS15" s="57" t="str">
        <f t="shared" si="95"/>
        <v/>
      </c>
      <c r="FT15" s="57"/>
      <c r="FU15" s="59" t="str">
        <f t="shared" si="96"/>
        <v>menganalisis peran ekonomi dalam upaya menyejahterakan kehidupan masyarakat di bidang sosial dan budaya untuk memperkuat kesatuan dan persatuan bangsa.</v>
      </c>
      <c r="FV15" s="59" t="str">
        <f>IF(ES15&gt;100,"",IF(ES15&gt;DQ$1,"sangat baik dalam "&amp;FU15,IF(ES15&gt;=DQ$2,"baik dalam "&amp;FU15,IF(ES15&gt;=DQ$3,"cukup dalam "&amp;FU15,IF(ES15&lt;DQ$3,"dengan bimbingan dapat meningkatkan dalam "&amp;FU15,IF(ES15&lt;1," ",””))))))</f>
        <v>cukup dalam menganalisis peran ekonomi dalam upaya menyejahterakan kehidupan masyarakat di bidang sosial dan budaya untuk memperkuat kesatuan dan persatuan bangsa.</v>
      </c>
      <c r="FW15" s="61"/>
      <c r="FX15" s="62" t="str">
        <f t="shared" si="97"/>
        <v>Ananda Ilham cukup dalam mengidentifikasi karakteristik geografis Indonesia sebagai negara kepulauan/maritim dan agraris serta pengaruhnya terhadap kehidupan ekonomi, sosial, budaya, komunikasi, serta transportasi. , cukup dalam menganalisis peran ekonomi dalam upaya menyejahterakan kehidupan masyarakat di bidang sosial dan budaya untuk memperkuat kesatuan dan persatuan bangsa.</v>
      </c>
      <c r="FY15" s="57" t="str">
        <f t="shared" si="98"/>
        <v/>
      </c>
      <c r="FZ15" s="57" t="str">
        <f t="shared" si="98"/>
        <v/>
      </c>
      <c r="GA15" s="57" t="str">
        <f t="shared" si="98"/>
        <v/>
      </c>
      <c r="GB15" s="57"/>
      <c r="GC15" s="57"/>
      <c r="GD15" s="57"/>
      <c r="GE15" s="59">
        <f t="shared" si="45"/>
        <v>0</v>
      </c>
      <c r="GF15" s="60"/>
      <c r="GG15" s="61"/>
      <c r="GH15" s="62" t="str">
        <f t="shared" si="99"/>
        <v>, 0</v>
      </c>
      <c r="GI15" s="4" t="str">
        <f t="shared" si="100"/>
        <v xml:space="preserve">Menguasai dengan baik mengidentifikasi karakteristik geografis Indonesia sebagai negara kepulauan/maritim dan agraris serta pengaruhnya terhadap kehidupan ekonomi, sosial, budaya, komunikasi, serta transportasi.  Cukup pandai menganalisis bentuk bentuk interaksi manusia dengan lingkungan dan pengaruhnya terhadap pembangunan sosial, budaya, dan ekonomi masyarakat Indonesia. Menguasai dengan baik menganalisis peran ekonomi dalam upaya menyejahterakan kehidupan masyarakat di bidang sosial dan budaya untuk memperkuat kesatuan dan persatuan bangsa.     Cukup pandai 0  </v>
      </c>
    </row>
    <row r="16" spans="1:191" ht="34.5" customHeight="1">
      <c r="A16" s="39">
        <v>9</v>
      </c>
      <c r="B16" s="283" t="str">
        <f>SISWA!B14</f>
        <v>Muhammad Raditya Ainul Yaqin</v>
      </c>
      <c r="C16" s="123">
        <v>75</v>
      </c>
      <c r="D16" s="123"/>
      <c r="E16" s="123"/>
      <c r="F16" s="123"/>
      <c r="G16" s="123"/>
      <c r="H16" s="123"/>
      <c r="I16" s="123"/>
      <c r="J16" s="123"/>
      <c r="K16" s="123"/>
      <c r="L16" s="256">
        <v>75</v>
      </c>
      <c r="M16" s="256"/>
      <c r="N16" s="256"/>
      <c r="O16" s="256"/>
      <c r="P16" s="256"/>
      <c r="Q16" s="256"/>
      <c r="R16" s="256"/>
      <c r="S16" s="256"/>
      <c r="T16" s="256"/>
      <c r="U16" s="123"/>
      <c r="V16" s="123"/>
      <c r="W16" s="123">
        <v>80</v>
      </c>
      <c r="X16" s="123"/>
      <c r="Y16" s="123"/>
      <c r="Z16" s="123"/>
      <c r="AA16" s="123"/>
      <c r="AB16" s="123"/>
      <c r="AC16" s="123"/>
      <c r="AD16" s="256"/>
      <c r="AE16" s="256"/>
      <c r="AF16" s="256">
        <v>80</v>
      </c>
      <c r="AG16" s="256"/>
      <c r="AH16" s="256"/>
      <c r="AI16" s="256"/>
      <c r="AJ16" s="256"/>
      <c r="AK16" s="256"/>
      <c r="AL16" s="256"/>
      <c r="AM16" s="123"/>
      <c r="AN16" s="123">
        <v>75</v>
      </c>
      <c r="AO16" s="123"/>
      <c r="AP16" s="123"/>
      <c r="AQ16" s="123"/>
      <c r="AR16" s="123"/>
      <c r="AS16" s="123"/>
      <c r="AT16" s="123"/>
      <c r="AU16" s="123"/>
      <c r="AV16" s="256"/>
      <c r="AW16" s="256">
        <v>75</v>
      </c>
      <c r="AX16" s="256"/>
      <c r="AY16" s="256"/>
      <c r="AZ16" s="256"/>
      <c r="BA16" s="256"/>
      <c r="BB16" s="256"/>
      <c r="BC16" s="256"/>
      <c r="BD16" s="256"/>
      <c r="BE16" s="123"/>
      <c r="BF16" s="123">
        <v>75</v>
      </c>
      <c r="BG16" s="123">
        <v>75</v>
      </c>
      <c r="BH16" s="123"/>
      <c r="BI16" s="123"/>
      <c r="BJ16" s="123"/>
      <c r="BK16" s="123"/>
      <c r="BL16" s="123"/>
      <c r="BM16" s="123"/>
      <c r="BN16" s="256"/>
      <c r="BO16" s="256">
        <v>75</v>
      </c>
      <c r="BP16" s="256">
        <v>75</v>
      </c>
      <c r="BQ16" s="256"/>
      <c r="BR16" s="256"/>
      <c r="BS16" s="256"/>
      <c r="BT16" s="256"/>
      <c r="BU16" s="256"/>
      <c r="BV16" s="256"/>
      <c r="BW16" s="460">
        <v>93</v>
      </c>
      <c r="BX16" s="460"/>
      <c r="BY16" s="460"/>
      <c r="BZ16" s="460"/>
      <c r="CA16" s="460"/>
      <c r="CB16" s="460"/>
      <c r="CC16" s="460"/>
      <c r="CD16" s="460"/>
      <c r="CE16" s="460"/>
      <c r="CF16" s="346">
        <v>87</v>
      </c>
      <c r="CG16" s="346"/>
      <c r="CH16" s="346"/>
      <c r="CI16" s="346"/>
      <c r="CJ16" s="346"/>
      <c r="CK16" s="346"/>
      <c r="CL16" s="346"/>
      <c r="CM16" s="346"/>
      <c r="CN16" s="346"/>
      <c r="CO16" s="260">
        <f t="shared" si="46"/>
        <v>82.5</v>
      </c>
      <c r="CP16" s="260">
        <f t="shared" si="47"/>
        <v>75</v>
      </c>
      <c r="CQ16" s="260">
        <f t="shared" si="48"/>
        <v>77.5</v>
      </c>
      <c r="CR16" s="260" t="str">
        <f t="shared" si="49"/>
        <v xml:space="preserve"> </v>
      </c>
      <c r="CS16" s="260" t="str">
        <f t="shared" si="50"/>
        <v xml:space="preserve"> </v>
      </c>
      <c r="CT16" s="260" t="str">
        <f t="shared" si="39"/>
        <v xml:space="preserve"> </v>
      </c>
      <c r="CU16" s="260" t="str">
        <f t="shared" si="39"/>
        <v xml:space="preserve"> </v>
      </c>
      <c r="CV16" s="260" t="str">
        <f t="shared" si="39"/>
        <v xml:space="preserve"> </v>
      </c>
      <c r="CW16" s="260" t="str">
        <f t="shared" si="39"/>
        <v xml:space="preserve"> </v>
      </c>
      <c r="CX16" s="547">
        <v>75</v>
      </c>
      <c r="CY16" s="547">
        <v>75</v>
      </c>
      <c r="CZ16" s="547"/>
      <c r="DA16" s="547"/>
      <c r="DB16" s="547"/>
      <c r="DC16" s="547"/>
      <c r="DD16" s="547"/>
      <c r="DE16" s="547"/>
      <c r="DF16" s="547"/>
      <c r="DG16" s="564">
        <v>75</v>
      </c>
      <c r="DH16" s="564">
        <v>75</v>
      </c>
      <c r="DI16" s="564">
        <v>75</v>
      </c>
      <c r="DJ16" s="564"/>
      <c r="DK16" s="564"/>
      <c r="DL16" s="564"/>
      <c r="DM16" s="564"/>
      <c r="DN16" s="564"/>
      <c r="DO16" s="564"/>
      <c r="DP16" s="549">
        <f t="shared" si="51"/>
        <v>77</v>
      </c>
      <c r="DQ16" s="291" t="str">
        <f t="shared" si="52"/>
        <v>C</v>
      </c>
      <c r="DR16" s="50" t="str">
        <f t="shared" si="53"/>
        <v>Ananda Radit cukup dalam mengidentifikasi karakteristik geografis Indonesia sebagai negara kepulauan/maritim dan agraris serta pengaruhnya terhadap kehidupan ekonomi, sosial, budaya, komunikasi, serta transportasi. , cukup dalam menganalisis bentuk bentuk interaksi manusia dengan lingkungan dan pengaruhnya terhadap pembangunan sosial, budaya, dan ekonomi masyarakat Indonesia.</v>
      </c>
      <c r="DS16" s="282"/>
      <c r="DT16" s="51"/>
      <c r="DU16" s="46">
        <f t="shared" si="54"/>
        <v>82.5</v>
      </c>
      <c r="DV16" s="46">
        <f t="shared" si="55"/>
        <v>75</v>
      </c>
      <c r="DW16" s="46">
        <f t="shared" si="56"/>
        <v>77.5</v>
      </c>
      <c r="DX16" s="46" t="str">
        <f t="shared" si="57"/>
        <v xml:space="preserve"> </v>
      </c>
      <c r="DY16" s="46" t="str">
        <f t="shared" si="58"/>
        <v xml:space="preserve"> </v>
      </c>
      <c r="DZ16" s="46" t="str">
        <f t="shared" si="59"/>
        <v xml:space="preserve"> </v>
      </c>
      <c r="EA16" s="46" t="str">
        <f t="shared" si="60"/>
        <v xml:space="preserve"> </v>
      </c>
      <c r="EB16" s="46" t="str">
        <f t="shared" si="61"/>
        <v xml:space="preserve"> </v>
      </c>
      <c r="EC16" s="46" t="str">
        <f t="shared" si="62"/>
        <v xml:space="preserve"> </v>
      </c>
      <c r="ED16" s="46"/>
      <c r="EE16" s="52">
        <f>[2]uts!J15</f>
        <v>78</v>
      </c>
      <c r="EF16" s="51"/>
      <c r="EG16" s="53">
        <f t="shared" si="63"/>
        <v>78.75</v>
      </c>
      <c r="EH16" s="53">
        <f t="shared" si="64"/>
        <v>75</v>
      </c>
      <c r="EI16" s="53">
        <f t="shared" si="65"/>
        <v>76.666666666666671</v>
      </c>
      <c r="EJ16" s="53" t="str">
        <f t="shared" si="66"/>
        <v xml:space="preserve">  </v>
      </c>
      <c r="EK16" s="53" t="str">
        <f t="shared" si="67"/>
        <v xml:space="preserve">  </v>
      </c>
      <c r="EL16" s="53" t="str">
        <f t="shared" si="68"/>
        <v xml:space="preserve">  </v>
      </c>
      <c r="EM16" s="53" t="str">
        <f t="shared" si="69"/>
        <v xml:space="preserve">  </v>
      </c>
      <c r="EN16" s="53" t="str">
        <f t="shared" si="70"/>
        <v xml:space="preserve">  </v>
      </c>
      <c r="EO16" s="53" t="str">
        <f t="shared" si="71"/>
        <v xml:space="preserve">  </v>
      </c>
      <c r="EP16" s="53"/>
      <c r="EQ16" s="54">
        <f t="shared" si="72"/>
        <v>77</v>
      </c>
      <c r="ER16" s="55">
        <f t="shared" si="73"/>
        <v>78.75</v>
      </c>
      <c r="ES16" s="55">
        <f t="shared" si="74"/>
        <v>75</v>
      </c>
      <c r="ET16" s="51" t="str">
        <f>SISWA!E14</f>
        <v>Radit</v>
      </c>
      <c r="EU16" s="51" t="str">
        <f t="shared" si="75"/>
        <v xml:space="preserve">Ananda Radit </v>
      </c>
      <c r="EV16" s="56">
        <f t="shared" si="76"/>
        <v>78.75</v>
      </c>
      <c r="EW16" s="57" t="str">
        <f t="shared" si="77"/>
        <v/>
      </c>
      <c r="EX16" s="57" t="str">
        <f t="shared" si="78"/>
        <v/>
      </c>
      <c r="EY16" s="57" t="str">
        <f t="shared" si="79"/>
        <v/>
      </c>
      <c r="EZ16" s="57" t="str">
        <f t="shared" si="80"/>
        <v/>
      </c>
      <c r="FA16" s="57" t="str">
        <f t="shared" si="81"/>
        <v/>
      </c>
      <c r="FB16" s="57" t="str">
        <f t="shared" si="82"/>
        <v/>
      </c>
      <c r="FC16" s="57" t="str">
        <f t="shared" si="83"/>
        <v/>
      </c>
      <c r="FD16" s="57" t="str">
        <f t="shared" si="84"/>
        <v/>
      </c>
      <c r="FE16" s="57"/>
      <c r="FF16" s="58">
        <f t="shared" si="85"/>
        <v>78.75</v>
      </c>
      <c r="FG16" s="55" t="str">
        <f t="shared" si="86"/>
        <v xml:space="preserve">mengidentifikasi karakteristik geografis Indonesia sebagai negara kepulauan/maritim dan agraris serta pengaruhnya terhadap kehidupan ekonomi, sosial, budaya, komunikasi, serta transportasi. </v>
      </c>
      <c r="FH16" s="58"/>
      <c r="FI16" s="59" t="str">
        <f>IF(ER16&gt;100,"",IF(ER16&gt;DQ$1,"sangat baik dalam "&amp;FG16,IF(ER16&gt;=DQ$2,"baik dalam "&amp;FG16,IF(ER16&gt;=DQ$3,"cukup dalam "&amp;FG16,IF(ER16&lt;DQ$3,"dengan bimbingan dapat meningkatkan dalam "&amp;FG16,IF(ER16&lt;1," ",””))))))</f>
        <v xml:space="preserve">cukup dalam mengidentifikasi karakteristik geografis Indonesia sebagai negara kepulauan/maritim dan agraris serta pengaruhnya terhadap kehidupan ekonomi, sosial, budaya, komunikasi, serta transportasi. </v>
      </c>
      <c r="FJ16" s="58"/>
      <c r="FK16" s="57" t="str">
        <f t="shared" si="87"/>
        <v/>
      </c>
      <c r="FL16" s="57">
        <f t="shared" si="88"/>
        <v>75</v>
      </c>
      <c r="FM16" s="57" t="str">
        <f t="shared" si="89"/>
        <v/>
      </c>
      <c r="FN16" s="57" t="str">
        <f t="shared" si="90"/>
        <v/>
      </c>
      <c r="FO16" s="57" t="str">
        <f t="shared" si="91"/>
        <v/>
      </c>
      <c r="FP16" s="57" t="str">
        <f t="shared" si="92"/>
        <v/>
      </c>
      <c r="FQ16" s="57" t="str">
        <f t="shared" si="93"/>
        <v/>
      </c>
      <c r="FR16" s="57" t="str">
        <f t="shared" si="94"/>
        <v/>
      </c>
      <c r="FS16" s="57" t="str">
        <f t="shared" si="95"/>
        <v/>
      </c>
      <c r="FT16" s="57"/>
      <c r="FU16" s="59" t="str">
        <f t="shared" si="96"/>
        <v>menganalisis bentuk bentuk interaksi manusia dengan lingkungan dan pengaruhnya terhadap pembangunan sosial, budaya, dan ekonomi masyarakat Indonesia.</v>
      </c>
      <c r="FV16" s="59" t="str">
        <f>IF(ES16&gt;100,"",IF(ES16&gt;DQ$1,"sangat baik dalam "&amp;FU16,IF(ES16&gt;=DQ$2,"baik dalam "&amp;FU16,IF(ES16&gt;=DQ$3,"cukup dalam "&amp;FU16,IF(ES16&lt;DQ$3,"dengan bimbingan dapat meningkatkan dalam "&amp;FU16,IF(ES16&lt;1," ",””))))))</f>
        <v>cukup dalam menganalisis bentuk bentuk interaksi manusia dengan lingkungan dan pengaruhnya terhadap pembangunan sosial, budaya, dan ekonomi masyarakat Indonesia.</v>
      </c>
      <c r="FW16" s="61"/>
      <c r="FX16" s="62" t="str">
        <f t="shared" si="97"/>
        <v>Ananda Radit cukup dalam mengidentifikasi karakteristik geografis Indonesia sebagai negara kepulauan/maritim dan agraris serta pengaruhnya terhadap kehidupan ekonomi, sosial, budaya, komunikasi, serta transportasi. , cukup dalam menganalisis bentuk bentuk interaksi manusia dengan lingkungan dan pengaruhnya terhadap pembangunan sosial, budaya, dan ekonomi masyarakat Indonesia.</v>
      </c>
      <c r="FY16" s="57" t="str">
        <f t="shared" si="98"/>
        <v/>
      </c>
      <c r="FZ16" s="57" t="str">
        <f t="shared" si="98"/>
        <v/>
      </c>
      <c r="GA16" s="57" t="str">
        <f t="shared" si="98"/>
        <v/>
      </c>
      <c r="GB16" s="57"/>
      <c r="GC16" s="57"/>
      <c r="GD16" s="57"/>
      <c r="GE16" s="59">
        <f t="shared" si="45"/>
        <v>0</v>
      </c>
      <c r="GF16" s="60"/>
      <c r="GG16" s="61"/>
      <c r="GH16" s="62" t="str">
        <f t="shared" si="99"/>
        <v>, 0</v>
      </c>
      <c r="GI16" s="4" t="str">
        <f t="shared" si="100"/>
        <v xml:space="preserve">Menguasai dengan baik mengidentifikasi karakteristik geografis Indonesia sebagai negara kepulauan/maritim dan agraris serta pengaruhnya terhadap kehidupan ekonomi, sosial, budaya, komunikasi, serta transportasi.  Menguasai dengan baik menganalisis bentuk bentuk interaksi manusia dengan lingkungan dan pengaruhnya terhadap pembangunan sosial, budaya, dan ekonomi masyarakat Indonesia. Menguasai dengan baik menganalisis peran ekonomi dalam upaya menyejahterakan kehidupan masyarakat di bidang sosial dan budaya untuk memperkuat kesatuan dan persatuan bangsa.     Menguasai dengan baik 0  </v>
      </c>
    </row>
    <row r="17" spans="1:191" ht="34.5" customHeight="1">
      <c r="A17" s="39">
        <v>10</v>
      </c>
      <c r="B17" s="283" t="str">
        <f>SISWA!B15</f>
        <v>Muhammad Shulhan Al-farisi</v>
      </c>
      <c r="C17" s="123">
        <v>75</v>
      </c>
      <c r="D17" s="123"/>
      <c r="E17" s="123"/>
      <c r="F17" s="123"/>
      <c r="G17" s="123"/>
      <c r="H17" s="123"/>
      <c r="I17" s="123"/>
      <c r="J17" s="123"/>
      <c r="K17" s="123"/>
      <c r="L17" s="256">
        <v>75</v>
      </c>
      <c r="M17" s="256"/>
      <c r="N17" s="256"/>
      <c r="O17" s="256"/>
      <c r="P17" s="256"/>
      <c r="Q17" s="256"/>
      <c r="R17" s="256"/>
      <c r="S17" s="256"/>
      <c r="T17" s="256"/>
      <c r="U17" s="123"/>
      <c r="V17" s="123"/>
      <c r="W17" s="123">
        <v>87</v>
      </c>
      <c r="X17" s="123"/>
      <c r="Y17" s="123"/>
      <c r="Z17" s="123"/>
      <c r="AA17" s="123"/>
      <c r="AB17" s="123"/>
      <c r="AC17" s="123"/>
      <c r="AD17" s="256"/>
      <c r="AE17" s="256"/>
      <c r="AF17" s="256">
        <v>80</v>
      </c>
      <c r="AG17" s="256"/>
      <c r="AH17" s="256"/>
      <c r="AI17" s="256"/>
      <c r="AJ17" s="256"/>
      <c r="AK17" s="256"/>
      <c r="AL17" s="256"/>
      <c r="AM17" s="123"/>
      <c r="AN17" s="123">
        <v>75</v>
      </c>
      <c r="AO17" s="123"/>
      <c r="AP17" s="123"/>
      <c r="AQ17" s="123"/>
      <c r="AR17" s="123"/>
      <c r="AS17" s="123"/>
      <c r="AT17" s="123"/>
      <c r="AU17" s="123"/>
      <c r="AV17" s="256"/>
      <c r="AW17" s="256">
        <v>100</v>
      </c>
      <c r="AX17" s="256"/>
      <c r="AY17" s="256"/>
      <c r="AZ17" s="256"/>
      <c r="BA17" s="256"/>
      <c r="BB17" s="256"/>
      <c r="BC17" s="256"/>
      <c r="BD17" s="256"/>
      <c r="BE17" s="123"/>
      <c r="BF17" s="123">
        <v>75</v>
      </c>
      <c r="BG17" s="123">
        <v>75</v>
      </c>
      <c r="BH17" s="123"/>
      <c r="BI17" s="123"/>
      <c r="BJ17" s="123"/>
      <c r="BK17" s="123"/>
      <c r="BL17" s="123"/>
      <c r="BM17" s="123"/>
      <c r="BN17" s="256"/>
      <c r="BO17" s="256">
        <v>100</v>
      </c>
      <c r="BP17" s="256">
        <v>80</v>
      </c>
      <c r="BQ17" s="256"/>
      <c r="BR17" s="256"/>
      <c r="BS17" s="256"/>
      <c r="BT17" s="256"/>
      <c r="BU17" s="256"/>
      <c r="BV17" s="256"/>
      <c r="BW17" s="460">
        <v>87</v>
      </c>
      <c r="BX17" s="460"/>
      <c r="BY17" s="460"/>
      <c r="BZ17" s="460"/>
      <c r="CA17" s="460"/>
      <c r="CB17" s="460"/>
      <c r="CC17" s="460"/>
      <c r="CD17" s="460"/>
      <c r="CE17" s="460"/>
      <c r="CF17" s="346">
        <v>75</v>
      </c>
      <c r="CG17" s="346"/>
      <c r="CH17" s="346"/>
      <c r="CI17" s="346"/>
      <c r="CJ17" s="346"/>
      <c r="CK17" s="346"/>
      <c r="CL17" s="346"/>
      <c r="CM17" s="346"/>
      <c r="CN17" s="346"/>
      <c r="CO17" s="260">
        <f t="shared" si="46"/>
        <v>78</v>
      </c>
      <c r="CP17" s="260">
        <f t="shared" si="47"/>
        <v>87.5</v>
      </c>
      <c r="CQ17" s="260">
        <f t="shared" si="48"/>
        <v>80.5</v>
      </c>
      <c r="CR17" s="260" t="str">
        <f t="shared" si="49"/>
        <v xml:space="preserve"> </v>
      </c>
      <c r="CS17" s="260" t="str">
        <f t="shared" si="50"/>
        <v xml:space="preserve"> </v>
      </c>
      <c r="CT17" s="260" t="str">
        <f t="shared" si="39"/>
        <v xml:space="preserve"> </v>
      </c>
      <c r="CU17" s="260" t="str">
        <f t="shared" si="39"/>
        <v xml:space="preserve"> </v>
      </c>
      <c r="CV17" s="260" t="str">
        <f t="shared" si="39"/>
        <v xml:space="preserve"> </v>
      </c>
      <c r="CW17" s="260" t="str">
        <f t="shared" si="39"/>
        <v xml:space="preserve"> </v>
      </c>
      <c r="CX17" s="547">
        <v>77</v>
      </c>
      <c r="CY17" s="547">
        <v>88</v>
      </c>
      <c r="CZ17" s="547"/>
      <c r="DA17" s="547"/>
      <c r="DB17" s="547"/>
      <c r="DC17" s="547"/>
      <c r="DD17" s="547"/>
      <c r="DE17" s="547"/>
      <c r="DF17" s="547"/>
      <c r="DG17" s="564">
        <v>75</v>
      </c>
      <c r="DH17" s="564">
        <v>81</v>
      </c>
      <c r="DI17" s="564">
        <v>79</v>
      </c>
      <c r="DJ17" s="564"/>
      <c r="DK17" s="564"/>
      <c r="DL17" s="564"/>
      <c r="DM17" s="564"/>
      <c r="DN17" s="564"/>
      <c r="DO17" s="564"/>
      <c r="DP17" s="549">
        <f t="shared" si="51"/>
        <v>81</v>
      </c>
      <c r="DQ17" s="291" t="str">
        <f t="shared" si="52"/>
        <v>C</v>
      </c>
      <c r="DR17" s="50" t="str">
        <f t="shared" si="53"/>
        <v xml:space="preserve">Ananda Shulhan baik dalam menganalisis bentuk bentuk interaksi manusia dengan lingkungan dan pengaruhnya terhadap pembangunan sosial, budaya, dan ekonomi masyarakat Indonesia., cukup dalam mengidentifikasi karakteristik geografis Indonesia sebagai negara kepulauan/maritim dan agraris serta pengaruhnya terhadap kehidupan ekonomi, sosial, budaya, komunikasi, serta transportasi. </v>
      </c>
      <c r="DS17" s="282"/>
      <c r="DT17" s="51"/>
      <c r="DU17" s="46">
        <f t="shared" si="54"/>
        <v>78</v>
      </c>
      <c r="DV17" s="46">
        <f t="shared" si="55"/>
        <v>87.5</v>
      </c>
      <c r="DW17" s="46">
        <f t="shared" si="56"/>
        <v>80.5</v>
      </c>
      <c r="DX17" s="46" t="str">
        <f t="shared" si="57"/>
        <v xml:space="preserve"> </v>
      </c>
      <c r="DY17" s="46" t="str">
        <f t="shared" si="58"/>
        <v xml:space="preserve"> </v>
      </c>
      <c r="DZ17" s="46" t="str">
        <f t="shared" si="59"/>
        <v xml:space="preserve"> </v>
      </c>
      <c r="EA17" s="46" t="str">
        <f t="shared" si="60"/>
        <v xml:space="preserve"> </v>
      </c>
      <c r="EB17" s="46" t="str">
        <f t="shared" si="61"/>
        <v xml:space="preserve"> </v>
      </c>
      <c r="EC17" s="46" t="str">
        <f t="shared" si="62"/>
        <v xml:space="preserve"> </v>
      </c>
      <c r="ED17" s="46"/>
      <c r="EE17" s="52">
        <f>[2]uts!J16</f>
        <v>70.666666666666671</v>
      </c>
      <c r="EF17" s="51"/>
      <c r="EG17" s="53">
        <f t="shared" si="63"/>
        <v>77</v>
      </c>
      <c r="EH17" s="53">
        <f t="shared" si="64"/>
        <v>86</v>
      </c>
      <c r="EI17" s="53">
        <f t="shared" si="65"/>
        <v>80</v>
      </c>
      <c r="EJ17" s="53" t="str">
        <f t="shared" si="66"/>
        <v xml:space="preserve">  </v>
      </c>
      <c r="EK17" s="53" t="str">
        <f t="shared" si="67"/>
        <v xml:space="preserve">  </v>
      </c>
      <c r="EL17" s="53" t="str">
        <f t="shared" si="68"/>
        <v xml:space="preserve">  </v>
      </c>
      <c r="EM17" s="53" t="str">
        <f t="shared" si="69"/>
        <v xml:space="preserve">  </v>
      </c>
      <c r="EN17" s="53" t="str">
        <f t="shared" si="70"/>
        <v xml:space="preserve">  </v>
      </c>
      <c r="EO17" s="53" t="str">
        <f t="shared" si="71"/>
        <v xml:space="preserve">  </v>
      </c>
      <c r="EP17" s="53"/>
      <c r="EQ17" s="54">
        <f t="shared" si="72"/>
        <v>81</v>
      </c>
      <c r="ER17" s="55">
        <f t="shared" si="73"/>
        <v>86</v>
      </c>
      <c r="ES17" s="55">
        <f t="shared" si="74"/>
        <v>77</v>
      </c>
      <c r="ET17" s="51" t="str">
        <f>SISWA!E15</f>
        <v>Shulhan</v>
      </c>
      <c r="EU17" s="51" t="str">
        <f t="shared" si="75"/>
        <v xml:space="preserve">Ananda Shulhan </v>
      </c>
      <c r="EV17" s="56" t="str">
        <f t="shared" si="76"/>
        <v/>
      </c>
      <c r="EW17" s="57">
        <f t="shared" si="77"/>
        <v>86</v>
      </c>
      <c r="EX17" s="57" t="str">
        <f t="shared" si="78"/>
        <v/>
      </c>
      <c r="EY17" s="57" t="str">
        <f t="shared" si="79"/>
        <v/>
      </c>
      <c r="EZ17" s="57" t="str">
        <f t="shared" si="80"/>
        <v/>
      </c>
      <c r="FA17" s="57" t="str">
        <f t="shared" si="81"/>
        <v/>
      </c>
      <c r="FB17" s="57" t="str">
        <f t="shared" si="82"/>
        <v/>
      </c>
      <c r="FC17" s="57" t="str">
        <f t="shared" si="83"/>
        <v/>
      </c>
      <c r="FD17" s="57" t="str">
        <f t="shared" si="84"/>
        <v/>
      </c>
      <c r="FE17" s="57"/>
      <c r="FF17" s="58">
        <f t="shared" si="85"/>
        <v>86</v>
      </c>
      <c r="FG17" s="55" t="str">
        <f t="shared" si="86"/>
        <v>menganalisis bentuk bentuk interaksi manusia dengan lingkungan dan pengaruhnya terhadap pembangunan sosial, budaya, dan ekonomi masyarakat Indonesia.</v>
      </c>
      <c r="FH17" s="58"/>
      <c r="FI17" s="59" t="str">
        <f>IF(ER17&gt;100,"",IF(ER17&gt;DQ$1,"sangat baik dalam "&amp;FG17,IF(ER17&gt;=DQ$2,"baik dalam "&amp;FG17,IF(ER17&gt;=DQ$3,"cukup dalam "&amp;FG17,IF(ER17&lt;DQ$3,"dengan bimbingan dapat meningkatkan dalam "&amp;FG17,IF(ER17&lt;1," ",””))))))</f>
        <v>baik dalam menganalisis bentuk bentuk interaksi manusia dengan lingkungan dan pengaruhnya terhadap pembangunan sosial, budaya, dan ekonomi masyarakat Indonesia.</v>
      </c>
      <c r="FJ17" s="58"/>
      <c r="FK17" s="57">
        <f t="shared" si="87"/>
        <v>77</v>
      </c>
      <c r="FL17" s="57" t="str">
        <f t="shared" si="88"/>
        <v/>
      </c>
      <c r="FM17" s="57" t="str">
        <f t="shared" si="89"/>
        <v/>
      </c>
      <c r="FN17" s="57" t="str">
        <f t="shared" si="90"/>
        <v/>
      </c>
      <c r="FO17" s="57" t="str">
        <f t="shared" si="91"/>
        <v/>
      </c>
      <c r="FP17" s="57" t="str">
        <f t="shared" si="92"/>
        <v/>
      </c>
      <c r="FQ17" s="57" t="str">
        <f t="shared" si="93"/>
        <v/>
      </c>
      <c r="FR17" s="57" t="str">
        <f t="shared" si="94"/>
        <v/>
      </c>
      <c r="FS17" s="57" t="str">
        <f t="shared" si="95"/>
        <v/>
      </c>
      <c r="FT17" s="57"/>
      <c r="FU17" s="59" t="str">
        <f t="shared" si="96"/>
        <v xml:space="preserve">mengidentifikasi karakteristik geografis Indonesia sebagai negara kepulauan/maritim dan agraris serta pengaruhnya terhadap kehidupan ekonomi, sosial, budaya, komunikasi, serta transportasi. </v>
      </c>
      <c r="FV17" s="59" t="str">
        <f>IF(ES17&gt;100,"",IF(ES17&gt;DQ$1,"sangat baik dalam "&amp;FU17,IF(ES17&gt;=DQ$2,"baik dalam "&amp;FU17,IF(ES17&gt;=DQ$3,"cukup dalam "&amp;FU17,IF(ES17&lt;DQ$3,"dengan bimbingan dapat meningkatkan dalam "&amp;FU17,IF(ES17&lt;1," ",””))))))</f>
        <v xml:space="preserve">cukup dalam mengidentifikasi karakteristik geografis Indonesia sebagai negara kepulauan/maritim dan agraris serta pengaruhnya terhadap kehidupan ekonomi, sosial, budaya, komunikasi, serta transportasi. </v>
      </c>
      <c r="FW17" s="61"/>
      <c r="FX17" s="62" t="str">
        <f t="shared" si="97"/>
        <v xml:space="preserve">Ananda Shulhan baik dalam menganalisis bentuk bentuk interaksi manusia dengan lingkungan dan pengaruhnya terhadap pembangunan sosial, budaya, dan ekonomi masyarakat Indonesia., cukup dalam mengidentifikasi karakteristik geografis Indonesia sebagai negara kepulauan/maritim dan agraris serta pengaruhnya terhadap kehidupan ekonomi, sosial, budaya, komunikasi, serta transportasi. </v>
      </c>
      <c r="FY17" s="57" t="str">
        <f t="shared" si="98"/>
        <v/>
      </c>
      <c r="FZ17" s="57" t="str">
        <f t="shared" si="98"/>
        <v/>
      </c>
      <c r="GA17" s="57" t="str">
        <f t="shared" si="98"/>
        <v/>
      </c>
      <c r="GB17" s="57"/>
      <c r="GC17" s="57"/>
      <c r="GD17" s="57"/>
      <c r="GE17" s="59">
        <f t="shared" si="45"/>
        <v>0</v>
      </c>
      <c r="GF17" s="60"/>
      <c r="GG17" s="61"/>
      <c r="GH17" s="62" t="str">
        <f t="shared" si="99"/>
        <v>, 0</v>
      </c>
      <c r="GI17" s="4" t="str">
        <f t="shared" si="100"/>
        <v>Cukup pandai mengidentifikasi karakteristik geografis Indonesia sebagai negara kepulauan/maritim dan agraris serta pengaruhnya terhadap kehidupan ekonomi, sosial, budaya, komunikasi, serta transportasi.  Cukup pandai menganalisis bentuk bentuk interaksi manusia dengan lingkungan dan pengaruhnya terhadap pembangunan sosial, budaya, dan ekonomi masyarakat Indonesia. Menguasai dengan baik menganalisis peran ekonomi dalam upaya menyejahterakan kehidupan masyarakat di bidang sosial dan budaya untuk memperkuat kesatuan dan persatuan bangsa.       Cukup pandai 0</v>
      </c>
    </row>
    <row r="18" spans="1:191" ht="34.5" customHeight="1">
      <c r="A18" s="39">
        <v>11</v>
      </c>
      <c r="B18" s="283" t="str">
        <f>SISWA!B16</f>
        <v>Novaris Dwi Firmansyah</v>
      </c>
      <c r="C18" s="123">
        <v>75</v>
      </c>
      <c r="D18" s="123"/>
      <c r="E18" s="123"/>
      <c r="F18" s="123"/>
      <c r="G18" s="123"/>
      <c r="H18" s="123"/>
      <c r="I18" s="123"/>
      <c r="J18" s="123"/>
      <c r="K18" s="123"/>
      <c r="L18" s="256">
        <v>80</v>
      </c>
      <c r="M18" s="256"/>
      <c r="N18" s="256"/>
      <c r="O18" s="256"/>
      <c r="P18" s="256"/>
      <c r="Q18" s="256"/>
      <c r="R18" s="256"/>
      <c r="S18" s="256"/>
      <c r="T18" s="256"/>
      <c r="U18" s="123"/>
      <c r="V18" s="123"/>
      <c r="W18" s="123">
        <v>75</v>
      </c>
      <c r="X18" s="123"/>
      <c r="Y18" s="123"/>
      <c r="Z18" s="123"/>
      <c r="AA18" s="123"/>
      <c r="AB18" s="123"/>
      <c r="AC18" s="123"/>
      <c r="AD18" s="256"/>
      <c r="AE18" s="256"/>
      <c r="AF18" s="256">
        <v>93</v>
      </c>
      <c r="AG18" s="256"/>
      <c r="AH18" s="256"/>
      <c r="AI18" s="256"/>
      <c r="AJ18" s="256"/>
      <c r="AK18" s="256"/>
      <c r="AL18" s="256"/>
      <c r="AM18" s="123"/>
      <c r="AN18" s="123">
        <v>80</v>
      </c>
      <c r="AO18" s="123"/>
      <c r="AP18" s="123"/>
      <c r="AQ18" s="123"/>
      <c r="AR18" s="123"/>
      <c r="AS18" s="123"/>
      <c r="AT18" s="123"/>
      <c r="AU18" s="123"/>
      <c r="AV18" s="256"/>
      <c r="AW18" s="256">
        <v>87</v>
      </c>
      <c r="AX18" s="256"/>
      <c r="AY18" s="256"/>
      <c r="AZ18" s="256"/>
      <c r="BA18" s="256"/>
      <c r="BB18" s="256"/>
      <c r="BC18" s="256"/>
      <c r="BD18" s="256"/>
      <c r="BE18" s="123"/>
      <c r="BF18" s="123">
        <v>75</v>
      </c>
      <c r="BG18" s="123">
        <v>75</v>
      </c>
      <c r="BH18" s="123"/>
      <c r="BI18" s="123"/>
      <c r="BJ18" s="123"/>
      <c r="BK18" s="123"/>
      <c r="BL18" s="123"/>
      <c r="BM18" s="123"/>
      <c r="BN18" s="256"/>
      <c r="BO18" s="256">
        <v>87</v>
      </c>
      <c r="BP18" s="256">
        <v>80</v>
      </c>
      <c r="BQ18" s="256"/>
      <c r="BR18" s="256"/>
      <c r="BS18" s="256"/>
      <c r="BT18" s="256"/>
      <c r="BU18" s="256"/>
      <c r="BV18" s="256"/>
      <c r="BW18" s="460">
        <v>100</v>
      </c>
      <c r="BX18" s="460"/>
      <c r="BY18" s="460"/>
      <c r="BZ18" s="460"/>
      <c r="CA18" s="460"/>
      <c r="CB18" s="460"/>
      <c r="CC18" s="460"/>
      <c r="CD18" s="460"/>
      <c r="CE18" s="460"/>
      <c r="CF18" s="346">
        <v>75</v>
      </c>
      <c r="CG18" s="346"/>
      <c r="CH18" s="346"/>
      <c r="CI18" s="346"/>
      <c r="CJ18" s="346"/>
      <c r="CK18" s="346"/>
      <c r="CL18" s="346"/>
      <c r="CM18" s="346"/>
      <c r="CN18" s="346"/>
      <c r="CO18" s="260">
        <f t="shared" si="46"/>
        <v>82.5</v>
      </c>
      <c r="CP18" s="260">
        <f t="shared" si="47"/>
        <v>82.25</v>
      </c>
      <c r="CQ18" s="260">
        <f t="shared" si="48"/>
        <v>80.75</v>
      </c>
      <c r="CR18" s="260" t="str">
        <f t="shared" si="49"/>
        <v xml:space="preserve"> </v>
      </c>
      <c r="CS18" s="260" t="str">
        <f t="shared" si="50"/>
        <v xml:space="preserve"> </v>
      </c>
      <c r="CT18" s="260" t="str">
        <f t="shared" si="39"/>
        <v xml:space="preserve"> </v>
      </c>
      <c r="CU18" s="260" t="str">
        <f t="shared" si="39"/>
        <v xml:space="preserve"> </v>
      </c>
      <c r="CV18" s="260" t="str">
        <f t="shared" si="39"/>
        <v xml:space="preserve"> </v>
      </c>
      <c r="CW18" s="260" t="str">
        <f t="shared" si="39"/>
        <v xml:space="preserve"> </v>
      </c>
      <c r="CX18" s="547">
        <v>75</v>
      </c>
      <c r="CY18" s="547">
        <v>75</v>
      </c>
      <c r="CZ18" s="547"/>
      <c r="DA18" s="547"/>
      <c r="DB18" s="547"/>
      <c r="DC18" s="547"/>
      <c r="DD18" s="547"/>
      <c r="DE18" s="547"/>
      <c r="DF18" s="547"/>
      <c r="DG18" s="564">
        <v>75</v>
      </c>
      <c r="DH18" s="564">
        <v>78</v>
      </c>
      <c r="DI18" s="564">
        <v>75</v>
      </c>
      <c r="DJ18" s="564"/>
      <c r="DK18" s="564"/>
      <c r="DL18" s="564"/>
      <c r="DM18" s="564"/>
      <c r="DN18" s="564"/>
      <c r="DO18" s="564"/>
      <c r="DP18" s="549">
        <f t="shared" si="51"/>
        <v>79</v>
      </c>
      <c r="DQ18" s="291" t="str">
        <f t="shared" si="52"/>
        <v>C</v>
      </c>
      <c r="DR18" s="50" t="str">
        <f t="shared" si="53"/>
        <v xml:space="preserve">Ananda Varis cukup dalam menganalisis bentuk bentuk interaksi manusia dengan lingkungan dan pengaruhnya terhadap pembangunan sosial, budaya, dan ekonomi masyarakat Indonesia., cukup dalam mengidentifikasi karakteristik geografis Indonesia sebagai negara kepulauan/maritim dan agraris serta pengaruhnya terhadap kehidupan ekonomi, sosial, budaya, komunikasi, serta transportasi. </v>
      </c>
      <c r="DS18" s="282"/>
      <c r="DT18" s="51"/>
      <c r="DU18" s="46">
        <f t="shared" si="54"/>
        <v>82.5</v>
      </c>
      <c r="DV18" s="46">
        <f t="shared" si="55"/>
        <v>82.25</v>
      </c>
      <c r="DW18" s="46">
        <f t="shared" si="56"/>
        <v>80.75</v>
      </c>
      <c r="DX18" s="46" t="str">
        <f t="shared" si="57"/>
        <v xml:space="preserve"> </v>
      </c>
      <c r="DY18" s="46" t="str">
        <f t="shared" si="58"/>
        <v xml:space="preserve"> </v>
      </c>
      <c r="DZ18" s="46" t="str">
        <f t="shared" si="59"/>
        <v xml:space="preserve"> </v>
      </c>
      <c r="EA18" s="46" t="str">
        <f t="shared" si="60"/>
        <v xml:space="preserve"> </v>
      </c>
      <c r="EB18" s="46" t="str">
        <f t="shared" si="61"/>
        <v xml:space="preserve"> </v>
      </c>
      <c r="EC18" s="46" t="str">
        <f t="shared" si="62"/>
        <v xml:space="preserve"> </v>
      </c>
      <c r="ED18" s="46"/>
      <c r="EE18" s="52">
        <f>[2]uts!J17</f>
        <v>80.666666666666671</v>
      </c>
      <c r="EF18" s="51"/>
      <c r="EG18" s="53">
        <f t="shared" si="63"/>
        <v>78.75</v>
      </c>
      <c r="EH18" s="53">
        <f t="shared" si="64"/>
        <v>79.375</v>
      </c>
      <c r="EI18" s="53">
        <f t="shared" si="65"/>
        <v>78.833333333333329</v>
      </c>
      <c r="EJ18" s="53" t="str">
        <f t="shared" si="66"/>
        <v xml:space="preserve">  </v>
      </c>
      <c r="EK18" s="53" t="str">
        <f t="shared" si="67"/>
        <v xml:space="preserve">  </v>
      </c>
      <c r="EL18" s="53" t="str">
        <f t="shared" si="68"/>
        <v xml:space="preserve">  </v>
      </c>
      <c r="EM18" s="53" t="str">
        <f t="shared" si="69"/>
        <v xml:space="preserve">  </v>
      </c>
      <c r="EN18" s="53" t="str">
        <f t="shared" si="70"/>
        <v xml:space="preserve">  </v>
      </c>
      <c r="EO18" s="53" t="str">
        <f t="shared" si="71"/>
        <v xml:space="preserve">  </v>
      </c>
      <c r="EP18" s="53"/>
      <c r="EQ18" s="54">
        <f t="shared" si="72"/>
        <v>79</v>
      </c>
      <c r="ER18" s="55">
        <f t="shared" si="73"/>
        <v>79.375</v>
      </c>
      <c r="ES18" s="55">
        <f t="shared" si="74"/>
        <v>78.75</v>
      </c>
      <c r="ET18" s="51" t="str">
        <f>SISWA!E16</f>
        <v>Varis</v>
      </c>
      <c r="EU18" s="51" t="str">
        <f t="shared" si="75"/>
        <v xml:space="preserve">Ananda Varis </v>
      </c>
      <c r="EV18" s="56" t="str">
        <f t="shared" si="76"/>
        <v/>
      </c>
      <c r="EW18" s="57">
        <f t="shared" si="77"/>
        <v>79.375</v>
      </c>
      <c r="EX18" s="57" t="str">
        <f t="shared" si="78"/>
        <v/>
      </c>
      <c r="EY18" s="57" t="str">
        <f t="shared" si="79"/>
        <v/>
      </c>
      <c r="EZ18" s="57" t="str">
        <f t="shared" si="80"/>
        <v/>
      </c>
      <c r="FA18" s="57" t="str">
        <f t="shared" si="81"/>
        <v/>
      </c>
      <c r="FB18" s="57" t="str">
        <f t="shared" si="82"/>
        <v/>
      </c>
      <c r="FC18" s="57" t="str">
        <f t="shared" si="83"/>
        <v/>
      </c>
      <c r="FD18" s="57" t="str">
        <f t="shared" si="84"/>
        <v/>
      </c>
      <c r="FE18" s="57"/>
      <c r="FF18" s="58">
        <f t="shared" si="85"/>
        <v>79.375</v>
      </c>
      <c r="FG18" s="55" t="str">
        <f t="shared" si="86"/>
        <v>menganalisis bentuk bentuk interaksi manusia dengan lingkungan dan pengaruhnya terhadap pembangunan sosial, budaya, dan ekonomi masyarakat Indonesia.</v>
      </c>
      <c r="FH18" s="58"/>
      <c r="FI18" s="59" t="str">
        <f>IF(ER18&gt;100,"",IF(ER18&gt;DQ$1,"sangat baik dalam "&amp;FG18,IF(ER18&gt;=DQ$2,"baik dalam "&amp;FG18,IF(ER18&gt;=DQ$3,"cukup dalam "&amp;FG18,IF(ER18&lt;DQ$3,"dengan bimbingan dapat meningkatkan dalam "&amp;FG18,IF(ER18&lt;1," ",””))))))</f>
        <v>cukup dalam menganalisis bentuk bentuk interaksi manusia dengan lingkungan dan pengaruhnya terhadap pembangunan sosial, budaya, dan ekonomi masyarakat Indonesia.</v>
      </c>
      <c r="FJ18" s="58"/>
      <c r="FK18" s="57">
        <f t="shared" si="87"/>
        <v>78.75</v>
      </c>
      <c r="FL18" s="57" t="str">
        <f t="shared" si="88"/>
        <v/>
      </c>
      <c r="FM18" s="57" t="str">
        <f t="shared" si="89"/>
        <v/>
      </c>
      <c r="FN18" s="57" t="str">
        <f t="shared" si="90"/>
        <v/>
      </c>
      <c r="FO18" s="57" t="str">
        <f t="shared" si="91"/>
        <v/>
      </c>
      <c r="FP18" s="57" t="str">
        <f t="shared" si="92"/>
        <v/>
      </c>
      <c r="FQ18" s="57" t="str">
        <f t="shared" si="93"/>
        <v/>
      </c>
      <c r="FR18" s="57" t="str">
        <f t="shared" si="94"/>
        <v/>
      </c>
      <c r="FS18" s="57" t="str">
        <f t="shared" si="95"/>
        <v/>
      </c>
      <c r="FT18" s="57"/>
      <c r="FU18" s="59" t="str">
        <f t="shared" si="96"/>
        <v xml:space="preserve">mengidentifikasi karakteristik geografis Indonesia sebagai negara kepulauan/maritim dan agraris serta pengaruhnya terhadap kehidupan ekonomi, sosial, budaya, komunikasi, serta transportasi. </v>
      </c>
      <c r="FV18" s="59" t="str">
        <f>IF(ES18&gt;100,"",IF(ES18&gt;DQ$1,"sangat baik dalam "&amp;FU18,IF(ES18&gt;=DQ$2,"baik dalam "&amp;FU18,IF(ES18&gt;=DQ$3,"cukup dalam "&amp;FU18,IF(ES18&lt;DQ$3,"dengan bimbingan dapat meningkatkan dalam "&amp;FU18,IF(ES18&lt;1," ",””))))))</f>
        <v xml:space="preserve">cukup dalam mengidentifikasi karakteristik geografis Indonesia sebagai negara kepulauan/maritim dan agraris serta pengaruhnya terhadap kehidupan ekonomi, sosial, budaya, komunikasi, serta transportasi. </v>
      </c>
      <c r="FW18" s="61"/>
      <c r="FX18" s="62" t="str">
        <f t="shared" si="97"/>
        <v xml:space="preserve">Ananda Varis cukup dalam menganalisis bentuk bentuk interaksi manusia dengan lingkungan dan pengaruhnya terhadap pembangunan sosial, budaya, dan ekonomi masyarakat Indonesia., cukup dalam mengidentifikasi karakteristik geografis Indonesia sebagai negara kepulauan/maritim dan agraris serta pengaruhnya terhadap kehidupan ekonomi, sosial, budaya, komunikasi, serta transportasi. </v>
      </c>
      <c r="FY18" s="57" t="str">
        <f t="shared" si="98"/>
        <v/>
      </c>
      <c r="FZ18" s="57" t="str">
        <f t="shared" si="98"/>
        <v/>
      </c>
      <c r="GA18" s="57" t="str">
        <f t="shared" si="98"/>
        <v/>
      </c>
      <c r="GB18" s="57"/>
      <c r="GC18" s="57"/>
      <c r="GD18" s="57"/>
      <c r="GE18" s="59">
        <f t="shared" si="45"/>
        <v>0</v>
      </c>
      <c r="GF18" s="60"/>
      <c r="GG18" s="61"/>
      <c r="GH18" s="62" t="str">
        <f t="shared" si="99"/>
        <v>, 0</v>
      </c>
      <c r="GI18" s="4" t="str">
        <f t="shared" si="100"/>
        <v>Menguasai dengan baik mengidentifikasi karakteristik geografis Indonesia sebagai negara kepulauan/maritim dan agraris serta pengaruhnya terhadap kehidupan ekonomi, sosial, budaya, komunikasi, serta transportasi.  Cukup pandai menganalisis bentuk bentuk interaksi manusia dengan lingkungan dan pengaruhnya terhadap pembangunan sosial, budaya, dan ekonomi masyarakat Indonesia. Menguasai dengan baik menganalisis peran ekonomi dalam upaya menyejahterakan kehidupan masyarakat di bidang sosial dan budaya untuk memperkuat kesatuan dan persatuan bangsa.       Cukup pandai 0</v>
      </c>
    </row>
    <row r="19" spans="1:191" ht="34.5" customHeight="1">
      <c r="A19" s="39">
        <v>12</v>
      </c>
      <c r="B19" s="283" t="str">
        <f>SISWA!B17</f>
        <v>Oktafiya Duwi Safitri</v>
      </c>
      <c r="C19" s="123">
        <v>75</v>
      </c>
      <c r="D19" s="123"/>
      <c r="E19" s="123"/>
      <c r="F19" s="123"/>
      <c r="G19" s="123"/>
      <c r="H19" s="123"/>
      <c r="I19" s="123"/>
      <c r="J19" s="123"/>
      <c r="K19" s="123"/>
      <c r="L19" s="256">
        <v>75</v>
      </c>
      <c r="M19" s="256"/>
      <c r="N19" s="256"/>
      <c r="O19" s="256"/>
      <c r="P19" s="256"/>
      <c r="Q19" s="256"/>
      <c r="R19" s="256"/>
      <c r="S19" s="256"/>
      <c r="T19" s="256"/>
      <c r="U19" s="123"/>
      <c r="V19" s="123"/>
      <c r="W19" s="123">
        <v>80</v>
      </c>
      <c r="X19" s="123"/>
      <c r="Y19" s="123"/>
      <c r="Z19" s="123"/>
      <c r="AA19" s="123"/>
      <c r="AB19" s="123"/>
      <c r="AC19" s="123"/>
      <c r="AD19" s="256"/>
      <c r="AE19" s="256"/>
      <c r="AF19" s="256">
        <v>75</v>
      </c>
      <c r="AG19" s="256"/>
      <c r="AH19" s="256"/>
      <c r="AI19" s="256"/>
      <c r="AJ19" s="256"/>
      <c r="AK19" s="256"/>
      <c r="AL19" s="256"/>
      <c r="AM19" s="123"/>
      <c r="AN19" s="123">
        <v>75</v>
      </c>
      <c r="AO19" s="123"/>
      <c r="AP19" s="123"/>
      <c r="AQ19" s="123"/>
      <c r="AR19" s="123"/>
      <c r="AS19" s="123"/>
      <c r="AT19" s="123"/>
      <c r="AU19" s="123"/>
      <c r="AV19" s="256"/>
      <c r="AW19" s="256">
        <v>75</v>
      </c>
      <c r="AX19" s="256"/>
      <c r="AY19" s="256"/>
      <c r="AZ19" s="256"/>
      <c r="BA19" s="256"/>
      <c r="BB19" s="256"/>
      <c r="BC19" s="256"/>
      <c r="BD19" s="256"/>
      <c r="BE19" s="123"/>
      <c r="BF19" s="123">
        <v>75</v>
      </c>
      <c r="BG19" s="123">
        <v>75</v>
      </c>
      <c r="BH19" s="123"/>
      <c r="BI19" s="123"/>
      <c r="BJ19" s="123"/>
      <c r="BK19" s="123"/>
      <c r="BL19" s="123"/>
      <c r="BM19" s="123"/>
      <c r="BN19" s="256"/>
      <c r="BO19" s="256">
        <v>75</v>
      </c>
      <c r="BP19" s="256">
        <v>75</v>
      </c>
      <c r="BQ19" s="256"/>
      <c r="BR19" s="256"/>
      <c r="BS19" s="256"/>
      <c r="BT19" s="256"/>
      <c r="BU19" s="256"/>
      <c r="BV19" s="256"/>
      <c r="BW19" s="460">
        <v>75</v>
      </c>
      <c r="BX19" s="460"/>
      <c r="BY19" s="460"/>
      <c r="BZ19" s="460"/>
      <c r="CA19" s="460"/>
      <c r="CB19" s="460"/>
      <c r="CC19" s="460"/>
      <c r="CD19" s="460"/>
      <c r="CE19" s="460"/>
      <c r="CF19" s="346">
        <v>75</v>
      </c>
      <c r="CG19" s="346"/>
      <c r="CH19" s="346"/>
      <c r="CI19" s="346"/>
      <c r="CJ19" s="346"/>
      <c r="CK19" s="346"/>
      <c r="CL19" s="346"/>
      <c r="CM19" s="346"/>
      <c r="CN19" s="346"/>
      <c r="CO19" s="260">
        <f t="shared" si="46"/>
        <v>75</v>
      </c>
      <c r="CP19" s="260">
        <f t="shared" si="47"/>
        <v>75</v>
      </c>
      <c r="CQ19" s="260">
        <f t="shared" si="48"/>
        <v>76.25</v>
      </c>
      <c r="CR19" s="260" t="str">
        <f t="shared" si="49"/>
        <v xml:space="preserve"> </v>
      </c>
      <c r="CS19" s="260" t="str">
        <f t="shared" si="50"/>
        <v xml:space="preserve"> </v>
      </c>
      <c r="CT19" s="260" t="str">
        <f t="shared" si="39"/>
        <v xml:space="preserve"> </v>
      </c>
      <c r="CU19" s="260" t="str">
        <f t="shared" si="39"/>
        <v xml:space="preserve"> </v>
      </c>
      <c r="CV19" s="260" t="str">
        <f t="shared" si="39"/>
        <v xml:space="preserve"> </v>
      </c>
      <c r="CW19" s="260" t="str">
        <f t="shared" si="39"/>
        <v xml:space="preserve"> </v>
      </c>
      <c r="CX19" s="547">
        <v>75</v>
      </c>
      <c r="CY19" s="547">
        <v>75</v>
      </c>
      <c r="CZ19" s="547"/>
      <c r="DA19" s="547"/>
      <c r="DB19" s="547"/>
      <c r="DC19" s="547"/>
      <c r="DD19" s="547"/>
      <c r="DE19" s="547"/>
      <c r="DF19" s="547"/>
      <c r="DG19" s="564">
        <v>75</v>
      </c>
      <c r="DH19" s="564">
        <v>75</v>
      </c>
      <c r="DI19" s="564">
        <v>75</v>
      </c>
      <c r="DJ19" s="564"/>
      <c r="DK19" s="564"/>
      <c r="DL19" s="564"/>
      <c r="DM19" s="564"/>
      <c r="DN19" s="564"/>
      <c r="DO19" s="564"/>
      <c r="DP19" s="549">
        <f t="shared" si="51"/>
        <v>75</v>
      </c>
      <c r="DQ19" s="291" t="str">
        <f t="shared" si="52"/>
        <v>C</v>
      </c>
      <c r="DR19" s="50" t="str">
        <f t="shared" si="53"/>
        <v>Ananda Fitri cukup dalam menganalisis peran ekonomi dalam upaya menyejahterakan kehidupan masyarakat di bidang sosial dan budaya untuk memperkuat kesatuan dan persatuan bangsa., cukup dalam menganalisis bentuk bentuk interaksi manusia dengan lingkungan dan pengaruhnya terhadap pembangunan sosial, budaya, dan ekonomi masyarakat Indonesia.</v>
      </c>
      <c r="DS19" s="282"/>
      <c r="DT19" s="51"/>
      <c r="DU19" s="46">
        <f t="shared" si="54"/>
        <v>75</v>
      </c>
      <c r="DV19" s="46">
        <f t="shared" si="55"/>
        <v>75</v>
      </c>
      <c r="DW19" s="46">
        <f t="shared" si="56"/>
        <v>76.25</v>
      </c>
      <c r="DX19" s="46" t="str">
        <f t="shared" si="57"/>
        <v xml:space="preserve"> </v>
      </c>
      <c r="DY19" s="46" t="str">
        <f t="shared" si="58"/>
        <v xml:space="preserve"> </v>
      </c>
      <c r="DZ19" s="46" t="str">
        <f t="shared" si="59"/>
        <v xml:space="preserve"> </v>
      </c>
      <c r="EA19" s="46" t="str">
        <f t="shared" si="60"/>
        <v xml:space="preserve"> </v>
      </c>
      <c r="EB19" s="46" t="str">
        <f t="shared" si="61"/>
        <v xml:space="preserve"> </v>
      </c>
      <c r="EC19" s="46" t="str">
        <f t="shared" si="62"/>
        <v xml:space="preserve"> </v>
      </c>
      <c r="ED19" s="46"/>
      <c r="EE19" s="52">
        <f>[2]uts!J18</f>
        <v>78.666666666666671</v>
      </c>
      <c r="EF19" s="51"/>
      <c r="EG19" s="53">
        <f t="shared" si="63"/>
        <v>75</v>
      </c>
      <c r="EH19" s="53">
        <f t="shared" si="64"/>
        <v>75</v>
      </c>
      <c r="EI19" s="53">
        <f t="shared" si="65"/>
        <v>75.833333333333329</v>
      </c>
      <c r="EJ19" s="53" t="str">
        <f t="shared" si="66"/>
        <v xml:space="preserve">  </v>
      </c>
      <c r="EK19" s="53" t="str">
        <f t="shared" si="67"/>
        <v xml:space="preserve">  </v>
      </c>
      <c r="EL19" s="53" t="str">
        <f t="shared" si="68"/>
        <v xml:space="preserve">  </v>
      </c>
      <c r="EM19" s="53" t="str">
        <f t="shared" si="69"/>
        <v xml:space="preserve">  </v>
      </c>
      <c r="EN19" s="53" t="str">
        <f t="shared" si="70"/>
        <v xml:space="preserve">  </v>
      </c>
      <c r="EO19" s="53" t="str">
        <f t="shared" si="71"/>
        <v xml:space="preserve">  </v>
      </c>
      <c r="EP19" s="53"/>
      <c r="EQ19" s="54">
        <f t="shared" si="72"/>
        <v>75</v>
      </c>
      <c r="ER19" s="55">
        <f t="shared" si="73"/>
        <v>75.833333333333329</v>
      </c>
      <c r="ES19" s="55">
        <f t="shared" si="74"/>
        <v>75</v>
      </c>
      <c r="ET19" s="51" t="str">
        <f>SISWA!E17</f>
        <v>Fitri</v>
      </c>
      <c r="EU19" s="51" t="str">
        <f t="shared" si="75"/>
        <v xml:space="preserve">Ananda Fitri </v>
      </c>
      <c r="EV19" s="56" t="str">
        <f t="shared" si="76"/>
        <v/>
      </c>
      <c r="EW19" s="57" t="str">
        <f t="shared" si="77"/>
        <v/>
      </c>
      <c r="EX19" s="57">
        <f t="shared" si="78"/>
        <v>75.833333333333329</v>
      </c>
      <c r="EY19" s="57" t="str">
        <f t="shared" si="79"/>
        <v/>
      </c>
      <c r="EZ19" s="57" t="str">
        <f t="shared" si="80"/>
        <v/>
      </c>
      <c r="FA19" s="57" t="str">
        <f t="shared" si="81"/>
        <v/>
      </c>
      <c r="FB19" s="57" t="str">
        <f t="shared" si="82"/>
        <v/>
      </c>
      <c r="FC19" s="57" t="str">
        <f t="shared" si="83"/>
        <v/>
      </c>
      <c r="FD19" s="57" t="str">
        <f t="shared" si="84"/>
        <v/>
      </c>
      <c r="FE19" s="57"/>
      <c r="FF19" s="58">
        <f t="shared" si="85"/>
        <v>75.833333333333329</v>
      </c>
      <c r="FG19" s="55" t="str">
        <f t="shared" si="86"/>
        <v>menganalisis peran ekonomi dalam upaya menyejahterakan kehidupan masyarakat di bidang sosial dan budaya untuk memperkuat kesatuan dan persatuan bangsa.</v>
      </c>
      <c r="FH19" s="58"/>
      <c r="FI19" s="59" t="str">
        <f>IF(ER19&gt;100,"",IF(ER19&gt;DQ$1,"sangat baik dalam "&amp;FG19,IF(ER19&gt;=DQ$2,"baik dalam "&amp;FG19,IF(ER19&gt;=DQ$3,"cukup dalam "&amp;FG19,IF(ER19&lt;DQ$3,"dengan bimbingan dapat meningkatkan dalam "&amp;FG19,IF(ER19&lt;1," ",””))))))</f>
        <v>cukup dalam menganalisis peran ekonomi dalam upaya menyejahterakan kehidupan masyarakat di bidang sosial dan budaya untuk memperkuat kesatuan dan persatuan bangsa.</v>
      </c>
      <c r="FJ19" s="58"/>
      <c r="FK19" s="57">
        <f t="shared" si="87"/>
        <v>75</v>
      </c>
      <c r="FL19" s="57">
        <f t="shared" si="88"/>
        <v>75</v>
      </c>
      <c r="FM19" s="57" t="str">
        <f t="shared" si="89"/>
        <v/>
      </c>
      <c r="FN19" s="57" t="str">
        <f t="shared" si="90"/>
        <v/>
      </c>
      <c r="FO19" s="57" t="str">
        <f t="shared" si="91"/>
        <v/>
      </c>
      <c r="FP19" s="57" t="str">
        <f t="shared" si="92"/>
        <v/>
      </c>
      <c r="FQ19" s="57" t="str">
        <f t="shared" si="93"/>
        <v/>
      </c>
      <c r="FR19" s="57" t="str">
        <f t="shared" si="94"/>
        <v/>
      </c>
      <c r="FS19" s="57" t="str">
        <f t="shared" si="95"/>
        <v/>
      </c>
      <c r="FT19" s="57"/>
      <c r="FU19" s="59" t="str">
        <f t="shared" si="96"/>
        <v>menganalisis bentuk bentuk interaksi manusia dengan lingkungan dan pengaruhnya terhadap pembangunan sosial, budaya, dan ekonomi masyarakat Indonesia.</v>
      </c>
      <c r="FV19" s="59" t="str">
        <f>IF(ES19&gt;100,"",IF(ES19&gt;DQ$1,"sangat baik dalam "&amp;FU19,IF(ES19&gt;=DQ$2,"baik dalam "&amp;FU19,IF(ES19&gt;=DQ$3,"cukup dalam "&amp;FU19,IF(ES19&lt;DQ$3,"dengan bimbingan dapat meningkatkan dalam "&amp;FU19,IF(ES19&lt;1," ",””))))))</f>
        <v>cukup dalam menganalisis bentuk bentuk interaksi manusia dengan lingkungan dan pengaruhnya terhadap pembangunan sosial, budaya, dan ekonomi masyarakat Indonesia.</v>
      </c>
      <c r="FW19" s="61"/>
      <c r="FX19" s="62" t="str">
        <f t="shared" si="97"/>
        <v>Ananda Fitri cukup dalam menganalisis peran ekonomi dalam upaya menyejahterakan kehidupan masyarakat di bidang sosial dan budaya untuk memperkuat kesatuan dan persatuan bangsa., cukup dalam menganalisis bentuk bentuk interaksi manusia dengan lingkungan dan pengaruhnya terhadap pembangunan sosial, budaya, dan ekonomi masyarakat Indonesia.</v>
      </c>
      <c r="FY19" s="57" t="str">
        <f t="shared" si="98"/>
        <v/>
      </c>
      <c r="FZ19" s="57" t="str">
        <f t="shared" si="98"/>
        <v/>
      </c>
      <c r="GA19" s="57" t="str">
        <f t="shared" si="98"/>
        <v/>
      </c>
      <c r="GB19" s="57"/>
      <c r="GC19" s="57"/>
      <c r="GD19" s="57"/>
      <c r="GE19" s="59">
        <f t="shared" si="45"/>
        <v>0</v>
      </c>
      <c r="GF19" s="60"/>
      <c r="GG19" s="61"/>
      <c r="GH19" s="62" t="str">
        <f t="shared" si="99"/>
        <v>, 0</v>
      </c>
      <c r="GI19" s="4" t="str">
        <f t="shared" si="100"/>
        <v xml:space="preserve">Menguasai dengan baik mengidentifikasi karakteristik geografis Indonesia sebagai negara kepulauan/maritim dan agraris serta pengaruhnya terhadap kehidupan ekonomi, sosial, budaya, komunikasi, serta transportasi.  Menguasai dengan baik menganalisis bentuk bentuk interaksi manusia dengan lingkungan dan pengaruhnya terhadap pembangunan sosial, budaya, dan ekonomi masyarakat Indonesia. Menguasai dengan baik menganalisis peran ekonomi dalam upaya menyejahterakan kehidupan masyarakat di bidang sosial dan budaya untuk memperkuat kesatuan dan persatuan bangsa.        </v>
      </c>
    </row>
    <row r="20" spans="1:191" ht="34.5" customHeight="1">
      <c r="A20" s="39">
        <v>13</v>
      </c>
      <c r="B20" s="283" t="str">
        <f>SISWA!B18</f>
        <v>Prastika Guntur Firmansyah</v>
      </c>
      <c r="C20" s="123">
        <v>75</v>
      </c>
      <c r="D20" s="123"/>
      <c r="E20" s="123"/>
      <c r="F20" s="123"/>
      <c r="G20" s="123"/>
      <c r="H20" s="123"/>
      <c r="I20" s="123"/>
      <c r="J20" s="123"/>
      <c r="K20" s="123"/>
      <c r="L20" s="256">
        <v>80</v>
      </c>
      <c r="M20" s="256"/>
      <c r="N20" s="256"/>
      <c r="O20" s="256"/>
      <c r="P20" s="256"/>
      <c r="Q20" s="256"/>
      <c r="R20" s="256"/>
      <c r="S20" s="256"/>
      <c r="T20" s="256"/>
      <c r="U20" s="123"/>
      <c r="V20" s="123"/>
      <c r="W20" s="123">
        <v>87</v>
      </c>
      <c r="X20" s="123"/>
      <c r="Y20" s="123"/>
      <c r="Z20" s="123"/>
      <c r="AA20" s="123"/>
      <c r="AB20" s="123"/>
      <c r="AC20" s="123"/>
      <c r="AD20" s="256"/>
      <c r="AE20" s="256"/>
      <c r="AF20" s="256">
        <v>93</v>
      </c>
      <c r="AG20" s="256"/>
      <c r="AH20" s="256"/>
      <c r="AI20" s="256"/>
      <c r="AJ20" s="256"/>
      <c r="AK20" s="256"/>
      <c r="AL20" s="256"/>
      <c r="AM20" s="123"/>
      <c r="AN20" s="123">
        <v>75</v>
      </c>
      <c r="AO20" s="123"/>
      <c r="AP20" s="123"/>
      <c r="AQ20" s="123"/>
      <c r="AR20" s="123"/>
      <c r="AS20" s="123"/>
      <c r="AT20" s="123"/>
      <c r="AU20" s="123"/>
      <c r="AV20" s="256"/>
      <c r="AW20" s="256">
        <v>87</v>
      </c>
      <c r="AX20" s="256"/>
      <c r="AY20" s="256"/>
      <c r="AZ20" s="256"/>
      <c r="BA20" s="256"/>
      <c r="BB20" s="256"/>
      <c r="BC20" s="256"/>
      <c r="BD20" s="256"/>
      <c r="BE20" s="123"/>
      <c r="BF20" s="123">
        <v>80</v>
      </c>
      <c r="BG20" s="123">
        <v>75</v>
      </c>
      <c r="BH20" s="123"/>
      <c r="BI20" s="123"/>
      <c r="BJ20" s="123"/>
      <c r="BK20" s="123"/>
      <c r="BL20" s="123"/>
      <c r="BM20" s="123"/>
      <c r="BN20" s="256"/>
      <c r="BO20" s="256">
        <v>80</v>
      </c>
      <c r="BP20" s="256">
        <v>75</v>
      </c>
      <c r="BQ20" s="256"/>
      <c r="BR20" s="256"/>
      <c r="BS20" s="256"/>
      <c r="BT20" s="256"/>
      <c r="BU20" s="256"/>
      <c r="BV20" s="256"/>
      <c r="BW20" s="460">
        <v>93</v>
      </c>
      <c r="BX20" s="460"/>
      <c r="BY20" s="460"/>
      <c r="BZ20" s="460"/>
      <c r="CA20" s="460"/>
      <c r="CB20" s="460"/>
      <c r="CC20" s="460"/>
      <c r="CD20" s="460"/>
      <c r="CE20" s="460"/>
      <c r="CF20" s="346">
        <v>93</v>
      </c>
      <c r="CG20" s="346"/>
      <c r="CH20" s="346"/>
      <c r="CI20" s="346"/>
      <c r="CJ20" s="346"/>
      <c r="CK20" s="346"/>
      <c r="CL20" s="346"/>
      <c r="CM20" s="346"/>
      <c r="CN20" s="346"/>
      <c r="CO20" s="260">
        <f t="shared" si="46"/>
        <v>85.25</v>
      </c>
      <c r="CP20" s="260">
        <f t="shared" si="47"/>
        <v>80.5</v>
      </c>
      <c r="CQ20" s="260">
        <f t="shared" si="48"/>
        <v>82.5</v>
      </c>
      <c r="CR20" s="260" t="str">
        <f t="shared" si="49"/>
        <v xml:space="preserve"> </v>
      </c>
      <c r="CS20" s="260" t="str">
        <f t="shared" si="50"/>
        <v xml:space="preserve"> </v>
      </c>
      <c r="CT20" s="260" t="str">
        <f t="shared" si="39"/>
        <v xml:space="preserve"> </v>
      </c>
      <c r="CU20" s="260" t="str">
        <f t="shared" si="39"/>
        <v xml:space="preserve"> </v>
      </c>
      <c r="CV20" s="260" t="str">
        <f t="shared" si="39"/>
        <v xml:space="preserve"> </v>
      </c>
      <c r="CW20" s="260" t="str">
        <f t="shared" si="39"/>
        <v xml:space="preserve"> </v>
      </c>
      <c r="CX20" s="547">
        <v>75</v>
      </c>
      <c r="CY20" s="547">
        <v>80</v>
      </c>
      <c r="CZ20" s="547"/>
      <c r="DA20" s="547"/>
      <c r="DB20" s="547"/>
      <c r="DC20" s="547"/>
      <c r="DD20" s="547"/>
      <c r="DE20" s="547"/>
      <c r="DF20" s="547"/>
      <c r="DG20" s="564">
        <v>78</v>
      </c>
      <c r="DH20" s="564">
        <v>82</v>
      </c>
      <c r="DI20" s="564">
        <v>81</v>
      </c>
      <c r="DJ20" s="564"/>
      <c r="DK20" s="564"/>
      <c r="DL20" s="564"/>
      <c r="DM20" s="564"/>
      <c r="DN20" s="564"/>
      <c r="DO20" s="564"/>
      <c r="DP20" s="549">
        <f t="shared" si="51"/>
        <v>81</v>
      </c>
      <c r="DQ20" s="291" t="str">
        <f t="shared" si="52"/>
        <v>C</v>
      </c>
      <c r="DR20" s="50" t="str">
        <f t="shared" si="53"/>
        <v>Ananda Pras cukup dalam menganalisis peran ekonomi dalam upaya menyejahterakan kehidupan masyarakat di bidang sosial dan budaya untuk memperkuat kesatuan dan persatuan bangsa., cukup dalam menganalisis bentuk bentuk interaksi manusia dengan lingkungan dan pengaruhnya terhadap pembangunan sosial, budaya, dan ekonomi masyarakat Indonesia.</v>
      </c>
      <c r="DS20" s="282"/>
      <c r="DT20" s="51"/>
      <c r="DU20" s="46">
        <f t="shared" si="54"/>
        <v>85.25</v>
      </c>
      <c r="DV20" s="46">
        <f t="shared" si="55"/>
        <v>80.5</v>
      </c>
      <c r="DW20" s="46">
        <f t="shared" si="56"/>
        <v>82.5</v>
      </c>
      <c r="DX20" s="46" t="str">
        <f t="shared" si="57"/>
        <v xml:space="preserve"> </v>
      </c>
      <c r="DY20" s="46" t="str">
        <f t="shared" si="58"/>
        <v xml:space="preserve"> </v>
      </c>
      <c r="DZ20" s="46" t="str">
        <f t="shared" si="59"/>
        <v xml:space="preserve"> </v>
      </c>
      <c r="EA20" s="46" t="str">
        <f t="shared" si="60"/>
        <v xml:space="preserve"> </v>
      </c>
      <c r="EB20" s="46" t="str">
        <f t="shared" si="61"/>
        <v xml:space="preserve"> </v>
      </c>
      <c r="EC20" s="46" t="str">
        <f t="shared" si="62"/>
        <v xml:space="preserve"> </v>
      </c>
      <c r="ED20" s="46"/>
      <c r="EE20" s="52">
        <f>[2]uts!J19</f>
        <v>72.333333333333329</v>
      </c>
      <c r="EF20" s="51"/>
      <c r="EG20" s="53">
        <f t="shared" si="63"/>
        <v>80.875</v>
      </c>
      <c r="EH20" s="53">
        <f t="shared" si="64"/>
        <v>80.75</v>
      </c>
      <c r="EI20" s="53">
        <f t="shared" si="65"/>
        <v>82</v>
      </c>
      <c r="EJ20" s="53" t="str">
        <f t="shared" si="66"/>
        <v xml:space="preserve">  </v>
      </c>
      <c r="EK20" s="53" t="str">
        <f t="shared" si="67"/>
        <v xml:space="preserve">  </v>
      </c>
      <c r="EL20" s="53" t="str">
        <f t="shared" si="68"/>
        <v xml:space="preserve">  </v>
      </c>
      <c r="EM20" s="53" t="str">
        <f t="shared" si="69"/>
        <v xml:space="preserve">  </v>
      </c>
      <c r="EN20" s="53" t="str">
        <f t="shared" si="70"/>
        <v xml:space="preserve">  </v>
      </c>
      <c r="EO20" s="53" t="str">
        <f t="shared" si="71"/>
        <v xml:space="preserve">  </v>
      </c>
      <c r="EP20" s="53"/>
      <c r="EQ20" s="54">
        <f t="shared" si="72"/>
        <v>81</v>
      </c>
      <c r="ER20" s="55">
        <f t="shared" si="73"/>
        <v>82</v>
      </c>
      <c r="ES20" s="55">
        <f t="shared" si="74"/>
        <v>80.75</v>
      </c>
      <c r="ET20" s="51" t="str">
        <f>SISWA!E18</f>
        <v>Pras</v>
      </c>
      <c r="EU20" s="51" t="str">
        <f t="shared" si="75"/>
        <v xml:space="preserve">Ananda Pras </v>
      </c>
      <c r="EV20" s="56" t="str">
        <f t="shared" si="76"/>
        <v/>
      </c>
      <c r="EW20" s="57" t="str">
        <f t="shared" si="77"/>
        <v/>
      </c>
      <c r="EX20" s="57">
        <f t="shared" si="78"/>
        <v>82</v>
      </c>
      <c r="EY20" s="57" t="str">
        <f t="shared" si="79"/>
        <v/>
      </c>
      <c r="EZ20" s="57" t="str">
        <f t="shared" si="80"/>
        <v/>
      </c>
      <c r="FA20" s="57" t="str">
        <f t="shared" si="81"/>
        <v/>
      </c>
      <c r="FB20" s="57" t="str">
        <f t="shared" si="82"/>
        <v/>
      </c>
      <c r="FC20" s="57" t="str">
        <f t="shared" si="83"/>
        <v/>
      </c>
      <c r="FD20" s="57" t="str">
        <f t="shared" si="84"/>
        <v/>
      </c>
      <c r="FE20" s="57"/>
      <c r="FF20" s="58">
        <f t="shared" si="85"/>
        <v>82</v>
      </c>
      <c r="FG20" s="55" t="str">
        <f t="shared" si="86"/>
        <v>menganalisis peran ekonomi dalam upaya menyejahterakan kehidupan masyarakat di bidang sosial dan budaya untuk memperkuat kesatuan dan persatuan bangsa.</v>
      </c>
      <c r="FH20" s="58"/>
      <c r="FI20" s="59" t="str">
        <f>IF(ER20&gt;100,"",IF(ER20&gt;DQ$1,"sangat baik dalam "&amp;FG20,IF(ER20&gt;=DQ$2,"baik dalam "&amp;FG20,IF(ER20&gt;=DQ$3,"cukup dalam "&amp;FG20,IF(ER20&lt;DQ$3,"dengan bimbingan dapat meningkatkan dalam "&amp;FG20,IF(ER20&lt;1," ",””))))))</f>
        <v>cukup dalam menganalisis peran ekonomi dalam upaya menyejahterakan kehidupan masyarakat di bidang sosial dan budaya untuk memperkuat kesatuan dan persatuan bangsa.</v>
      </c>
      <c r="FJ20" s="58"/>
      <c r="FK20" s="57" t="str">
        <f t="shared" si="87"/>
        <v/>
      </c>
      <c r="FL20" s="57">
        <f t="shared" si="88"/>
        <v>80.75</v>
      </c>
      <c r="FM20" s="57" t="str">
        <f t="shared" si="89"/>
        <v/>
      </c>
      <c r="FN20" s="57" t="str">
        <f t="shared" si="90"/>
        <v/>
      </c>
      <c r="FO20" s="57" t="str">
        <f t="shared" si="91"/>
        <v/>
      </c>
      <c r="FP20" s="57" t="str">
        <f t="shared" si="92"/>
        <v/>
      </c>
      <c r="FQ20" s="57" t="str">
        <f t="shared" si="93"/>
        <v/>
      </c>
      <c r="FR20" s="57" t="str">
        <f t="shared" si="94"/>
        <v/>
      </c>
      <c r="FS20" s="57" t="str">
        <f t="shared" si="95"/>
        <v/>
      </c>
      <c r="FT20" s="57"/>
      <c r="FU20" s="59" t="str">
        <f t="shared" si="96"/>
        <v>menganalisis bentuk bentuk interaksi manusia dengan lingkungan dan pengaruhnya terhadap pembangunan sosial, budaya, dan ekonomi masyarakat Indonesia.</v>
      </c>
      <c r="FV20" s="59" t="str">
        <f>IF(ES20&gt;100,"",IF(ES20&gt;DQ$1,"sangat baik dalam "&amp;FU20,IF(ES20&gt;=DQ$2,"baik dalam "&amp;FU20,IF(ES20&gt;=DQ$3,"cukup dalam "&amp;FU20,IF(ES20&lt;DQ$3,"dengan bimbingan dapat meningkatkan dalam "&amp;FU20,IF(ES20&lt;1," ",””))))))</f>
        <v>cukup dalam menganalisis bentuk bentuk interaksi manusia dengan lingkungan dan pengaruhnya terhadap pembangunan sosial, budaya, dan ekonomi masyarakat Indonesia.</v>
      </c>
      <c r="FW20" s="61"/>
      <c r="FX20" s="62" t="str">
        <f t="shared" si="97"/>
        <v>Ananda Pras cukup dalam menganalisis peran ekonomi dalam upaya menyejahterakan kehidupan masyarakat di bidang sosial dan budaya untuk memperkuat kesatuan dan persatuan bangsa., cukup dalam menganalisis bentuk bentuk interaksi manusia dengan lingkungan dan pengaruhnya terhadap pembangunan sosial, budaya, dan ekonomi masyarakat Indonesia.</v>
      </c>
      <c r="FY20" s="57" t="str">
        <f t="shared" si="98"/>
        <v/>
      </c>
      <c r="FZ20" s="57" t="str">
        <f t="shared" si="98"/>
        <v/>
      </c>
      <c r="GA20" s="57" t="str">
        <f t="shared" si="98"/>
        <v/>
      </c>
      <c r="GB20" s="57"/>
      <c r="GC20" s="57"/>
      <c r="GD20" s="57"/>
      <c r="GE20" s="59">
        <f t="shared" si="45"/>
        <v>0</v>
      </c>
      <c r="GF20" s="60"/>
      <c r="GG20" s="61"/>
      <c r="GH20" s="62" t="str">
        <f t="shared" si="99"/>
        <v>, 0</v>
      </c>
      <c r="GI20" s="4" t="str">
        <f t="shared" si="100"/>
        <v xml:space="preserve">Cukup pandai mengidentifikasi karakteristik geografis Indonesia sebagai negara kepulauan/maritim dan agraris serta pengaruhnya terhadap kehidupan ekonomi, sosial, budaya, komunikasi, serta transportasi.  Cukup pandai menganalisis bentuk bentuk interaksi manusia dengan lingkungan dan pengaruhnya terhadap pembangunan sosial, budaya, dan ekonomi masyarakat Indonesia. cukup pandai menganalisis peran ekonomi dalam upaya menyejahterakan kehidupan masyarakat di bidang sosial dan budaya untuk memperkuat kesatuan dan persatuan bangsa.        </v>
      </c>
    </row>
    <row r="21" spans="1:191" ht="34.5" customHeight="1">
      <c r="A21" s="39">
        <v>14</v>
      </c>
      <c r="B21" s="283" t="str">
        <f>SISWA!B19</f>
        <v>Siti Musyafiani</v>
      </c>
      <c r="C21" s="123">
        <v>75</v>
      </c>
      <c r="D21" s="123"/>
      <c r="E21" s="123"/>
      <c r="F21" s="123"/>
      <c r="G21" s="123"/>
      <c r="H21" s="123"/>
      <c r="I21" s="123"/>
      <c r="J21" s="123"/>
      <c r="K21" s="123"/>
      <c r="L21" s="256">
        <v>75</v>
      </c>
      <c r="M21" s="256"/>
      <c r="N21" s="256"/>
      <c r="O21" s="256"/>
      <c r="P21" s="256"/>
      <c r="Q21" s="256"/>
      <c r="R21" s="256"/>
      <c r="S21" s="256"/>
      <c r="T21" s="256"/>
      <c r="U21" s="123"/>
      <c r="V21" s="123"/>
      <c r="W21" s="123">
        <v>75</v>
      </c>
      <c r="X21" s="123"/>
      <c r="Y21" s="123"/>
      <c r="Z21" s="123"/>
      <c r="AA21" s="123"/>
      <c r="AB21" s="123"/>
      <c r="AC21" s="123"/>
      <c r="AD21" s="256"/>
      <c r="AE21" s="256"/>
      <c r="AF21" s="256">
        <v>87</v>
      </c>
      <c r="AG21" s="256"/>
      <c r="AH21" s="256"/>
      <c r="AI21" s="256"/>
      <c r="AJ21" s="256"/>
      <c r="AK21" s="256"/>
      <c r="AL21" s="256"/>
      <c r="AM21" s="123"/>
      <c r="AN21" s="123">
        <v>80</v>
      </c>
      <c r="AO21" s="123"/>
      <c r="AP21" s="123"/>
      <c r="AQ21" s="123"/>
      <c r="AR21" s="123"/>
      <c r="AS21" s="123"/>
      <c r="AT21" s="123"/>
      <c r="AU21" s="123"/>
      <c r="AV21" s="256"/>
      <c r="AW21" s="256">
        <v>75</v>
      </c>
      <c r="AX21" s="256"/>
      <c r="AY21" s="256"/>
      <c r="AZ21" s="256"/>
      <c r="BA21" s="256"/>
      <c r="BB21" s="256"/>
      <c r="BC21" s="256"/>
      <c r="BD21" s="256"/>
      <c r="BE21" s="123"/>
      <c r="BF21" s="123">
        <v>75</v>
      </c>
      <c r="BG21" s="123">
        <v>75</v>
      </c>
      <c r="BH21" s="123"/>
      <c r="BI21" s="123"/>
      <c r="BJ21" s="123"/>
      <c r="BK21" s="123"/>
      <c r="BL21" s="123"/>
      <c r="BM21" s="123"/>
      <c r="BN21" s="256"/>
      <c r="BO21" s="256">
        <v>93</v>
      </c>
      <c r="BP21" s="256">
        <v>75</v>
      </c>
      <c r="BQ21" s="256"/>
      <c r="BR21" s="256"/>
      <c r="BS21" s="256"/>
      <c r="BT21" s="256"/>
      <c r="BU21" s="256"/>
      <c r="BV21" s="256"/>
      <c r="BW21" s="460">
        <v>75</v>
      </c>
      <c r="BX21" s="460"/>
      <c r="BY21" s="460"/>
      <c r="BZ21" s="460"/>
      <c r="CA21" s="460"/>
      <c r="CB21" s="460"/>
      <c r="CC21" s="460"/>
      <c r="CD21" s="460"/>
      <c r="CE21" s="460"/>
      <c r="CF21" s="346">
        <v>75</v>
      </c>
      <c r="CG21" s="346"/>
      <c r="CH21" s="346"/>
      <c r="CI21" s="346"/>
      <c r="CJ21" s="346"/>
      <c r="CK21" s="346"/>
      <c r="CL21" s="346"/>
      <c r="CM21" s="346"/>
      <c r="CN21" s="346"/>
      <c r="CO21" s="260">
        <f t="shared" si="46"/>
        <v>75</v>
      </c>
      <c r="CP21" s="260">
        <f t="shared" si="47"/>
        <v>80.75</v>
      </c>
      <c r="CQ21" s="260">
        <f t="shared" si="48"/>
        <v>78</v>
      </c>
      <c r="CR21" s="260" t="str">
        <f t="shared" si="49"/>
        <v xml:space="preserve"> </v>
      </c>
      <c r="CS21" s="260" t="str">
        <f t="shared" si="50"/>
        <v xml:space="preserve"> </v>
      </c>
      <c r="CT21" s="260" t="str">
        <f t="shared" si="39"/>
        <v xml:space="preserve"> </v>
      </c>
      <c r="CU21" s="260" t="str">
        <f t="shared" si="39"/>
        <v xml:space="preserve"> </v>
      </c>
      <c r="CV21" s="260" t="str">
        <f t="shared" si="39"/>
        <v xml:space="preserve"> </v>
      </c>
      <c r="CW21" s="260" t="str">
        <f t="shared" si="39"/>
        <v xml:space="preserve"> </v>
      </c>
      <c r="CX21" s="547">
        <v>75</v>
      </c>
      <c r="CY21" s="547">
        <v>75</v>
      </c>
      <c r="CZ21" s="547"/>
      <c r="DA21" s="547"/>
      <c r="DB21" s="547"/>
      <c r="DC21" s="547"/>
      <c r="DD21" s="547"/>
      <c r="DE21" s="547"/>
      <c r="DF21" s="547"/>
      <c r="DG21" s="564">
        <v>75</v>
      </c>
      <c r="DH21" s="564">
        <v>78</v>
      </c>
      <c r="DI21" s="564">
        <v>75</v>
      </c>
      <c r="DJ21" s="564"/>
      <c r="DK21" s="564"/>
      <c r="DL21" s="564"/>
      <c r="DM21" s="564"/>
      <c r="DN21" s="564"/>
      <c r="DO21" s="564"/>
      <c r="DP21" s="549">
        <f t="shared" si="51"/>
        <v>77</v>
      </c>
      <c r="DQ21" s="291" t="str">
        <f t="shared" si="52"/>
        <v>C</v>
      </c>
      <c r="DR21" s="50" t="str">
        <f t="shared" si="53"/>
        <v xml:space="preserve">Ananda Fifi cukup dalam menganalisis bentuk bentuk interaksi manusia dengan lingkungan dan pengaruhnya terhadap pembangunan sosial, budaya, dan ekonomi masyarakat Indonesia., cukup dalam mengidentifikasi karakteristik geografis Indonesia sebagai negara kepulauan/maritim dan agraris serta pengaruhnya terhadap kehidupan ekonomi, sosial, budaya, komunikasi, serta transportasi. </v>
      </c>
      <c r="DS21" s="282"/>
      <c r="DT21" s="51"/>
      <c r="DU21" s="46">
        <f t="shared" si="54"/>
        <v>75</v>
      </c>
      <c r="DV21" s="46">
        <f t="shared" si="55"/>
        <v>80.75</v>
      </c>
      <c r="DW21" s="46">
        <f t="shared" si="56"/>
        <v>78</v>
      </c>
      <c r="DX21" s="46" t="str">
        <f t="shared" si="57"/>
        <v xml:space="preserve"> </v>
      </c>
      <c r="DY21" s="46" t="str">
        <f t="shared" si="58"/>
        <v xml:space="preserve"> </v>
      </c>
      <c r="DZ21" s="46" t="str">
        <f t="shared" si="59"/>
        <v xml:space="preserve"> </v>
      </c>
      <c r="EA21" s="46" t="str">
        <f t="shared" si="60"/>
        <v xml:space="preserve"> </v>
      </c>
      <c r="EB21" s="46" t="str">
        <f t="shared" si="61"/>
        <v xml:space="preserve"> </v>
      </c>
      <c r="EC21" s="46" t="str">
        <f t="shared" si="62"/>
        <v xml:space="preserve"> </v>
      </c>
      <c r="ED21" s="46"/>
      <c r="EE21" s="52">
        <f>[2]uts!J20</f>
        <v>75.333333333333329</v>
      </c>
      <c r="EF21" s="51"/>
      <c r="EG21" s="53">
        <f t="shared" si="63"/>
        <v>75</v>
      </c>
      <c r="EH21" s="53">
        <f t="shared" si="64"/>
        <v>78.625</v>
      </c>
      <c r="EI21" s="53">
        <f t="shared" si="65"/>
        <v>77</v>
      </c>
      <c r="EJ21" s="53" t="str">
        <f t="shared" si="66"/>
        <v xml:space="preserve">  </v>
      </c>
      <c r="EK21" s="53" t="str">
        <f t="shared" si="67"/>
        <v xml:space="preserve">  </v>
      </c>
      <c r="EL21" s="53" t="str">
        <f t="shared" si="68"/>
        <v xml:space="preserve">  </v>
      </c>
      <c r="EM21" s="53" t="str">
        <f t="shared" si="69"/>
        <v xml:space="preserve">  </v>
      </c>
      <c r="EN21" s="53" t="str">
        <f t="shared" si="70"/>
        <v xml:space="preserve">  </v>
      </c>
      <c r="EO21" s="53" t="str">
        <f t="shared" si="71"/>
        <v xml:space="preserve">  </v>
      </c>
      <c r="EP21" s="53"/>
      <c r="EQ21" s="54">
        <f t="shared" si="72"/>
        <v>77</v>
      </c>
      <c r="ER21" s="55">
        <f t="shared" si="73"/>
        <v>78.625</v>
      </c>
      <c r="ES21" s="55">
        <f t="shared" si="74"/>
        <v>75</v>
      </c>
      <c r="ET21" s="51" t="str">
        <f>SISWA!E19</f>
        <v>Fifi</v>
      </c>
      <c r="EU21" s="51" t="str">
        <f t="shared" si="75"/>
        <v xml:space="preserve">Ananda Fifi </v>
      </c>
      <c r="EV21" s="56" t="str">
        <f t="shared" si="76"/>
        <v/>
      </c>
      <c r="EW21" s="57">
        <f t="shared" si="77"/>
        <v>78.625</v>
      </c>
      <c r="EX21" s="57" t="str">
        <f t="shared" si="78"/>
        <v/>
      </c>
      <c r="EY21" s="57" t="str">
        <f t="shared" si="79"/>
        <v/>
      </c>
      <c r="EZ21" s="57" t="str">
        <f t="shared" si="80"/>
        <v/>
      </c>
      <c r="FA21" s="57" t="str">
        <f t="shared" si="81"/>
        <v/>
      </c>
      <c r="FB21" s="57" t="str">
        <f t="shared" si="82"/>
        <v/>
      </c>
      <c r="FC21" s="57" t="str">
        <f t="shared" si="83"/>
        <v/>
      </c>
      <c r="FD21" s="57" t="str">
        <f t="shared" si="84"/>
        <v/>
      </c>
      <c r="FE21" s="57"/>
      <c r="FF21" s="58">
        <f t="shared" si="85"/>
        <v>78.625</v>
      </c>
      <c r="FG21" s="55" t="str">
        <f t="shared" si="86"/>
        <v>menganalisis bentuk bentuk interaksi manusia dengan lingkungan dan pengaruhnya terhadap pembangunan sosial, budaya, dan ekonomi masyarakat Indonesia.</v>
      </c>
      <c r="FH21" s="58"/>
      <c r="FI21" s="59" t="str">
        <f>IF(ER21&gt;100,"",IF(ER21&gt;DQ$1,"sangat baik dalam "&amp;FG21,IF(ER21&gt;=DQ$2,"baik dalam "&amp;FG21,IF(ER21&gt;=DQ$3,"cukup dalam "&amp;FG21,IF(ER21&lt;DQ$3,"dengan bimbingan dapat meningkatkan dalam "&amp;FG21,IF(ER21&lt;1," ",””))))))</f>
        <v>cukup dalam menganalisis bentuk bentuk interaksi manusia dengan lingkungan dan pengaruhnya terhadap pembangunan sosial, budaya, dan ekonomi masyarakat Indonesia.</v>
      </c>
      <c r="FJ21" s="58"/>
      <c r="FK21" s="57">
        <f t="shared" si="87"/>
        <v>75</v>
      </c>
      <c r="FL21" s="57" t="str">
        <f t="shared" si="88"/>
        <v/>
      </c>
      <c r="FM21" s="57" t="str">
        <f t="shared" si="89"/>
        <v/>
      </c>
      <c r="FN21" s="57" t="str">
        <f t="shared" si="90"/>
        <v/>
      </c>
      <c r="FO21" s="57" t="str">
        <f t="shared" si="91"/>
        <v/>
      </c>
      <c r="FP21" s="57" t="str">
        <f t="shared" si="92"/>
        <v/>
      </c>
      <c r="FQ21" s="57" t="str">
        <f t="shared" si="93"/>
        <v/>
      </c>
      <c r="FR21" s="57" t="str">
        <f t="shared" si="94"/>
        <v/>
      </c>
      <c r="FS21" s="57" t="str">
        <f t="shared" si="95"/>
        <v/>
      </c>
      <c r="FT21" s="57"/>
      <c r="FU21" s="59" t="str">
        <f t="shared" si="96"/>
        <v xml:space="preserve">mengidentifikasi karakteristik geografis Indonesia sebagai negara kepulauan/maritim dan agraris serta pengaruhnya terhadap kehidupan ekonomi, sosial, budaya, komunikasi, serta transportasi. </v>
      </c>
      <c r="FV21" s="59" t="str">
        <f>IF(ES21&gt;100,"",IF(ES21&gt;DQ$1,"sangat baik dalam "&amp;FU21,IF(ES21&gt;=DQ$2,"baik dalam "&amp;FU21,IF(ES21&gt;=DQ$3,"cukup dalam "&amp;FU21,IF(ES21&lt;DQ$3,"dengan bimbingan dapat meningkatkan dalam "&amp;FU21,IF(ES21&lt;1," ",””))))))</f>
        <v xml:space="preserve">cukup dalam mengidentifikasi karakteristik geografis Indonesia sebagai negara kepulauan/maritim dan agraris serta pengaruhnya terhadap kehidupan ekonomi, sosial, budaya, komunikasi, serta transportasi. </v>
      </c>
      <c r="FW21" s="61"/>
      <c r="FX21" s="62" t="str">
        <f t="shared" si="97"/>
        <v xml:space="preserve">Ananda Fifi cukup dalam menganalisis bentuk bentuk interaksi manusia dengan lingkungan dan pengaruhnya terhadap pembangunan sosial, budaya, dan ekonomi masyarakat Indonesia., cukup dalam mengidentifikasi karakteristik geografis Indonesia sebagai negara kepulauan/maritim dan agraris serta pengaruhnya terhadap kehidupan ekonomi, sosial, budaya, komunikasi, serta transportasi. </v>
      </c>
      <c r="FY21" s="57" t="str">
        <f t="shared" si="98"/>
        <v/>
      </c>
      <c r="FZ21" s="57" t="str">
        <f t="shared" si="98"/>
        <v/>
      </c>
      <c r="GA21" s="57" t="str">
        <f t="shared" si="98"/>
        <v/>
      </c>
      <c r="GB21" s="57"/>
      <c r="GC21" s="57"/>
      <c r="GD21" s="57"/>
      <c r="GE21" s="59">
        <f t="shared" si="45"/>
        <v>0</v>
      </c>
      <c r="GF21" s="60"/>
      <c r="GG21" s="61"/>
      <c r="GH21" s="62" t="str">
        <f t="shared" si="99"/>
        <v>, 0</v>
      </c>
      <c r="GI21" s="4" t="str">
        <f t="shared" si="100"/>
        <v>Menguasai dengan baik mengidentifikasi karakteristik geografis Indonesia sebagai negara kepulauan/maritim dan agraris serta pengaruhnya terhadap kehidupan ekonomi, sosial, budaya, komunikasi, serta transportasi.  Menguasai dengan baik menganalisis bentuk bentuk interaksi manusia dengan lingkungan dan pengaruhnya terhadap pembangunan sosial, budaya, dan ekonomi masyarakat Indonesia. Menguasai dengan baik menganalisis peran ekonomi dalam upaya menyejahterakan kehidupan masyarakat di bidang sosial dan budaya untuk memperkuat kesatuan dan persatuan bangsa.       Menguasai dengan baik 0</v>
      </c>
    </row>
    <row r="22" spans="1:191" ht="34.5" customHeight="1">
      <c r="A22" s="39">
        <v>15</v>
      </c>
      <c r="B22" s="283" t="str">
        <f>SISWA!B20</f>
        <v>Tegar Arya Pangestu</v>
      </c>
      <c r="C22" s="123">
        <v>80</v>
      </c>
      <c r="D22" s="123"/>
      <c r="E22" s="123"/>
      <c r="F22" s="123"/>
      <c r="G22" s="123"/>
      <c r="H22" s="123"/>
      <c r="I22" s="123"/>
      <c r="J22" s="123"/>
      <c r="K22" s="123"/>
      <c r="L22" s="256">
        <v>80</v>
      </c>
      <c r="M22" s="256"/>
      <c r="N22" s="256"/>
      <c r="O22" s="256"/>
      <c r="P22" s="256"/>
      <c r="Q22" s="256"/>
      <c r="R22" s="256"/>
      <c r="S22" s="256"/>
      <c r="T22" s="256"/>
      <c r="U22" s="123"/>
      <c r="V22" s="123"/>
      <c r="W22" s="123">
        <v>87</v>
      </c>
      <c r="X22" s="123"/>
      <c r="Y22" s="123"/>
      <c r="Z22" s="123"/>
      <c r="AA22" s="123"/>
      <c r="AB22" s="123"/>
      <c r="AC22" s="123"/>
      <c r="AD22" s="256"/>
      <c r="AE22" s="256"/>
      <c r="AF22" s="256">
        <v>100</v>
      </c>
      <c r="AG22" s="256"/>
      <c r="AH22" s="256"/>
      <c r="AI22" s="256"/>
      <c r="AJ22" s="256"/>
      <c r="AK22" s="256"/>
      <c r="AL22" s="256"/>
      <c r="AM22" s="123"/>
      <c r="AN22" s="123">
        <v>80</v>
      </c>
      <c r="AO22" s="123"/>
      <c r="AP22" s="123"/>
      <c r="AQ22" s="123"/>
      <c r="AR22" s="123"/>
      <c r="AS22" s="123"/>
      <c r="AT22" s="123"/>
      <c r="AU22" s="123"/>
      <c r="AV22" s="256"/>
      <c r="AW22" s="256">
        <v>87</v>
      </c>
      <c r="AX22" s="256"/>
      <c r="AY22" s="256"/>
      <c r="AZ22" s="256"/>
      <c r="BA22" s="256"/>
      <c r="BB22" s="256"/>
      <c r="BC22" s="256"/>
      <c r="BD22" s="256"/>
      <c r="BE22" s="123"/>
      <c r="BF22" s="123">
        <v>87</v>
      </c>
      <c r="BG22" s="123">
        <v>75</v>
      </c>
      <c r="BH22" s="123"/>
      <c r="BI22" s="123"/>
      <c r="BJ22" s="123"/>
      <c r="BK22" s="123"/>
      <c r="BL22" s="123"/>
      <c r="BM22" s="123"/>
      <c r="BN22" s="256"/>
      <c r="BO22" s="256">
        <v>70</v>
      </c>
      <c r="BP22" s="256">
        <v>75</v>
      </c>
      <c r="BQ22" s="256"/>
      <c r="BR22" s="256"/>
      <c r="BS22" s="256"/>
      <c r="BT22" s="256"/>
      <c r="BU22" s="256"/>
      <c r="BV22" s="256"/>
      <c r="BW22" s="460">
        <v>80</v>
      </c>
      <c r="BX22" s="460"/>
      <c r="BY22" s="460"/>
      <c r="BZ22" s="460"/>
      <c r="CA22" s="460"/>
      <c r="CB22" s="460"/>
      <c r="CC22" s="460"/>
      <c r="CD22" s="460"/>
      <c r="CE22" s="460"/>
      <c r="CF22" s="346">
        <v>80</v>
      </c>
      <c r="CG22" s="346"/>
      <c r="CH22" s="346"/>
      <c r="CI22" s="346"/>
      <c r="CJ22" s="346"/>
      <c r="CK22" s="346"/>
      <c r="CL22" s="346"/>
      <c r="CM22" s="346"/>
      <c r="CN22" s="346"/>
      <c r="CO22" s="260">
        <f t="shared" si="46"/>
        <v>80</v>
      </c>
      <c r="CP22" s="260">
        <f t="shared" si="47"/>
        <v>81</v>
      </c>
      <c r="CQ22" s="260">
        <f t="shared" si="48"/>
        <v>84.25</v>
      </c>
      <c r="CR22" s="260" t="str">
        <f t="shared" si="49"/>
        <v xml:space="preserve"> </v>
      </c>
      <c r="CS22" s="260" t="str">
        <f t="shared" si="50"/>
        <v xml:space="preserve"> </v>
      </c>
      <c r="CT22" s="260" t="str">
        <f t="shared" si="39"/>
        <v xml:space="preserve"> </v>
      </c>
      <c r="CU22" s="260" t="str">
        <f t="shared" si="39"/>
        <v xml:space="preserve"> </v>
      </c>
      <c r="CV22" s="260" t="str">
        <f t="shared" si="39"/>
        <v xml:space="preserve"> </v>
      </c>
      <c r="CW22" s="260" t="str">
        <f t="shared" si="39"/>
        <v xml:space="preserve"> </v>
      </c>
      <c r="CX22" s="547">
        <v>77</v>
      </c>
      <c r="CY22" s="547">
        <v>84</v>
      </c>
      <c r="CZ22" s="547"/>
      <c r="DA22" s="547"/>
      <c r="DB22" s="547"/>
      <c r="DC22" s="547"/>
      <c r="DD22" s="547"/>
      <c r="DE22" s="547"/>
      <c r="DF22" s="547"/>
      <c r="DG22" s="564">
        <v>75</v>
      </c>
      <c r="DH22" s="564">
        <v>75</v>
      </c>
      <c r="DI22" s="564">
        <v>77</v>
      </c>
      <c r="DJ22" s="564"/>
      <c r="DK22" s="564"/>
      <c r="DL22" s="564"/>
      <c r="DM22" s="564"/>
      <c r="DN22" s="564"/>
      <c r="DO22" s="564"/>
      <c r="DP22" s="549">
        <f t="shared" si="51"/>
        <v>80</v>
      </c>
      <c r="DQ22" s="291" t="str">
        <f t="shared" si="52"/>
        <v>C</v>
      </c>
      <c r="DR22" s="50" t="str">
        <f t="shared" si="53"/>
        <v xml:space="preserve">Ananda Tegar cukup dalam menganalisis peran ekonomi dalam upaya menyejahterakan kehidupan masyarakat di bidang sosial dan budaya untuk memperkuat kesatuan dan persatuan bangsa., cukup dalam mengidentifikasi karakteristik geografis Indonesia sebagai negara kepulauan/maritim dan agraris serta pengaruhnya terhadap kehidupan ekonomi, sosial, budaya, komunikasi, serta transportasi. </v>
      </c>
      <c r="DS22" s="282"/>
      <c r="DT22" s="51"/>
      <c r="DU22" s="46">
        <f t="shared" si="54"/>
        <v>80</v>
      </c>
      <c r="DV22" s="46">
        <f t="shared" si="55"/>
        <v>81</v>
      </c>
      <c r="DW22" s="46">
        <f t="shared" si="56"/>
        <v>84.25</v>
      </c>
      <c r="DX22" s="46" t="str">
        <f t="shared" si="57"/>
        <v xml:space="preserve"> </v>
      </c>
      <c r="DY22" s="46" t="str">
        <f t="shared" si="58"/>
        <v xml:space="preserve"> </v>
      </c>
      <c r="DZ22" s="46" t="str">
        <f t="shared" si="59"/>
        <v xml:space="preserve"> </v>
      </c>
      <c r="EA22" s="46" t="str">
        <f t="shared" si="60"/>
        <v xml:space="preserve"> </v>
      </c>
      <c r="EB22" s="46" t="str">
        <f t="shared" si="61"/>
        <v xml:space="preserve"> </v>
      </c>
      <c r="EC22" s="46" t="str">
        <f t="shared" si="62"/>
        <v xml:space="preserve"> </v>
      </c>
      <c r="ED22" s="46"/>
      <c r="EE22" s="52">
        <f>[2]uts!J21</f>
        <v>73</v>
      </c>
      <c r="EF22" s="51"/>
      <c r="EG22" s="53">
        <f t="shared" si="63"/>
        <v>78</v>
      </c>
      <c r="EH22" s="53">
        <f t="shared" si="64"/>
        <v>80.25</v>
      </c>
      <c r="EI22" s="53">
        <f t="shared" si="65"/>
        <v>81.833333333333329</v>
      </c>
      <c r="EJ22" s="53" t="str">
        <f t="shared" si="66"/>
        <v xml:space="preserve">  </v>
      </c>
      <c r="EK22" s="53" t="str">
        <f t="shared" si="67"/>
        <v xml:space="preserve">  </v>
      </c>
      <c r="EL22" s="53" t="str">
        <f t="shared" si="68"/>
        <v xml:space="preserve">  </v>
      </c>
      <c r="EM22" s="53" t="str">
        <f t="shared" si="69"/>
        <v xml:space="preserve">  </v>
      </c>
      <c r="EN22" s="53" t="str">
        <f t="shared" si="70"/>
        <v xml:space="preserve">  </v>
      </c>
      <c r="EO22" s="53" t="str">
        <f t="shared" si="71"/>
        <v xml:space="preserve">  </v>
      </c>
      <c r="EP22" s="53"/>
      <c r="EQ22" s="54">
        <f t="shared" si="72"/>
        <v>80</v>
      </c>
      <c r="ER22" s="55">
        <f t="shared" si="73"/>
        <v>81.833333333333329</v>
      </c>
      <c r="ES22" s="55">
        <f t="shared" si="74"/>
        <v>78</v>
      </c>
      <c r="ET22" s="51" t="str">
        <f>SISWA!E20</f>
        <v>Tegar</v>
      </c>
      <c r="EU22" s="51" t="str">
        <f t="shared" si="75"/>
        <v xml:space="preserve">Ananda Tegar </v>
      </c>
      <c r="EV22" s="56" t="str">
        <f t="shared" si="76"/>
        <v/>
      </c>
      <c r="EW22" s="57" t="str">
        <f t="shared" si="77"/>
        <v/>
      </c>
      <c r="EX22" s="57">
        <f t="shared" si="78"/>
        <v>81.833333333333329</v>
      </c>
      <c r="EY22" s="57" t="str">
        <f t="shared" si="79"/>
        <v/>
      </c>
      <c r="EZ22" s="57" t="str">
        <f t="shared" si="80"/>
        <v/>
      </c>
      <c r="FA22" s="57" t="str">
        <f t="shared" si="81"/>
        <v/>
      </c>
      <c r="FB22" s="57" t="str">
        <f t="shared" si="82"/>
        <v/>
      </c>
      <c r="FC22" s="57" t="str">
        <f t="shared" si="83"/>
        <v/>
      </c>
      <c r="FD22" s="57" t="str">
        <f t="shared" si="84"/>
        <v/>
      </c>
      <c r="FE22" s="57"/>
      <c r="FF22" s="58">
        <f t="shared" si="85"/>
        <v>81.833333333333329</v>
      </c>
      <c r="FG22" s="55" t="str">
        <f t="shared" si="86"/>
        <v>menganalisis peran ekonomi dalam upaya menyejahterakan kehidupan masyarakat di bidang sosial dan budaya untuk memperkuat kesatuan dan persatuan bangsa.</v>
      </c>
      <c r="FH22" s="58"/>
      <c r="FI22" s="59" t="str">
        <f>IF(ER22&gt;100,"",IF(ER22&gt;DQ$1,"sangat baik dalam "&amp;FG22,IF(ER22&gt;=DQ$2,"baik dalam "&amp;FG22,IF(ER22&gt;=DQ$3,"cukup dalam "&amp;FG22,IF(ER22&lt;DQ$3,"dengan bimbingan dapat meningkatkan dalam "&amp;FG22,IF(ER22&lt;1," ",””))))))</f>
        <v>cukup dalam menganalisis peran ekonomi dalam upaya menyejahterakan kehidupan masyarakat di bidang sosial dan budaya untuk memperkuat kesatuan dan persatuan bangsa.</v>
      </c>
      <c r="FJ22" s="58"/>
      <c r="FK22" s="57">
        <f t="shared" si="87"/>
        <v>78</v>
      </c>
      <c r="FL22" s="57" t="str">
        <f t="shared" si="88"/>
        <v/>
      </c>
      <c r="FM22" s="57" t="str">
        <f t="shared" si="89"/>
        <v/>
      </c>
      <c r="FN22" s="57" t="str">
        <f t="shared" si="90"/>
        <v/>
      </c>
      <c r="FO22" s="57" t="str">
        <f t="shared" si="91"/>
        <v/>
      </c>
      <c r="FP22" s="57" t="str">
        <f t="shared" si="92"/>
        <v/>
      </c>
      <c r="FQ22" s="57" t="str">
        <f t="shared" si="93"/>
        <v/>
      </c>
      <c r="FR22" s="57" t="str">
        <f t="shared" si="94"/>
        <v/>
      </c>
      <c r="FS22" s="57" t="str">
        <f t="shared" si="95"/>
        <v/>
      </c>
      <c r="FT22" s="57"/>
      <c r="FU22" s="59" t="str">
        <f t="shared" si="96"/>
        <v xml:space="preserve">mengidentifikasi karakteristik geografis Indonesia sebagai negara kepulauan/maritim dan agraris serta pengaruhnya terhadap kehidupan ekonomi, sosial, budaya, komunikasi, serta transportasi. </v>
      </c>
      <c r="FV22" s="59" t="str">
        <f>IF(ES22&gt;100,"",IF(ES22&gt;DQ$1,"sangat baik dalam "&amp;FU22,IF(ES22&gt;=DQ$2,"baik dalam "&amp;FU22,IF(ES22&gt;=DQ$3,"cukup dalam "&amp;FU22,IF(ES22&lt;DQ$3,"dengan bimbingan dapat meningkatkan dalam "&amp;FU22,IF(ES22&lt;1," ",””))))))</f>
        <v xml:space="preserve">cukup dalam mengidentifikasi karakteristik geografis Indonesia sebagai negara kepulauan/maritim dan agraris serta pengaruhnya terhadap kehidupan ekonomi, sosial, budaya, komunikasi, serta transportasi. </v>
      </c>
      <c r="FW22" s="61"/>
      <c r="FX22" s="62" t="str">
        <f t="shared" si="97"/>
        <v xml:space="preserve">Ananda Tegar cukup dalam menganalisis peran ekonomi dalam upaya menyejahterakan kehidupan masyarakat di bidang sosial dan budaya untuk memperkuat kesatuan dan persatuan bangsa., cukup dalam mengidentifikasi karakteristik geografis Indonesia sebagai negara kepulauan/maritim dan agraris serta pengaruhnya terhadap kehidupan ekonomi, sosial, budaya, komunikasi, serta transportasi. </v>
      </c>
      <c r="FY22" s="57" t="str">
        <f t="shared" si="98"/>
        <v/>
      </c>
      <c r="FZ22" s="57" t="str">
        <f t="shared" si="98"/>
        <v/>
      </c>
      <c r="GA22" s="57" t="str">
        <f t="shared" si="98"/>
        <v/>
      </c>
      <c r="GB22" s="57"/>
      <c r="GC22" s="57"/>
      <c r="GD22" s="57"/>
      <c r="GE22" s="59">
        <f t="shared" si="45"/>
        <v>0</v>
      </c>
      <c r="GF22" s="60"/>
      <c r="GG22" s="61"/>
      <c r="GH22" s="62" t="str">
        <f t="shared" si="99"/>
        <v>, 0</v>
      </c>
      <c r="GI22" s="4" t="str">
        <f t="shared" si="100"/>
        <v xml:space="preserve">Cukup pandai mengidentifikasi karakteristik geografis Indonesia sebagai negara kepulauan/maritim dan agraris serta pengaruhnya terhadap kehidupan ekonomi, sosial, budaya, komunikasi, serta transportasi.  Cukup pandai menganalisis bentuk bentuk interaksi manusia dengan lingkungan dan pengaruhnya terhadap pembangunan sosial, budaya, dan ekonomi masyarakat Indonesia. Menguasai dengan baik menganalisis peran ekonomi dalam upaya menyejahterakan kehidupan masyarakat di bidang sosial dan budaya untuk memperkuat kesatuan dan persatuan bangsa.        </v>
      </c>
    </row>
    <row r="23" spans="1:191" ht="34.5" customHeight="1">
      <c r="A23" s="39">
        <v>16</v>
      </c>
      <c r="B23" s="283">
        <f>SISWA!B21</f>
        <v>0</v>
      </c>
      <c r="C23" s="123"/>
      <c r="D23" s="123"/>
      <c r="E23" s="123"/>
      <c r="F23" s="123"/>
      <c r="G23" s="123"/>
      <c r="H23" s="123"/>
      <c r="I23" s="123"/>
      <c r="J23" s="123"/>
      <c r="K23" s="123"/>
      <c r="L23" s="256"/>
      <c r="M23" s="256"/>
      <c r="N23" s="256"/>
      <c r="O23" s="256"/>
      <c r="P23" s="256"/>
      <c r="Q23" s="256"/>
      <c r="R23" s="256"/>
      <c r="S23" s="256"/>
      <c r="T23" s="256"/>
      <c r="U23" s="123"/>
      <c r="V23" s="123"/>
      <c r="W23" s="123"/>
      <c r="X23" s="123"/>
      <c r="Y23" s="123"/>
      <c r="Z23" s="123"/>
      <c r="AA23" s="123"/>
      <c r="AB23" s="123"/>
      <c r="AC23" s="123"/>
      <c r="AD23" s="256"/>
      <c r="AE23" s="256"/>
      <c r="AF23" s="256"/>
      <c r="AG23" s="256"/>
      <c r="AH23" s="256"/>
      <c r="AI23" s="256"/>
      <c r="AJ23" s="256"/>
      <c r="AK23" s="256"/>
      <c r="AL23" s="256"/>
      <c r="AM23" s="123"/>
      <c r="AN23" s="123"/>
      <c r="AO23" s="123"/>
      <c r="AP23" s="123"/>
      <c r="AQ23" s="123"/>
      <c r="AR23" s="123"/>
      <c r="AS23" s="123"/>
      <c r="AT23" s="123"/>
      <c r="AU23" s="123"/>
      <c r="AV23" s="256"/>
      <c r="AW23" s="256"/>
      <c r="AX23" s="256"/>
      <c r="AY23" s="256"/>
      <c r="AZ23" s="256"/>
      <c r="BA23" s="256"/>
      <c r="BB23" s="256"/>
      <c r="BC23" s="256"/>
      <c r="BD23" s="256"/>
      <c r="BE23" s="123"/>
      <c r="BF23" s="123"/>
      <c r="BG23" s="123"/>
      <c r="BH23" s="123"/>
      <c r="BI23" s="123"/>
      <c r="BJ23" s="123"/>
      <c r="BK23" s="123"/>
      <c r="BL23" s="123"/>
      <c r="BM23" s="123"/>
      <c r="BN23" s="256"/>
      <c r="BO23" s="256"/>
      <c r="BP23" s="256"/>
      <c r="BQ23" s="256"/>
      <c r="BR23" s="256"/>
      <c r="BS23" s="256"/>
      <c r="BT23" s="256"/>
      <c r="BU23" s="256"/>
      <c r="BV23" s="256"/>
      <c r="BW23" s="460"/>
      <c r="BX23" s="460"/>
      <c r="BY23" s="460"/>
      <c r="BZ23" s="460"/>
      <c r="CA23" s="460"/>
      <c r="CB23" s="460"/>
      <c r="CC23" s="460"/>
      <c r="CD23" s="460"/>
      <c r="CE23" s="460"/>
      <c r="CF23" s="346"/>
      <c r="CG23" s="346"/>
      <c r="CH23" s="346"/>
      <c r="CI23" s="346"/>
      <c r="CJ23" s="346"/>
      <c r="CK23" s="346"/>
      <c r="CL23" s="346"/>
      <c r="CM23" s="346"/>
      <c r="CN23" s="346"/>
      <c r="CO23" s="260" t="str">
        <f t="shared" si="46"/>
        <v xml:space="preserve"> </v>
      </c>
      <c r="CP23" s="260" t="str">
        <f t="shared" si="47"/>
        <v xml:space="preserve"> </v>
      </c>
      <c r="CQ23" s="260" t="str">
        <f t="shared" si="48"/>
        <v xml:space="preserve"> </v>
      </c>
      <c r="CR23" s="260" t="str">
        <f t="shared" si="49"/>
        <v xml:space="preserve"> </v>
      </c>
      <c r="CS23" s="260" t="str">
        <f t="shared" si="50"/>
        <v xml:space="preserve"> </v>
      </c>
      <c r="CT23" s="260" t="str">
        <f t="shared" si="39"/>
        <v xml:space="preserve"> </v>
      </c>
      <c r="CU23" s="260" t="str">
        <f t="shared" si="39"/>
        <v xml:space="preserve"> </v>
      </c>
      <c r="CV23" s="260" t="str">
        <f t="shared" si="39"/>
        <v xml:space="preserve"> </v>
      </c>
      <c r="CW23" s="260" t="str">
        <f t="shared" si="39"/>
        <v xml:space="preserve"> </v>
      </c>
      <c r="CX23" s="547"/>
      <c r="CY23" s="547"/>
      <c r="CZ23" s="547"/>
      <c r="DA23" s="547"/>
      <c r="DB23" s="547"/>
      <c r="DC23" s="547"/>
      <c r="DD23" s="547"/>
      <c r="DE23" s="547"/>
      <c r="DF23" s="547"/>
      <c r="DG23" s="564"/>
      <c r="DH23" s="564"/>
      <c r="DI23" s="564"/>
      <c r="DJ23" s="564"/>
      <c r="DK23" s="564"/>
      <c r="DL23" s="564"/>
      <c r="DM23" s="564"/>
      <c r="DN23" s="564"/>
      <c r="DO23" s="564"/>
      <c r="DP23" s="549" t="str">
        <f t="shared" si="51"/>
        <v xml:space="preserve"> </v>
      </c>
      <c r="DQ23" s="291" t="str">
        <f t="shared" si="52"/>
        <v xml:space="preserve">  </v>
      </c>
      <c r="DR23" s="50" t="str">
        <f t="shared" si="53"/>
        <v xml:space="preserve"> </v>
      </c>
      <c r="DS23" s="282"/>
      <c r="DT23" s="51"/>
      <c r="DU23" s="46" t="str">
        <f t="shared" si="54"/>
        <v xml:space="preserve"> </v>
      </c>
      <c r="DV23" s="46" t="str">
        <f t="shared" si="55"/>
        <v xml:space="preserve"> </v>
      </c>
      <c r="DW23" s="46" t="str">
        <f t="shared" si="56"/>
        <v xml:space="preserve"> </v>
      </c>
      <c r="DX23" s="46" t="str">
        <f t="shared" si="57"/>
        <v xml:space="preserve"> </v>
      </c>
      <c r="DY23" s="46" t="str">
        <f t="shared" si="58"/>
        <v xml:space="preserve"> </v>
      </c>
      <c r="DZ23" s="46" t="str">
        <f t="shared" si="59"/>
        <v xml:space="preserve"> </v>
      </c>
      <c r="EA23" s="46" t="str">
        <f t="shared" si="60"/>
        <v xml:space="preserve"> </v>
      </c>
      <c r="EB23" s="46" t="str">
        <f t="shared" si="61"/>
        <v xml:space="preserve"> </v>
      </c>
      <c r="EC23" s="46" t="str">
        <f t="shared" si="62"/>
        <v xml:space="preserve"> </v>
      </c>
      <c r="ED23" s="46"/>
      <c r="EE23" s="52">
        <f>[2]uts!J22</f>
        <v>72.333333333333329</v>
      </c>
      <c r="EF23" s="51"/>
      <c r="EG23" s="53" t="str">
        <f t="shared" si="63"/>
        <v xml:space="preserve">  </v>
      </c>
      <c r="EH23" s="53" t="str">
        <f t="shared" si="64"/>
        <v xml:space="preserve">  </v>
      </c>
      <c r="EI23" s="53" t="str">
        <f t="shared" si="65"/>
        <v xml:space="preserve">  </v>
      </c>
      <c r="EJ23" s="53" t="str">
        <f t="shared" si="66"/>
        <v xml:space="preserve">  </v>
      </c>
      <c r="EK23" s="53" t="str">
        <f t="shared" si="67"/>
        <v xml:space="preserve">  </v>
      </c>
      <c r="EL23" s="53" t="str">
        <f t="shared" si="68"/>
        <v xml:space="preserve">  </v>
      </c>
      <c r="EM23" s="53" t="str">
        <f t="shared" si="69"/>
        <v xml:space="preserve">  </v>
      </c>
      <c r="EN23" s="53" t="str">
        <f t="shared" si="70"/>
        <v xml:space="preserve">  </v>
      </c>
      <c r="EO23" s="53" t="str">
        <f t="shared" si="71"/>
        <v xml:space="preserve">  </v>
      </c>
      <c r="EP23" s="53"/>
      <c r="EQ23" s="54" t="str">
        <f t="shared" si="72"/>
        <v xml:space="preserve"> </v>
      </c>
      <c r="ER23" s="55">
        <f t="shared" si="73"/>
        <v>0</v>
      </c>
      <c r="ES23" s="55">
        <f t="shared" si="74"/>
        <v>0</v>
      </c>
      <c r="ET23" s="51">
        <f>SISWA!E21</f>
        <v>0</v>
      </c>
      <c r="EU23" s="51" t="str">
        <f t="shared" si="75"/>
        <v/>
      </c>
      <c r="EV23" s="56" t="str">
        <f t="shared" si="76"/>
        <v/>
      </c>
      <c r="EW23" s="57" t="str">
        <f t="shared" si="77"/>
        <v/>
      </c>
      <c r="EX23" s="57" t="str">
        <f t="shared" si="78"/>
        <v/>
      </c>
      <c r="EY23" s="57" t="str">
        <f t="shared" si="79"/>
        <v/>
      </c>
      <c r="EZ23" s="57" t="str">
        <f t="shared" si="80"/>
        <v/>
      </c>
      <c r="FA23" s="57" t="str">
        <f t="shared" si="81"/>
        <v/>
      </c>
      <c r="FB23" s="57" t="str">
        <f t="shared" si="82"/>
        <v/>
      </c>
      <c r="FC23" s="57" t="str">
        <f t="shared" si="83"/>
        <v/>
      </c>
      <c r="FD23" s="57" t="str">
        <f t="shared" si="84"/>
        <v/>
      </c>
      <c r="FE23" s="57"/>
      <c r="FF23" s="58">
        <f t="shared" si="85"/>
        <v>0</v>
      </c>
      <c r="FG23" s="55" t="e">
        <f t="shared" si="86"/>
        <v>#N/A</v>
      </c>
      <c r="FH23" s="58"/>
      <c r="FI23" s="59" t="e">
        <f>IF(ER23&gt;100,"",IF(ER23&gt;DQ$1,"sangat baik dalam "&amp;FG23,IF(ER23&gt;=DQ$2,"baik dalam "&amp;FG23,IF(ER23&gt;=DQ$3,"cukup dalam "&amp;FG23,IF(ER23&lt;DQ$3,"dengan bimbingan dapat meningkatkan dalam "&amp;FG23,IF(ER23&lt;1," ",””))))))</f>
        <v>#N/A</v>
      </c>
      <c r="FJ23" s="58"/>
      <c r="FK23" s="57" t="str">
        <f t="shared" si="87"/>
        <v/>
      </c>
      <c r="FL23" s="57" t="str">
        <f t="shared" si="88"/>
        <v/>
      </c>
      <c r="FM23" s="57" t="str">
        <f t="shared" si="89"/>
        <v/>
      </c>
      <c r="FN23" s="57" t="str">
        <f t="shared" si="90"/>
        <v/>
      </c>
      <c r="FO23" s="57" t="str">
        <f t="shared" si="91"/>
        <v/>
      </c>
      <c r="FP23" s="57" t="str">
        <f t="shared" si="92"/>
        <v/>
      </c>
      <c r="FQ23" s="57" t="str">
        <f t="shared" si="93"/>
        <v/>
      </c>
      <c r="FR23" s="57" t="str">
        <f t="shared" si="94"/>
        <v/>
      </c>
      <c r="FS23" s="57" t="str">
        <f t="shared" si="95"/>
        <v/>
      </c>
      <c r="FT23" s="57"/>
      <c r="FU23" s="59" t="e">
        <f t="shared" si="96"/>
        <v>#N/A</v>
      </c>
      <c r="FV23" s="59" t="e">
        <f>IF(ES23&gt;100,"",IF(ES23&gt;DQ$1,"sangat baik dalam "&amp;FU23,IF(ES23&gt;=DQ$2,"baik dalam "&amp;FU23,IF(ES23&gt;=DQ$3,"cukup dalam "&amp;FU23,IF(ES23&lt;DQ$3,"dengan bimbingan dapat meningkatkan dalam "&amp;FU23,IF(ES23&lt;1," ",””))))))</f>
        <v>#N/A</v>
      </c>
      <c r="FW23" s="61"/>
      <c r="FX23" s="62" t="e">
        <f t="shared" si="97"/>
        <v>#N/A</v>
      </c>
      <c r="FY23" s="57" t="str">
        <f t="shared" si="98"/>
        <v/>
      </c>
      <c r="FZ23" s="57" t="str">
        <f t="shared" si="98"/>
        <v/>
      </c>
      <c r="GA23" s="57" t="str">
        <f t="shared" si="98"/>
        <v/>
      </c>
      <c r="GB23" s="57"/>
      <c r="GC23" s="57"/>
      <c r="GD23" s="57"/>
      <c r="GE23" s="59">
        <f t="shared" si="45"/>
        <v>0</v>
      </c>
      <c r="GF23" s="60"/>
      <c r="GG23" s="61"/>
      <c r="GH23" s="62" t="str">
        <f t="shared" si="99"/>
        <v>, 0</v>
      </c>
      <c r="GI23" s="4" t="str">
        <f t="shared" si="100"/>
        <v xml:space="preserve">  FALSEFALSEFALSE      </v>
      </c>
    </row>
    <row r="24" spans="1:191" ht="34.5" customHeight="1">
      <c r="A24" s="39">
        <v>17</v>
      </c>
      <c r="B24" s="283">
        <f>SISWA!B22</f>
        <v>0</v>
      </c>
      <c r="C24" s="123"/>
      <c r="D24" s="123"/>
      <c r="E24" s="123"/>
      <c r="F24" s="123"/>
      <c r="G24" s="123"/>
      <c r="H24" s="123"/>
      <c r="I24" s="123"/>
      <c r="J24" s="123"/>
      <c r="K24" s="123"/>
      <c r="L24" s="256"/>
      <c r="M24" s="256"/>
      <c r="N24" s="256"/>
      <c r="O24" s="256"/>
      <c r="P24" s="256"/>
      <c r="Q24" s="256"/>
      <c r="R24" s="256"/>
      <c r="S24" s="256"/>
      <c r="T24" s="256"/>
      <c r="U24" s="123"/>
      <c r="V24" s="123"/>
      <c r="W24" s="123"/>
      <c r="X24" s="123"/>
      <c r="Y24" s="123"/>
      <c r="Z24" s="123"/>
      <c r="AA24" s="123"/>
      <c r="AB24" s="123"/>
      <c r="AC24" s="123"/>
      <c r="AD24" s="256"/>
      <c r="AE24" s="256"/>
      <c r="AF24" s="256"/>
      <c r="AG24" s="256"/>
      <c r="AH24" s="256"/>
      <c r="AI24" s="256"/>
      <c r="AJ24" s="256"/>
      <c r="AK24" s="256"/>
      <c r="AL24" s="256"/>
      <c r="AM24" s="123"/>
      <c r="AN24" s="123"/>
      <c r="AO24" s="123"/>
      <c r="AP24" s="123"/>
      <c r="AQ24" s="123"/>
      <c r="AR24" s="123"/>
      <c r="AS24" s="123"/>
      <c r="AT24" s="123"/>
      <c r="AU24" s="123"/>
      <c r="AV24" s="256"/>
      <c r="AW24" s="256"/>
      <c r="AX24" s="256"/>
      <c r="AY24" s="256"/>
      <c r="AZ24" s="256"/>
      <c r="BA24" s="256"/>
      <c r="BB24" s="256"/>
      <c r="BC24" s="256"/>
      <c r="BD24" s="256"/>
      <c r="BE24" s="123"/>
      <c r="BF24" s="123"/>
      <c r="BG24" s="123"/>
      <c r="BH24" s="123"/>
      <c r="BI24" s="123"/>
      <c r="BJ24" s="123"/>
      <c r="BK24" s="123"/>
      <c r="BL24" s="123"/>
      <c r="BM24" s="123"/>
      <c r="BN24" s="256"/>
      <c r="BO24" s="256"/>
      <c r="BP24" s="256"/>
      <c r="BQ24" s="256"/>
      <c r="BR24" s="256"/>
      <c r="BS24" s="256"/>
      <c r="BT24" s="256"/>
      <c r="BU24" s="256"/>
      <c r="BV24" s="256"/>
      <c r="BW24" s="460"/>
      <c r="BX24" s="460"/>
      <c r="BY24" s="460"/>
      <c r="BZ24" s="460"/>
      <c r="CA24" s="460"/>
      <c r="CB24" s="460"/>
      <c r="CC24" s="460"/>
      <c r="CD24" s="460"/>
      <c r="CE24" s="460"/>
      <c r="CF24" s="346"/>
      <c r="CG24" s="346"/>
      <c r="CH24" s="346"/>
      <c r="CI24" s="346"/>
      <c r="CJ24" s="346"/>
      <c r="CK24" s="346"/>
      <c r="CL24" s="346"/>
      <c r="CM24" s="346"/>
      <c r="CN24" s="346"/>
      <c r="CO24" s="260" t="str">
        <f t="shared" si="46"/>
        <v xml:space="preserve"> </v>
      </c>
      <c r="CP24" s="260" t="str">
        <f t="shared" si="47"/>
        <v xml:space="preserve"> </v>
      </c>
      <c r="CQ24" s="260" t="str">
        <f t="shared" si="48"/>
        <v xml:space="preserve"> </v>
      </c>
      <c r="CR24" s="260" t="str">
        <f t="shared" si="49"/>
        <v xml:space="preserve"> </v>
      </c>
      <c r="CS24" s="260" t="str">
        <f t="shared" si="50"/>
        <v xml:space="preserve"> </v>
      </c>
      <c r="CT24" s="260" t="str">
        <f t="shared" ref="CT24:CW42" si="101">IFERROR(AVERAGE(H24,Q24,Z24,AI24,AR24,BA24,BJ24,BS24)," ")</f>
        <v xml:space="preserve"> </v>
      </c>
      <c r="CU24" s="260" t="str">
        <f t="shared" si="101"/>
        <v xml:space="preserve"> </v>
      </c>
      <c r="CV24" s="260" t="str">
        <f t="shared" si="101"/>
        <v xml:space="preserve"> </v>
      </c>
      <c r="CW24" s="260" t="str">
        <f t="shared" si="101"/>
        <v xml:space="preserve"> </v>
      </c>
      <c r="CX24" s="547"/>
      <c r="CY24" s="547"/>
      <c r="CZ24" s="547"/>
      <c r="DA24" s="547"/>
      <c r="DB24" s="547"/>
      <c r="DC24" s="547"/>
      <c r="DD24" s="547"/>
      <c r="DE24" s="547"/>
      <c r="DF24" s="547"/>
      <c r="DG24" s="564"/>
      <c r="DH24" s="564"/>
      <c r="DI24" s="564"/>
      <c r="DJ24" s="564"/>
      <c r="DK24" s="564"/>
      <c r="DL24" s="564"/>
      <c r="DM24" s="564"/>
      <c r="DN24" s="564"/>
      <c r="DO24" s="564"/>
      <c r="DP24" s="549" t="str">
        <f t="shared" si="51"/>
        <v xml:space="preserve"> </v>
      </c>
      <c r="DQ24" s="291" t="str">
        <f t="shared" si="52"/>
        <v xml:space="preserve">  </v>
      </c>
      <c r="DR24" s="50" t="str">
        <f t="shared" si="53"/>
        <v xml:space="preserve"> </v>
      </c>
      <c r="DS24" s="282"/>
      <c r="DT24" s="51"/>
      <c r="DU24" s="46" t="str">
        <f t="shared" si="54"/>
        <v xml:space="preserve"> </v>
      </c>
      <c r="DV24" s="46" t="str">
        <f t="shared" si="55"/>
        <v xml:space="preserve"> </v>
      </c>
      <c r="DW24" s="46" t="str">
        <f t="shared" si="56"/>
        <v xml:space="preserve"> </v>
      </c>
      <c r="DX24" s="46" t="str">
        <f t="shared" si="57"/>
        <v xml:space="preserve"> </v>
      </c>
      <c r="DY24" s="46" t="str">
        <f t="shared" si="58"/>
        <v xml:space="preserve"> </v>
      </c>
      <c r="DZ24" s="46" t="str">
        <f t="shared" si="59"/>
        <v xml:space="preserve"> </v>
      </c>
      <c r="EA24" s="46" t="str">
        <f t="shared" si="60"/>
        <v xml:space="preserve"> </v>
      </c>
      <c r="EB24" s="46" t="str">
        <f t="shared" si="61"/>
        <v xml:space="preserve"> </v>
      </c>
      <c r="EC24" s="46" t="str">
        <f t="shared" si="62"/>
        <v xml:space="preserve"> </v>
      </c>
      <c r="ED24" s="46"/>
      <c r="EE24" s="52">
        <f>[2]uts!J23</f>
        <v>71</v>
      </c>
      <c r="EF24" s="51"/>
      <c r="EG24" s="53" t="str">
        <f t="shared" si="63"/>
        <v xml:space="preserve">  </v>
      </c>
      <c r="EH24" s="53" t="str">
        <f t="shared" si="64"/>
        <v xml:space="preserve">  </v>
      </c>
      <c r="EI24" s="53" t="str">
        <f t="shared" si="65"/>
        <v xml:space="preserve">  </v>
      </c>
      <c r="EJ24" s="53" t="str">
        <f t="shared" si="66"/>
        <v xml:space="preserve">  </v>
      </c>
      <c r="EK24" s="53" t="str">
        <f t="shared" si="67"/>
        <v xml:space="preserve">  </v>
      </c>
      <c r="EL24" s="53" t="str">
        <f t="shared" si="68"/>
        <v xml:space="preserve">  </v>
      </c>
      <c r="EM24" s="53" t="str">
        <f t="shared" si="69"/>
        <v xml:space="preserve">  </v>
      </c>
      <c r="EN24" s="53" t="str">
        <f t="shared" si="70"/>
        <v xml:space="preserve">  </v>
      </c>
      <c r="EO24" s="53" t="str">
        <f t="shared" si="71"/>
        <v xml:space="preserve">  </v>
      </c>
      <c r="EP24" s="53"/>
      <c r="EQ24" s="54" t="str">
        <f t="shared" si="72"/>
        <v xml:space="preserve"> </v>
      </c>
      <c r="ER24" s="55">
        <f t="shared" si="73"/>
        <v>0</v>
      </c>
      <c r="ES24" s="55">
        <f t="shared" si="74"/>
        <v>0</v>
      </c>
      <c r="ET24" s="51">
        <f>SISWA!E22</f>
        <v>0</v>
      </c>
      <c r="EU24" s="51" t="str">
        <f t="shared" si="75"/>
        <v/>
      </c>
      <c r="EV24" s="56" t="str">
        <f t="shared" si="76"/>
        <v/>
      </c>
      <c r="EW24" s="57" t="str">
        <f t="shared" si="77"/>
        <v/>
      </c>
      <c r="EX24" s="57" t="str">
        <f t="shared" si="78"/>
        <v/>
      </c>
      <c r="EY24" s="57" t="str">
        <f t="shared" si="79"/>
        <v/>
      </c>
      <c r="EZ24" s="57" t="str">
        <f t="shared" si="80"/>
        <v/>
      </c>
      <c r="FA24" s="57" t="str">
        <f t="shared" si="81"/>
        <v/>
      </c>
      <c r="FB24" s="57" t="str">
        <f t="shared" si="82"/>
        <v/>
      </c>
      <c r="FC24" s="57" t="str">
        <f t="shared" si="83"/>
        <v/>
      </c>
      <c r="FD24" s="57" t="str">
        <f t="shared" si="84"/>
        <v/>
      </c>
      <c r="FE24" s="57"/>
      <c r="FF24" s="58">
        <f t="shared" si="85"/>
        <v>0</v>
      </c>
      <c r="FG24" s="55" t="e">
        <f t="shared" si="86"/>
        <v>#N/A</v>
      </c>
      <c r="FH24" s="58"/>
      <c r="FI24" s="59" t="e">
        <f>IF(ER24&gt;100,"",IF(ER24&gt;DQ$1,"sangat baik dalam "&amp;FG24,IF(ER24&gt;=DQ$2,"baik dalam "&amp;FG24,IF(ER24&gt;=DQ$3,"cukup dalam "&amp;FG24,IF(ER24&lt;DQ$3,"dengan bimbingan dapat meningkatkan dalam "&amp;FG24,IF(ER24&lt;1," ",””))))))</f>
        <v>#N/A</v>
      </c>
      <c r="FJ24" s="58"/>
      <c r="FK24" s="57" t="str">
        <f t="shared" si="87"/>
        <v/>
      </c>
      <c r="FL24" s="57" t="str">
        <f t="shared" si="88"/>
        <v/>
      </c>
      <c r="FM24" s="57" t="str">
        <f t="shared" si="89"/>
        <v/>
      </c>
      <c r="FN24" s="57" t="str">
        <f t="shared" si="90"/>
        <v/>
      </c>
      <c r="FO24" s="57" t="str">
        <f t="shared" si="91"/>
        <v/>
      </c>
      <c r="FP24" s="57" t="str">
        <f t="shared" si="92"/>
        <v/>
      </c>
      <c r="FQ24" s="57" t="str">
        <f t="shared" si="93"/>
        <v/>
      </c>
      <c r="FR24" s="57" t="str">
        <f t="shared" si="94"/>
        <v/>
      </c>
      <c r="FS24" s="57" t="str">
        <f t="shared" si="95"/>
        <v/>
      </c>
      <c r="FT24" s="57"/>
      <c r="FU24" s="59" t="e">
        <f t="shared" si="96"/>
        <v>#N/A</v>
      </c>
      <c r="FV24" s="59" t="e">
        <f>IF(ES24&gt;100,"",IF(ES24&gt;DQ$1,"sangat baik dalam "&amp;FU24,IF(ES24&gt;=DQ$2,"baik dalam "&amp;FU24,IF(ES24&gt;=DQ$3,"cukup dalam "&amp;FU24,IF(ES24&lt;DQ$3,"dengan bimbingan dapat meningkatkan dalam "&amp;FU24,IF(ES24&lt;1," ",””))))))</f>
        <v>#N/A</v>
      </c>
      <c r="FW24" s="61"/>
      <c r="FX24" s="62" t="e">
        <f t="shared" si="97"/>
        <v>#N/A</v>
      </c>
      <c r="FY24" s="57" t="str">
        <f t="shared" si="98"/>
        <v/>
      </c>
      <c r="FZ24" s="57" t="str">
        <f t="shared" si="98"/>
        <v/>
      </c>
      <c r="GA24" s="57" t="str">
        <f t="shared" si="98"/>
        <v/>
      </c>
      <c r="GB24" s="57"/>
      <c r="GC24" s="57"/>
      <c r="GD24" s="57"/>
      <c r="GE24" s="59">
        <f t="shared" si="45"/>
        <v>0</v>
      </c>
      <c r="GF24" s="60"/>
      <c r="GG24" s="61"/>
      <c r="GH24" s="62" t="str">
        <f t="shared" si="99"/>
        <v>, 0</v>
      </c>
      <c r="GI24" s="4" t="str">
        <f t="shared" si="100"/>
        <v xml:space="preserve">  FALSEFALSEFALSE      </v>
      </c>
    </row>
    <row r="25" spans="1:191" ht="34.5" customHeight="1">
      <c r="A25" s="39">
        <v>18</v>
      </c>
      <c r="B25" s="283">
        <f>SISWA!B23</f>
        <v>0</v>
      </c>
      <c r="C25" s="123"/>
      <c r="D25" s="123"/>
      <c r="E25" s="123"/>
      <c r="F25" s="123"/>
      <c r="G25" s="123"/>
      <c r="H25" s="123"/>
      <c r="I25" s="123"/>
      <c r="J25" s="123"/>
      <c r="K25" s="123"/>
      <c r="L25" s="256"/>
      <c r="M25" s="256"/>
      <c r="N25" s="256"/>
      <c r="O25" s="256"/>
      <c r="P25" s="256"/>
      <c r="Q25" s="256"/>
      <c r="R25" s="256"/>
      <c r="S25" s="256"/>
      <c r="T25" s="256"/>
      <c r="U25" s="123"/>
      <c r="V25" s="123"/>
      <c r="W25" s="123"/>
      <c r="X25" s="123"/>
      <c r="Y25" s="123"/>
      <c r="Z25" s="123"/>
      <c r="AA25" s="123"/>
      <c r="AB25" s="123"/>
      <c r="AC25" s="123"/>
      <c r="AD25" s="256"/>
      <c r="AE25" s="256"/>
      <c r="AF25" s="256"/>
      <c r="AG25" s="256"/>
      <c r="AH25" s="256"/>
      <c r="AI25" s="256"/>
      <c r="AJ25" s="256"/>
      <c r="AK25" s="256"/>
      <c r="AL25" s="256"/>
      <c r="AM25" s="123"/>
      <c r="AN25" s="123"/>
      <c r="AO25" s="123"/>
      <c r="AP25" s="123"/>
      <c r="AQ25" s="123"/>
      <c r="AR25" s="123"/>
      <c r="AS25" s="123"/>
      <c r="AT25" s="123"/>
      <c r="AU25" s="123"/>
      <c r="AV25" s="256"/>
      <c r="AW25" s="256"/>
      <c r="AX25" s="256"/>
      <c r="AY25" s="256"/>
      <c r="AZ25" s="256"/>
      <c r="BA25" s="256"/>
      <c r="BB25" s="256"/>
      <c r="BC25" s="256"/>
      <c r="BD25" s="256"/>
      <c r="BE25" s="123"/>
      <c r="BF25" s="123"/>
      <c r="BG25" s="123"/>
      <c r="BH25" s="123"/>
      <c r="BI25" s="123"/>
      <c r="BJ25" s="123"/>
      <c r="BK25" s="123"/>
      <c r="BL25" s="123"/>
      <c r="BM25" s="123"/>
      <c r="BN25" s="256"/>
      <c r="BO25" s="256"/>
      <c r="BP25" s="256"/>
      <c r="BQ25" s="256"/>
      <c r="BR25" s="256"/>
      <c r="BS25" s="256"/>
      <c r="BT25" s="256"/>
      <c r="BU25" s="256"/>
      <c r="BV25" s="256"/>
      <c r="BW25" s="460"/>
      <c r="BX25" s="460"/>
      <c r="BY25" s="460"/>
      <c r="BZ25" s="460"/>
      <c r="CA25" s="460"/>
      <c r="CB25" s="460"/>
      <c r="CC25" s="460"/>
      <c r="CD25" s="460"/>
      <c r="CE25" s="460"/>
      <c r="CF25" s="346"/>
      <c r="CG25" s="346"/>
      <c r="CH25" s="346"/>
      <c r="CI25" s="346"/>
      <c r="CJ25" s="346"/>
      <c r="CK25" s="346"/>
      <c r="CL25" s="346"/>
      <c r="CM25" s="346"/>
      <c r="CN25" s="346"/>
      <c r="CO25" s="260" t="str">
        <f t="shared" si="46"/>
        <v xml:space="preserve"> </v>
      </c>
      <c r="CP25" s="260" t="str">
        <f t="shared" si="47"/>
        <v xml:space="preserve"> </v>
      </c>
      <c r="CQ25" s="260" t="str">
        <f t="shared" si="48"/>
        <v xml:space="preserve"> </v>
      </c>
      <c r="CR25" s="260" t="str">
        <f t="shared" si="49"/>
        <v xml:space="preserve"> </v>
      </c>
      <c r="CS25" s="260" t="str">
        <f t="shared" si="50"/>
        <v xml:space="preserve"> </v>
      </c>
      <c r="CT25" s="260" t="str">
        <f t="shared" si="101"/>
        <v xml:space="preserve"> </v>
      </c>
      <c r="CU25" s="260" t="str">
        <f t="shared" si="101"/>
        <v xml:space="preserve"> </v>
      </c>
      <c r="CV25" s="260" t="str">
        <f t="shared" si="101"/>
        <v xml:space="preserve"> </v>
      </c>
      <c r="CW25" s="260" t="str">
        <f t="shared" si="101"/>
        <v xml:space="preserve"> </v>
      </c>
      <c r="CX25" s="547"/>
      <c r="CY25" s="547"/>
      <c r="CZ25" s="547"/>
      <c r="DA25" s="547"/>
      <c r="DB25" s="547"/>
      <c r="DC25" s="547"/>
      <c r="DD25" s="547"/>
      <c r="DE25" s="547"/>
      <c r="DF25" s="547"/>
      <c r="DG25" s="564"/>
      <c r="DH25" s="564"/>
      <c r="DI25" s="564"/>
      <c r="DJ25" s="564"/>
      <c r="DK25" s="564"/>
      <c r="DL25" s="564"/>
      <c r="DM25" s="564"/>
      <c r="DN25" s="564"/>
      <c r="DO25" s="564"/>
      <c r="DP25" s="549" t="str">
        <f t="shared" si="51"/>
        <v xml:space="preserve"> </v>
      </c>
      <c r="DQ25" s="291" t="str">
        <f t="shared" si="52"/>
        <v xml:space="preserve">  </v>
      </c>
      <c r="DR25" s="50" t="str">
        <f t="shared" si="53"/>
        <v xml:space="preserve"> </v>
      </c>
      <c r="DS25" s="282"/>
      <c r="DT25" s="51"/>
      <c r="DU25" s="46" t="str">
        <f t="shared" si="54"/>
        <v xml:space="preserve"> </v>
      </c>
      <c r="DV25" s="46" t="str">
        <f t="shared" si="55"/>
        <v xml:space="preserve"> </v>
      </c>
      <c r="DW25" s="46" t="str">
        <f t="shared" si="56"/>
        <v xml:space="preserve"> </v>
      </c>
      <c r="DX25" s="46" t="str">
        <f t="shared" si="57"/>
        <v xml:space="preserve"> </v>
      </c>
      <c r="DY25" s="46" t="str">
        <f t="shared" si="58"/>
        <v xml:space="preserve"> </v>
      </c>
      <c r="DZ25" s="46" t="str">
        <f t="shared" si="59"/>
        <v xml:space="preserve"> </v>
      </c>
      <c r="EA25" s="46" t="str">
        <f t="shared" si="60"/>
        <v xml:space="preserve"> </v>
      </c>
      <c r="EB25" s="46" t="str">
        <f t="shared" si="61"/>
        <v xml:space="preserve"> </v>
      </c>
      <c r="EC25" s="46" t="str">
        <f t="shared" si="62"/>
        <v xml:space="preserve"> </v>
      </c>
      <c r="ED25" s="46"/>
      <c r="EE25" s="52">
        <f>[2]uts!J24</f>
        <v>74.333333333333329</v>
      </c>
      <c r="EF25" s="51"/>
      <c r="EG25" s="53" t="str">
        <f t="shared" si="63"/>
        <v xml:space="preserve">  </v>
      </c>
      <c r="EH25" s="53" t="str">
        <f t="shared" si="64"/>
        <v xml:space="preserve">  </v>
      </c>
      <c r="EI25" s="53" t="str">
        <f t="shared" si="65"/>
        <v xml:space="preserve">  </v>
      </c>
      <c r="EJ25" s="53" t="str">
        <f t="shared" si="66"/>
        <v xml:space="preserve">  </v>
      </c>
      <c r="EK25" s="53" t="str">
        <f t="shared" si="67"/>
        <v xml:space="preserve">  </v>
      </c>
      <c r="EL25" s="53" t="str">
        <f t="shared" si="68"/>
        <v xml:space="preserve">  </v>
      </c>
      <c r="EM25" s="53" t="str">
        <f t="shared" si="69"/>
        <v xml:space="preserve">  </v>
      </c>
      <c r="EN25" s="53" t="str">
        <f t="shared" si="70"/>
        <v xml:space="preserve">  </v>
      </c>
      <c r="EO25" s="53" t="str">
        <f t="shared" si="71"/>
        <v xml:space="preserve">  </v>
      </c>
      <c r="EP25" s="53"/>
      <c r="EQ25" s="54" t="str">
        <f t="shared" si="72"/>
        <v xml:space="preserve"> </v>
      </c>
      <c r="ER25" s="55">
        <f t="shared" si="73"/>
        <v>0</v>
      </c>
      <c r="ES25" s="55">
        <f t="shared" si="74"/>
        <v>0</v>
      </c>
      <c r="ET25" s="51">
        <f>SISWA!E23</f>
        <v>0</v>
      </c>
      <c r="EU25" s="51" t="str">
        <f t="shared" si="75"/>
        <v/>
      </c>
      <c r="EV25" s="56" t="str">
        <f t="shared" si="76"/>
        <v/>
      </c>
      <c r="EW25" s="57" t="str">
        <f t="shared" si="77"/>
        <v/>
      </c>
      <c r="EX25" s="57" t="str">
        <f t="shared" si="78"/>
        <v/>
      </c>
      <c r="EY25" s="57" t="str">
        <f t="shared" si="79"/>
        <v/>
      </c>
      <c r="EZ25" s="57" t="str">
        <f t="shared" si="80"/>
        <v/>
      </c>
      <c r="FA25" s="57" t="str">
        <f t="shared" si="81"/>
        <v/>
      </c>
      <c r="FB25" s="57" t="str">
        <f t="shared" si="82"/>
        <v/>
      </c>
      <c r="FC25" s="57" t="str">
        <f t="shared" si="83"/>
        <v/>
      </c>
      <c r="FD25" s="57" t="str">
        <f t="shared" si="84"/>
        <v/>
      </c>
      <c r="FE25" s="57"/>
      <c r="FF25" s="58">
        <f t="shared" si="85"/>
        <v>0</v>
      </c>
      <c r="FG25" s="55" t="e">
        <f t="shared" si="86"/>
        <v>#N/A</v>
      </c>
      <c r="FH25" s="58"/>
      <c r="FI25" s="59" t="e">
        <f>IF(ER25&gt;100,"",IF(ER25&gt;DQ$1,"sangat baik dalam "&amp;FG25,IF(ER25&gt;=DQ$2,"baik dalam "&amp;FG25,IF(ER25&gt;=DQ$3,"cukup dalam "&amp;FG25,IF(ER25&lt;DQ$3,"dengan bimbingan dapat meningkatkan dalam "&amp;FG25,IF(ER25&lt;1," ",””))))))</f>
        <v>#N/A</v>
      </c>
      <c r="FJ25" s="58"/>
      <c r="FK25" s="57" t="str">
        <f t="shared" si="87"/>
        <v/>
      </c>
      <c r="FL25" s="57" t="str">
        <f t="shared" si="88"/>
        <v/>
      </c>
      <c r="FM25" s="57" t="str">
        <f t="shared" si="89"/>
        <v/>
      </c>
      <c r="FN25" s="57" t="str">
        <f t="shared" si="90"/>
        <v/>
      </c>
      <c r="FO25" s="57" t="str">
        <f t="shared" si="91"/>
        <v/>
      </c>
      <c r="FP25" s="57" t="str">
        <f t="shared" si="92"/>
        <v/>
      </c>
      <c r="FQ25" s="57" t="str">
        <f t="shared" si="93"/>
        <v/>
      </c>
      <c r="FR25" s="57" t="str">
        <f t="shared" si="94"/>
        <v/>
      </c>
      <c r="FS25" s="57" t="str">
        <f t="shared" si="95"/>
        <v/>
      </c>
      <c r="FT25" s="57"/>
      <c r="FU25" s="59" t="e">
        <f t="shared" si="96"/>
        <v>#N/A</v>
      </c>
      <c r="FV25" s="59" t="e">
        <f>IF(ES25&gt;100,"",IF(ES25&gt;DQ$1,"sangat baik dalam "&amp;FU25,IF(ES25&gt;=DQ$2,"baik dalam "&amp;FU25,IF(ES25&gt;=DQ$3,"cukup dalam "&amp;FU25,IF(ES25&lt;DQ$3,"dengan bimbingan dapat meningkatkan dalam "&amp;FU25,IF(ES25&lt;1," ",””))))))</f>
        <v>#N/A</v>
      </c>
      <c r="FW25" s="61"/>
      <c r="FX25" s="62" t="e">
        <f t="shared" si="97"/>
        <v>#N/A</v>
      </c>
      <c r="FY25" s="57" t="str">
        <f t="shared" si="98"/>
        <v/>
      </c>
      <c r="FZ25" s="57" t="str">
        <f t="shared" si="98"/>
        <v/>
      </c>
      <c r="GA25" s="57" t="str">
        <f t="shared" si="98"/>
        <v/>
      </c>
      <c r="GB25" s="57"/>
      <c r="GC25" s="57"/>
      <c r="GD25" s="57"/>
      <c r="GE25" s="59">
        <f t="shared" si="45"/>
        <v>0</v>
      </c>
      <c r="GF25" s="60"/>
      <c r="GG25" s="61"/>
      <c r="GH25" s="62" t="str">
        <f t="shared" si="99"/>
        <v>, 0</v>
      </c>
      <c r="GI25" s="4" t="str">
        <f t="shared" si="100"/>
        <v xml:space="preserve">  FALSEFALSEFALSE      </v>
      </c>
    </row>
    <row r="26" spans="1:191" ht="34.5" customHeight="1">
      <c r="A26" s="39">
        <v>19</v>
      </c>
      <c r="B26" s="283">
        <f>SISWA!B24</f>
        <v>0</v>
      </c>
      <c r="C26" s="123"/>
      <c r="D26" s="123"/>
      <c r="E26" s="123"/>
      <c r="F26" s="123"/>
      <c r="G26" s="123"/>
      <c r="H26" s="123"/>
      <c r="I26" s="123"/>
      <c r="J26" s="123"/>
      <c r="K26" s="123"/>
      <c r="L26" s="256"/>
      <c r="M26" s="256"/>
      <c r="N26" s="256"/>
      <c r="O26" s="256"/>
      <c r="P26" s="256"/>
      <c r="Q26" s="256"/>
      <c r="R26" s="256"/>
      <c r="S26" s="256"/>
      <c r="T26" s="256"/>
      <c r="U26" s="123"/>
      <c r="V26" s="123"/>
      <c r="W26" s="123"/>
      <c r="X26" s="123"/>
      <c r="Y26" s="123"/>
      <c r="Z26" s="123"/>
      <c r="AA26" s="123"/>
      <c r="AB26" s="123"/>
      <c r="AC26" s="123"/>
      <c r="AD26" s="256"/>
      <c r="AE26" s="256"/>
      <c r="AF26" s="256"/>
      <c r="AG26" s="256"/>
      <c r="AH26" s="256"/>
      <c r="AI26" s="256"/>
      <c r="AJ26" s="256"/>
      <c r="AK26" s="256"/>
      <c r="AL26" s="256"/>
      <c r="AM26" s="123"/>
      <c r="AN26" s="123"/>
      <c r="AO26" s="123"/>
      <c r="AP26" s="123"/>
      <c r="AQ26" s="123"/>
      <c r="AR26" s="123"/>
      <c r="AS26" s="123"/>
      <c r="AT26" s="123"/>
      <c r="AU26" s="123"/>
      <c r="AV26" s="256"/>
      <c r="AW26" s="256"/>
      <c r="AX26" s="256"/>
      <c r="AY26" s="256"/>
      <c r="AZ26" s="256"/>
      <c r="BA26" s="256"/>
      <c r="BB26" s="256"/>
      <c r="BC26" s="256"/>
      <c r="BD26" s="256"/>
      <c r="BE26" s="123"/>
      <c r="BF26" s="123"/>
      <c r="BG26" s="123"/>
      <c r="BH26" s="123"/>
      <c r="BI26" s="123"/>
      <c r="BJ26" s="123"/>
      <c r="BK26" s="123"/>
      <c r="BL26" s="123"/>
      <c r="BM26" s="123"/>
      <c r="BN26" s="256"/>
      <c r="BO26" s="256"/>
      <c r="BP26" s="256"/>
      <c r="BQ26" s="256"/>
      <c r="BR26" s="256"/>
      <c r="BS26" s="256"/>
      <c r="BT26" s="256"/>
      <c r="BU26" s="256"/>
      <c r="BV26" s="256"/>
      <c r="BW26" s="460"/>
      <c r="BX26" s="460"/>
      <c r="BY26" s="460"/>
      <c r="BZ26" s="460"/>
      <c r="CA26" s="460"/>
      <c r="CB26" s="460"/>
      <c r="CC26" s="460"/>
      <c r="CD26" s="460"/>
      <c r="CE26" s="460"/>
      <c r="CF26" s="346"/>
      <c r="CG26" s="346"/>
      <c r="CH26" s="346"/>
      <c r="CI26" s="346"/>
      <c r="CJ26" s="346"/>
      <c r="CK26" s="346"/>
      <c r="CL26" s="346"/>
      <c r="CM26" s="346"/>
      <c r="CN26" s="346"/>
      <c r="CO26" s="260" t="str">
        <f t="shared" si="46"/>
        <v xml:space="preserve"> </v>
      </c>
      <c r="CP26" s="260" t="str">
        <f t="shared" si="47"/>
        <v xml:space="preserve"> </v>
      </c>
      <c r="CQ26" s="260" t="str">
        <f t="shared" si="48"/>
        <v xml:space="preserve"> </v>
      </c>
      <c r="CR26" s="260" t="str">
        <f t="shared" si="49"/>
        <v xml:space="preserve"> </v>
      </c>
      <c r="CS26" s="260" t="str">
        <f t="shared" si="50"/>
        <v xml:space="preserve"> </v>
      </c>
      <c r="CT26" s="260" t="str">
        <f t="shared" si="101"/>
        <v xml:space="preserve"> </v>
      </c>
      <c r="CU26" s="260" t="str">
        <f t="shared" si="101"/>
        <v xml:space="preserve"> </v>
      </c>
      <c r="CV26" s="260" t="str">
        <f t="shared" si="101"/>
        <v xml:space="preserve"> </v>
      </c>
      <c r="CW26" s="260" t="str">
        <f t="shared" si="101"/>
        <v xml:space="preserve"> </v>
      </c>
      <c r="CX26" s="547"/>
      <c r="CY26" s="547"/>
      <c r="CZ26" s="547"/>
      <c r="DA26" s="547"/>
      <c r="DB26" s="547"/>
      <c r="DC26" s="547"/>
      <c r="DD26" s="547"/>
      <c r="DE26" s="547"/>
      <c r="DF26" s="547"/>
      <c r="DG26" s="564"/>
      <c r="DH26" s="564"/>
      <c r="DI26" s="564"/>
      <c r="DJ26" s="564"/>
      <c r="DK26" s="564"/>
      <c r="DL26" s="564"/>
      <c r="DM26" s="564"/>
      <c r="DN26" s="564"/>
      <c r="DO26" s="564"/>
      <c r="DP26" s="549" t="str">
        <f t="shared" si="51"/>
        <v xml:space="preserve"> </v>
      </c>
      <c r="DQ26" s="291" t="str">
        <f t="shared" si="52"/>
        <v xml:space="preserve">  </v>
      </c>
      <c r="DR26" s="50" t="str">
        <f t="shared" si="53"/>
        <v xml:space="preserve"> </v>
      </c>
      <c r="DS26" s="282"/>
      <c r="DT26" s="51"/>
      <c r="DU26" s="46" t="str">
        <f t="shared" si="54"/>
        <v xml:space="preserve"> </v>
      </c>
      <c r="DV26" s="46" t="str">
        <f t="shared" si="55"/>
        <v xml:space="preserve"> </v>
      </c>
      <c r="DW26" s="46" t="str">
        <f t="shared" si="56"/>
        <v xml:space="preserve"> </v>
      </c>
      <c r="DX26" s="46" t="str">
        <f t="shared" si="57"/>
        <v xml:space="preserve"> </v>
      </c>
      <c r="DY26" s="46" t="str">
        <f t="shared" si="58"/>
        <v xml:space="preserve"> </v>
      </c>
      <c r="DZ26" s="46" t="str">
        <f t="shared" si="59"/>
        <v xml:space="preserve"> </v>
      </c>
      <c r="EA26" s="46" t="str">
        <f t="shared" si="60"/>
        <v xml:space="preserve"> </v>
      </c>
      <c r="EB26" s="46" t="str">
        <f t="shared" si="61"/>
        <v xml:space="preserve"> </v>
      </c>
      <c r="EC26" s="46" t="str">
        <f t="shared" si="62"/>
        <v xml:space="preserve"> </v>
      </c>
      <c r="ED26" s="46"/>
      <c r="EE26" s="52">
        <f>[2]uts!J25</f>
        <v>77.666666666666671</v>
      </c>
      <c r="EF26" s="51"/>
      <c r="EG26" s="53" t="str">
        <f t="shared" si="63"/>
        <v xml:space="preserve">  </v>
      </c>
      <c r="EH26" s="53" t="str">
        <f t="shared" si="64"/>
        <v xml:space="preserve">  </v>
      </c>
      <c r="EI26" s="53" t="str">
        <f t="shared" si="65"/>
        <v xml:space="preserve">  </v>
      </c>
      <c r="EJ26" s="53" t="str">
        <f t="shared" si="66"/>
        <v xml:space="preserve">  </v>
      </c>
      <c r="EK26" s="53" t="str">
        <f t="shared" si="67"/>
        <v xml:space="preserve">  </v>
      </c>
      <c r="EL26" s="53" t="str">
        <f t="shared" si="68"/>
        <v xml:space="preserve">  </v>
      </c>
      <c r="EM26" s="53" t="str">
        <f t="shared" si="69"/>
        <v xml:space="preserve">  </v>
      </c>
      <c r="EN26" s="53" t="str">
        <f t="shared" si="70"/>
        <v xml:space="preserve">  </v>
      </c>
      <c r="EO26" s="53" t="str">
        <f t="shared" si="71"/>
        <v xml:space="preserve">  </v>
      </c>
      <c r="EP26" s="53"/>
      <c r="EQ26" s="54" t="str">
        <f t="shared" si="72"/>
        <v xml:space="preserve"> </v>
      </c>
      <c r="ER26" s="55">
        <f t="shared" si="73"/>
        <v>0</v>
      </c>
      <c r="ES26" s="55">
        <f t="shared" si="74"/>
        <v>0</v>
      </c>
      <c r="ET26" s="51">
        <f>SISWA!E24</f>
        <v>0</v>
      </c>
      <c r="EU26" s="51" t="str">
        <f t="shared" si="75"/>
        <v/>
      </c>
      <c r="EV26" s="56" t="str">
        <f t="shared" si="76"/>
        <v/>
      </c>
      <c r="EW26" s="57" t="str">
        <f t="shared" si="77"/>
        <v/>
      </c>
      <c r="EX26" s="57" t="str">
        <f t="shared" si="78"/>
        <v/>
      </c>
      <c r="EY26" s="57" t="str">
        <f t="shared" si="79"/>
        <v/>
      </c>
      <c r="EZ26" s="57" t="str">
        <f t="shared" si="80"/>
        <v/>
      </c>
      <c r="FA26" s="57" t="str">
        <f t="shared" si="81"/>
        <v/>
      </c>
      <c r="FB26" s="57" t="str">
        <f t="shared" si="82"/>
        <v/>
      </c>
      <c r="FC26" s="57" t="str">
        <f t="shared" si="83"/>
        <v/>
      </c>
      <c r="FD26" s="57" t="str">
        <f t="shared" si="84"/>
        <v/>
      </c>
      <c r="FE26" s="57"/>
      <c r="FF26" s="58">
        <f t="shared" si="85"/>
        <v>0</v>
      </c>
      <c r="FG26" s="55" t="e">
        <f t="shared" si="86"/>
        <v>#N/A</v>
      </c>
      <c r="FH26" s="58"/>
      <c r="FI26" s="59" t="e">
        <f>IF(ER26&gt;100,"",IF(ER26&gt;DQ$1,"sangat baik dalam "&amp;FG26,IF(ER26&gt;=DQ$2,"baik dalam "&amp;FG26,IF(ER26&gt;=DQ$3,"cukup dalam "&amp;FG26,IF(ER26&lt;DQ$3,"dengan bimbingan dapat meningkatkan dalam "&amp;FG26,IF(ER26&lt;1," ",””))))))</f>
        <v>#N/A</v>
      </c>
      <c r="FJ26" s="58"/>
      <c r="FK26" s="57" t="str">
        <f t="shared" si="87"/>
        <v/>
      </c>
      <c r="FL26" s="57" t="str">
        <f t="shared" si="88"/>
        <v/>
      </c>
      <c r="FM26" s="57" t="str">
        <f t="shared" si="89"/>
        <v/>
      </c>
      <c r="FN26" s="57" t="str">
        <f t="shared" si="90"/>
        <v/>
      </c>
      <c r="FO26" s="57" t="str">
        <f t="shared" si="91"/>
        <v/>
      </c>
      <c r="FP26" s="57" t="str">
        <f t="shared" si="92"/>
        <v/>
      </c>
      <c r="FQ26" s="57" t="str">
        <f t="shared" si="93"/>
        <v/>
      </c>
      <c r="FR26" s="57" t="str">
        <f t="shared" si="94"/>
        <v/>
      </c>
      <c r="FS26" s="57" t="str">
        <f t="shared" si="95"/>
        <v/>
      </c>
      <c r="FT26" s="57"/>
      <c r="FU26" s="59" t="e">
        <f t="shared" si="96"/>
        <v>#N/A</v>
      </c>
      <c r="FV26" s="59" t="e">
        <f>IF(ES26&gt;100,"",IF(ES26&gt;DQ$1,"sangat baik dalam "&amp;FU26,IF(ES26&gt;=DQ$2,"baik dalam "&amp;FU26,IF(ES26&gt;=DQ$3,"cukup dalam "&amp;FU26,IF(ES26&lt;DQ$3,"dengan bimbingan dapat meningkatkan dalam "&amp;FU26,IF(ES26&lt;1," ",””))))))</f>
        <v>#N/A</v>
      </c>
      <c r="FW26" s="61"/>
      <c r="FX26" s="62" t="e">
        <f t="shared" si="97"/>
        <v>#N/A</v>
      </c>
      <c r="FY26" s="57" t="str">
        <f t="shared" si="98"/>
        <v/>
      </c>
      <c r="FZ26" s="57" t="str">
        <f t="shared" si="98"/>
        <v/>
      </c>
      <c r="GA26" s="57" t="str">
        <f t="shared" si="98"/>
        <v/>
      </c>
      <c r="GB26" s="57"/>
      <c r="GC26" s="57"/>
      <c r="GD26" s="57"/>
      <c r="GE26" s="59">
        <f t="shared" si="45"/>
        <v>0</v>
      </c>
      <c r="GF26" s="60"/>
      <c r="GG26" s="61"/>
      <c r="GH26" s="62" t="str">
        <f t="shared" si="99"/>
        <v>, 0</v>
      </c>
      <c r="GI26" s="4" t="str">
        <f t="shared" si="100"/>
        <v xml:space="preserve">  FALSEFALSEFALSE      </v>
      </c>
    </row>
    <row r="27" spans="1:191" ht="34.5" customHeight="1">
      <c r="A27" s="39">
        <v>20</v>
      </c>
      <c r="B27" s="283">
        <f>SISWA!B25</f>
        <v>0</v>
      </c>
      <c r="C27" s="123"/>
      <c r="D27" s="123"/>
      <c r="E27" s="123"/>
      <c r="F27" s="123"/>
      <c r="G27" s="123"/>
      <c r="H27" s="123"/>
      <c r="I27" s="123"/>
      <c r="J27" s="123"/>
      <c r="K27" s="123"/>
      <c r="L27" s="256"/>
      <c r="M27" s="256"/>
      <c r="N27" s="256"/>
      <c r="O27" s="256"/>
      <c r="P27" s="256"/>
      <c r="Q27" s="256"/>
      <c r="R27" s="256"/>
      <c r="S27" s="256"/>
      <c r="T27" s="256"/>
      <c r="U27" s="123"/>
      <c r="V27" s="123"/>
      <c r="W27" s="123"/>
      <c r="X27" s="123"/>
      <c r="Y27" s="123"/>
      <c r="Z27" s="123"/>
      <c r="AA27" s="123"/>
      <c r="AB27" s="123"/>
      <c r="AC27" s="123"/>
      <c r="AD27" s="256"/>
      <c r="AE27" s="256"/>
      <c r="AF27" s="256"/>
      <c r="AG27" s="256"/>
      <c r="AH27" s="256"/>
      <c r="AI27" s="256"/>
      <c r="AJ27" s="256"/>
      <c r="AK27" s="256"/>
      <c r="AL27" s="256"/>
      <c r="AM27" s="123"/>
      <c r="AN27" s="123"/>
      <c r="AO27" s="123"/>
      <c r="AP27" s="123"/>
      <c r="AQ27" s="123"/>
      <c r="AR27" s="123"/>
      <c r="AS27" s="123"/>
      <c r="AT27" s="123"/>
      <c r="AU27" s="123"/>
      <c r="AV27" s="256"/>
      <c r="AW27" s="256"/>
      <c r="AX27" s="256"/>
      <c r="AY27" s="256"/>
      <c r="AZ27" s="256"/>
      <c r="BA27" s="256"/>
      <c r="BB27" s="256"/>
      <c r="BC27" s="256"/>
      <c r="BD27" s="256"/>
      <c r="BE27" s="123"/>
      <c r="BF27" s="123"/>
      <c r="BG27" s="123"/>
      <c r="BH27" s="123"/>
      <c r="BI27" s="123"/>
      <c r="BJ27" s="123"/>
      <c r="BK27" s="123"/>
      <c r="BL27" s="123"/>
      <c r="BM27" s="123"/>
      <c r="BN27" s="256"/>
      <c r="BO27" s="256"/>
      <c r="BP27" s="256"/>
      <c r="BQ27" s="256"/>
      <c r="BR27" s="256"/>
      <c r="BS27" s="256"/>
      <c r="BT27" s="256"/>
      <c r="BU27" s="256"/>
      <c r="BV27" s="256"/>
      <c r="BW27" s="460"/>
      <c r="BX27" s="460"/>
      <c r="BY27" s="460"/>
      <c r="BZ27" s="460"/>
      <c r="CA27" s="460"/>
      <c r="CB27" s="460"/>
      <c r="CC27" s="460"/>
      <c r="CD27" s="460"/>
      <c r="CE27" s="460"/>
      <c r="CF27" s="346"/>
      <c r="CG27" s="346"/>
      <c r="CH27" s="346"/>
      <c r="CI27" s="346"/>
      <c r="CJ27" s="346"/>
      <c r="CK27" s="346"/>
      <c r="CL27" s="346"/>
      <c r="CM27" s="346"/>
      <c r="CN27" s="346"/>
      <c r="CO27" s="260" t="str">
        <f t="shared" si="46"/>
        <v xml:space="preserve"> </v>
      </c>
      <c r="CP27" s="260" t="str">
        <f t="shared" si="47"/>
        <v xml:space="preserve"> </v>
      </c>
      <c r="CQ27" s="260" t="str">
        <f t="shared" si="48"/>
        <v xml:space="preserve"> </v>
      </c>
      <c r="CR27" s="260" t="str">
        <f t="shared" si="49"/>
        <v xml:space="preserve"> </v>
      </c>
      <c r="CS27" s="260" t="str">
        <f t="shared" si="50"/>
        <v xml:space="preserve"> </v>
      </c>
      <c r="CT27" s="260" t="str">
        <f t="shared" si="101"/>
        <v xml:space="preserve"> </v>
      </c>
      <c r="CU27" s="260" t="str">
        <f t="shared" si="101"/>
        <v xml:space="preserve"> </v>
      </c>
      <c r="CV27" s="260" t="str">
        <f t="shared" si="101"/>
        <v xml:space="preserve"> </v>
      </c>
      <c r="CW27" s="260" t="str">
        <f t="shared" si="101"/>
        <v xml:space="preserve"> </v>
      </c>
      <c r="CX27" s="547"/>
      <c r="CY27" s="547"/>
      <c r="CZ27" s="547"/>
      <c r="DA27" s="547"/>
      <c r="DB27" s="547"/>
      <c r="DC27" s="547"/>
      <c r="DD27" s="547"/>
      <c r="DE27" s="547"/>
      <c r="DF27" s="547"/>
      <c r="DG27" s="564"/>
      <c r="DH27" s="564"/>
      <c r="DI27" s="564"/>
      <c r="DJ27" s="564"/>
      <c r="DK27" s="564"/>
      <c r="DL27" s="564"/>
      <c r="DM27" s="564"/>
      <c r="DN27" s="564"/>
      <c r="DO27" s="564"/>
      <c r="DP27" s="549" t="str">
        <f t="shared" si="51"/>
        <v xml:space="preserve"> </v>
      </c>
      <c r="DQ27" s="291" t="str">
        <f t="shared" si="52"/>
        <v xml:space="preserve">  </v>
      </c>
      <c r="DR27" s="50" t="str">
        <f t="shared" si="53"/>
        <v xml:space="preserve"> </v>
      </c>
      <c r="DS27" s="282"/>
      <c r="DT27" s="51"/>
      <c r="DU27" s="46" t="str">
        <f t="shared" si="54"/>
        <v xml:space="preserve"> </v>
      </c>
      <c r="DV27" s="46" t="str">
        <f t="shared" si="55"/>
        <v xml:space="preserve"> </v>
      </c>
      <c r="DW27" s="46" t="str">
        <f t="shared" si="56"/>
        <v xml:space="preserve"> </v>
      </c>
      <c r="DX27" s="46" t="str">
        <f t="shared" si="57"/>
        <v xml:space="preserve"> </v>
      </c>
      <c r="DY27" s="46" t="str">
        <f t="shared" si="58"/>
        <v xml:space="preserve"> </v>
      </c>
      <c r="DZ27" s="46" t="str">
        <f t="shared" si="59"/>
        <v xml:space="preserve"> </v>
      </c>
      <c r="EA27" s="46" t="str">
        <f t="shared" si="60"/>
        <v xml:space="preserve"> </v>
      </c>
      <c r="EB27" s="46" t="str">
        <f t="shared" si="61"/>
        <v xml:space="preserve"> </v>
      </c>
      <c r="EC27" s="46" t="str">
        <f t="shared" si="62"/>
        <v xml:space="preserve"> </v>
      </c>
      <c r="ED27" s="46"/>
      <c r="EE27" s="52">
        <f>[2]uts!J26</f>
        <v>72</v>
      </c>
      <c r="EF27" s="51"/>
      <c r="EG27" s="53" t="str">
        <f t="shared" si="63"/>
        <v xml:space="preserve">  </v>
      </c>
      <c r="EH27" s="53" t="str">
        <f t="shared" si="64"/>
        <v xml:space="preserve">  </v>
      </c>
      <c r="EI27" s="53" t="str">
        <f t="shared" si="65"/>
        <v xml:space="preserve">  </v>
      </c>
      <c r="EJ27" s="53" t="str">
        <f t="shared" si="66"/>
        <v xml:space="preserve">  </v>
      </c>
      <c r="EK27" s="53" t="str">
        <f t="shared" si="67"/>
        <v xml:space="preserve">  </v>
      </c>
      <c r="EL27" s="53" t="str">
        <f t="shared" si="68"/>
        <v xml:space="preserve">  </v>
      </c>
      <c r="EM27" s="53" t="str">
        <f t="shared" si="69"/>
        <v xml:space="preserve">  </v>
      </c>
      <c r="EN27" s="53" t="str">
        <f t="shared" si="70"/>
        <v xml:space="preserve">  </v>
      </c>
      <c r="EO27" s="53" t="str">
        <f t="shared" si="71"/>
        <v xml:space="preserve">  </v>
      </c>
      <c r="EP27" s="53"/>
      <c r="EQ27" s="54" t="str">
        <f t="shared" si="72"/>
        <v xml:space="preserve"> </v>
      </c>
      <c r="ER27" s="55">
        <f t="shared" si="73"/>
        <v>0</v>
      </c>
      <c r="ES27" s="55">
        <f t="shared" si="74"/>
        <v>0</v>
      </c>
      <c r="ET27" s="51">
        <f>SISWA!E25</f>
        <v>0</v>
      </c>
      <c r="EU27" s="51" t="str">
        <f t="shared" si="75"/>
        <v/>
      </c>
      <c r="EV27" s="56" t="str">
        <f t="shared" si="76"/>
        <v/>
      </c>
      <c r="EW27" s="57" t="str">
        <f t="shared" si="77"/>
        <v/>
      </c>
      <c r="EX27" s="57" t="str">
        <f t="shared" si="78"/>
        <v/>
      </c>
      <c r="EY27" s="57" t="str">
        <f t="shared" si="79"/>
        <v/>
      </c>
      <c r="EZ27" s="57" t="str">
        <f t="shared" si="80"/>
        <v/>
      </c>
      <c r="FA27" s="57" t="str">
        <f t="shared" si="81"/>
        <v/>
      </c>
      <c r="FB27" s="57" t="str">
        <f t="shared" si="82"/>
        <v/>
      </c>
      <c r="FC27" s="57" t="str">
        <f t="shared" si="83"/>
        <v/>
      </c>
      <c r="FD27" s="57" t="str">
        <f t="shared" si="84"/>
        <v/>
      </c>
      <c r="FE27" s="57"/>
      <c r="FF27" s="58">
        <f t="shared" si="85"/>
        <v>0</v>
      </c>
      <c r="FG27" s="55" t="e">
        <f t="shared" si="86"/>
        <v>#N/A</v>
      </c>
      <c r="FH27" s="58"/>
      <c r="FI27" s="59" t="e">
        <f>IF(ER27&gt;100,"",IF(ER27&gt;DQ$1,"sangat baik dalam "&amp;FG27,IF(ER27&gt;=DQ$2,"baik dalam "&amp;FG27,IF(ER27&gt;=DQ$3,"cukup dalam "&amp;FG27,IF(ER27&lt;DQ$3,"dengan bimbingan dapat meningkatkan dalam "&amp;FG27,IF(ER27&lt;1," ",””))))))</f>
        <v>#N/A</v>
      </c>
      <c r="FJ27" s="58"/>
      <c r="FK27" s="57" t="str">
        <f t="shared" si="87"/>
        <v/>
      </c>
      <c r="FL27" s="57" t="str">
        <f t="shared" si="88"/>
        <v/>
      </c>
      <c r="FM27" s="57" t="str">
        <f t="shared" si="89"/>
        <v/>
      </c>
      <c r="FN27" s="57" t="str">
        <f t="shared" si="90"/>
        <v/>
      </c>
      <c r="FO27" s="57" t="str">
        <f t="shared" si="91"/>
        <v/>
      </c>
      <c r="FP27" s="57" t="str">
        <f t="shared" si="92"/>
        <v/>
      </c>
      <c r="FQ27" s="57" t="str">
        <f t="shared" si="93"/>
        <v/>
      </c>
      <c r="FR27" s="57" t="str">
        <f t="shared" si="94"/>
        <v/>
      </c>
      <c r="FS27" s="57" t="str">
        <f t="shared" si="95"/>
        <v/>
      </c>
      <c r="FT27" s="57"/>
      <c r="FU27" s="59" t="e">
        <f t="shared" si="96"/>
        <v>#N/A</v>
      </c>
      <c r="FV27" s="59" t="e">
        <f>IF(ES27&gt;100,"",IF(ES27&gt;DQ$1,"sangat baik dalam "&amp;FU27,IF(ES27&gt;=DQ$2,"baik dalam "&amp;FU27,IF(ES27&gt;=DQ$3,"cukup dalam "&amp;FU27,IF(ES27&lt;DQ$3,"dengan bimbingan dapat meningkatkan dalam "&amp;FU27,IF(ES27&lt;1," ",””))))))</f>
        <v>#N/A</v>
      </c>
      <c r="FW27" s="61"/>
      <c r="FX27" s="62" t="e">
        <f t="shared" si="97"/>
        <v>#N/A</v>
      </c>
      <c r="FY27" s="57" t="str">
        <f t="shared" si="98"/>
        <v/>
      </c>
      <c r="FZ27" s="57" t="str">
        <f t="shared" si="98"/>
        <v/>
      </c>
      <c r="GA27" s="57" t="str">
        <f t="shared" si="98"/>
        <v/>
      </c>
      <c r="GB27" s="57"/>
      <c r="GC27" s="57"/>
      <c r="GD27" s="57"/>
      <c r="GE27" s="59">
        <f t="shared" si="45"/>
        <v>0</v>
      </c>
      <c r="GF27" s="60"/>
      <c r="GG27" s="61"/>
      <c r="GH27" s="62" t="str">
        <f t="shared" si="99"/>
        <v>, 0</v>
      </c>
      <c r="GI27" s="4" t="str">
        <f t="shared" si="100"/>
        <v xml:space="preserve">  FALSEFALSEFALSE      </v>
      </c>
    </row>
    <row r="28" spans="1:191" ht="34.5" customHeight="1">
      <c r="A28" s="39">
        <v>21</v>
      </c>
      <c r="B28" s="283">
        <f>SISWA!B26</f>
        <v>0</v>
      </c>
      <c r="C28" s="123"/>
      <c r="D28" s="123"/>
      <c r="E28" s="123"/>
      <c r="F28" s="123"/>
      <c r="G28" s="123"/>
      <c r="H28" s="123"/>
      <c r="I28" s="123"/>
      <c r="J28" s="123"/>
      <c r="K28" s="123"/>
      <c r="L28" s="256"/>
      <c r="M28" s="256"/>
      <c r="N28" s="256"/>
      <c r="O28" s="256"/>
      <c r="P28" s="256"/>
      <c r="Q28" s="256"/>
      <c r="R28" s="256"/>
      <c r="S28" s="256"/>
      <c r="T28" s="256"/>
      <c r="U28" s="123"/>
      <c r="V28" s="123"/>
      <c r="W28" s="123"/>
      <c r="X28" s="123"/>
      <c r="Y28" s="123"/>
      <c r="Z28" s="123"/>
      <c r="AA28" s="123"/>
      <c r="AB28" s="123"/>
      <c r="AC28" s="123"/>
      <c r="AD28" s="256"/>
      <c r="AE28" s="256"/>
      <c r="AF28" s="256"/>
      <c r="AG28" s="256"/>
      <c r="AH28" s="256"/>
      <c r="AI28" s="256"/>
      <c r="AJ28" s="256"/>
      <c r="AK28" s="256"/>
      <c r="AL28" s="256"/>
      <c r="AM28" s="123"/>
      <c r="AN28" s="123"/>
      <c r="AO28" s="123"/>
      <c r="AP28" s="123"/>
      <c r="AQ28" s="123"/>
      <c r="AR28" s="123"/>
      <c r="AS28" s="123"/>
      <c r="AT28" s="123"/>
      <c r="AU28" s="123"/>
      <c r="AV28" s="256"/>
      <c r="AW28" s="256"/>
      <c r="AX28" s="256"/>
      <c r="AY28" s="256"/>
      <c r="AZ28" s="256"/>
      <c r="BA28" s="256"/>
      <c r="BB28" s="256"/>
      <c r="BC28" s="256"/>
      <c r="BD28" s="256"/>
      <c r="BE28" s="123"/>
      <c r="BF28" s="123"/>
      <c r="BG28" s="123"/>
      <c r="BH28" s="123"/>
      <c r="BI28" s="123"/>
      <c r="BJ28" s="123"/>
      <c r="BK28" s="123"/>
      <c r="BL28" s="123"/>
      <c r="BM28" s="123"/>
      <c r="BN28" s="256"/>
      <c r="BO28" s="256"/>
      <c r="BP28" s="256"/>
      <c r="BQ28" s="256"/>
      <c r="BR28" s="256"/>
      <c r="BS28" s="256"/>
      <c r="BT28" s="256"/>
      <c r="BU28" s="256"/>
      <c r="BV28" s="256"/>
      <c r="BW28" s="460"/>
      <c r="BX28" s="460"/>
      <c r="BY28" s="460"/>
      <c r="BZ28" s="460"/>
      <c r="CA28" s="460"/>
      <c r="CB28" s="460"/>
      <c r="CC28" s="460"/>
      <c r="CD28" s="460"/>
      <c r="CE28" s="460"/>
      <c r="CF28" s="346"/>
      <c r="CG28" s="346"/>
      <c r="CH28" s="346"/>
      <c r="CI28" s="346"/>
      <c r="CJ28" s="346"/>
      <c r="CK28" s="346"/>
      <c r="CL28" s="346"/>
      <c r="CM28" s="346"/>
      <c r="CN28" s="346"/>
      <c r="CO28" s="260" t="str">
        <f t="shared" si="46"/>
        <v xml:space="preserve"> </v>
      </c>
      <c r="CP28" s="260" t="str">
        <f t="shared" si="47"/>
        <v xml:space="preserve"> </v>
      </c>
      <c r="CQ28" s="260" t="str">
        <f t="shared" si="48"/>
        <v xml:space="preserve"> </v>
      </c>
      <c r="CR28" s="260" t="str">
        <f t="shared" si="49"/>
        <v xml:space="preserve"> </v>
      </c>
      <c r="CS28" s="260" t="str">
        <f t="shared" si="50"/>
        <v xml:space="preserve"> </v>
      </c>
      <c r="CT28" s="260" t="str">
        <f t="shared" si="101"/>
        <v xml:space="preserve"> </v>
      </c>
      <c r="CU28" s="260" t="str">
        <f t="shared" si="101"/>
        <v xml:space="preserve"> </v>
      </c>
      <c r="CV28" s="260" t="str">
        <f t="shared" si="101"/>
        <v xml:space="preserve"> </v>
      </c>
      <c r="CW28" s="260" t="str">
        <f t="shared" si="101"/>
        <v xml:space="preserve"> </v>
      </c>
      <c r="CX28" s="547"/>
      <c r="CY28" s="547"/>
      <c r="CZ28" s="547"/>
      <c r="DA28" s="547"/>
      <c r="DB28" s="547"/>
      <c r="DC28" s="547"/>
      <c r="DD28" s="547"/>
      <c r="DE28" s="547"/>
      <c r="DF28" s="547"/>
      <c r="DG28" s="564"/>
      <c r="DH28" s="564"/>
      <c r="DI28" s="564"/>
      <c r="DJ28" s="564"/>
      <c r="DK28" s="564"/>
      <c r="DL28" s="564"/>
      <c r="DM28" s="564"/>
      <c r="DN28" s="564"/>
      <c r="DO28" s="564"/>
      <c r="DP28" s="549" t="str">
        <f t="shared" si="51"/>
        <v xml:space="preserve"> </v>
      </c>
      <c r="DQ28" s="291" t="str">
        <f t="shared" si="52"/>
        <v xml:space="preserve">  </v>
      </c>
      <c r="DR28" s="50" t="str">
        <f t="shared" si="53"/>
        <v xml:space="preserve"> </v>
      </c>
      <c r="DS28" s="282"/>
      <c r="DT28" s="51"/>
      <c r="DU28" s="46" t="str">
        <f t="shared" si="54"/>
        <v xml:space="preserve"> </v>
      </c>
      <c r="DV28" s="46" t="str">
        <f t="shared" si="55"/>
        <v xml:space="preserve"> </v>
      </c>
      <c r="DW28" s="46" t="str">
        <f t="shared" si="56"/>
        <v xml:space="preserve"> </v>
      </c>
      <c r="DX28" s="46" t="str">
        <f t="shared" si="57"/>
        <v xml:space="preserve"> </v>
      </c>
      <c r="DY28" s="46" t="str">
        <f t="shared" si="58"/>
        <v xml:space="preserve"> </v>
      </c>
      <c r="DZ28" s="46" t="str">
        <f t="shared" si="59"/>
        <v xml:space="preserve"> </v>
      </c>
      <c r="EA28" s="46" t="str">
        <f t="shared" si="60"/>
        <v xml:space="preserve"> </v>
      </c>
      <c r="EB28" s="46" t="str">
        <f t="shared" si="61"/>
        <v xml:space="preserve"> </v>
      </c>
      <c r="EC28" s="46" t="str">
        <f t="shared" si="62"/>
        <v xml:space="preserve"> </v>
      </c>
      <c r="ED28" s="46"/>
      <c r="EE28" s="52">
        <f>[2]uts!J27</f>
        <v>81</v>
      </c>
      <c r="EF28" s="51"/>
      <c r="EG28" s="53" t="str">
        <f t="shared" si="63"/>
        <v xml:space="preserve">  </v>
      </c>
      <c r="EH28" s="53" t="str">
        <f t="shared" si="64"/>
        <v xml:space="preserve">  </v>
      </c>
      <c r="EI28" s="53" t="str">
        <f t="shared" si="65"/>
        <v xml:space="preserve">  </v>
      </c>
      <c r="EJ28" s="53" t="str">
        <f t="shared" si="66"/>
        <v xml:space="preserve">  </v>
      </c>
      <c r="EK28" s="53" t="str">
        <f t="shared" si="67"/>
        <v xml:space="preserve">  </v>
      </c>
      <c r="EL28" s="53" t="str">
        <f t="shared" si="68"/>
        <v xml:space="preserve">  </v>
      </c>
      <c r="EM28" s="53" t="str">
        <f t="shared" si="69"/>
        <v xml:space="preserve">  </v>
      </c>
      <c r="EN28" s="53" t="str">
        <f t="shared" si="70"/>
        <v xml:space="preserve">  </v>
      </c>
      <c r="EO28" s="53" t="str">
        <f t="shared" si="71"/>
        <v xml:space="preserve">  </v>
      </c>
      <c r="EP28" s="53"/>
      <c r="EQ28" s="54" t="str">
        <f t="shared" si="72"/>
        <v xml:space="preserve"> </v>
      </c>
      <c r="ER28" s="55">
        <f t="shared" si="73"/>
        <v>0</v>
      </c>
      <c r="ES28" s="55">
        <f t="shared" si="74"/>
        <v>0</v>
      </c>
      <c r="ET28" s="51">
        <f>SISWA!E26</f>
        <v>0</v>
      </c>
      <c r="EU28" s="51" t="str">
        <f t="shared" si="75"/>
        <v/>
      </c>
      <c r="EV28" s="56" t="str">
        <f t="shared" si="76"/>
        <v/>
      </c>
      <c r="EW28" s="57" t="str">
        <f t="shared" si="77"/>
        <v/>
      </c>
      <c r="EX28" s="57" t="str">
        <f t="shared" si="78"/>
        <v/>
      </c>
      <c r="EY28" s="57" t="str">
        <f t="shared" si="79"/>
        <v/>
      </c>
      <c r="EZ28" s="57" t="str">
        <f t="shared" si="80"/>
        <v/>
      </c>
      <c r="FA28" s="57" t="str">
        <f t="shared" si="81"/>
        <v/>
      </c>
      <c r="FB28" s="57" t="str">
        <f t="shared" si="82"/>
        <v/>
      </c>
      <c r="FC28" s="57" t="str">
        <f t="shared" si="83"/>
        <v/>
      </c>
      <c r="FD28" s="57" t="str">
        <f t="shared" si="84"/>
        <v/>
      </c>
      <c r="FE28" s="57"/>
      <c r="FF28" s="58">
        <f t="shared" si="85"/>
        <v>0</v>
      </c>
      <c r="FG28" s="55" t="e">
        <f t="shared" si="86"/>
        <v>#N/A</v>
      </c>
      <c r="FH28" s="58"/>
      <c r="FI28" s="59" t="e">
        <f>IF(ER28&gt;100,"",IF(ER28&gt;DQ$1,"sangat baik dalam "&amp;FG28,IF(ER28&gt;=DQ$2,"baik dalam "&amp;FG28,IF(ER28&gt;=DQ$3,"cukup dalam "&amp;FG28,IF(ER28&lt;DQ$3,"dengan bimbingan dapat meningkatkan dalam "&amp;FG28,IF(ER28&lt;1," ",””))))))</f>
        <v>#N/A</v>
      </c>
      <c r="FJ28" s="58"/>
      <c r="FK28" s="57" t="str">
        <f t="shared" si="87"/>
        <v/>
      </c>
      <c r="FL28" s="57" t="str">
        <f t="shared" si="88"/>
        <v/>
      </c>
      <c r="FM28" s="57" t="str">
        <f t="shared" si="89"/>
        <v/>
      </c>
      <c r="FN28" s="57" t="str">
        <f t="shared" si="90"/>
        <v/>
      </c>
      <c r="FO28" s="57" t="str">
        <f t="shared" si="91"/>
        <v/>
      </c>
      <c r="FP28" s="57" t="str">
        <f t="shared" si="92"/>
        <v/>
      </c>
      <c r="FQ28" s="57" t="str">
        <f t="shared" si="93"/>
        <v/>
      </c>
      <c r="FR28" s="57" t="str">
        <f t="shared" si="94"/>
        <v/>
      </c>
      <c r="FS28" s="57" t="str">
        <f t="shared" si="95"/>
        <v/>
      </c>
      <c r="FT28" s="57"/>
      <c r="FU28" s="59" t="e">
        <f t="shared" si="96"/>
        <v>#N/A</v>
      </c>
      <c r="FV28" s="59" t="e">
        <f>IF(ES28&gt;100,"",IF(ES28&gt;DQ$1,"sangat baik dalam "&amp;FU28,IF(ES28&gt;=DQ$2,"baik dalam "&amp;FU28,IF(ES28&gt;=DQ$3,"cukup dalam "&amp;FU28,IF(ES28&lt;DQ$3,"dengan bimbingan dapat meningkatkan dalam "&amp;FU28,IF(ES28&lt;1," ",””))))))</f>
        <v>#N/A</v>
      </c>
      <c r="FW28" s="61"/>
      <c r="FX28" s="62" t="e">
        <f t="shared" si="97"/>
        <v>#N/A</v>
      </c>
      <c r="FY28" s="57" t="str">
        <f t="shared" si="98"/>
        <v/>
      </c>
      <c r="FZ28" s="57" t="str">
        <f t="shared" si="98"/>
        <v/>
      </c>
      <c r="GA28" s="57" t="str">
        <f t="shared" si="98"/>
        <v/>
      </c>
      <c r="GB28" s="57"/>
      <c r="GC28" s="57"/>
      <c r="GD28" s="57"/>
      <c r="GE28" s="59">
        <f t="shared" si="45"/>
        <v>0</v>
      </c>
      <c r="GF28" s="60"/>
      <c r="GG28" s="61"/>
      <c r="GH28" s="62" t="str">
        <f t="shared" si="99"/>
        <v>, 0</v>
      </c>
    </row>
    <row r="29" spans="1:191" ht="34.5" customHeight="1">
      <c r="A29" s="39">
        <v>22</v>
      </c>
      <c r="B29" s="283">
        <f>SISWA!B27</f>
        <v>0</v>
      </c>
      <c r="C29" s="123"/>
      <c r="D29" s="123"/>
      <c r="E29" s="123"/>
      <c r="F29" s="123"/>
      <c r="G29" s="123"/>
      <c r="H29" s="123"/>
      <c r="I29" s="123"/>
      <c r="J29" s="123"/>
      <c r="K29" s="123"/>
      <c r="L29" s="256"/>
      <c r="M29" s="256"/>
      <c r="N29" s="256"/>
      <c r="O29" s="256"/>
      <c r="P29" s="256"/>
      <c r="Q29" s="256"/>
      <c r="R29" s="256"/>
      <c r="S29" s="256"/>
      <c r="T29" s="256"/>
      <c r="U29" s="123"/>
      <c r="V29" s="123"/>
      <c r="W29" s="123"/>
      <c r="X29" s="123"/>
      <c r="Y29" s="123"/>
      <c r="Z29" s="123"/>
      <c r="AA29" s="123"/>
      <c r="AB29" s="123"/>
      <c r="AC29" s="123"/>
      <c r="AD29" s="256"/>
      <c r="AE29" s="256"/>
      <c r="AF29" s="256"/>
      <c r="AG29" s="256"/>
      <c r="AH29" s="256"/>
      <c r="AI29" s="256"/>
      <c r="AJ29" s="256"/>
      <c r="AK29" s="256"/>
      <c r="AL29" s="256"/>
      <c r="AM29" s="123"/>
      <c r="AN29" s="123"/>
      <c r="AO29" s="123"/>
      <c r="AP29" s="123"/>
      <c r="AQ29" s="123"/>
      <c r="AR29" s="123"/>
      <c r="AS29" s="123"/>
      <c r="AT29" s="123"/>
      <c r="AU29" s="123"/>
      <c r="AV29" s="256"/>
      <c r="AW29" s="256"/>
      <c r="AX29" s="256"/>
      <c r="AY29" s="256"/>
      <c r="AZ29" s="256"/>
      <c r="BA29" s="256"/>
      <c r="BB29" s="256"/>
      <c r="BC29" s="256"/>
      <c r="BD29" s="256"/>
      <c r="BE29" s="123"/>
      <c r="BF29" s="123"/>
      <c r="BG29" s="123"/>
      <c r="BH29" s="123"/>
      <c r="BI29" s="123"/>
      <c r="BJ29" s="123"/>
      <c r="BK29" s="123"/>
      <c r="BL29" s="123"/>
      <c r="BM29" s="123"/>
      <c r="BN29" s="256"/>
      <c r="BO29" s="256"/>
      <c r="BP29" s="256"/>
      <c r="BQ29" s="256"/>
      <c r="BR29" s="256"/>
      <c r="BS29" s="256"/>
      <c r="BT29" s="256"/>
      <c r="BU29" s="256"/>
      <c r="BV29" s="256"/>
      <c r="BW29" s="460"/>
      <c r="BX29" s="460"/>
      <c r="BY29" s="460"/>
      <c r="BZ29" s="460"/>
      <c r="CA29" s="460"/>
      <c r="CB29" s="460"/>
      <c r="CC29" s="460"/>
      <c r="CD29" s="460"/>
      <c r="CE29" s="460"/>
      <c r="CF29" s="346"/>
      <c r="CG29" s="346"/>
      <c r="CH29" s="346"/>
      <c r="CI29" s="346"/>
      <c r="CJ29" s="346"/>
      <c r="CK29" s="346"/>
      <c r="CL29" s="346"/>
      <c r="CM29" s="346"/>
      <c r="CN29" s="346"/>
      <c r="CO29" s="260" t="str">
        <f t="shared" si="46"/>
        <v xml:space="preserve"> </v>
      </c>
      <c r="CP29" s="260" t="str">
        <f t="shared" si="47"/>
        <v xml:space="preserve"> </v>
      </c>
      <c r="CQ29" s="260" t="str">
        <f t="shared" si="48"/>
        <v xml:space="preserve"> </v>
      </c>
      <c r="CR29" s="260" t="str">
        <f t="shared" si="49"/>
        <v xml:space="preserve"> </v>
      </c>
      <c r="CS29" s="260" t="str">
        <f t="shared" si="50"/>
        <v xml:space="preserve"> </v>
      </c>
      <c r="CT29" s="260" t="str">
        <f t="shared" si="101"/>
        <v xml:space="preserve"> </v>
      </c>
      <c r="CU29" s="260" t="str">
        <f t="shared" si="101"/>
        <v xml:space="preserve"> </v>
      </c>
      <c r="CV29" s="260" t="str">
        <f t="shared" si="101"/>
        <v xml:space="preserve"> </v>
      </c>
      <c r="CW29" s="260" t="str">
        <f t="shared" si="101"/>
        <v xml:space="preserve"> </v>
      </c>
      <c r="CX29" s="547"/>
      <c r="CY29" s="547"/>
      <c r="CZ29" s="547"/>
      <c r="DA29" s="547"/>
      <c r="DB29" s="547"/>
      <c r="DC29" s="547"/>
      <c r="DD29" s="547"/>
      <c r="DE29" s="547"/>
      <c r="DF29" s="547"/>
      <c r="DG29" s="564"/>
      <c r="DH29" s="564"/>
      <c r="DI29" s="564"/>
      <c r="DJ29" s="564"/>
      <c r="DK29" s="564"/>
      <c r="DL29" s="564"/>
      <c r="DM29" s="564"/>
      <c r="DN29" s="564"/>
      <c r="DO29" s="564"/>
      <c r="DP29" s="549" t="str">
        <f t="shared" si="51"/>
        <v xml:space="preserve"> </v>
      </c>
      <c r="DQ29" s="291" t="str">
        <f t="shared" si="52"/>
        <v xml:space="preserve">  </v>
      </c>
      <c r="DR29" s="50" t="str">
        <f t="shared" si="53"/>
        <v xml:space="preserve"> </v>
      </c>
      <c r="DS29" s="282"/>
      <c r="DT29" s="51"/>
      <c r="DU29" s="46" t="str">
        <f t="shared" si="54"/>
        <v xml:space="preserve"> </v>
      </c>
      <c r="DV29" s="46" t="str">
        <f t="shared" si="55"/>
        <v xml:space="preserve"> </v>
      </c>
      <c r="DW29" s="46" t="str">
        <f t="shared" si="56"/>
        <v xml:space="preserve"> </v>
      </c>
      <c r="DX29" s="46" t="str">
        <f t="shared" si="57"/>
        <v xml:space="preserve"> </v>
      </c>
      <c r="DY29" s="46" t="str">
        <f t="shared" si="58"/>
        <v xml:space="preserve"> </v>
      </c>
      <c r="DZ29" s="46" t="str">
        <f t="shared" si="59"/>
        <v xml:space="preserve"> </v>
      </c>
      <c r="EA29" s="46" t="str">
        <f t="shared" si="60"/>
        <v xml:space="preserve"> </v>
      </c>
      <c r="EB29" s="46" t="str">
        <f t="shared" si="61"/>
        <v xml:space="preserve"> </v>
      </c>
      <c r="EC29" s="46" t="str">
        <f t="shared" si="62"/>
        <v xml:space="preserve"> </v>
      </c>
      <c r="ED29" s="46"/>
      <c r="EE29" s="52">
        <f>[2]uts!J28</f>
        <v>77</v>
      </c>
      <c r="EF29" s="51"/>
      <c r="EG29" s="53" t="str">
        <f t="shared" si="63"/>
        <v xml:space="preserve">  </v>
      </c>
      <c r="EH29" s="53" t="str">
        <f t="shared" si="64"/>
        <v xml:space="preserve">  </v>
      </c>
      <c r="EI29" s="53" t="str">
        <f t="shared" si="65"/>
        <v xml:space="preserve">  </v>
      </c>
      <c r="EJ29" s="53" t="str">
        <f t="shared" si="66"/>
        <v xml:space="preserve">  </v>
      </c>
      <c r="EK29" s="53" t="str">
        <f t="shared" si="67"/>
        <v xml:space="preserve">  </v>
      </c>
      <c r="EL29" s="53" t="str">
        <f t="shared" si="68"/>
        <v xml:space="preserve">  </v>
      </c>
      <c r="EM29" s="53" t="str">
        <f t="shared" si="69"/>
        <v xml:space="preserve">  </v>
      </c>
      <c r="EN29" s="53" t="str">
        <f t="shared" si="70"/>
        <v xml:space="preserve">  </v>
      </c>
      <c r="EO29" s="53" t="str">
        <f t="shared" si="71"/>
        <v xml:space="preserve">  </v>
      </c>
      <c r="EP29" s="53"/>
      <c r="EQ29" s="54" t="str">
        <f t="shared" si="72"/>
        <v xml:space="preserve"> </v>
      </c>
      <c r="ER29" s="55">
        <f t="shared" si="73"/>
        <v>0</v>
      </c>
      <c r="ES29" s="55">
        <f t="shared" si="74"/>
        <v>0</v>
      </c>
      <c r="ET29" s="51">
        <f>SISWA!E27</f>
        <v>0</v>
      </c>
      <c r="EU29" s="51" t="str">
        <f t="shared" si="75"/>
        <v/>
      </c>
      <c r="EV29" s="56" t="str">
        <f t="shared" si="76"/>
        <v/>
      </c>
      <c r="EW29" s="57" t="str">
        <f t="shared" si="77"/>
        <v/>
      </c>
      <c r="EX29" s="57" t="str">
        <f t="shared" si="78"/>
        <v/>
      </c>
      <c r="EY29" s="57" t="str">
        <f t="shared" si="79"/>
        <v/>
      </c>
      <c r="EZ29" s="57" t="str">
        <f t="shared" si="80"/>
        <v/>
      </c>
      <c r="FA29" s="57" t="str">
        <f t="shared" si="81"/>
        <v/>
      </c>
      <c r="FB29" s="57" t="str">
        <f t="shared" si="82"/>
        <v/>
      </c>
      <c r="FC29" s="57" t="str">
        <f t="shared" si="83"/>
        <v/>
      </c>
      <c r="FD29" s="57" t="str">
        <f t="shared" si="84"/>
        <v/>
      </c>
      <c r="FE29" s="57"/>
      <c r="FF29" s="58">
        <f t="shared" si="85"/>
        <v>0</v>
      </c>
      <c r="FG29" s="55" t="e">
        <f t="shared" si="86"/>
        <v>#N/A</v>
      </c>
      <c r="FH29" s="58"/>
      <c r="FI29" s="59" t="e">
        <f>IF(ER29&gt;100,"",IF(ER29&gt;DQ$1,"sangat baik dalam "&amp;FG29,IF(ER29&gt;=DQ$2,"baik dalam "&amp;FG29,IF(ER29&gt;=DQ$3,"cukup dalam "&amp;FG29,IF(ER29&lt;DQ$3,"dengan bimbingan dapat meningkatkan dalam "&amp;FG29,IF(ER29&lt;1," ",””))))))</f>
        <v>#N/A</v>
      </c>
      <c r="FJ29" s="58"/>
      <c r="FK29" s="57" t="str">
        <f t="shared" si="87"/>
        <v/>
      </c>
      <c r="FL29" s="57" t="str">
        <f t="shared" si="88"/>
        <v/>
      </c>
      <c r="FM29" s="57" t="str">
        <f t="shared" si="89"/>
        <v/>
      </c>
      <c r="FN29" s="57" t="str">
        <f t="shared" si="90"/>
        <v/>
      </c>
      <c r="FO29" s="57" t="str">
        <f t="shared" si="91"/>
        <v/>
      </c>
      <c r="FP29" s="57" t="str">
        <f t="shared" si="92"/>
        <v/>
      </c>
      <c r="FQ29" s="57" t="str">
        <f t="shared" si="93"/>
        <v/>
      </c>
      <c r="FR29" s="57" t="str">
        <f t="shared" si="94"/>
        <v/>
      </c>
      <c r="FS29" s="57" t="str">
        <f t="shared" si="95"/>
        <v/>
      </c>
      <c r="FT29" s="57"/>
      <c r="FU29" s="59" t="e">
        <f t="shared" si="96"/>
        <v>#N/A</v>
      </c>
      <c r="FV29" s="59" t="e">
        <f>IF(ES29&gt;100,"",IF(ES29&gt;DQ$1,"sangat baik dalam "&amp;FU29,IF(ES29&gt;=DQ$2,"baik dalam "&amp;FU29,IF(ES29&gt;=DQ$3,"cukup dalam "&amp;FU29,IF(ES29&lt;DQ$3,"dengan bimbingan dapat meningkatkan dalam "&amp;FU29,IF(ES29&lt;1," ",””))))))</f>
        <v>#N/A</v>
      </c>
      <c r="FW29" s="61"/>
      <c r="FX29" s="62" t="e">
        <f t="shared" si="97"/>
        <v>#N/A</v>
      </c>
      <c r="FY29" s="57" t="str">
        <f t="shared" si="98"/>
        <v/>
      </c>
      <c r="FZ29" s="57" t="str">
        <f t="shared" si="98"/>
        <v/>
      </c>
      <c r="GA29" s="57" t="str">
        <f t="shared" si="98"/>
        <v/>
      </c>
      <c r="GB29" s="57"/>
      <c r="GC29" s="57"/>
      <c r="GD29" s="57"/>
      <c r="GE29" s="59">
        <f t="shared" si="45"/>
        <v>0</v>
      </c>
      <c r="GF29" s="60"/>
      <c r="GG29" s="61"/>
      <c r="GH29" s="62" t="str">
        <f t="shared" si="99"/>
        <v>, 0</v>
      </c>
    </row>
    <row r="30" spans="1:191" ht="34.5" customHeight="1">
      <c r="A30" s="39">
        <v>23</v>
      </c>
      <c r="B30" s="283">
        <f>SISWA!B28</f>
        <v>0</v>
      </c>
      <c r="C30" s="123"/>
      <c r="D30" s="123"/>
      <c r="E30" s="123"/>
      <c r="F30" s="123"/>
      <c r="G30" s="123"/>
      <c r="H30" s="123"/>
      <c r="I30" s="123"/>
      <c r="J30" s="123"/>
      <c r="K30" s="123"/>
      <c r="L30" s="256"/>
      <c r="M30" s="256"/>
      <c r="N30" s="256"/>
      <c r="O30" s="256"/>
      <c r="P30" s="256"/>
      <c r="Q30" s="256"/>
      <c r="R30" s="256"/>
      <c r="S30" s="256"/>
      <c r="T30" s="256"/>
      <c r="U30" s="123"/>
      <c r="V30" s="123"/>
      <c r="W30" s="123"/>
      <c r="X30" s="123"/>
      <c r="Y30" s="123"/>
      <c r="Z30" s="123"/>
      <c r="AA30" s="123"/>
      <c r="AB30" s="123"/>
      <c r="AC30" s="123"/>
      <c r="AD30" s="256"/>
      <c r="AE30" s="256"/>
      <c r="AF30" s="256"/>
      <c r="AG30" s="256"/>
      <c r="AH30" s="256"/>
      <c r="AI30" s="256"/>
      <c r="AJ30" s="256"/>
      <c r="AK30" s="256"/>
      <c r="AL30" s="256"/>
      <c r="AM30" s="123"/>
      <c r="AN30" s="123"/>
      <c r="AO30" s="123"/>
      <c r="AP30" s="123"/>
      <c r="AQ30" s="123"/>
      <c r="AR30" s="123"/>
      <c r="AS30" s="123"/>
      <c r="AT30" s="123"/>
      <c r="AU30" s="123"/>
      <c r="AV30" s="256"/>
      <c r="AW30" s="256"/>
      <c r="AX30" s="256"/>
      <c r="AY30" s="256"/>
      <c r="AZ30" s="256"/>
      <c r="BA30" s="256"/>
      <c r="BB30" s="256"/>
      <c r="BC30" s="256"/>
      <c r="BD30" s="256"/>
      <c r="BE30" s="123"/>
      <c r="BF30" s="123"/>
      <c r="BG30" s="123"/>
      <c r="BH30" s="123"/>
      <c r="BI30" s="123"/>
      <c r="BJ30" s="123"/>
      <c r="BK30" s="123"/>
      <c r="BL30" s="123"/>
      <c r="BM30" s="123"/>
      <c r="BN30" s="256"/>
      <c r="BO30" s="256"/>
      <c r="BP30" s="256"/>
      <c r="BQ30" s="256"/>
      <c r="BR30" s="256"/>
      <c r="BS30" s="256"/>
      <c r="BT30" s="256"/>
      <c r="BU30" s="256"/>
      <c r="BV30" s="256"/>
      <c r="BW30" s="460"/>
      <c r="BX30" s="460"/>
      <c r="BY30" s="460"/>
      <c r="BZ30" s="460"/>
      <c r="CA30" s="460"/>
      <c r="CB30" s="460"/>
      <c r="CC30" s="460"/>
      <c r="CD30" s="460"/>
      <c r="CE30" s="460"/>
      <c r="CF30" s="346"/>
      <c r="CG30" s="346"/>
      <c r="CH30" s="346"/>
      <c r="CI30" s="346"/>
      <c r="CJ30" s="346"/>
      <c r="CK30" s="346"/>
      <c r="CL30" s="346"/>
      <c r="CM30" s="346"/>
      <c r="CN30" s="346"/>
      <c r="CO30" s="260" t="str">
        <f t="shared" si="46"/>
        <v xml:space="preserve"> </v>
      </c>
      <c r="CP30" s="260" t="str">
        <f t="shared" si="47"/>
        <v xml:space="preserve"> </v>
      </c>
      <c r="CQ30" s="260" t="str">
        <f t="shared" si="48"/>
        <v xml:space="preserve"> </v>
      </c>
      <c r="CR30" s="260" t="str">
        <f t="shared" si="49"/>
        <v xml:space="preserve"> </v>
      </c>
      <c r="CS30" s="260" t="str">
        <f t="shared" si="50"/>
        <v xml:space="preserve"> </v>
      </c>
      <c r="CT30" s="260" t="str">
        <f t="shared" si="101"/>
        <v xml:space="preserve"> </v>
      </c>
      <c r="CU30" s="260" t="str">
        <f t="shared" si="101"/>
        <v xml:space="preserve"> </v>
      </c>
      <c r="CV30" s="260" t="str">
        <f t="shared" si="101"/>
        <v xml:space="preserve"> </v>
      </c>
      <c r="CW30" s="260" t="str">
        <f t="shared" si="101"/>
        <v xml:space="preserve"> </v>
      </c>
      <c r="CX30" s="547"/>
      <c r="CY30" s="547"/>
      <c r="CZ30" s="547"/>
      <c r="DA30" s="547"/>
      <c r="DB30" s="547"/>
      <c r="DC30" s="547"/>
      <c r="DD30" s="547"/>
      <c r="DE30" s="547"/>
      <c r="DF30" s="547"/>
      <c r="DG30" s="564"/>
      <c r="DH30" s="564"/>
      <c r="DI30" s="564"/>
      <c r="DJ30" s="564"/>
      <c r="DK30" s="564"/>
      <c r="DL30" s="564"/>
      <c r="DM30" s="564"/>
      <c r="DN30" s="564"/>
      <c r="DO30" s="564"/>
      <c r="DP30" s="549" t="str">
        <f t="shared" si="51"/>
        <v xml:space="preserve"> </v>
      </c>
      <c r="DQ30" s="291" t="str">
        <f t="shared" si="52"/>
        <v xml:space="preserve">  </v>
      </c>
      <c r="DR30" s="50" t="str">
        <f t="shared" si="53"/>
        <v xml:space="preserve"> </v>
      </c>
      <c r="DS30" s="282"/>
      <c r="DT30" s="51"/>
      <c r="DU30" s="46" t="str">
        <f t="shared" si="54"/>
        <v xml:space="preserve"> </v>
      </c>
      <c r="DV30" s="46" t="str">
        <f t="shared" si="55"/>
        <v xml:space="preserve"> </v>
      </c>
      <c r="DW30" s="46" t="str">
        <f t="shared" si="56"/>
        <v xml:space="preserve"> </v>
      </c>
      <c r="DX30" s="46" t="str">
        <f t="shared" si="57"/>
        <v xml:space="preserve"> </v>
      </c>
      <c r="DY30" s="46" t="str">
        <f t="shared" si="58"/>
        <v xml:space="preserve"> </v>
      </c>
      <c r="DZ30" s="46" t="str">
        <f t="shared" si="59"/>
        <v xml:space="preserve"> </v>
      </c>
      <c r="EA30" s="46" t="str">
        <f t="shared" si="60"/>
        <v xml:space="preserve"> </v>
      </c>
      <c r="EB30" s="46" t="str">
        <f t="shared" si="61"/>
        <v xml:space="preserve"> </v>
      </c>
      <c r="EC30" s="46" t="str">
        <f t="shared" si="62"/>
        <v xml:space="preserve"> </v>
      </c>
      <c r="ED30" s="46"/>
      <c r="EE30" s="52">
        <f>[2]uts!J29</f>
        <v>81</v>
      </c>
      <c r="EF30" s="51"/>
      <c r="EG30" s="53" t="str">
        <f t="shared" si="63"/>
        <v xml:space="preserve">  </v>
      </c>
      <c r="EH30" s="53" t="str">
        <f t="shared" si="64"/>
        <v xml:space="preserve">  </v>
      </c>
      <c r="EI30" s="53" t="str">
        <f t="shared" si="65"/>
        <v xml:space="preserve">  </v>
      </c>
      <c r="EJ30" s="53" t="str">
        <f t="shared" si="66"/>
        <v xml:space="preserve">  </v>
      </c>
      <c r="EK30" s="53" t="str">
        <f t="shared" si="67"/>
        <v xml:space="preserve">  </v>
      </c>
      <c r="EL30" s="53" t="str">
        <f t="shared" si="68"/>
        <v xml:space="preserve">  </v>
      </c>
      <c r="EM30" s="53" t="str">
        <f t="shared" si="69"/>
        <v xml:space="preserve">  </v>
      </c>
      <c r="EN30" s="53" t="str">
        <f t="shared" si="70"/>
        <v xml:space="preserve">  </v>
      </c>
      <c r="EO30" s="53" t="str">
        <f t="shared" si="71"/>
        <v xml:space="preserve">  </v>
      </c>
      <c r="EP30" s="53"/>
      <c r="EQ30" s="54" t="str">
        <f t="shared" si="72"/>
        <v xml:space="preserve"> </v>
      </c>
      <c r="ER30" s="55">
        <f t="shared" si="73"/>
        <v>0</v>
      </c>
      <c r="ES30" s="55">
        <f t="shared" si="74"/>
        <v>0</v>
      </c>
      <c r="ET30" s="51">
        <f>SISWA!E28</f>
        <v>0</v>
      </c>
      <c r="EU30" s="51" t="str">
        <f t="shared" si="75"/>
        <v/>
      </c>
      <c r="EV30" s="56" t="str">
        <f t="shared" si="76"/>
        <v/>
      </c>
      <c r="EW30" s="57" t="str">
        <f t="shared" si="77"/>
        <v/>
      </c>
      <c r="EX30" s="57" t="str">
        <f t="shared" si="78"/>
        <v/>
      </c>
      <c r="EY30" s="57" t="str">
        <f t="shared" si="79"/>
        <v/>
      </c>
      <c r="EZ30" s="57" t="str">
        <f t="shared" si="80"/>
        <v/>
      </c>
      <c r="FA30" s="57" t="str">
        <f t="shared" si="81"/>
        <v/>
      </c>
      <c r="FB30" s="57" t="str">
        <f t="shared" si="82"/>
        <v/>
      </c>
      <c r="FC30" s="57" t="str">
        <f t="shared" si="83"/>
        <v/>
      </c>
      <c r="FD30" s="57" t="str">
        <f t="shared" si="84"/>
        <v/>
      </c>
      <c r="FE30" s="57"/>
      <c r="FF30" s="58">
        <f t="shared" si="85"/>
        <v>0</v>
      </c>
      <c r="FG30" s="55" t="e">
        <f t="shared" si="86"/>
        <v>#N/A</v>
      </c>
      <c r="FH30" s="58"/>
      <c r="FI30" s="59" t="e">
        <f>IF(ER30&gt;100,"",IF(ER30&gt;DQ$1,"sangat baik dalam "&amp;FG30,IF(ER30&gt;=DQ$2,"baik dalam "&amp;FG30,IF(ER30&gt;=DQ$3,"cukup dalam "&amp;FG30,IF(ER30&lt;DQ$3,"dengan bimbingan dapat meningkatkan dalam "&amp;FG30,IF(ER30&lt;1," ",””))))))</f>
        <v>#N/A</v>
      </c>
      <c r="FJ30" s="58"/>
      <c r="FK30" s="57" t="str">
        <f t="shared" si="87"/>
        <v/>
      </c>
      <c r="FL30" s="57" t="str">
        <f t="shared" si="88"/>
        <v/>
      </c>
      <c r="FM30" s="57" t="str">
        <f t="shared" si="89"/>
        <v/>
      </c>
      <c r="FN30" s="57" t="str">
        <f t="shared" si="90"/>
        <v/>
      </c>
      <c r="FO30" s="57" t="str">
        <f t="shared" si="91"/>
        <v/>
      </c>
      <c r="FP30" s="57" t="str">
        <f t="shared" si="92"/>
        <v/>
      </c>
      <c r="FQ30" s="57" t="str">
        <f t="shared" si="93"/>
        <v/>
      </c>
      <c r="FR30" s="57" t="str">
        <f t="shared" si="94"/>
        <v/>
      </c>
      <c r="FS30" s="57" t="str">
        <f t="shared" si="95"/>
        <v/>
      </c>
      <c r="FT30" s="57"/>
      <c r="FU30" s="59" t="e">
        <f t="shared" si="96"/>
        <v>#N/A</v>
      </c>
      <c r="FV30" s="59" t="e">
        <f>IF(ES30&gt;100,"",IF(ES30&gt;DQ$1,"sangat baik dalam "&amp;FU30,IF(ES30&gt;=DQ$2,"baik dalam "&amp;FU30,IF(ES30&gt;=DQ$3,"cukup dalam "&amp;FU30,IF(ES30&lt;DQ$3,"dengan bimbingan dapat meningkatkan dalam "&amp;FU30,IF(ES30&lt;1," ",””))))))</f>
        <v>#N/A</v>
      </c>
      <c r="FW30" s="61"/>
      <c r="FX30" s="62" t="e">
        <f t="shared" si="97"/>
        <v>#N/A</v>
      </c>
      <c r="FY30" s="57" t="str">
        <f t="shared" si="98"/>
        <v/>
      </c>
      <c r="FZ30" s="57" t="str">
        <f t="shared" si="98"/>
        <v/>
      </c>
      <c r="GA30" s="57" t="str">
        <f t="shared" si="98"/>
        <v/>
      </c>
      <c r="GB30" s="57"/>
      <c r="GC30" s="57"/>
      <c r="GD30" s="57"/>
      <c r="GE30" s="59">
        <f t="shared" si="45"/>
        <v>0</v>
      </c>
      <c r="GF30" s="60"/>
      <c r="GG30" s="61"/>
      <c r="GH30" s="62" t="str">
        <f t="shared" si="99"/>
        <v>, 0</v>
      </c>
    </row>
    <row r="31" spans="1:191" ht="34.5" customHeight="1">
      <c r="A31" s="39">
        <v>24</v>
      </c>
      <c r="B31" s="283">
        <f>SISWA!B29</f>
        <v>0</v>
      </c>
      <c r="C31" s="123"/>
      <c r="D31" s="123"/>
      <c r="E31" s="123"/>
      <c r="F31" s="123"/>
      <c r="G31" s="123"/>
      <c r="H31" s="123"/>
      <c r="I31" s="123"/>
      <c r="J31" s="123"/>
      <c r="K31" s="123"/>
      <c r="L31" s="256"/>
      <c r="M31" s="256"/>
      <c r="N31" s="256"/>
      <c r="O31" s="256"/>
      <c r="P31" s="256"/>
      <c r="Q31" s="256"/>
      <c r="R31" s="256"/>
      <c r="S31" s="256"/>
      <c r="T31" s="256"/>
      <c r="U31" s="123"/>
      <c r="V31" s="123"/>
      <c r="W31" s="123"/>
      <c r="X31" s="123"/>
      <c r="Y31" s="123"/>
      <c r="Z31" s="123"/>
      <c r="AA31" s="123"/>
      <c r="AB31" s="123"/>
      <c r="AC31" s="123"/>
      <c r="AD31" s="256"/>
      <c r="AE31" s="256"/>
      <c r="AF31" s="256"/>
      <c r="AG31" s="256"/>
      <c r="AH31" s="256"/>
      <c r="AI31" s="256"/>
      <c r="AJ31" s="256"/>
      <c r="AK31" s="256"/>
      <c r="AL31" s="256"/>
      <c r="AM31" s="123"/>
      <c r="AN31" s="123"/>
      <c r="AO31" s="123"/>
      <c r="AP31" s="123"/>
      <c r="AQ31" s="123"/>
      <c r="AR31" s="123"/>
      <c r="AS31" s="123"/>
      <c r="AT31" s="123"/>
      <c r="AU31" s="123"/>
      <c r="AV31" s="256"/>
      <c r="AW31" s="256"/>
      <c r="AX31" s="256"/>
      <c r="AY31" s="256"/>
      <c r="AZ31" s="256"/>
      <c r="BA31" s="256"/>
      <c r="BB31" s="256"/>
      <c r="BC31" s="256"/>
      <c r="BD31" s="256"/>
      <c r="BE31" s="123"/>
      <c r="BF31" s="123"/>
      <c r="BG31" s="123"/>
      <c r="BH31" s="123"/>
      <c r="BI31" s="123"/>
      <c r="BJ31" s="123"/>
      <c r="BK31" s="123"/>
      <c r="BL31" s="123"/>
      <c r="BM31" s="123"/>
      <c r="BN31" s="256"/>
      <c r="BO31" s="256"/>
      <c r="BP31" s="256"/>
      <c r="BQ31" s="256"/>
      <c r="BR31" s="256"/>
      <c r="BS31" s="256"/>
      <c r="BT31" s="256"/>
      <c r="BU31" s="256"/>
      <c r="BV31" s="256"/>
      <c r="BW31" s="460"/>
      <c r="BX31" s="460"/>
      <c r="BY31" s="460"/>
      <c r="BZ31" s="460"/>
      <c r="CA31" s="460"/>
      <c r="CB31" s="460"/>
      <c r="CC31" s="460"/>
      <c r="CD31" s="460"/>
      <c r="CE31" s="460"/>
      <c r="CF31" s="346"/>
      <c r="CG31" s="346"/>
      <c r="CH31" s="346"/>
      <c r="CI31" s="346"/>
      <c r="CJ31" s="346"/>
      <c r="CK31" s="346"/>
      <c r="CL31" s="346"/>
      <c r="CM31" s="346"/>
      <c r="CN31" s="346"/>
      <c r="CO31" s="260" t="str">
        <f t="shared" si="46"/>
        <v xml:space="preserve"> </v>
      </c>
      <c r="CP31" s="260" t="str">
        <f t="shared" si="47"/>
        <v xml:space="preserve"> </v>
      </c>
      <c r="CQ31" s="260" t="str">
        <f t="shared" si="48"/>
        <v xml:space="preserve"> </v>
      </c>
      <c r="CR31" s="260" t="str">
        <f t="shared" si="49"/>
        <v xml:space="preserve"> </v>
      </c>
      <c r="CS31" s="260" t="str">
        <f t="shared" si="50"/>
        <v xml:space="preserve"> </v>
      </c>
      <c r="CT31" s="260" t="str">
        <f t="shared" si="101"/>
        <v xml:space="preserve"> </v>
      </c>
      <c r="CU31" s="260" t="str">
        <f t="shared" si="101"/>
        <v xml:space="preserve"> </v>
      </c>
      <c r="CV31" s="260" t="str">
        <f t="shared" si="101"/>
        <v xml:space="preserve"> </v>
      </c>
      <c r="CW31" s="260" t="str">
        <f t="shared" si="101"/>
        <v xml:space="preserve"> </v>
      </c>
      <c r="CX31" s="547"/>
      <c r="CY31" s="547"/>
      <c r="CZ31" s="547"/>
      <c r="DA31" s="547"/>
      <c r="DB31" s="547"/>
      <c r="DC31" s="547"/>
      <c r="DD31" s="547"/>
      <c r="DE31" s="547"/>
      <c r="DF31" s="547"/>
      <c r="DG31" s="564"/>
      <c r="DH31" s="564"/>
      <c r="DI31" s="564"/>
      <c r="DJ31" s="564"/>
      <c r="DK31" s="564"/>
      <c r="DL31" s="564"/>
      <c r="DM31" s="564"/>
      <c r="DN31" s="564"/>
      <c r="DO31" s="564"/>
      <c r="DP31" s="549" t="str">
        <f t="shared" si="51"/>
        <v xml:space="preserve"> </v>
      </c>
      <c r="DQ31" s="291" t="str">
        <f t="shared" si="52"/>
        <v xml:space="preserve">  </v>
      </c>
      <c r="DR31" s="50" t="str">
        <f t="shared" si="53"/>
        <v xml:space="preserve"> </v>
      </c>
      <c r="DS31" s="282"/>
      <c r="DT31" s="51"/>
      <c r="DU31" s="46" t="str">
        <f t="shared" si="54"/>
        <v xml:space="preserve"> </v>
      </c>
      <c r="DV31" s="46" t="str">
        <f t="shared" si="55"/>
        <v xml:space="preserve"> </v>
      </c>
      <c r="DW31" s="46" t="str">
        <f t="shared" si="56"/>
        <v xml:space="preserve"> </v>
      </c>
      <c r="DX31" s="46" t="str">
        <f t="shared" si="57"/>
        <v xml:space="preserve"> </v>
      </c>
      <c r="DY31" s="46" t="str">
        <f t="shared" si="58"/>
        <v xml:space="preserve"> </v>
      </c>
      <c r="DZ31" s="46" t="str">
        <f t="shared" si="59"/>
        <v xml:space="preserve"> </v>
      </c>
      <c r="EA31" s="46" t="str">
        <f t="shared" si="60"/>
        <v xml:space="preserve"> </v>
      </c>
      <c r="EB31" s="46" t="str">
        <f t="shared" si="61"/>
        <v xml:space="preserve"> </v>
      </c>
      <c r="EC31" s="46" t="str">
        <f t="shared" si="62"/>
        <v xml:space="preserve"> </v>
      </c>
      <c r="ED31" s="46"/>
      <c r="EE31" s="52">
        <f>[2]uts!J30</f>
        <v>78.333333333333329</v>
      </c>
      <c r="EF31" s="51"/>
      <c r="EG31" s="53" t="str">
        <f t="shared" si="63"/>
        <v xml:space="preserve">  </v>
      </c>
      <c r="EH31" s="53" t="str">
        <f t="shared" si="64"/>
        <v xml:space="preserve">  </v>
      </c>
      <c r="EI31" s="53" t="str">
        <f t="shared" si="65"/>
        <v xml:space="preserve">  </v>
      </c>
      <c r="EJ31" s="53" t="str">
        <f t="shared" si="66"/>
        <v xml:space="preserve">  </v>
      </c>
      <c r="EK31" s="53" t="str">
        <f t="shared" si="67"/>
        <v xml:space="preserve">  </v>
      </c>
      <c r="EL31" s="53" t="str">
        <f t="shared" si="68"/>
        <v xml:space="preserve">  </v>
      </c>
      <c r="EM31" s="53" t="str">
        <f t="shared" si="69"/>
        <v xml:space="preserve">  </v>
      </c>
      <c r="EN31" s="53" t="str">
        <f t="shared" si="70"/>
        <v xml:space="preserve">  </v>
      </c>
      <c r="EO31" s="53" t="str">
        <f t="shared" si="71"/>
        <v xml:space="preserve">  </v>
      </c>
      <c r="EP31" s="53"/>
      <c r="EQ31" s="54" t="str">
        <f t="shared" si="72"/>
        <v xml:space="preserve"> </v>
      </c>
      <c r="ER31" s="55">
        <f t="shared" si="73"/>
        <v>0</v>
      </c>
      <c r="ES31" s="55">
        <f t="shared" si="74"/>
        <v>0</v>
      </c>
      <c r="ET31" s="51">
        <f>SISWA!E29</f>
        <v>0</v>
      </c>
      <c r="EU31" s="51" t="str">
        <f t="shared" si="75"/>
        <v/>
      </c>
      <c r="EV31" s="56" t="str">
        <f t="shared" si="76"/>
        <v/>
      </c>
      <c r="EW31" s="57" t="str">
        <f t="shared" si="77"/>
        <v/>
      </c>
      <c r="EX31" s="57" t="str">
        <f t="shared" si="78"/>
        <v/>
      </c>
      <c r="EY31" s="57" t="str">
        <f t="shared" si="79"/>
        <v/>
      </c>
      <c r="EZ31" s="57" t="str">
        <f t="shared" si="80"/>
        <v/>
      </c>
      <c r="FA31" s="57" t="str">
        <f t="shared" si="81"/>
        <v/>
      </c>
      <c r="FB31" s="57" t="str">
        <f t="shared" si="82"/>
        <v/>
      </c>
      <c r="FC31" s="57" t="str">
        <f t="shared" si="83"/>
        <v/>
      </c>
      <c r="FD31" s="57" t="str">
        <f t="shared" si="84"/>
        <v/>
      </c>
      <c r="FE31" s="57"/>
      <c r="FF31" s="58">
        <f t="shared" si="85"/>
        <v>0</v>
      </c>
      <c r="FG31" s="55" t="e">
        <f t="shared" si="86"/>
        <v>#N/A</v>
      </c>
      <c r="FH31" s="58"/>
      <c r="FI31" s="59" t="e">
        <f>IF(ER31&gt;100,"",IF(ER31&gt;DQ$1,"sangat baik dalam "&amp;FG31,IF(ER31&gt;=DQ$2,"baik dalam "&amp;FG31,IF(ER31&gt;=DQ$3,"cukup dalam "&amp;FG31,IF(ER31&lt;DQ$3,"dengan bimbingan dapat meningkatkan dalam "&amp;FG31,IF(ER31&lt;1," ",””))))))</f>
        <v>#N/A</v>
      </c>
      <c r="FJ31" s="58"/>
      <c r="FK31" s="57" t="str">
        <f t="shared" si="87"/>
        <v/>
      </c>
      <c r="FL31" s="57" t="str">
        <f t="shared" si="88"/>
        <v/>
      </c>
      <c r="FM31" s="57" t="str">
        <f t="shared" si="89"/>
        <v/>
      </c>
      <c r="FN31" s="57" t="str">
        <f t="shared" si="90"/>
        <v/>
      </c>
      <c r="FO31" s="57" t="str">
        <f t="shared" si="91"/>
        <v/>
      </c>
      <c r="FP31" s="57" t="str">
        <f t="shared" si="92"/>
        <v/>
      </c>
      <c r="FQ31" s="57" t="str">
        <f t="shared" si="93"/>
        <v/>
      </c>
      <c r="FR31" s="57" t="str">
        <f t="shared" si="94"/>
        <v/>
      </c>
      <c r="FS31" s="57" t="str">
        <f t="shared" si="95"/>
        <v/>
      </c>
      <c r="FT31" s="57"/>
      <c r="FU31" s="59" t="e">
        <f t="shared" si="96"/>
        <v>#N/A</v>
      </c>
      <c r="FV31" s="59" t="e">
        <f>IF(ES31&gt;100,"",IF(ES31&gt;DQ$1,"sangat baik dalam "&amp;FU31,IF(ES31&gt;=DQ$2,"baik dalam "&amp;FU31,IF(ES31&gt;=DQ$3,"cukup dalam "&amp;FU31,IF(ES31&lt;DQ$3,"dengan bimbingan dapat meningkatkan dalam "&amp;FU31,IF(ES31&lt;1," ",””))))))</f>
        <v>#N/A</v>
      </c>
      <c r="FW31" s="61"/>
      <c r="FX31" s="62" t="e">
        <f t="shared" si="97"/>
        <v>#N/A</v>
      </c>
      <c r="FY31" s="57" t="str">
        <f t="shared" si="98"/>
        <v/>
      </c>
      <c r="FZ31" s="57" t="str">
        <f t="shared" si="98"/>
        <v/>
      </c>
      <c r="GA31" s="57" t="str">
        <f t="shared" si="98"/>
        <v/>
      </c>
      <c r="GB31" s="57"/>
      <c r="GC31" s="57"/>
      <c r="GD31" s="57"/>
      <c r="GE31" s="59">
        <f t="shared" si="45"/>
        <v>0</v>
      </c>
      <c r="GF31" s="60"/>
      <c r="GG31" s="61"/>
      <c r="GH31" s="62" t="str">
        <f t="shared" si="99"/>
        <v>, 0</v>
      </c>
    </row>
    <row r="32" spans="1:191" ht="34.5" customHeight="1">
      <c r="A32" s="39">
        <v>25</v>
      </c>
      <c r="B32" s="283">
        <f>SISWA!B30</f>
        <v>0</v>
      </c>
      <c r="C32" s="123"/>
      <c r="D32" s="123"/>
      <c r="E32" s="123"/>
      <c r="F32" s="123"/>
      <c r="G32" s="123"/>
      <c r="H32" s="123"/>
      <c r="I32" s="123"/>
      <c r="J32" s="123"/>
      <c r="K32" s="123"/>
      <c r="L32" s="256"/>
      <c r="M32" s="256"/>
      <c r="N32" s="256"/>
      <c r="O32" s="256"/>
      <c r="P32" s="256"/>
      <c r="Q32" s="256"/>
      <c r="R32" s="256"/>
      <c r="S32" s="256"/>
      <c r="T32" s="256"/>
      <c r="U32" s="123"/>
      <c r="V32" s="123"/>
      <c r="W32" s="123"/>
      <c r="X32" s="123"/>
      <c r="Y32" s="123"/>
      <c r="Z32" s="123"/>
      <c r="AA32" s="123"/>
      <c r="AB32" s="123"/>
      <c r="AC32" s="123"/>
      <c r="AD32" s="256"/>
      <c r="AE32" s="256"/>
      <c r="AF32" s="256"/>
      <c r="AG32" s="256"/>
      <c r="AH32" s="256"/>
      <c r="AI32" s="256"/>
      <c r="AJ32" s="256"/>
      <c r="AK32" s="256"/>
      <c r="AL32" s="256"/>
      <c r="AM32" s="123"/>
      <c r="AN32" s="123"/>
      <c r="AO32" s="123"/>
      <c r="AP32" s="123"/>
      <c r="AQ32" s="123"/>
      <c r="AR32" s="123"/>
      <c r="AS32" s="123"/>
      <c r="AT32" s="123"/>
      <c r="AU32" s="123"/>
      <c r="AV32" s="256"/>
      <c r="AW32" s="256"/>
      <c r="AX32" s="256"/>
      <c r="AY32" s="256"/>
      <c r="AZ32" s="256"/>
      <c r="BA32" s="256"/>
      <c r="BB32" s="256"/>
      <c r="BC32" s="256"/>
      <c r="BD32" s="256"/>
      <c r="BE32" s="123"/>
      <c r="BF32" s="123"/>
      <c r="BG32" s="123"/>
      <c r="BH32" s="123"/>
      <c r="BI32" s="123"/>
      <c r="BJ32" s="123"/>
      <c r="BK32" s="123"/>
      <c r="BL32" s="123"/>
      <c r="BM32" s="123"/>
      <c r="BN32" s="256"/>
      <c r="BO32" s="256"/>
      <c r="BP32" s="256"/>
      <c r="BQ32" s="256"/>
      <c r="BR32" s="256"/>
      <c r="BS32" s="256"/>
      <c r="BT32" s="256"/>
      <c r="BU32" s="256"/>
      <c r="BV32" s="256"/>
      <c r="BW32" s="460"/>
      <c r="BX32" s="460"/>
      <c r="BY32" s="460"/>
      <c r="BZ32" s="460"/>
      <c r="CA32" s="460"/>
      <c r="CB32" s="460"/>
      <c r="CC32" s="460"/>
      <c r="CD32" s="460"/>
      <c r="CE32" s="460"/>
      <c r="CF32" s="346"/>
      <c r="CG32" s="346"/>
      <c r="CH32" s="346"/>
      <c r="CI32" s="346"/>
      <c r="CJ32" s="346"/>
      <c r="CK32" s="346"/>
      <c r="CL32" s="346"/>
      <c r="CM32" s="346"/>
      <c r="CN32" s="346"/>
      <c r="CO32" s="260" t="str">
        <f t="shared" si="46"/>
        <v xml:space="preserve"> </v>
      </c>
      <c r="CP32" s="260" t="str">
        <f t="shared" si="47"/>
        <v xml:space="preserve"> </v>
      </c>
      <c r="CQ32" s="260" t="str">
        <f t="shared" si="48"/>
        <v xml:space="preserve"> </v>
      </c>
      <c r="CR32" s="260" t="str">
        <f t="shared" si="49"/>
        <v xml:space="preserve"> </v>
      </c>
      <c r="CS32" s="260" t="str">
        <f t="shared" si="50"/>
        <v xml:space="preserve"> </v>
      </c>
      <c r="CT32" s="260" t="str">
        <f t="shared" si="101"/>
        <v xml:space="preserve"> </v>
      </c>
      <c r="CU32" s="260" t="str">
        <f t="shared" si="101"/>
        <v xml:space="preserve"> </v>
      </c>
      <c r="CV32" s="260" t="str">
        <f t="shared" si="101"/>
        <v xml:space="preserve"> </v>
      </c>
      <c r="CW32" s="260" t="str">
        <f t="shared" si="101"/>
        <v xml:space="preserve"> </v>
      </c>
      <c r="CX32" s="547"/>
      <c r="CY32" s="547"/>
      <c r="CZ32" s="547"/>
      <c r="DA32" s="547"/>
      <c r="DB32" s="547"/>
      <c r="DC32" s="547"/>
      <c r="DD32" s="547"/>
      <c r="DE32" s="547"/>
      <c r="DF32" s="547"/>
      <c r="DG32" s="564"/>
      <c r="DH32" s="564"/>
      <c r="DI32" s="564"/>
      <c r="DJ32" s="564"/>
      <c r="DK32" s="564"/>
      <c r="DL32" s="564"/>
      <c r="DM32" s="564"/>
      <c r="DN32" s="564"/>
      <c r="DO32" s="564"/>
      <c r="DP32" s="549" t="str">
        <f t="shared" si="51"/>
        <v xml:space="preserve"> </v>
      </c>
      <c r="DQ32" s="291" t="str">
        <f t="shared" si="52"/>
        <v xml:space="preserve">  </v>
      </c>
      <c r="DR32" s="50" t="str">
        <f t="shared" si="53"/>
        <v xml:space="preserve"> </v>
      </c>
      <c r="DS32" s="282"/>
      <c r="DT32" s="51"/>
      <c r="DU32" s="46" t="str">
        <f t="shared" si="54"/>
        <v xml:space="preserve"> </v>
      </c>
      <c r="DV32" s="46" t="str">
        <f t="shared" si="55"/>
        <v xml:space="preserve"> </v>
      </c>
      <c r="DW32" s="46" t="str">
        <f t="shared" si="56"/>
        <v xml:space="preserve"> </v>
      </c>
      <c r="DX32" s="46" t="str">
        <f t="shared" si="57"/>
        <v xml:space="preserve"> </v>
      </c>
      <c r="DY32" s="46" t="str">
        <f t="shared" si="58"/>
        <v xml:space="preserve"> </v>
      </c>
      <c r="DZ32" s="46" t="str">
        <f t="shared" si="59"/>
        <v xml:space="preserve"> </v>
      </c>
      <c r="EA32" s="46" t="str">
        <f t="shared" si="60"/>
        <v xml:space="preserve"> </v>
      </c>
      <c r="EB32" s="46" t="str">
        <f t="shared" si="61"/>
        <v xml:space="preserve"> </v>
      </c>
      <c r="EC32" s="46" t="str">
        <f t="shared" si="62"/>
        <v xml:space="preserve"> </v>
      </c>
      <c r="ED32" s="46"/>
      <c r="EE32" s="52">
        <f>[2]uts!J31</f>
        <v>68.666666666666671</v>
      </c>
      <c r="EF32" s="51"/>
      <c r="EG32" s="53" t="str">
        <f t="shared" si="63"/>
        <v xml:space="preserve">  </v>
      </c>
      <c r="EH32" s="53" t="str">
        <f t="shared" si="64"/>
        <v xml:space="preserve">  </v>
      </c>
      <c r="EI32" s="53" t="str">
        <f t="shared" si="65"/>
        <v xml:space="preserve">  </v>
      </c>
      <c r="EJ32" s="53" t="str">
        <f t="shared" si="66"/>
        <v xml:space="preserve">  </v>
      </c>
      <c r="EK32" s="53" t="str">
        <f t="shared" si="67"/>
        <v xml:space="preserve">  </v>
      </c>
      <c r="EL32" s="53" t="str">
        <f t="shared" si="68"/>
        <v xml:space="preserve">  </v>
      </c>
      <c r="EM32" s="53" t="str">
        <f t="shared" si="69"/>
        <v xml:space="preserve">  </v>
      </c>
      <c r="EN32" s="53" t="str">
        <f t="shared" si="70"/>
        <v xml:space="preserve">  </v>
      </c>
      <c r="EO32" s="53" t="str">
        <f t="shared" si="71"/>
        <v xml:space="preserve">  </v>
      </c>
      <c r="EP32" s="53"/>
      <c r="EQ32" s="54" t="str">
        <f t="shared" si="72"/>
        <v xml:space="preserve"> </v>
      </c>
      <c r="ER32" s="55">
        <f t="shared" si="73"/>
        <v>0</v>
      </c>
      <c r="ES32" s="55">
        <f t="shared" si="74"/>
        <v>0</v>
      </c>
      <c r="ET32" s="51">
        <f>SISWA!E30</f>
        <v>0</v>
      </c>
      <c r="EU32" s="51" t="str">
        <f t="shared" si="75"/>
        <v/>
      </c>
      <c r="EV32" s="56" t="str">
        <f t="shared" si="76"/>
        <v/>
      </c>
      <c r="EW32" s="57" t="str">
        <f t="shared" si="77"/>
        <v/>
      </c>
      <c r="EX32" s="57" t="str">
        <f t="shared" si="78"/>
        <v/>
      </c>
      <c r="EY32" s="57" t="str">
        <f t="shared" si="79"/>
        <v/>
      </c>
      <c r="EZ32" s="57" t="str">
        <f t="shared" si="80"/>
        <v/>
      </c>
      <c r="FA32" s="57" t="str">
        <f t="shared" si="81"/>
        <v/>
      </c>
      <c r="FB32" s="57" t="str">
        <f t="shared" si="82"/>
        <v/>
      </c>
      <c r="FC32" s="57" t="str">
        <f t="shared" si="83"/>
        <v/>
      </c>
      <c r="FD32" s="57" t="str">
        <f t="shared" si="84"/>
        <v/>
      </c>
      <c r="FE32" s="57"/>
      <c r="FF32" s="58">
        <f t="shared" si="85"/>
        <v>0</v>
      </c>
      <c r="FG32" s="55" t="e">
        <f t="shared" si="86"/>
        <v>#N/A</v>
      </c>
      <c r="FH32" s="58"/>
      <c r="FI32" s="59" t="e">
        <f>IF(ER32&gt;100,"",IF(ER32&gt;DQ$1,"sangat baik dalam "&amp;FG32,IF(ER32&gt;=DQ$2,"baik dalam "&amp;FG32,IF(ER32&gt;=DQ$3,"cukup dalam "&amp;FG32,IF(ER32&lt;DQ$3,"dengan bimbingan dapat meningkatkan dalam "&amp;FG32,IF(ER32&lt;1," ",””))))))</f>
        <v>#N/A</v>
      </c>
      <c r="FJ32" s="58"/>
      <c r="FK32" s="57" t="str">
        <f t="shared" si="87"/>
        <v/>
      </c>
      <c r="FL32" s="57" t="str">
        <f t="shared" si="88"/>
        <v/>
      </c>
      <c r="FM32" s="57" t="str">
        <f t="shared" si="89"/>
        <v/>
      </c>
      <c r="FN32" s="57" t="str">
        <f t="shared" si="90"/>
        <v/>
      </c>
      <c r="FO32" s="57" t="str">
        <f t="shared" si="91"/>
        <v/>
      </c>
      <c r="FP32" s="57" t="str">
        <f t="shared" si="92"/>
        <v/>
      </c>
      <c r="FQ32" s="57" t="str">
        <f t="shared" si="93"/>
        <v/>
      </c>
      <c r="FR32" s="57" t="str">
        <f t="shared" si="94"/>
        <v/>
      </c>
      <c r="FS32" s="57" t="str">
        <f t="shared" si="95"/>
        <v/>
      </c>
      <c r="FT32" s="57"/>
      <c r="FU32" s="59" t="e">
        <f t="shared" si="96"/>
        <v>#N/A</v>
      </c>
      <c r="FV32" s="59" t="e">
        <f>IF(ES32&gt;100,"",IF(ES32&gt;DQ$1,"sangat baik dalam "&amp;FU32,IF(ES32&gt;=DQ$2,"baik dalam "&amp;FU32,IF(ES32&gt;=DQ$3,"cukup dalam "&amp;FU32,IF(ES32&lt;DQ$3,"dengan bimbingan dapat meningkatkan dalam "&amp;FU32,IF(ES32&lt;1," ",””))))))</f>
        <v>#N/A</v>
      </c>
      <c r="FW32" s="61"/>
      <c r="FX32" s="62" t="e">
        <f t="shared" si="97"/>
        <v>#N/A</v>
      </c>
      <c r="FY32" s="57" t="str">
        <f t="shared" si="98"/>
        <v/>
      </c>
      <c r="FZ32" s="57" t="str">
        <f t="shared" si="98"/>
        <v/>
      </c>
      <c r="GA32" s="57" t="str">
        <f t="shared" si="98"/>
        <v/>
      </c>
      <c r="GB32" s="57"/>
      <c r="GC32" s="57"/>
      <c r="GD32" s="57"/>
      <c r="GE32" s="59">
        <f t="shared" si="45"/>
        <v>0</v>
      </c>
      <c r="GF32" s="60"/>
      <c r="GG32" s="61"/>
      <c r="GH32" s="62" t="str">
        <f t="shared" si="99"/>
        <v>, 0</v>
      </c>
    </row>
    <row r="33" spans="1:190" ht="34.5" customHeight="1">
      <c r="A33" s="39">
        <v>26</v>
      </c>
      <c r="B33" s="283">
        <f>SISWA!B31</f>
        <v>0</v>
      </c>
      <c r="C33" s="123"/>
      <c r="D33" s="123"/>
      <c r="E33" s="123"/>
      <c r="F33" s="123"/>
      <c r="G33" s="123"/>
      <c r="H33" s="123"/>
      <c r="I33" s="123"/>
      <c r="J33" s="123"/>
      <c r="K33" s="123"/>
      <c r="L33" s="256"/>
      <c r="M33" s="256"/>
      <c r="N33" s="256"/>
      <c r="O33" s="256"/>
      <c r="P33" s="256"/>
      <c r="Q33" s="256"/>
      <c r="R33" s="256"/>
      <c r="S33" s="256"/>
      <c r="T33" s="256"/>
      <c r="U33" s="123"/>
      <c r="V33" s="123"/>
      <c r="W33" s="123"/>
      <c r="X33" s="123"/>
      <c r="Y33" s="123"/>
      <c r="Z33" s="123"/>
      <c r="AA33" s="123"/>
      <c r="AB33" s="123"/>
      <c r="AC33" s="123"/>
      <c r="AD33" s="256"/>
      <c r="AE33" s="256"/>
      <c r="AF33" s="256"/>
      <c r="AG33" s="256"/>
      <c r="AH33" s="256"/>
      <c r="AI33" s="256"/>
      <c r="AJ33" s="256"/>
      <c r="AK33" s="256"/>
      <c r="AL33" s="256"/>
      <c r="AM33" s="123"/>
      <c r="AN33" s="123"/>
      <c r="AO33" s="123"/>
      <c r="AP33" s="123"/>
      <c r="AQ33" s="123"/>
      <c r="AR33" s="123"/>
      <c r="AS33" s="123"/>
      <c r="AT33" s="123"/>
      <c r="AU33" s="123"/>
      <c r="AV33" s="256"/>
      <c r="AW33" s="256"/>
      <c r="AX33" s="256"/>
      <c r="AY33" s="256"/>
      <c r="AZ33" s="256"/>
      <c r="BA33" s="256"/>
      <c r="BB33" s="256"/>
      <c r="BC33" s="256"/>
      <c r="BD33" s="256"/>
      <c r="BE33" s="123"/>
      <c r="BF33" s="123"/>
      <c r="BG33" s="123"/>
      <c r="BH33" s="123"/>
      <c r="BI33" s="123"/>
      <c r="BJ33" s="123"/>
      <c r="BK33" s="123"/>
      <c r="BL33" s="123"/>
      <c r="BM33" s="123"/>
      <c r="BN33" s="256"/>
      <c r="BO33" s="256"/>
      <c r="BP33" s="256"/>
      <c r="BQ33" s="256"/>
      <c r="BR33" s="256"/>
      <c r="BS33" s="256"/>
      <c r="BT33" s="256"/>
      <c r="BU33" s="256"/>
      <c r="BV33" s="256"/>
      <c r="BW33" s="460"/>
      <c r="BX33" s="460"/>
      <c r="BY33" s="460"/>
      <c r="BZ33" s="460"/>
      <c r="CA33" s="460"/>
      <c r="CB33" s="460"/>
      <c r="CC33" s="460"/>
      <c r="CD33" s="460"/>
      <c r="CE33" s="460"/>
      <c r="CF33" s="346"/>
      <c r="CG33" s="346"/>
      <c r="CH33" s="346"/>
      <c r="CI33" s="346"/>
      <c r="CJ33" s="346"/>
      <c r="CK33" s="346"/>
      <c r="CL33" s="346"/>
      <c r="CM33" s="346"/>
      <c r="CN33" s="346"/>
      <c r="CO33" s="260" t="str">
        <f t="shared" si="46"/>
        <v xml:space="preserve"> </v>
      </c>
      <c r="CP33" s="260" t="str">
        <f t="shared" si="47"/>
        <v xml:space="preserve"> </v>
      </c>
      <c r="CQ33" s="260" t="str">
        <f t="shared" si="48"/>
        <v xml:space="preserve"> </v>
      </c>
      <c r="CR33" s="260" t="str">
        <f t="shared" si="49"/>
        <v xml:space="preserve"> </v>
      </c>
      <c r="CS33" s="260" t="str">
        <f t="shared" si="50"/>
        <v xml:space="preserve"> </v>
      </c>
      <c r="CT33" s="260" t="str">
        <f t="shared" si="101"/>
        <v xml:space="preserve"> </v>
      </c>
      <c r="CU33" s="260" t="str">
        <f t="shared" si="101"/>
        <v xml:space="preserve"> </v>
      </c>
      <c r="CV33" s="260" t="str">
        <f t="shared" si="101"/>
        <v xml:space="preserve"> </v>
      </c>
      <c r="CW33" s="260" t="str">
        <f t="shared" si="101"/>
        <v xml:space="preserve"> </v>
      </c>
      <c r="CX33" s="547"/>
      <c r="CY33" s="547"/>
      <c r="CZ33" s="547"/>
      <c r="DA33" s="547"/>
      <c r="DB33" s="547"/>
      <c r="DC33" s="547"/>
      <c r="DD33" s="547"/>
      <c r="DE33" s="547"/>
      <c r="DF33" s="547"/>
      <c r="DG33" s="564"/>
      <c r="DH33" s="564"/>
      <c r="DI33" s="564"/>
      <c r="DJ33" s="564"/>
      <c r="DK33" s="564"/>
      <c r="DL33" s="564"/>
      <c r="DM33" s="564"/>
      <c r="DN33" s="564"/>
      <c r="DO33" s="564"/>
      <c r="DP33" s="549" t="str">
        <f t="shared" si="51"/>
        <v xml:space="preserve"> </v>
      </c>
      <c r="DQ33" s="291" t="str">
        <f t="shared" si="52"/>
        <v xml:space="preserve">  </v>
      </c>
      <c r="DR33" s="50" t="str">
        <f t="shared" si="53"/>
        <v xml:space="preserve"> </v>
      </c>
      <c r="DS33" s="282"/>
      <c r="DT33" s="51"/>
      <c r="DU33" s="46" t="str">
        <f t="shared" si="54"/>
        <v xml:space="preserve"> </v>
      </c>
      <c r="DV33" s="46" t="str">
        <f t="shared" si="55"/>
        <v xml:space="preserve"> </v>
      </c>
      <c r="DW33" s="46" t="str">
        <f t="shared" si="56"/>
        <v xml:space="preserve"> </v>
      </c>
      <c r="DX33" s="46" t="str">
        <f t="shared" si="57"/>
        <v xml:space="preserve"> </v>
      </c>
      <c r="DY33" s="46" t="str">
        <f t="shared" si="58"/>
        <v xml:space="preserve"> </v>
      </c>
      <c r="DZ33" s="46" t="str">
        <f t="shared" si="59"/>
        <v xml:space="preserve"> </v>
      </c>
      <c r="EA33" s="46" t="str">
        <f t="shared" si="60"/>
        <v xml:space="preserve"> </v>
      </c>
      <c r="EB33" s="46" t="str">
        <f t="shared" si="61"/>
        <v xml:space="preserve"> </v>
      </c>
      <c r="EC33" s="46" t="str">
        <f t="shared" si="62"/>
        <v xml:space="preserve"> </v>
      </c>
      <c r="ED33" s="46"/>
      <c r="EE33" s="52">
        <f>[2]uts!J32</f>
        <v>75</v>
      </c>
      <c r="EF33" s="51"/>
      <c r="EG33" s="53" t="str">
        <f t="shared" si="63"/>
        <v xml:space="preserve">  </v>
      </c>
      <c r="EH33" s="53" t="str">
        <f t="shared" si="64"/>
        <v xml:space="preserve">  </v>
      </c>
      <c r="EI33" s="53" t="str">
        <f t="shared" si="65"/>
        <v xml:space="preserve">  </v>
      </c>
      <c r="EJ33" s="53" t="str">
        <f t="shared" si="66"/>
        <v xml:space="preserve">  </v>
      </c>
      <c r="EK33" s="53" t="str">
        <f t="shared" si="67"/>
        <v xml:space="preserve">  </v>
      </c>
      <c r="EL33" s="53" t="str">
        <f t="shared" si="68"/>
        <v xml:space="preserve">  </v>
      </c>
      <c r="EM33" s="53" t="str">
        <f t="shared" si="69"/>
        <v xml:space="preserve">  </v>
      </c>
      <c r="EN33" s="53" t="str">
        <f t="shared" si="70"/>
        <v xml:space="preserve">  </v>
      </c>
      <c r="EO33" s="53" t="str">
        <f t="shared" si="71"/>
        <v xml:space="preserve">  </v>
      </c>
      <c r="EP33" s="53"/>
      <c r="EQ33" s="54" t="str">
        <f t="shared" si="72"/>
        <v xml:space="preserve"> </v>
      </c>
      <c r="ER33" s="55">
        <f t="shared" si="73"/>
        <v>0</v>
      </c>
      <c r="ES33" s="55">
        <f t="shared" si="74"/>
        <v>0</v>
      </c>
      <c r="ET33" s="51">
        <f>SISWA!E31</f>
        <v>0</v>
      </c>
      <c r="EU33" s="51" t="str">
        <f t="shared" si="75"/>
        <v/>
      </c>
      <c r="EV33" s="56" t="str">
        <f t="shared" si="76"/>
        <v/>
      </c>
      <c r="EW33" s="57" t="str">
        <f t="shared" si="77"/>
        <v/>
      </c>
      <c r="EX33" s="57" t="str">
        <f t="shared" si="78"/>
        <v/>
      </c>
      <c r="EY33" s="57" t="str">
        <f t="shared" si="79"/>
        <v/>
      </c>
      <c r="EZ33" s="57" t="str">
        <f t="shared" si="80"/>
        <v/>
      </c>
      <c r="FA33" s="57" t="str">
        <f t="shared" si="81"/>
        <v/>
      </c>
      <c r="FB33" s="57" t="str">
        <f t="shared" si="82"/>
        <v/>
      </c>
      <c r="FC33" s="57" t="str">
        <f t="shared" si="83"/>
        <v/>
      </c>
      <c r="FD33" s="57" t="str">
        <f t="shared" si="84"/>
        <v/>
      </c>
      <c r="FE33" s="57"/>
      <c r="FF33" s="58">
        <f t="shared" si="85"/>
        <v>0</v>
      </c>
      <c r="FG33" s="55" t="e">
        <f t="shared" si="86"/>
        <v>#N/A</v>
      </c>
      <c r="FH33" s="58"/>
      <c r="FI33" s="59" t="e">
        <f>IF(ER33&gt;100,"",IF(ER33&gt;DQ$1,"sangat baik dalam "&amp;FG33,IF(ER33&gt;=DQ$2,"baik dalam "&amp;FG33,IF(ER33&gt;=DQ$3,"cukup dalam "&amp;FG33,IF(ER33&lt;DQ$3,"dengan bimbingan dapat meningkatkan dalam "&amp;FG33,IF(ER33&lt;1," ",””))))))</f>
        <v>#N/A</v>
      </c>
      <c r="FJ33" s="58"/>
      <c r="FK33" s="57" t="str">
        <f t="shared" si="87"/>
        <v/>
      </c>
      <c r="FL33" s="57" t="str">
        <f t="shared" si="88"/>
        <v/>
      </c>
      <c r="FM33" s="57" t="str">
        <f t="shared" si="89"/>
        <v/>
      </c>
      <c r="FN33" s="57" t="str">
        <f t="shared" si="90"/>
        <v/>
      </c>
      <c r="FO33" s="57" t="str">
        <f t="shared" si="91"/>
        <v/>
      </c>
      <c r="FP33" s="57" t="str">
        <f t="shared" si="92"/>
        <v/>
      </c>
      <c r="FQ33" s="57" t="str">
        <f t="shared" si="93"/>
        <v/>
      </c>
      <c r="FR33" s="57" t="str">
        <f t="shared" si="94"/>
        <v/>
      </c>
      <c r="FS33" s="57" t="str">
        <f t="shared" si="95"/>
        <v/>
      </c>
      <c r="FT33" s="57"/>
      <c r="FU33" s="59" t="e">
        <f t="shared" si="96"/>
        <v>#N/A</v>
      </c>
      <c r="FV33" s="59" t="e">
        <f>IF(ES33&gt;100,"",IF(ES33&gt;DQ$1,"sangat baik dalam "&amp;FU33,IF(ES33&gt;=DQ$2,"baik dalam "&amp;FU33,IF(ES33&gt;=DQ$3,"cukup dalam "&amp;FU33,IF(ES33&lt;DQ$3,"dengan bimbingan dapat meningkatkan dalam "&amp;FU33,IF(ES33&lt;1," ",””))))))</f>
        <v>#N/A</v>
      </c>
      <c r="FW33" s="61"/>
      <c r="FX33" s="62" t="e">
        <f t="shared" si="97"/>
        <v>#N/A</v>
      </c>
      <c r="FY33" s="57" t="str">
        <f t="shared" si="98"/>
        <v/>
      </c>
      <c r="FZ33" s="57" t="str">
        <f t="shared" si="98"/>
        <v/>
      </c>
      <c r="GA33" s="57" t="str">
        <f t="shared" si="98"/>
        <v/>
      </c>
      <c r="GB33" s="57"/>
      <c r="GC33" s="57"/>
      <c r="GD33" s="57"/>
      <c r="GE33" s="59">
        <f t="shared" si="45"/>
        <v>0</v>
      </c>
      <c r="GF33" s="60"/>
      <c r="GG33" s="61"/>
      <c r="GH33" s="62" t="str">
        <f t="shared" si="99"/>
        <v>, 0</v>
      </c>
    </row>
    <row r="34" spans="1:190" ht="34.5" customHeight="1">
      <c r="A34" s="39">
        <v>27</v>
      </c>
      <c r="B34" s="283">
        <f>SISWA!B32</f>
        <v>0</v>
      </c>
      <c r="C34" s="123"/>
      <c r="D34" s="123"/>
      <c r="E34" s="123"/>
      <c r="F34" s="123"/>
      <c r="G34" s="123"/>
      <c r="H34" s="123"/>
      <c r="I34" s="123"/>
      <c r="J34" s="123"/>
      <c r="K34" s="123"/>
      <c r="L34" s="256"/>
      <c r="M34" s="256"/>
      <c r="N34" s="256"/>
      <c r="O34" s="256"/>
      <c r="P34" s="256"/>
      <c r="Q34" s="256"/>
      <c r="R34" s="256"/>
      <c r="S34" s="256"/>
      <c r="T34" s="256"/>
      <c r="U34" s="123"/>
      <c r="V34" s="123"/>
      <c r="W34" s="123"/>
      <c r="X34" s="123"/>
      <c r="Y34" s="123"/>
      <c r="Z34" s="123"/>
      <c r="AA34" s="123"/>
      <c r="AB34" s="123"/>
      <c r="AC34" s="123"/>
      <c r="AD34" s="256"/>
      <c r="AE34" s="256"/>
      <c r="AF34" s="256"/>
      <c r="AG34" s="256"/>
      <c r="AH34" s="256"/>
      <c r="AI34" s="256"/>
      <c r="AJ34" s="256"/>
      <c r="AK34" s="256"/>
      <c r="AL34" s="256"/>
      <c r="AM34" s="123"/>
      <c r="AN34" s="123"/>
      <c r="AO34" s="123"/>
      <c r="AP34" s="123"/>
      <c r="AQ34" s="123"/>
      <c r="AR34" s="123"/>
      <c r="AS34" s="123"/>
      <c r="AT34" s="123"/>
      <c r="AU34" s="123"/>
      <c r="AV34" s="256"/>
      <c r="AW34" s="256"/>
      <c r="AX34" s="256"/>
      <c r="AY34" s="256"/>
      <c r="AZ34" s="256"/>
      <c r="BA34" s="256"/>
      <c r="BB34" s="256"/>
      <c r="BC34" s="256"/>
      <c r="BD34" s="256"/>
      <c r="BE34" s="123"/>
      <c r="BF34" s="123"/>
      <c r="BG34" s="123"/>
      <c r="BH34" s="123"/>
      <c r="BI34" s="123"/>
      <c r="BJ34" s="123"/>
      <c r="BK34" s="123"/>
      <c r="BL34" s="123"/>
      <c r="BM34" s="123"/>
      <c r="BN34" s="256"/>
      <c r="BO34" s="256"/>
      <c r="BP34" s="256"/>
      <c r="BQ34" s="256"/>
      <c r="BR34" s="256"/>
      <c r="BS34" s="256"/>
      <c r="BT34" s="256"/>
      <c r="BU34" s="256"/>
      <c r="BV34" s="256"/>
      <c r="BW34" s="460"/>
      <c r="BX34" s="460"/>
      <c r="BY34" s="460"/>
      <c r="BZ34" s="460"/>
      <c r="CA34" s="460"/>
      <c r="CB34" s="460"/>
      <c r="CC34" s="460"/>
      <c r="CD34" s="460"/>
      <c r="CE34" s="460"/>
      <c r="CF34" s="346"/>
      <c r="CG34" s="346"/>
      <c r="CH34" s="346"/>
      <c r="CI34" s="346"/>
      <c r="CJ34" s="346"/>
      <c r="CK34" s="346"/>
      <c r="CL34" s="346"/>
      <c r="CM34" s="346"/>
      <c r="CN34" s="346"/>
      <c r="CO34" s="260" t="str">
        <f t="shared" si="46"/>
        <v xml:space="preserve"> </v>
      </c>
      <c r="CP34" s="260" t="str">
        <f t="shared" si="47"/>
        <v xml:space="preserve"> </v>
      </c>
      <c r="CQ34" s="260" t="str">
        <f t="shared" si="48"/>
        <v xml:space="preserve"> </v>
      </c>
      <c r="CR34" s="260" t="str">
        <f t="shared" si="49"/>
        <v xml:space="preserve"> </v>
      </c>
      <c r="CS34" s="260" t="str">
        <f t="shared" si="50"/>
        <v xml:space="preserve"> </v>
      </c>
      <c r="CT34" s="260" t="str">
        <f t="shared" si="101"/>
        <v xml:space="preserve"> </v>
      </c>
      <c r="CU34" s="260" t="str">
        <f t="shared" si="101"/>
        <v xml:space="preserve"> </v>
      </c>
      <c r="CV34" s="260" t="str">
        <f t="shared" si="101"/>
        <v xml:space="preserve"> </v>
      </c>
      <c r="CW34" s="260" t="str">
        <f t="shared" si="101"/>
        <v xml:space="preserve"> </v>
      </c>
      <c r="CX34" s="547"/>
      <c r="CY34" s="547"/>
      <c r="CZ34" s="547"/>
      <c r="DA34" s="547"/>
      <c r="DB34" s="547"/>
      <c r="DC34" s="547"/>
      <c r="DD34" s="547"/>
      <c r="DE34" s="547"/>
      <c r="DF34" s="547"/>
      <c r="DG34" s="564"/>
      <c r="DH34" s="564"/>
      <c r="DI34" s="564"/>
      <c r="DJ34" s="564"/>
      <c r="DK34" s="564"/>
      <c r="DL34" s="564"/>
      <c r="DM34" s="564"/>
      <c r="DN34" s="564"/>
      <c r="DO34" s="564"/>
      <c r="DP34" s="549" t="str">
        <f t="shared" si="51"/>
        <v xml:space="preserve"> </v>
      </c>
      <c r="DQ34" s="291" t="str">
        <f t="shared" si="52"/>
        <v xml:space="preserve">  </v>
      </c>
      <c r="DR34" s="50" t="str">
        <f t="shared" si="53"/>
        <v xml:space="preserve"> </v>
      </c>
      <c r="DS34" s="282"/>
      <c r="DT34" s="51"/>
      <c r="DU34" s="46" t="str">
        <f t="shared" si="54"/>
        <v xml:space="preserve"> </v>
      </c>
      <c r="DV34" s="46" t="str">
        <f t="shared" si="55"/>
        <v xml:space="preserve"> </v>
      </c>
      <c r="DW34" s="46" t="str">
        <f t="shared" si="56"/>
        <v xml:space="preserve"> </v>
      </c>
      <c r="DX34" s="46" t="str">
        <f t="shared" si="57"/>
        <v xml:space="preserve"> </v>
      </c>
      <c r="DY34" s="46" t="str">
        <f t="shared" si="58"/>
        <v xml:space="preserve"> </v>
      </c>
      <c r="DZ34" s="46" t="str">
        <f t="shared" si="59"/>
        <v xml:space="preserve"> </v>
      </c>
      <c r="EA34" s="46" t="str">
        <f t="shared" si="60"/>
        <v xml:space="preserve"> </v>
      </c>
      <c r="EB34" s="46" t="str">
        <f t="shared" si="61"/>
        <v xml:space="preserve"> </v>
      </c>
      <c r="EC34" s="46" t="str">
        <f t="shared" si="62"/>
        <v xml:space="preserve"> </v>
      </c>
      <c r="ED34" s="46"/>
      <c r="EE34" s="52">
        <f>[2]uts!J33</f>
        <v>76.333333333333329</v>
      </c>
      <c r="EF34" s="51"/>
      <c r="EG34" s="53" t="str">
        <f t="shared" si="63"/>
        <v xml:space="preserve">  </v>
      </c>
      <c r="EH34" s="53" t="str">
        <f t="shared" si="64"/>
        <v xml:space="preserve">  </v>
      </c>
      <c r="EI34" s="53" t="str">
        <f t="shared" si="65"/>
        <v xml:space="preserve">  </v>
      </c>
      <c r="EJ34" s="53" t="str">
        <f t="shared" si="66"/>
        <v xml:space="preserve">  </v>
      </c>
      <c r="EK34" s="53" t="str">
        <f t="shared" si="67"/>
        <v xml:space="preserve">  </v>
      </c>
      <c r="EL34" s="53" t="str">
        <f t="shared" si="68"/>
        <v xml:space="preserve">  </v>
      </c>
      <c r="EM34" s="53" t="str">
        <f t="shared" si="69"/>
        <v xml:space="preserve">  </v>
      </c>
      <c r="EN34" s="53" t="str">
        <f t="shared" si="70"/>
        <v xml:space="preserve">  </v>
      </c>
      <c r="EO34" s="53" t="str">
        <f t="shared" si="71"/>
        <v xml:space="preserve">  </v>
      </c>
      <c r="EP34" s="53"/>
      <c r="EQ34" s="54" t="str">
        <f t="shared" si="72"/>
        <v xml:space="preserve"> </v>
      </c>
      <c r="ER34" s="55">
        <f t="shared" si="73"/>
        <v>0</v>
      </c>
      <c r="ES34" s="55">
        <f t="shared" si="74"/>
        <v>0</v>
      </c>
      <c r="ET34" s="51">
        <f>SISWA!E32</f>
        <v>0</v>
      </c>
      <c r="EU34" s="51" t="str">
        <f t="shared" si="75"/>
        <v/>
      </c>
      <c r="EV34" s="56" t="str">
        <f t="shared" si="76"/>
        <v/>
      </c>
      <c r="EW34" s="57" t="str">
        <f t="shared" si="77"/>
        <v/>
      </c>
      <c r="EX34" s="57" t="str">
        <f t="shared" si="78"/>
        <v/>
      </c>
      <c r="EY34" s="57" t="str">
        <f t="shared" si="79"/>
        <v/>
      </c>
      <c r="EZ34" s="57" t="str">
        <f t="shared" si="80"/>
        <v/>
      </c>
      <c r="FA34" s="57" t="str">
        <f t="shared" si="81"/>
        <v/>
      </c>
      <c r="FB34" s="57" t="str">
        <f t="shared" si="82"/>
        <v/>
      </c>
      <c r="FC34" s="57" t="str">
        <f t="shared" si="83"/>
        <v/>
      </c>
      <c r="FD34" s="57" t="str">
        <f t="shared" si="84"/>
        <v/>
      </c>
      <c r="FE34" s="57"/>
      <c r="FF34" s="58">
        <f t="shared" si="85"/>
        <v>0</v>
      </c>
      <c r="FG34" s="55" t="e">
        <f t="shared" si="86"/>
        <v>#N/A</v>
      </c>
      <c r="FH34" s="58"/>
      <c r="FI34" s="59" t="e">
        <f>IF(ER34&gt;100,"",IF(ER34&gt;DQ$1,"sangat baik dalam "&amp;FG34,IF(ER34&gt;=DQ$2,"baik dalam "&amp;FG34,IF(ER34&gt;=DQ$3,"cukup dalam "&amp;FG34,IF(ER34&lt;DQ$3,"dengan bimbingan dapat meningkatkan dalam "&amp;FG34,IF(ER34&lt;1," ",””))))))</f>
        <v>#N/A</v>
      </c>
      <c r="FJ34" s="58"/>
      <c r="FK34" s="57" t="str">
        <f t="shared" si="87"/>
        <v/>
      </c>
      <c r="FL34" s="57" t="str">
        <f t="shared" si="88"/>
        <v/>
      </c>
      <c r="FM34" s="57" t="str">
        <f t="shared" si="89"/>
        <v/>
      </c>
      <c r="FN34" s="57" t="str">
        <f t="shared" si="90"/>
        <v/>
      </c>
      <c r="FO34" s="57" t="str">
        <f t="shared" si="91"/>
        <v/>
      </c>
      <c r="FP34" s="57" t="str">
        <f t="shared" si="92"/>
        <v/>
      </c>
      <c r="FQ34" s="57" t="str">
        <f t="shared" si="93"/>
        <v/>
      </c>
      <c r="FR34" s="57" t="str">
        <f t="shared" si="94"/>
        <v/>
      </c>
      <c r="FS34" s="57" t="str">
        <f t="shared" si="95"/>
        <v/>
      </c>
      <c r="FT34" s="57"/>
      <c r="FU34" s="59" t="e">
        <f t="shared" si="96"/>
        <v>#N/A</v>
      </c>
      <c r="FV34" s="59" t="e">
        <f>IF(ES34&gt;100,"",IF(ES34&gt;DQ$1,"sangat baik dalam "&amp;FU34,IF(ES34&gt;=DQ$2,"baik dalam "&amp;FU34,IF(ES34&gt;=DQ$3,"cukup dalam "&amp;FU34,IF(ES34&lt;DQ$3,"dengan bimbingan dapat meningkatkan dalam "&amp;FU34,IF(ES34&lt;1," ",””))))))</f>
        <v>#N/A</v>
      </c>
      <c r="FW34" s="61"/>
      <c r="FX34" s="62" t="e">
        <f t="shared" si="97"/>
        <v>#N/A</v>
      </c>
      <c r="FY34" s="57" t="str">
        <f t="shared" si="98"/>
        <v/>
      </c>
      <c r="FZ34" s="57" t="str">
        <f t="shared" si="98"/>
        <v/>
      </c>
      <c r="GA34" s="57" t="str">
        <f t="shared" si="98"/>
        <v/>
      </c>
      <c r="GB34" s="57"/>
      <c r="GC34" s="57"/>
      <c r="GD34" s="57"/>
      <c r="GE34" s="59">
        <f t="shared" si="45"/>
        <v>0</v>
      </c>
      <c r="GF34" s="60"/>
      <c r="GG34" s="61"/>
      <c r="GH34" s="62" t="str">
        <f t="shared" si="99"/>
        <v>, 0</v>
      </c>
    </row>
    <row r="35" spans="1:190" ht="34.5" customHeight="1">
      <c r="A35" s="39">
        <v>28</v>
      </c>
      <c r="B35" s="283">
        <f>SISWA!B33</f>
        <v>0</v>
      </c>
      <c r="C35" s="123"/>
      <c r="D35" s="123"/>
      <c r="E35" s="123"/>
      <c r="F35" s="123"/>
      <c r="G35" s="123"/>
      <c r="H35" s="123"/>
      <c r="I35" s="123"/>
      <c r="J35" s="123"/>
      <c r="K35" s="123"/>
      <c r="L35" s="256"/>
      <c r="M35" s="256"/>
      <c r="N35" s="256"/>
      <c r="O35" s="256"/>
      <c r="P35" s="256"/>
      <c r="Q35" s="256"/>
      <c r="R35" s="256"/>
      <c r="S35" s="256"/>
      <c r="T35" s="256"/>
      <c r="U35" s="123"/>
      <c r="V35" s="123"/>
      <c r="W35" s="123"/>
      <c r="X35" s="123"/>
      <c r="Y35" s="123"/>
      <c r="Z35" s="123"/>
      <c r="AA35" s="123"/>
      <c r="AB35" s="123"/>
      <c r="AC35" s="123"/>
      <c r="AD35" s="256"/>
      <c r="AE35" s="256"/>
      <c r="AF35" s="256"/>
      <c r="AG35" s="256"/>
      <c r="AH35" s="256"/>
      <c r="AI35" s="256"/>
      <c r="AJ35" s="256"/>
      <c r="AK35" s="256"/>
      <c r="AL35" s="256"/>
      <c r="AM35" s="123"/>
      <c r="AN35" s="123"/>
      <c r="AO35" s="123"/>
      <c r="AP35" s="123"/>
      <c r="AQ35" s="123"/>
      <c r="AR35" s="123"/>
      <c r="AS35" s="123"/>
      <c r="AT35" s="123"/>
      <c r="AU35" s="123"/>
      <c r="AV35" s="256"/>
      <c r="AW35" s="256"/>
      <c r="AX35" s="256"/>
      <c r="AY35" s="256"/>
      <c r="AZ35" s="256"/>
      <c r="BA35" s="256"/>
      <c r="BB35" s="256"/>
      <c r="BC35" s="256"/>
      <c r="BD35" s="256"/>
      <c r="BE35" s="123"/>
      <c r="BF35" s="123"/>
      <c r="BG35" s="123"/>
      <c r="BH35" s="123"/>
      <c r="BI35" s="123"/>
      <c r="BJ35" s="123"/>
      <c r="BK35" s="123"/>
      <c r="BL35" s="123"/>
      <c r="BM35" s="123"/>
      <c r="BN35" s="256"/>
      <c r="BO35" s="256"/>
      <c r="BP35" s="256"/>
      <c r="BQ35" s="256"/>
      <c r="BR35" s="256"/>
      <c r="BS35" s="256"/>
      <c r="BT35" s="256"/>
      <c r="BU35" s="256"/>
      <c r="BV35" s="256"/>
      <c r="BW35" s="460"/>
      <c r="BX35" s="460"/>
      <c r="BY35" s="460"/>
      <c r="BZ35" s="460"/>
      <c r="CA35" s="460"/>
      <c r="CB35" s="460"/>
      <c r="CC35" s="460"/>
      <c r="CD35" s="460"/>
      <c r="CE35" s="460"/>
      <c r="CF35" s="346"/>
      <c r="CG35" s="346"/>
      <c r="CH35" s="346"/>
      <c r="CI35" s="346"/>
      <c r="CJ35" s="346"/>
      <c r="CK35" s="346"/>
      <c r="CL35" s="346"/>
      <c r="CM35" s="346"/>
      <c r="CN35" s="346"/>
      <c r="CO35" s="260" t="str">
        <f t="shared" si="46"/>
        <v xml:space="preserve"> </v>
      </c>
      <c r="CP35" s="260" t="str">
        <f t="shared" si="47"/>
        <v xml:space="preserve"> </v>
      </c>
      <c r="CQ35" s="260" t="str">
        <f t="shared" si="48"/>
        <v xml:space="preserve"> </v>
      </c>
      <c r="CR35" s="260" t="str">
        <f t="shared" si="49"/>
        <v xml:space="preserve"> </v>
      </c>
      <c r="CS35" s="260" t="str">
        <f t="shared" si="50"/>
        <v xml:space="preserve"> </v>
      </c>
      <c r="CT35" s="260" t="str">
        <f t="shared" si="101"/>
        <v xml:space="preserve"> </v>
      </c>
      <c r="CU35" s="260" t="str">
        <f t="shared" si="101"/>
        <v xml:space="preserve"> </v>
      </c>
      <c r="CV35" s="260" t="str">
        <f t="shared" si="101"/>
        <v xml:space="preserve"> </v>
      </c>
      <c r="CW35" s="260" t="str">
        <f t="shared" si="101"/>
        <v xml:space="preserve"> </v>
      </c>
      <c r="CX35" s="547"/>
      <c r="CY35" s="547"/>
      <c r="CZ35" s="547"/>
      <c r="DA35" s="547"/>
      <c r="DB35" s="547"/>
      <c r="DC35" s="547"/>
      <c r="DD35" s="547"/>
      <c r="DE35" s="547"/>
      <c r="DF35" s="547"/>
      <c r="DG35" s="564"/>
      <c r="DH35" s="564"/>
      <c r="DI35" s="564"/>
      <c r="DJ35" s="564"/>
      <c r="DK35" s="564"/>
      <c r="DL35" s="564"/>
      <c r="DM35" s="564"/>
      <c r="DN35" s="564"/>
      <c r="DO35" s="564"/>
      <c r="DP35" s="549" t="str">
        <f t="shared" si="51"/>
        <v xml:space="preserve"> </v>
      </c>
      <c r="DQ35" s="291" t="str">
        <f t="shared" si="52"/>
        <v xml:space="preserve">  </v>
      </c>
      <c r="DR35" s="50" t="str">
        <f t="shared" si="53"/>
        <v xml:space="preserve"> </v>
      </c>
      <c r="DS35" s="282"/>
      <c r="DT35" s="51"/>
      <c r="DU35" s="46" t="str">
        <f t="shared" si="54"/>
        <v xml:space="preserve"> </v>
      </c>
      <c r="DV35" s="46" t="str">
        <f t="shared" si="55"/>
        <v xml:space="preserve"> </v>
      </c>
      <c r="DW35" s="46" t="str">
        <f t="shared" si="56"/>
        <v xml:space="preserve"> </v>
      </c>
      <c r="DX35" s="46" t="str">
        <f t="shared" si="57"/>
        <v xml:space="preserve"> </v>
      </c>
      <c r="DY35" s="46" t="str">
        <f t="shared" si="58"/>
        <v xml:space="preserve"> </v>
      </c>
      <c r="DZ35" s="46" t="str">
        <f t="shared" si="59"/>
        <v xml:space="preserve"> </v>
      </c>
      <c r="EA35" s="46" t="str">
        <f t="shared" si="60"/>
        <v xml:space="preserve"> </v>
      </c>
      <c r="EB35" s="46" t="str">
        <f t="shared" si="61"/>
        <v xml:space="preserve"> </v>
      </c>
      <c r="EC35" s="46" t="str">
        <f t="shared" si="62"/>
        <v xml:space="preserve"> </v>
      </c>
      <c r="ED35" s="46"/>
      <c r="EE35" s="52">
        <f>[2]uts!J34</f>
        <v>73</v>
      </c>
      <c r="EF35" s="51"/>
      <c r="EG35" s="53" t="str">
        <f t="shared" si="63"/>
        <v xml:space="preserve">  </v>
      </c>
      <c r="EH35" s="53" t="str">
        <f t="shared" si="64"/>
        <v xml:space="preserve">  </v>
      </c>
      <c r="EI35" s="53" t="str">
        <f t="shared" si="65"/>
        <v xml:space="preserve">  </v>
      </c>
      <c r="EJ35" s="53" t="str">
        <f t="shared" si="66"/>
        <v xml:space="preserve">  </v>
      </c>
      <c r="EK35" s="53" t="str">
        <f t="shared" si="67"/>
        <v xml:space="preserve">  </v>
      </c>
      <c r="EL35" s="53" t="str">
        <f t="shared" si="68"/>
        <v xml:space="preserve">  </v>
      </c>
      <c r="EM35" s="53" t="str">
        <f t="shared" si="69"/>
        <v xml:space="preserve">  </v>
      </c>
      <c r="EN35" s="53" t="str">
        <f t="shared" si="70"/>
        <v xml:space="preserve">  </v>
      </c>
      <c r="EO35" s="53" t="str">
        <f t="shared" si="71"/>
        <v xml:space="preserve">  </v>
      </c>
      <c r="EP35" s="53"/>
      <c r="EQ35" s="54" t="str">
        <f t="shared" si="72"/>
        <v xml:space="preserve"> </v>
      </c>
      <c r="ER35" s="55">
        <f t="shared" si="73"/>
        <v>0</v>
      </c>
      <c r="ES35" s="55">
        <f t="shared" si="74"/>
        <v>0</v>
      </c>
      <c r="ET35" s="51">
        <f>SISWA!E33</f>
        <v>0</v>
      </c>
      <c r="EU35" s="51" t="str">
        <f t="shared" si="75"/>
        <v/>
      </c>
      <c r="EV35" s="56" t="str">
        <f t="shared" si="76"/>
        <v/>
      </c>
      <c r="EW35" s="57" t="str">
        <f t="shared" si="77"/>
        <v/>
      </c>
      <c r="EX35" s="57" t="str">
        <f t="shared" si="78"/>
        <v/>
      </c>
      <c r="EY35" s="57" t="str">
        <f t="shared" si="79"/>
        <v/>
      </c>
      <c r="EZ35" s="57" t="str">
        <f t="shared" si="80"/>
        <v/>
      </c>
      <c r="FA35" s="57" t="str">
        <f t="shared" si="81"/>
        <v/>
      </c>
      <c r="FB35" s="57" t="str">
        <f t="shared" si="82"/>
        <v/>
      </c>
      <c r="FC35" s="57" t="str">
        <f t="shared" si="83"/>
        <v/>
      </c>
      <c r="FD35" s="57" t="str">
        <f t="shared" si="84"/>
        <v/>
      </c>
      <c r="FE35" s="57"/>
      <c r="FF35" s="58">
        <f t="shared" si="85"/>
        <v>0</v>
      </c>
      <c r="FG35" s="55" t="e">
        <f t="shared" si="86"/>
        <v>#N/A</v>
      </c>
      <c r="FH35" s="58"/>
      <c r="FI35" s="59" t="e">
        <f>IF(ER35&gt;100,"",IF(ER35&gt;DQ$1,"sangat baik dalam "&amp;FG35,IF(ER35&gt;=DQ$2,"baik dalam "&amp;FG35,IF(ER35&gt;=DQ$3,"cukup dalam "&amp;FG35,IF(ER35&lt;DQ$3,"dengan bimbingan dapat meningkatkan dalam "&amp;FG35,IF(ER35&lt;1," ",””))))))</f>
        <v>#N/A</v>
      </c>
      <c r="FJ35" s="58"/>
      <c r="FK35" s="57" t="str">
        <f t="shared" si="87"/>
        <v/>
      </c>
      <c r="FL35" s="57" t="str">
        <f t="shared" si="88"/>
        <v/>
      </c>
      <c r="FM35" s="57" t="str">
        <f t="shared" si="89"/>
        <v/>
      </c>
      <c r="FN35" s="57" t="str">
        <f t="shared" si="90"/>
        <v/>
      </c>
      <c r="FO35" s="57" t="str">
        <f t="shared" si="91"/>
        <v/>
      </c>
      <c r="FP35" s="57" t="str">
        <f t="shared" si="92"/>
        <v/>
      </c>
      <c r="FQ35" s="57" t="str">
        <f t="shared" si="93"/>
        <v/>
      </c>
      <c r="FR35" s="57" t="str">
        <f t="shared" si="94"/>
        <v/>
      </c>
      <c r="FS35" s="57" t="str">
        <f t="shared" si="95"/>
        <v/>
      </c>
      <c r="FT35" s="57"/>
      <c r="FU35" s="59" t="e">
        <f t="shared" si="96"/>
        <v>#N/A</v>
      </c>
      <c r="FV35" s="59" t="e">
        <f>IF(ES35&gt;100,"",IF(ES35&gt;DQ$1,"sangat baik dalam "&amp;FU35,IF(ES35&gt;=DQ$2,"baik dalam "&amp;FU35,IF(ES35&gt;=DQ$3,"cukup dalam "&amp;FU35,IF(ES35&lt;DQ$3,"dengan bimbingan dapat meningkatkan dalam "&amp;FU35,IF(ES35&lt;1," ",””))))))</f>
        <v>#N/A</v>
      </c>
      <c r="FW35" s="61"/>
      <c r="FX35" s="62" t="e">
        <f t="shared" si="97"/>
        <v>#N/A</v>
      </c>
      <c r="FY35" s="57" t="str">
        <f t="shared" si="98"/>
        <v/>
      </c>
      <c r="FZ35" s="57" t="str">
        <f t="shared" si="98"/>
        <v/>
      </c>
      <c r="GA35" s="57" t="str">
        <f t="shared" si="98"/>
        <v/>
      </c>
      <c r="GB35" s="57"/>
      <c r="GC35" s="57"/>
      <c r="GD35" s="57"/>
      <c r="GE35" s="59">
        <f t="shared" si="45"/>
        <v>0</v>
      </c>
      <c r="GF35" s="60"/>
      <c r="GG35" s="61"/>
      <c r="GH35" s="62" t="str">
        <f t="shared" si="99"/>
        <v>, 0</v>
      </c>
    </row>
    <row r="36" spans="1:190" ht="34.5" customHeight="1">
      <c r="A36" s="39">
        <v>29</v>
      </c>
      <c r="B36" s="283">
        <f>SISWA!B34</f>
        <v>0</v>
      </c>
      <c r="C36" s="123"/>
      <c r="D36" s="123"/>
      <c r="E36" s="123"/>
      <c r="F36" s="123"/>
      <c r="G36" s="123"/>
      <c r="H36" s="123"/>
      <c r="I36" s="123"/>
      <c r="J36" s="123"/>
      <c r="K36" s="123"/>
      <c r="L36" s="256"/>
      <c r="M36" s="256"/>
      <c r="N36" s="256"/>
      <c r="O36" s="256"/>
      <c r="P36" s="256"/>
      <c r="Q36" s="256"/>
      <c r="R36" s="256"/>
      <c r="S36" s="256"/>
      <c r="T36" s="256"/>
      <c r="U36" s="123"/>
      <c r="V36" s="123"/>
      <c r="W36" s="123"/>
      <c r="X36" s="123"/>
      <c r="Y36" s="123"/>
      <c r="Z36" s="123"/>
      <c r="AA36" s="123"/>
      <c r="AB36" s="123"/>
      <c r="AC36" s="123"/>
      <c r="AD36" s="256"/>
      <c r="AE36" s="256"/>
      <c r="AF36" s="256"/>
      <c r="AG36" s="256"/>
      <c r="AH36" s="256"/>
      <c r="AI36" s="256"/>
      <c r="AJ36" s="256"/>
      <c r="AK36" s="256"/>
      <c r="AL36" s="256"/>
      <c r="AM36" s="123"/>
      <c r="AN36" s="123"/>
      <c r="AO36" s="123"/>
      <c r="AP36" s="123"/>
      <c r="AQ36" s="123"/>
      <c r="AR36" s="123"/>
      <c r="AS36" s="123"/>
      <c r="AT36" s="123"/>
      <c r="AU36" s="123"/>
      <c r="AV36" s="256"/>
      <c r="AW36" s="256"/>
      <c r="AX36" s="256"/>
      <c r="AY36" s="256"/>
      <c r="AZ36" s="256"/>
      <c r="BA36" s="256"/>
      <c r="BB36" s="256"/>
      <c r="BC36" s="256"/>
      <c r="BD36" s="256"/>
      <c r="BE36" s="123"/>
      <c r="BF36" s="123"/>
      <c r="BG36" s="123"/>
      <c r="BH36" s="123"/>
      <c r="BI36" s="123"/>
      <c r="BJ36" s="123"/>
      <c r="BK36" s="123"/>
      <c r="BL36" s="123"/>
      <c r="BM36" s="123"/>
      <c r="BN36" s="256"/>
      <c r="BO36" s="256"/>
      <c r="BP36" s="256"/>
      <c r="BQ36" s="256"/>
      <c r="BR36" s="256"/>
      <c r="BS36" s="256"/>
      <c r="BT36" s="256"/>
      <c r="BU36" s="256"/>
      <c r="BV36" s="256"/>
      <c r="BW36" s="460"/>
      <c r="BX36" s="460"/>
      <c r="BY36" s="460"/>
      <c r="BZ36" s="460"/>
      <c r="CA36" s="460"/>
      <c r="CB36" s="460"/>
      <c r="CC36" s="460"/>
      <c r="CD36" s="460"/>
      <c r="CE36" s="460"/>
      <c r="CF36" s="346"/>
      <c r="CG36" s="346"/>
      <c r="CH36" s="346"/>
      <c r="CI36" s="346"/>
      <c r="CJ36" s="346"/>
      <c r="CK36" s="346"/>
      <c r="CL36" s="346"/>
      <c r="CM36" s="346"/>
      <c r="CN36" s="346"/>
      <c r="CO36" s="260" t="str">
        <f t="shared" si="46"/>
        <v xml:space="preserve"> </v>
      </c>
      <c r="CP36" s="260" t="str">
        <f t="shared" si="47"/>
        <v xml:space="preserve"> </v>
      </c>
      <c r="CQ36" s="260" t="str">
        <f t="shared" si="48"/>
        <v xml:space="preserve"> </v>
      </c>
      <c r="CR36" s="260" t="str">
        <f t="shared" si="49"/>
        <v xml:space="preserve"> </v>
      </c>
      <c r="CS36" s="260" t="str">
        <f t="shared" si="50"/>
        <v xml:space="preserve"> </v>
      </c>
      <c r="CT36" s="260" t="str">
        <f t="shared" si="101"/>
        <v xml:space="preserve"> </v>
      </c>
      <c r="CU36" s="260" t="str">
        <f t="shared" si="101"/>
        <v xml:space="preserve"> </v>
      </c>
      <c r="CV36" s="260" t="str">
        <f t="shared" si="101"/>
        <v xml:space="preserve"> </v>
      </c>
      <c r="CW36" s="260" t="str">
        <f t="shared" si="101"/>
        <v xml:space="preserve"> </v>
      </c>
      <c r="CX36" s="547"/>
      <c r="CY36" s="547"/>
      <c r="CZ36" s="547"/>
      <c r="DA36" s="547"/>
      <c r="DB36" s="547"/>
      <c r="DC36" s="547"/>
      <c r="DD36" s="547"/>
      <c r="DE36" s="547"/>
      <c r="DF36" s="547"/>
      <c r="DG36" s="564"/>
      <c r="DH36" s="564"/>
      <c r="DI36" s="564"/>
      <c r="DJ36" s="564"/>
      <c r="DK36" s="564"/>
      <c r="DL36" s="564"/>
      <c r="DM36" s="564"/>
      <c r="DN36" s="564"/>
      <c r="DO36" s="564"/>
      <c r="DP36" s="549" t="str">
        <f t="shared" si="51"/>
        <v xml:space="preserve"> </v>
      </c>
      <c r="DQ36" s="291" t="str">
        <f t="shared" si="52"/>
        <v xml:space="preserve">  </v>
      </c>
      <c r="DR36" s="50" t="str">
        <f t="shared" si="53"/>
        <v xml:space="preserve"> </v>
      </c>
      <c r="DS36" s="282"/>
      <c r="DT36" s="51"/>
      <c r="DU36" s="46" t="str">
        <f t="shared" si="54"/>
        <v xml:space="preserve"> </v>
      </c>
      <c r="DV36" s="46" t="str">
        <f t="shared" si="55"/>
        <v xml:space="preserve"> </v>
      </c>
      <c r="DW36" s="46" t="str">
        <f t="shared" si="56"/>
        <v xml:space="preserve"> </v>
      </c>
      <c r="DX36" s="46" t="str">
        <f t="shared" si="57"/>
        <v xml:space="preserve"> </v>
      </c>
      <c r="DY36" s="46" t="str">
        <f t="shared" si="58"/>
        <v xml:space="preserve"> </v>
      </c>
      <c r="DZ36" s="46" t="str">
        <f t="shared" si="59"/>
        <v xml:space="preserve"> </v>
      </c>
      <c r="EA36" s="46" t="str">
        <f t="shared" si="60"/>
        <v xml:space="preserve"> </v>
      </c>
      <c r="EB36" s="46" t="str">
        <f t="shared" si="61"/>
        <v xml:space="preserve"> </v>
      </c>
      <c r="EC36" s="46" t="str">
        <f t="shared" si="62"/>
        <v xml:space="preserve"> </v>
      </c>
      <c r="ED36" s="46"/>
      <c r="EE36" s="52" t="str">
        <f>[2]uts!J35</f>
        <v/>
      </c>
      <c r="EF36" s="51"/>
      <c r="EG36" s="53" t="str">
        <f t="shared" si="63"/>
        <v xml:space="preserve">  </v>
      </c>
      <c r="EH36" s="53" t="str">
        <f t="shared" si="64"/>
        <v xml:space="preserve">  </v>
      </c>
      <c r="EI36" s="53" t="str">
        <f t="shared" si="65"/>
        <v xml:space="preserve">  </v>
      </c>
      <c r="EJ36" s="53" t="str">
        <f t="shared" si="66"/>
        <v xml:space="preserve">  </v>
      </c>
      <c r="EK36" s="53" t="str">
        <f t="shared" si="67"/>
        <v xml:space="preserve">  </v>
      </c>
      <c r="EL36" s="53" t="str">
        <f t="shared" si="68"/>
        <v xml:space="preserve">  </v>
      </c>
      <c r="EM36" s="53" t="str">
        <f t="shared" si="69"/>
        <v xml:space="preserve">  </v>
      </c>
      <c r="EN36" s="53" t="str">
        <f t="shared" si="70"/>
        <v xml:space="preserve">  </v>
      </c>
      <c r="EO36" s="53" t="str">
        <f t="shared" si="71"/>
        <v xml:space="preserve">  </v>
      </c>
      <c r="EP36" s="53"/>
      <c r="EQ36" s="54" t="str">
        <f t="shared" si="72"/>
        <v xml:space="preserve"> </v>
      </c>
      <c r="ER36" s="55">
        <f t="shared" si="73"/>
        <v>0</v>
      </c>
      <c r="ES36" s="55">
        <f t="shared" si="74"/>
        <v>0</v>
      </c>
      <c r="ET36" s="51">
        <f>SISWA!E34</f>
        <v>0</v>
      </c>
      <c r="EU36" s="51" t="str">
        <f t="shared" si="75"/>
        <v/>
      </c>
      <c r="EV36" s="56" t="str">
        <f t="shared" si="76"/>
        <v/>
      </c>
      <c r="EW36" s="57" t="str">
        <f t="shared" si="77"/>
        <v/>
      </c>
      <c r="EX36" s="57" t="str">
        <f t="shared" si="78"/>
        <v/>
      </c>
      <c r="EY36" s="57" t="str">
        <f t="shared" si="79"/>
        <v/>
      </c>
      <c r="EZ36" s="57" t="str">
        <f t="shared" si="80"/>
        <v/>
      </c>
      <c r="FA36" s="57" t="str">
        <f t="shared" si="81"/>
        <v/>
      </c>
      <c r="FB36" s="57" t="str">
        <f t="shared" si="82"/>
        <v/>
      </c>
      <c r="FC36" s="57" t="str">
        <f t="shared" si="83"/>
        <v/>
      </c>
      <c r="FD36" s="57" t="str">
        <f t="shared" si="84"/>
        <v/>
      </c>
      <c r="FE36" s="57"/>
      <c r="FF36" s="58">
        <f t="shared" si="85"/>
        <v>0</v>
      </c>
      <c r="FG36" s="55" t="e">
        <f t="shared" si="86"/>
        <v>#N/A</v>
      </c>
      <c r="FH36" s="58"/>
      <c r="FI36" s="59" t="e">
        <f>IF(ER36&gt;100,"",IF(ER36&gt;DQ$1,"sangat baik dalam "&amp;FG36,IF(ER36&gt;=DQ$2,"baik dalam "&amp;FG36,IF(ER36&gt;=DQ$3,"cukup dalam "&amp;FG36,IF(ER36&lt;DQ$3,"dengan bimbingan dapat meningkatkan dalam "&amp;FG36,IF(ER36&lt;1," ",””))))))</f>
        <v>#N/A</v>
      </c>
      <c r="FJ36" s="58"/>
      <c r="FK36" s="57" t="str">
        <f t="shared" si="87"/>
        <v/>
      </c>
      <c r="FL36" s="57" t="str">
        <f t="shared" si="88"/>
        <v/>
      </c>
      <c r="FM36" s="57" t="str">
        <f t="shared" si="89"/>
        <v/>
      </c>
      <c r="FN36" s="57" t="str">
        <f t="shared" si="90"/>
        <v/>
      </c>
      <c r="FO36" s="57" t="str">
        <f t="shared" si="91"/>
        <v/>
      </c>
      <c r="FP36" s="57" t="str">
        <f t="shared" si="92"/>
        <v/>
      </c>
      <c r="FQ36" s="57" t="str">
        <f t="shared" si="93"/>
        <v/>
      </c>
      <c r="FR36" s="57" t="str">
        <f t="shared" si="94"/>
        <v/>
      </c>
      <c r="FS36" s="57" t="str">
        <f t="shared" si="95"/>
        <v/>
      </c>
      <c r="FT36" s="57"/>
      <c r="FU36" s="59" t="e">
        <f t="shared" si="96"/>
        <v>#N/A</v>
      </c>
      <c r="FV36" s="59" t="e">
        <f>IF(ES36&gt;100,"",IF(ES36&gt;DQ$1,"sangat baik dalam "&amp;FU36,IF(ES36&gt;=DQ$2,"baik dalam "&amp;FU36,IF(ES36&gt;=DQ$3,"cukup dalam "&amp;FU36,IF(ES36&lt;DQ$3,"dengan bimbingan dapat meningkatkan dalam "&amp;FU36,IF(ES36&lt;1," ",””))))))</f>
        <v>#N/A</v>
      </c>
      <c r="FW36" s="61"/>
      <c r="FX36" s="62" t="e">
        <f t="shared" si="97"/>
        <v>#N/A</v>
      </c>
      <c r="FY36" s="57" t="str">
        <f t="shared" si="98"/>
        <v/>
      </c>
      <c r="FZ36" s="57" t="str">
        <f t="shared" si="98"/>
        <v/>
      </c>
      <c r="GA36" s="57" t="str">
        <f t="shared" si="98"/>
        <v/>
      </c>
      <c r="GB36" s="57"/>
      <c r="GC36" s="57"/>
      <c r="GD36" s="57"/>
      <c r="GE36" s="59">
        <f t="shared" si="45"/>
        <v>0</v>
      </c>
      <c r="GF36" s="60"/>
      <c r="GG36" s="61"/>
      <c r="GH36" s="62" t="str">
        <f t="shared" si="99"/>
        <v>, 0</v>
      </c>
    </row>
    <row r="37" spans="1:190">
      <c r="A37" s="39">
        <v>30</v>
      </c>
      <c r="B37" s="283">
        <f>SISWA!B35</f>
        <v>0</v>
      </c>
      <c r="C37" s="123"/>
      <c r="D37" s="123"/>
      <c r="E37" s="123"/>
      <c r="F37" s="123"/>
      <c r="G37" s="123"/>
      <c r="H37" s="123"/>
      <c r="I37" s="123"/>
      <c r="J37" s="123"/>
      <c r="K37" s="123"/>
      <c r="L37" s="256"/>
      <c r="M37" s="256"/>
      <c r="N37" s="256"/>
      <c r="O37" s="256"/>
      <c r="P37" s="256"/>
      <c r="Q37" s="256"/>
      <c r="R37" s="256"/>
      <c r="S37" s="256"/>
      <c r="T37" s="256"/>
      <c r="U37" s="123"/>
      <c r="V37" s="123"/>
      <c r="W37" s="123"/>
      <c r="X37" s="123"/>
      <c r="Y37" s="123"/>
      <c r="Z37" s="123"/>
      <c r="AA37" s="123"/>
      <c r="AB37" s="123"/>
      <c r="AC37" s="123"/>
      <c r="AD37" s="256"/>
      <c r="AE37" s="256"/>
      <c r="AF37" s="256"/>
      <c r="AG37" s="256"/>
      <c r="AH37" s="256"/>
      <c r="AI37" s="256"/>
      <c r="AJ37" s="256"/>
      <c r="AK37" s="256"/>
      <c r="AL37" s="256"/>
      <c r="AM37" s="123"/>
      <c r="AN37" s="123"/>
      <c r="AO37" s="123"/>
      <c r="AP37" s="123"/>
      <c r="AQ37" s="123"/>
      <c r="AR37" s="123"/>
      <c r="AS37" s="123"/>
      <c r="AT37" s="123"/>
      <c r="AU37" s="123"/>
      <c r="AV37" s="256"/>
      <c r="AW37" s="256"/>
      <c r="AX37" s="256"/>
      <c r="AY37" s="256"/>
      <c r="AZ37" s="256"/>
      <c r="BA37" s="256"/>
      <c r="BB37" s="256"/>
      <c r="BC37" s="256"/>
      <c r="BD37" s="256"/>
      <c r="BE37" s="123"/>
      <c r="BF37" s="123"/>
      <c r="BG37" s="123"/>
      <c r="BH37" s="123"/>
      <c r="BI37" s="123"/>
      <c r="BJ37" s="123"/>
      <c r="BK37" s="123"/>
      <c r="BL37" s="123"/>
      <c r="BM37" s="123"/>
      <c r="BN37" s="256"/>
      <c r="BO37" s="256"/>
      <c r="BP37" s="256"/>
      <c r="BQ37" s="256"/>
      <c r="BR37" s="256"/>
      <c r="BS37" s="256"/>
      <c r="BT37" s="256"/>
      <c r="BU37" s="256"/>
      <c r="BV37" s="256"/>
      <c r="BW37" s="460"/>
      <c r="BX37" s="460"/>
      <c r="BY37" s="460"/>
      <c r="BZ37" s="460"/>
      <c r="CA37" s="460"/>
      <c r="CB37" s="460"/>
      <c r="CC37" s="460"/>
      <c r="CD37" s="460"/>
      <c r="CE37" s="460"/>
      <c r="CF37" s="346"/>
      <c r="CG37" s="346"/>
      <c r="CH37" s="346"/>
      <c r="CI37" s="346"/>
      <c r="CJ37" s="346"/>
      <c r="CK37" s="346"/>
      <c r="CL37" s="346"/>
      <c r="CM37" s="346"/>
      <c r="CN37" s="346"/>
      <c r="CO37" s="260" t="str">
        <f t="shared" si="46"/>
        <v xml:space="preserve"> </v>
      </c>
      <c r="CP37" s="260" t="str">
        <f t="shared" si="47"/>
        <v xml:space="preserve"> </v>
      </c>
      <c r="CQ37" s="260" t="str">
        <f t="shared" si="48"/>
        <v xml:space="preserve"> </v>
      </c>
      <c r="CR37" s="260" t="str">
        <f t="shared" si="49"/>
        <v xml:space="preserve"> </v>
      </c>
      <c r="CS37" s="260" t="str">
        <f t="shared" si="50"/>
        <v xml:space="preserve"> </v>
      </c>
      <c r="CT37" s="260" t="str">
        <f t="shared" si="101"/>
        <v xml:space="preserve"> </v>
      </c>
      <c r="CU37" s="260" t="str">
        <f t="shared" si="101"/>
        <v xml:space="preserve"> </v>
      </c>
      <c r="CV37" s="260" t="str">
        <f t="shared" si="101"/>
        <v xml:space="preserve"> </v>
      </c>
      <c r="CW37" s="260" t="str">
        <f t="shared" si="101"/>
        <v xml:space="preserve"> </v>
      </c>
      <c r="CX37" s="547"/>
      <c r="CY37" s="547"/>
      <c r="CZ37" s="547"/>
      <c r="DA37" s="547"/>
      <c r="DB37" s="547"/>
      <c r="DC37" s="547"/>
      <c r="DD37" s="547"/>
      <c r="DE37" s="547"/>
      <c r="DF37" s="547"/>
      <c r="DG37" s="564"/>
      <c r="DH37" s="564"/>
      <c r="DI37" s="564"/>
      <c r="DJ37" s="564"/>
      <c r="DK37" s="564"/>
      <c r="DL37" s="564"/>
      <c r="DM37" s="564"/>
      <c r="DN37" s="564"/>
      <c r="DO37" s="564"/>
      <c r="DP37" s="549" t="str">
        <f t="shared" si="51"/>
        <v xml:space="preserve"> </v>
      </c>
      <c r="DQ37" s="291" t="str">
        <f t="shared" si="52"/>
        <v xml:space="preserve">  </v>
      </c>
      <c r="DR37" s="50" t="str">
        <f t="shared" si="53"/>
        <v xml:space="preserve"> </v>
      </c>
      <c r="DS37" s="282"/>
      <c r="DT37" s="51"/>
      <c r="DU37" s="46" t="str">
        <f t="shared" si="54"/>
        <v xml:space="preserve"> </v>
      </c>
      <c r="DV37" s="46" t="str">
        <f t="shared" si="55"/>
        <v xml:space="preserve"> </v>
      </c>
      <c r="DW37" s="46" t="str">
        <f t="shared" si="56"/>
        <v xml:space="preserve"> </v>
      </c>
      <c r="DX37" s="46" t="str">
        <f t="shared" si="57"/>
        <v xml:space="preserve"> </v>
      </c>
      <c r="DY37" s="46" t="str">
        <f t="shared" si="58"/>
        <v xml:space="preserve"> </v>
      </c>
      <c r="DZ37" s="46" t="str">
        <f t="shared" si="59"/>
        <v xml:space="preserve"> </v>
      </c>
      <c r="EA37" s="46" t="str">
        <f t="shared" si="60"/>
        <v xml:space="preserve"> </v>
      </c>
      <c r="EB37" s="46" t="str">
        <f t="shared" si="61"/>
        <v xml:space="preserve"> </v>
      </c>
      <c r="EC37" s="46" t="str">
        <f t="shared" si="62"/>
        <v xml:space="preserve"> </v>
      </c>
      <c r="ED37" s="46"/>
      <c r="EE37" s="52" t="str">
        <f>[2]uts!J36</f>
        <v/>
      </c>
      <c r="EF37" s="51"/>
      <c r="EG37" s="53" t="str">
        <f t="shared" si="63"/>
        <v xml:space="preserve">  </v>
      </c>
      <c r="EH37" s="53" t="str">
        <f t="shared" si="64"/>
        <v xml:space="preserve">  </v>
      </c>
      <c r="EI37" s="53" t="str">
        <f t="shared" si="65"/>
        <v xml:space="preserve">  </v>
      </c>
      <c r="EJ37" s="53" t="str">
        <f t="shared" si="66"/>
        <v xml:space="preserve">  </v>
      </c>
      <c r="EK37" s="53" t="str">
        <f t="shared" si="67"/>
        <v xml:space="preserve">  </v>
      </c>
      <c r="EL37" s="53" t="str">
        <f t="shared" si="68"/>
        <v xml:space="preserve">  </v>
      </c>
      <c r="EM37" s="53" t="str">
        <f t="shared" si="69"/>
        <v xml:space="preserve">  </v>
      </c>
      <c r="EN37" s="53" t="str">
        <f t="shared" si="70"/>
        <v xml:space="preserve">  </v>
      </c>
      <c r="EO37" s="53" t="str">
        <f t="shared" si="71"/>
        <v xml:space="preserve">  </v>
      </c>
      <c r="EP37" s="53"/>
      <c r="EQ37" s="54" t="str">
        <f t="shared" si="72"/>
        <v xml:space="preserve"> </v>
      </c>
      <c r="ER37" s="55">
        <f t="shared" si="73"/>
        <v>0</v>
      </c>
      <c r="ES37" s="55">
        <f t="shared" si="74"/>
        <v>0</v>
      </c>
      <c r="ET37" s="51">
        <f>SISWA!E35</f>
        <v>0</v>
      </c>
      <c r="EU37" s="51" t="str">
        <f t="shared" si="75"/>
        <v/>
      </c>
      <c r="EV37" s="56" t="str">
        <f t="shared" si="76"/>
        <v/>
      </c>
      <c r="EW37" s="57" t="str">
        <f t="shared" si="77"/>
        <v/>
      </c>
      <c r="EX37" s="57" t="str">
        <f t="shared" si="78"/>
        <v/>
      </c>
      <c r="EY37" s="57" t="str">
        <f t="shared" si="79"/>
        <v/>
      </c>
      <c r="EZ37" s="57" t="str">
        <f t="shared" si="80"/>
        <v/>
      </c>
      <c r="FA37" s="57" t="str">
        <f t="shared" si="81"/>
        <v/>
      </c>
      <c r="FB37" s="57" t="str">
        <f t="shared" si="82"/>
        <v/>
      </c>
      <c r="FC37" s="57" t="str">
        <f t="shared" si="83"/>
        <v/>
      </c>
      <c r="FD37" s="57" t="str">
        <f t="shared" si="84"/>
        <v/>
      </c>
      <c r="FE37" s="57"/>
      <c r="FF37" s="58">
        <f t="shared" si="85"/>
        <v>0</v>
      </c>
      <c r="FG37" s="55" t="e">
        <f t="shared" si="86"/>
        <v>#N/A</v>
      </c>
      <c r="FH37" s="58"/>
      <c r="FI37" s="59" t="e">
        <f>IF(ER37&gt;100,"",IF(ER37&gt;DQ$1,"sangat baik dalam "&amp;FG37,IF(ER37&gt;=DQ$2,"baik dalam "&amp;FG37,IF(ER37&gt;=DQ$3,"cukup dalam "&amp;FG37,IF(ER37&lt;DQ$3,"dengan bimbingan dapat meningkatkan dalam "&amp;FG37,IF(ER37&lt;1," ",””))))))</f>
        <v>#N/A</v>
      </c>
      <c r="FJ37" s="58"/>
      <c r="FK37" s="57" t="str">
        <f t="shared" si="87"/>
        <v/>
      </c>
      <c r="FL37" s="57" t="str">
        <f t="shared" si="88"/>
        <v/>
      </c>
      <c r="FM37" s="57" t="str">
        <f t="shared" si="89"/>
        <v/>
      </c>
      <c r="FN37" s="57" t="str">
        <f t="shared" si="90"/>
        <v/>
      </c>
      <c r="FO37" s="57" t="str">
        <f t="shared" si="91"/>
        <v/>
      </c>
      <c r="FP37" s="57" t="str">
        <f t="shared" si="92"/>
        <v/>
      </c>
      <c r="FQ37" s="57" t="str">
        <f t="shared" si="93"/>
        <v/>
      </c>
      <c r="FR37" s="57" t="str">
        <f t="shared" si="94"/>
        <v/>
      </c>
      <c r="FS37" s="57" t="str">
        <f t="shared" si="95"/>
        <v/>
      </c>
      <c r="FT37" s="57"/>
      <c r="FU37" s="59" t="e">
        <f t="shared" si="96"/>
        <v>#N/A</v>
      </c>
      <c r="FV37" s="59" t="e">
        <f>IF(ES37&gt;100,"",IF(ES37&gt;DQ$1,"sangat baik dalam "&amp;FU37,IF(ES37&gt;=DQ$2,"baik dalam "&amp;FU37,IF(ES37&gt;=DQ$3,"cukup dalam "&amp;FU37,IF(ES37&lt;DQ$3,"dengan bimbingan dapat meningkatkan dalam "&amp;FU37,IF(ES37&lt;1," ",””))))))</f>
        <v>#N/A</v>
      </c>
      <c r="FW37" s="61"/>
      <c r="FX37" s="62" t="e">
        <f t="shared" si="97"/>
        <v>#N/A</v>
      </c>
      <c r="FY37" s="57" t="str">
        <f t="shared" si="98"/>
        <v/>
      </c>
      <c r="FZ37" s="57" t="str">
        <f t="shared" si="98"/>
        <v/>
      </c>
      <c r="GA37" s="57" t="str">
        <f t="shared" si="98"/>
        <v/>
      </c>
      <c r="GB37" s="57"/>
      <c r="GC37" s="57"/>
      <c r="GD37" s="57"/>
      <c r="GE37" s="59">
        <f t="shared" si="45"/>
        <v>0</v>
      </c>
      <c r="GF37" s="60"/>
      <c r="GG37" s="61"/>
      <c r="GH37" s="62" t="str">
        <f t="shared" si="99"/>
        <v>, 0</v>
      </c>
    </row>
    <row r="38" spans="1:190">
      <c r="A38" s="39">
        <v>31</v>
      </c>
      <c r="B38" s="283">
        <f>SISWA!B36</f>
        <v>0</v>
      </c>
      <c r="C38" s="123"/>
      <c r="D38" s="123"/>
      <c r="E38" s="123"/>
      <c r="F38" s="123"/>
      <c r="G38" s="123"/>
      <c r="H38" s="123"/>
      <c r="I38" s="123"/>
      <c r="J38" s="123"/>
      <c r="K38" s="123"/>
      <c r="L38" s="256"/>
      <c r="M38" s="256"/>
      <c r="N38" s="256"/>
      <c r="O38" s="256"/>
      <c r="P38" s="256"/>
      <c r="Q38" s="256"/>
      <c r="R38" s="256"/>
      <c r="S38" s="256"/>
      <c r="T38" s="256"/>
      <c r="U38" s="123"/>
      <c r="V38" s="123"/>
      <c r="W38" s="123"/>
      <c r="X38" s="123"/>
      <c r="Y38" s="123"/>
      <c r="Z38" s="123"/>
      <c r="AA38" s="123"/>
      <c r="AB38" s="123"/>
      <c r="AC38" s="123"/>
      <c r="AD38" s="256"/>
      <c r="AE38" s="256"/>
      <c r="AF38" s="256"/>
      <c r="AG38" s="256"/>
      <c r="AH38" s="256"/>
      <c r="AI38" s="256"/>
      <c r="AJ38" s="256"/>
      <c r="AK38" s="256"/>
      <c r="AL38" s="256"/>
      <c r="AM38" s="123"/>
      <c r="AN38" s="123"/>
      <c r="AO38" s="123"/>
      <c r="AP38" s="123"/>
      <c r="AQ38" s="123"/>
      <c r="AR38" s="123"/>
      <c r="AS38" s="123"/>
      <c r="AT38" s="123"/>
      <c r="AU38" s="123"/>
      <c r="AV38" s="256"/>
      <c r="AW38" s="256"/>
      <c r="AX38" s="256"/>
      <c r="AY38" s="256"/>
      <c r="AZ38" s="256"/>
      <c r="BA38" s="256"/>
      <c r="BB38" s="256"/>
      <c r="BC38" s="256"/>
      <c r="BD38" s="256"/>
      <c r="BE38" s="123"/>
      <c r="BF38" s="123"/>
      <c r="BG38" s="123"/>
      <c r="BH38" s="123"/>
      <c r="BI38" s="123"/>
      <c r="BJ38" s="123"/>
      <c r="BK38" s="123"/>
      <c r="BL38" s="123"/>
      <c r="BM38" s="123"/>
      <c r="BN38" s="256"/>
      <c r="BO38" s="256"/>
      <c r="BP38" s="256"/>
      <c r="BQ38" s="256"/>
      <c r="BR38" s="256"/>
      <c r="BS38" s="256"/>
      <c r="BT38" s="256"/>
      <c r="BU38" s="256"/>
      <c r="BV38" s="256"/>
      <c r="BW38" s="460"/>
      <c r="BX38" s="460"/>
      <c r="BY38" s="460"/>
      <c r="BZ38" s="460"/>
      <c r="CA38" s="460"/>
      <c r="CB38" s="460"/>
      <c r="CC38" s="460"/>
      <c r="CD38" s="460"/>
      <c r="CE38" s="460"/>
      <c r="CF38" s="346"/>
      <c r="CG38" s="346"/>
      <c r="CH38" s="346"/>
      <c r="CI38" s="346"/>
      <c r="CJ38" s="346"/>
      <c r="CK38" s="346"/>
      <c r="CL38" s="346"/>
      <c r="CM38" s="346"/>
      <c r="CN38" s="346"/>
      <c r="CO38" s="260" t="str">
        <f t="shared" si="46"/>
        <v xml:space="preserve"> </v>
      </c>
      <c r="CP38" s="260" t="str">
        <f t="shared" si="47"/>
        <v xml:space="preserve"> </v>
      </c>
      <c r="CQ38" s="260" t="str">
        <f t="shared" si="48"/>
        <v xml:space="preserve"> </v>
      </c>
      <c r="CR38" s="260" t="str">
        <f t="shared" si="49"/>
        <v xml:space="preserve"> </v>
      </c>
      <c r="CS38" s="260" t="str">
        <f t="shared" si="50"/>
        <v xml:space="preserve"> </v>
      </c>
      <c r="CT38" s="260" t="str">
        <f t="shared" si="101"/>
        <v xml:space="preserve"> </v>
      </c>
      <c r="CU38" s="260" t="str">
        <f t="shared" si="101"/>
        <v xml:space="preserve"> </v>
      </c>
      <c r="CV38" s="260" t="str">
        <f t="shared" si="101"/>
        <v xml:space="preserve"> </v>
      </c>
      <c r="CW38" s="260" t="str">
        <f t="shared" si="101"/>
        <v xml:space="preserve"> </v>
      </c>
      <c r="CX38" s="547"/>
      <c r="CY38" s="547"/>
      <c r="CZ38" s="547"/>
      <c r="DA38" s="547"/>
      <c r="DB38" s="547"/>
      <c r="DC38" s="547"/>
      <c r="DD38" s="547"/>
      <c r="DE38" s="547"/>
      <c r="DF38" s="547"/>
      <c r="DG38" s="564"/>
      <c r="DH38" s="564"/>
      <c r="DI38" s="564"/>
      <c r="DJ38" s="564"/>
      <c r="DK38" s="564"/>
      <c r="DL38" s="564"/>
      <c r="DM38" s="564"/>
      <c r="DN38" s="564"/>
      <c r="DO38" s="564"/>
      <c r="DP38" s="549" t="str">
        <f t="shared" si="51"/>
        <v xml:space="preserve"> </v>
      </c>
      <c r="DQ38" s="291" t="str">
        <f t="shared" si="52"/>
        <v xml:space="preserve">  </v>
      </c>
      <c r="DR38" s="50" t="str">
        <f t="shared" si="53"/>
        <v xml:space="preserve"> </v>
      </c>
      <c r="DS38" s="282"/>
      <c r="DT38" s="51"/>
      <c r="DU38" s="46" t="str">
        <f t="shared" si="54"/>
        <v xml:space="preserve"> </v>
      </c>
      <c r="DV38" s="46" t="str">
        <f t="shared" si="55"/>
        <v xml:space="preserve"> </v>
      </c>
      <c r="DW38" s="46" t="str">
        <f t="shared" si="56"/>
        <v xml:space="preserve"> </v>
      </c>
      <c r="DX38" s="46" t="str">
        <f t="shared" si="57"/>
        <v xml:space="preserve"> </v>
      </c>
      <c r="DY38" s="46" t="str">
        <f t="shared" si="58"/>
        <v xml:space="preserve"> </v>
      </c>
      <c r="DZ38" s="46" t="str">
        <f t="shared" si="59"/>
        <v xml:space="preserve"> </v>
      </c>
      <c r="EA38" s="46" t="str">
        <f t="shared" si="60"/>
        <v xml:space="preserve"> </v>
      </c>
      <c r="EB38" s="46" t="str">
        <f t="shared" si="61"/>
        <v xml:space="preserve"> </v>
      </c>
      <c r="EC38" s="46" t="str">
        <f t="shared" si="62"/>
        <v xml:space="preserve"> </v>
      </c>
      <c r="ED38" s="46"/>
      <c r="EE38" s="52" t="str">
        <f>[2]uts!J37</f>
        <v/>
      </c>
      <c r="EF38" s="51"/>
      <c r="EG38" s="53" t="str">
        <f t="shared" si="63"/>
        <v xml:space="preserve">  </v>
      </c>
      <c r="EH38" s="53" t="str">
        <f t="shared" si="64"/>
        <v xml:space="preserve">  </v>
      </c>
      <c r="EI38" s="53" t="str">
        <f t="shared" si="65"/>
        <v xml:space="preserve">  </v>
      </c>
      <c r="EJ38" s="53" t="str">
        <f t="shared" si="66"/>
        <v xml:space="preserve">  </v>
      </c>
      <c r="EK38" s="53" t="str">
        <f t="shared" si="67"/>
        <v xml:space="preserve">  </v>
      </c>
      <c r="EL38" s="53" t="str">
        <f t="shared" si="68"/>
        <v xml:space="preserve">  </v>
      </c>
      <c r="EM38" s="53" t="str">
        <f t="shared" si="69"/>
        <v xml:space="preserve">  </v>
      </c>
      <c r="EN38" s="53" t="str">
        <f t="shared" si="70"/>
        <v xml:space="preserve">  </v>
      </c>
      <c r="EO38" s="53" t="str">
        <f t="shared" si="71"/>
        <v xml:space="preserve">  </v>
      </c>
      <c r="EP38" s="53"/>
      <c r="EQ38" s="54" t="str">
        <f t="shared" si="72"/>
        <v xml:space="preserve"> </v>
      </c>
      <c r="ER38" s="55">
        <f t="shared" si="73"/>
        <v>0</v>
      </c>
      <c r="ES38" s="55">
        <f t="shared" si="74"/>
        <v>0</v>
      </c>
      <c r="ET38" s="51">
        <f>SISWA!E36</f>
        <v>0</v>
      </c>
      <c r="EU38" s="51" t="str">
        <f t="shared" si="75"/>
        <v/>
      </c>
      <c r="EV38" s="56" t="str">
        <f t="shared" si="76"/>
        <v/>
      </c>
      <c r="EW38" s="57" t="str">
        <f t="shared" si="77"/>
        <v/>
      </c>
      <c r="EX38" s="57" t="str">
        <f t="shared" si="78"/>
        <v/>
      </c>
      <c r="EY38" s="57" t="str">
        <f t="shared" si="79"/>
        <v/>
      </c>
      <c r="EZ38" s="57" t="str">
        <f t="shared" si="80"/>
        <v/>
      </c>
      <c r="FA38" s="57" t="str">
        <f t="shared" si="81"/>
        <v/>
      </c>
      <c r="FB38" s="57" t="str">
        <f t="shared" si="82"/>
        <v/>
      </c>
      <c r="FC38" s="57" t="str">
        <f t="shared" si="83"/>
        <v/>
      </c>
      <c r="FD38" s="57" t="str">
        <f t="shared" si="84"/>
        <v/>
      </c>
      <c r="FE38" s="57"/>
      <c r="FF38" s="58">
        <f t="shared" si="85"/>
        <v>0</v>
      </c>
      <c r="FG38" s="55" t="e">
        <f t="shared" si="86"/>
        <v>#N/A</v>
      </c>
      <c r="FH38" s="58"/>
      <c r="FI38" s="59" t="e">
        <f>IF(ER38&gt;100,"",IF(ER38&gt;DQ$1,"sangat baik dalam "&amp;FG38,IF(ER38&gt;=DQ$2,"baik dalam "&amp;FG38,IF(ER38&gt;=DQ$3,"cukup dalam "&amp;FG38,IF(ER38&lt;DQ$3,"dengan bimbingan dapat meningkatkan dalam "&amp;FG38,IF(ER38&lt;1," ",””))))))</f>
        <v>#N/A</v>
      </c>
      <c r="FJ38" s="58"/>
      <c r="FK38" s="57" t="str">
        <f t="shared" si="87"/>
        <v/>
      </c>
      <c r="FL38" s="57" t="str">
        <f t="shared" si="88"/>
        <v/>
      </c>
      <c r="FM38" s="57" t="str">
        <f t="shared" si="89"/>
        <v/>
      </c>
      <c r="FN38" s="57" t="str">
        <f t="shared" si="90"/>
        <v/>
      </c>
      <c r="FO38" s="57" t="str">
        <f t="shared" si="91"/>
        <v/>
      </c>
      <c r="FP38" s="57" t="str">
        <f t="shared" si="92"/>
        <v/>
      </c>
      <c r="FQ38" s="57" t="str">
        <f t="shared" si="93"/>
        <v/>
      </c>
      <c r="FR38" s="57" t="str">
        <f t="shared" si="94"/>
        <v/>
      </c>
      <c r="FS38" s="57" t="str">
        <f t="shared" si="95"/>
        <v/>
      </c>
      <c r="FT38" s="57"/>
      <c r="FU38" s="59" t="e">
        <f t="shared" si="96"/>
        <v>#N/A</v>
      </c>
      <c r="FV38" s="59" t="e">
        <f>IF(ES38&gt;100,"",IF(ES38&gt;DQ$1,"sangat baik dalam "&amp;FU38,IF(ES38&gt;=DQ$2,"baik dalam "&amp;FU38,IF(ES38&gt;=DQ$3,"cukup dalam "&amp;FU38,IF(ES38&lt;DQ$3,"dengan bimbingan dapat meningkatkan dalam "&amp;FU38,IF(ES38&lt;1," ",””))))))</f>
        <v>#N/A</v>
      </c>
      <c r="FW38" s="61"/>
      <c r="FX38" s="62" t="e">
        <f t="shared" si="97"/>
        <v>#N/A</v>
      </c>
      <c r="FY38" s="57" t="str">
        <f t="shared" si="98"/>
        <v/>
      </c>
      <c r="FZ38" s="57" t="str">
        <f t="shared" si="98"/>
        <v/>
      </c>
      <c r="GA38" s="57" t="str">
        <f t="shared" si="98"/>
        <v/>
      </c>
      <c r="GB38" s="57"/>
      <c r="GC38" s="57"/>
      <c r="GD38" s="57"/>
      <c r="GE38" s="59">
        <f t="shared" si="45"/>
        <v>0</v>
      </c>
      <c r="GF38" s="60"/>
      <c r="GG38" s="61"/>
      <c r="GH38" s="62" t="str">
        <f t="shared" si="99"/>
        <v>, 0</v>
      </c>
    </row>
    <row r="39" spans="1:190">
      <c r="A39" s="39">
        <v>32</v>
      </c>
      <c r="B39" s="283">
        <f>SISWA!B37</f>
        <v>0</v>
      </c>
      <c r="C39" s="123"/>
      <c r="D39" s="123"/>
      <c r="E39" s="123"/>
      <c r="F39" s="123"/>
      <c r="G39" s="123"/>
      <c r="H39" s="123"/>
      <c r="I39" s="123"/>
      <c r="J39" s="123"/>
      <c r="K39" s="123"/>
      <c r="L39" s="256"/>
      <c r="M39" s="256"/>
      <c r="N39" s="256"/>
      <c r="O39" s="256"/>
      <c r="P39" s="256"/>
      <c r="Q39" s="256"/>
      <c r="R39" s="256"/>
      <c r="S39" s="256"/>
      <c r="T39" s="256"/>
      <c r="U39" s="123"/>
      <c r="V39" s="123"/>
      <c r="W39" s="123"/>
      <c r="X39" s="123"/>
      <c r="Y39" s="123"/>
      <c r="Z39" s="123"/>
      <c r="AA39" s="123"/>
      <c r="AB39" s="123"/>
      <c r="AC39" s="123"/>
      <c r="AD39" s="256"/>
      <c r="AE39" s="256"/>
      <c r="AF39" s="256"/>
      <c r="AG39" s="256"/>
      <c r="AH39" s="256"/>
      <c r="AI39" s="256"/>
      <c r="AJ39" s="256"/>
      <c r="AK39" s="256"/>
      <c r="AL39" s="256"/>
      <c r="AM39" s="123"/>
      <c r="AN39" s="123"/>
      <c r="AO39" s="123"/>
      <c r="AP39" s="123"/>
      <c r="AQ39" s="123"/>
      <c r="AR39" s="123"/>
      <c r="AS39" s="123"/>
      <c r="AT39" s="123"/>
      <c r="AU39" s="123"/>
      <c r="AV39" s="256"/>
      <c r="AW39" s="256"/>
      <c r="AX39" s="256"/>
      <c r="AY39" s="256"/>
      <c r="AZ39" s="256"/>
      <c r="BA39" s="256"/>
      <c r="BB39" s="256"/>
      <c r="BC39" s="256"/>
      <c r="BD39" s="256"/>
      <c r="BE39" s="123"/>
      <c r="BF39" s="123"/>
      <c r="BG39" s="123"/>
      <c r="BH39" s="123"/>
      <c r="BI39" s="123"/>
      <c r="BJ39" s="123"/>
      <c r="BK39" s="123"/>
      <c r="BL39" s="123"/>
      <c r="BM39" s="123"/>
      <c r="BN39" s="256"/>
      <c r="BO39" s="256"/>
      <c r="BP39" s="256"/>
      <c r="BQ39" s="256"/>
      <c r="BR39" s="256"/>
      <c r="BS39" s="256"/>
      <c r="BT39" s="256"/>
      <c r="BU39" s="256"/>
      <c r="BV39" s="256"/>
      <c r="BW39" s="460"/>
      <c r="BX39" s="460"/>
      <c r="BY39" s="460"/>
      <c r="BZ39" s="460"/>
      <c r="CA39" s="460"/>
      <c r="CB39" s="460"/>
      <c r="CC39" s="460"/>
      <c r="CD39" s="460"/>
      <c r="CE39" s="460"/>
      <c r="CF39" s="346"/>
      <c r="CG39" s="346"/>
      <c r="CH39" s="346"/>
      <c r="CI39" s="346"/>
      <c r="CJ39" s="346"/>
      <c r="CK39" s="346"/>
      <c r="CL39" s="346"/>
      <c r="CM39" s="346"/>
      <c r="CN39" s="346"/>
      <c r="CO39" s="260" t="str">
        <f t="shared" si="46"/>
        <v xml:space="preserve"> </v>
      </c>
      <c r="CP39" s="260" t="str">
        <f t="shared" si="47"/>
        <v xml:space="preserve"> </v>
      </c>
      <c r="CQ39" s="260" t="str">
        <f t="shared" si="48"/>
        <v xml:space="preserve"> </v>
      </c>
      <c r="CR39" s="260" t="str">
        <f t="shared" si="49"/>
        <v xml:space="preserve"> </v>
      </c>
      <c r="CS39" s="260" t="str">
        <f t="shared" si="50"/>
        <v xml:space="preserve"> </v>
      </c>
      <c r="CT39" s="260" t="str">
        <f t="shared" si="101"/>
        <v xml:space="preserve"> </v>
      </c>
      <c r="CU39" s="260" t="str">
        <f t="shared" si="101"/>
        <v xml:space="preserve"> </v>
      </c>
      <c r="CV39" s="260" t="str">
        <f t="shared" si="101"/>
        <v xml:space="preserve"> </v>
      </c>
      <c r="CW39" s="260" t="str">
        <f t="shared" si="101"/>
        <v xml:space="preserve"> </v>
      </c>
      <c r="CX39" s="547"/>
      <c r="CY39" s="547"/>
      <c r="CZ39" s="547"/>
      <c r="DA39" s="547"/>
      <c r="DB39" s="547"/>
      <c r="DC39" s="547"/>
      <c r="DD39" s="547"/>
      <c r="DE39" s="547"/>
      <c r="DF39" s="547"/>
      <c r="DG39" s="564"/>
      <c r="DH39" s="564"/>
      <c r="DI39" s="564"/>
      <c r="DJ39" s="564"/>
      <c r="DK39" s="564"/>
      <c r="DL39" s="564"/>
      <c r="DM39" s="564"/>
      <c r="DN39" s="564"/>
      <c r="DO39" s="564"/>
      <c r="DP39" s="549" t="str">
        <f t="shared" si="51"/>
        <v xml:space="preserve"> </v>
      </c>
      <c r="DQ39" s="291" t="str">
        <f t="shared" si="52"/>
        <v xml:space="preserve">  </v>
      </c>
      <c r="DR39" s="50" t="str">
        <f t="shared" si="53"/>
        <v xml:space="preserve"> </v>
      </c>
      <c r="DS39" s="282"/>
      <c r="DT39" s="51"/>
      <c r="DU39" s="46" t="str">
        <f t="shared" si="54"/>
        <v xml:space="preserve"> </v>
      </c>
      <c r="DV39" s="46" t="str">
        <f t="shared" si="55"/>
        <v xml:space="preserve"> </v>
      </c>
      <c r="DW39" s="46" t="str">
        <f t="shared" si="56"/>
        <v xml:space="preserve"> </v>
      </c>
      <c r="DX39" s="46" t="str">
        <f t="shared" si="57"/>
        <v xml:space="preserve"> </v>
      </c>
      <c r="DY39" s="46" t="str">
        <f t="shared" si="58"/>
        <v xml:space="preserve"> </v>
      </c>
      <c r="DZ39" s="46" t="str">
        <f t="shared" si="59"/>
        <v xml:space="preserve"> </v>
      </c>
      <c r="EA39" s="46" t="str">
        <f t="shared" si="60"/>
        <v xml:space="preserve"> </v>
      </c>
      <c r="EB39" s="46" t="str">
        <f t="shared" si="61"/>
        <v xml:space="preserve"> </v>
      </c>
      <c r="EC39" s="46" t="str">
        <f t="shared" si="62"/>
        <v xml:space="preserve"> </v>
      </c>
      <c r="ED39" s="46"/>
      <c r="EE39" s="52" t="str">
        <f>[2]uts!J38</f>
        <v/>
      </c>
      <c r="EF39" s="51"/>
      <c r="EG39" s="53" t="str">
        <f t="shared" si="63"/>
        <v xml:space="preserve">  </v>
      </c>
      <c r="EH39" s="53" t="str">
        <f t="shared" si="64"/>
        <v xml:space="preserve">  </v>
      </c>
      <c r="EI39" s="53" t="str">
        <f t="shared" si="65"/>
        <v xml:space="preserve">  </v>
      </c>
      <c r="EJ39" s="53" t="str">
        <f t="shared" si="66"/>
        <v xml:space="preserve">  </v>
      </c>
      <c r="EK39" s="53" t="str">
        <f t="shared" si="67"/>
        <v xml:space="preserve">  </v>
      </c>
      <c r="EL39" s="53" t="str">
        <f t="shared" si="68"/>
        <v xml:space="preserve">  </v>
      </c>
      <c r="EM39" s="53" t="str">
        <f t="shared" si="69"/>
        <v xml:space="preserve">  </v>
      </c>
      <c r="EN39" s="53" t="str">
        <f t="shared" si="70"/>
        <v xml:space="preserve">  </v>
      </c>
      <c r="EO39" s="53" t="str">
        <f t="shared" si="71"/>
        <v xml:space="preserve">  </v>
      </c>
      <c r="EP39" s="53"/>
      <c r="EQ39" s="54" t="str">
        <f t="shared" si="72"/>
        <v xml:space="preserve"> </v>
      </c>
      <c r="ER39" s="55">
        <f t="shared" si="73"/>
        <v>0</v>
      </c>
      <c r="ES39" s="55">
        <f t="shared" si="74"/>
        <v>0</v>
      </c>
      <c r="ET39" s="51">
        <f>SISWA!E37</f>
        <v>0</v>
      </c>
      <c r="EU39" s="51" t="str">
        <f t="shared" si="75"/>
        <v/>
      </c>
      <c r="EV39" s="56" t="str">
        <f t="shared" si="76"/>
        <v/>
      </c>
      <c r="EW39" s="57" t="str">
        <f t="shared" si="77"/>
        <v/>
      </c>
      <c r="EX39" s="57" t="str">
        <f t="shared" si="78"/>
        <v/>
      </c>
      <c r="EY39" s="57" t="str">
        <f t="shared" si="79"/>
        <v/>
      </c>
      <c r="EZ39" s="57" t="str">
        <f t="shared" si="80"/>
        <v/>
      </c>
      <c r="FA39" s="57" t="str">
        <f t="shared" si="81"/>
        <v/>
      </c>
      <c r="FB39" s="57" t="str">
        <f t="shared" si="82"/>
        <v/>
      </c>
      <c r="FC39" s="57" t="str">
        <f t="shared" si="83"/>
        <v/>
      </c>
      <c r="FD39" s="57" t="str">
        <f t="shared" si="84"/>
        <v/>
      </c>
      <c r="FE39" s="57"/>
      <c r="FF39" s="58">
        <f t="shared" si="85"/>
        <v>0</v>
      </c>
      <c r="FG39" s="55" t="e">
        <f t="shared" si="86"/>
        <v>#N/A</v>
      </c>
      <c r="FH39" s="58"/>
      <c r="FI39" s="59" t="e">
        <f>IF(ER39&gt;100,"",IF(ER39&gt;DQ$1,"sangat baik dalam "&amp;FG39,IF(ER39&gt;=DQ$2,"baik dalam "&amp;FG39,IF(ER39&gt;=DQ$3,"cukup dalam "&amp;FG39,IF(ER39&lt;DQ$3,"dengan bimbingan dapat meningkatkan dalam "&amp;FG39,IF(ER39&lt;1," ",””))))))</f>
        <v>#N/A</v>
      </c>
      <c r="FJ39" s="58"/>
      <c r="FK39" s="57" t="str">
        <f t="shared" si="87"/>
        <v/>
      </c>
      <c r="FL39" s="57" t="str">
        <f t="shared" si="88"/>
        <v/>
      </c>
      <c r="FM39" s="57" t="str">
        <f t="shared" si="89"/>
        <v/>
      </c>
      <c r="FN39" s="57" t="str">
        <f t="shared" si="90"/>
        <v/>
      </c>
      <c r="FO39" s="57" t="str">
        <f t="shared" si="91"/>
        <v/>
      </c>
      <c r="FP39" s="57" t="str">
        <f t="shared" si="92"/>
        <v/>
      </c>
      <c r="FQ39" s="57" t="str">
        <f t="shared" si="93"/>
        <v/>
      </c>
      <c r="FR39" s="57" t="str">
        <f t="shared" si="94"/>
        <v/>
      </c>
      <c r="FS39" s="57" t="str">
        <f t="shared" si="95"/>
        <v/>
      </c>
      <c r="FT39" s="57"/>
      <c r="FU39" s="59" t="e">
        <f t="shared" si="96"/>
        <v>#N/A</v>
      </c>
      <c r="FV39" s="59" t="e">
        <f>IF(ES39&gt;100,"",IF(ES39&gt;DQ$1,"sangat baik dalam "&amp;FU39,IF(ES39&gt;=DQ$2,"baik dalam "&amp;FU39,IF(ES39&gt;=DQ$3,"cukup dalam "&amp;FU39,IF(ES39&lt;DQ$3,"dengan bimbingan dapat meningkatkan dalam "&amp;FU39,IF(ES39&lt;1," ",””))))))</f>
        <v>#N/A</v>
      </c>
      <c r="FW39" s="61"/>
      <c r="FX39" s="62" t="e">
        <f t="shared" si="97"/>
        <v>#N/A</v>
      </c>
      <c r="FY39" s="57" t="str">
        <f t="shared" si="98"/>
        <v/>
      </c>
      <c r="FZ39" s="57" t="str">
        <f t="shared" si="98"/>
        <v/>
      </c>
      <c r="GA39" s="57" t="str">
        <f t="shared" si="98"/>
        <v/>
      </c>
      <c r="GB39" s="57"/>
      <c r="GC39" s="57"/>
      <c r="GD39" s="57"/>
      <c r="GE39" s="59">
        <f t="shared" si="45"/>
        <v>0</v>
      </c>
      <c r="GF39" s="60"/>
      <c r="GG39" s="61"/>
      <c r="GH39" s="62" t="str">
        <f t="shared" si="99"/>
        <v>, 0</v>
      </c>
    </row>
    <row r="40" spans="1:190">
      <c r="A40" s="39">
        <v>33</v>
      </c>
      <c r="B40" s="283">
        <f>SISWA!B38</f>
        <v>0</v>
      </c>
      <c r="C40" s="123"/>
      <c r="D40" s="123"/>
      <c r="E40" s="123"/>
      <c r="F40" s="123"/>
      <c r="G40" s="123"/>
      <c r="H40" s="123"/>
      <c r="I40" s="123"/>
      <c r="J40" s="123"/>
      <c r="K40" s="123"/>
      <c r="L40" s="256"/>
      <c r="M40" s="256"/>
      <c r="N40" s="256"/>
      <c r="O40" s="256"/>
      <c r="P40" s="256"/>
      <c r="Q40" s="256"/>
      <c r="R40" s="256"/>
      <c r="S40" s="256"/>
      <c r="T40" s="256"/>
      <c r="U40" s="123"/>
      <c r="V40" s="123"/>
      <c r="W40" s="123"/>
      <c r="X40" s="123"/>
      <c r="Y40" s="123"/>
      <c r="Z40" s="123"/>
      <c r="AA40" s="123"/>
      <c r="AB40" s="123"/>
      <c r="AC40" s="123"/>
      <c r="AD40" s="256"/>
      <c r="AE40" s="256"/>
      <c r="AF40" s="256"/>
      <c r="AG40" s="256"/>
      <c r="AH40" s="256"/>
      <c r="AI40" s="256"/>
      <c r="AJ40" s="256"/>
      <c r="AK40" s="256"/>
      <c r="AL40" s="256"/>
      <c r="AM40" s="123"/>
      <c r="AN40" s="123"/>
      <c r="AO40" s="123"/>
      <c r="AP40" s="123"/>
      <c r="AQ40" s="123"/>
      <c r="AR40" s="123"/>
      <c r="AS40" s="123"/>
      <c r="AT40" s="123"/>
      <c r="AU40" s="123"/>
      <c r="AV40" s="256"/>
      <c r="AW40" s="256"/>
      <c r="AX40" s="256"/>
      <c r="AY40" s="256"/>
      <c r="AZ40" s="256"/>
      <c r="BA40" s="256"/>
      <c r="BB40" s="256"/>
      <c r="BC40" s="256"/>
      <c r="BD40" s="256"/>
      <c r="BE40" s="123"/>
      <c r="BF40" s="123"/>
      <c r="BG40" s="123"/>
      <c r="BH40" s="123"/>
      <c r="BI40" s="123"/>
      <c r="BJ40" s="123"/>
      <c r="BK40" s="123"/>
      <c r="BL40" s="123"/>
      <c r="BM40" s="123"/>
      <c r="BN40" s="256"/>
      <c r="BO40" s="256"/>
      <c r="BP40" s="256"/>
      <c r="BQ40" s="256"/>
      <c r="BR40" s="256"/>
      <c r="BS40" s="256"/>
      <c r="BT40" s="256"/>
      <c r="BU40" s="256"/>
      <c r="BV40" s="256"/>
      <c r="BW40" s="460"/>
      <c r="BX40" s="460"/>
      <c r="BY40" s="460"/>
      <c r="BZ40" s="460"/>
      <c r="CA40" s="460"/>
      <c r="CB40" s="460"/>
      <c r="CC40" s="460"/>
      <c r="CD40" s="460"/>
      <c r="CE40" s="460"/>
      <c r="CF40" s="346"/>
      <c r="CG40" s="346"/>
      <c r="CH40" s="346"/>
      <c r="CI40" s="346"/>
      <c r="CJ40" s="346"/>
      <c r="CK40" s="346"/>
      <c r="CL40" s="346"/>
      <c r="CM40" s="346"/>
      <c r="CN40" s="346"/>
      <c r="CO40" s="260" t="str">
        <f t="shared" si="46"/>
        <v xml:space="preserve"> </v>
      </c>
      <c r="CP40" s="260" t="str">
        <f t="shared" si="47"/>
        <v xml:space="preserve"> </v>
      </c>
      <c r="CQ40" s="260" t="str">
        <f t="shared" si="48"/>
        <v xml:space="preserve"> </v>
      </c>
      <c r="CR40" s="260" t="str">
        <f t="shared" si="49"/>
        <v xml:space="preserve"> </v>
      </c>
      <c r="CS40" s="260" t="str">
        <f t="shared" si="50"/>
        <v xml:space="preserve"> </v>
      </c>
      <c r="CT40" s="260" t="str">
        <f t="shared" si="101"/>
        <v xml:space="preserve"> </v>
      </c>
      <c r="CU40" s="260" t="str">
        <f t="shared" si="101"/>
        <v xml:space="preserve"> </v>
      </c>
      <c r="CV40" s="260" t="str">
        <f t="shared" si="101"/>
        <v xml:space="preserve"> </v>
      </c>
      <c r="CW40" s="260" t="str">
        <f t="shared" si="101"/>
        <v xml:space="preserve"> </v>
      </c>
      <c r="CX40" s="547"/>
      <c r="CY40" s="547"/>
      <c r="CZ40" s="547"/>
      <c r="DA40" s="547"/>
      <c r="DB40" s="547"/>
      <c r="DC40" s="547"/>
      <c r="DD40" s="547"/>
      <c r="DE40" s="547"/>
      <c r="DF40" s="547"/>
      <c r="DG40" s="564"/>
      <c r="DH40" s="564"/>
      <c r="DI40" s="564"/>
      <c r="DJ40" s="564"/>
      <c r="DK40" s="564"/>
      <c r="DL40" s="564"/>
      <c r="DM40" s="564"/>
      <c r="DN40" s="564"/>
      <c r="DO40" s="564"/>
      <c r="DP40" s="549" t="str">
        <f t="shared" si="51"/>
        <v xml:space="preserve"> </v>
      </c>
      <c r="DQ40" s="291" t="str">
        <f t="shared" si="52"/>
        <v xml:space="preserve">  </v>
      </c>
      <c r="DR40" s="50" t="str">
        <f t="shared" si="53"/>
        <v xml:space="preserve"> </v>
      </c>
      <c r="DS40" s="282"/>
      <c r="DT40" s="51"/>
      <c r="DU40" s="46" t="str">
        <f t="shared" si="54"/>
        <v xml:space="preserve"> </v>
      </c>
      <c r="DV40" s="46" t="str">
        <f t="shared" si="55"/>
        <v xml:space="preserve"> </v>
      </c>
      <c r="DW40" s="46" t="str">
        <f t="shared" si="56"/>
        <v xml:space="preserve"> </v>
      </c>
      <c r="DX40" s="46" t="str">
        <f t="shared" si="57"/>
        <v xml:space="preserve"> </v>
      </c>
      <c r="DY40" s="46" t="str">
        <f t="shared" si="58"/>
        <v xml:space="preserve"> </v>
      </c>
      <c r="DZ40" s="46" t="str">
        <f t="shared" si="59"/>
        <v xml:space="preserve"> </v>
      </c>
      <c r="EA40" s="46" t="str">
        <f t="shared" si="60"/>
        <v xml:space="preserve"> </v>
      </c>
      <c r="EB40" s="46" t="str">
        <f t="shared" si="61"/>
        <v xml:space="preserve"> </v>
      </c>
      <c r="EC40" s="46" t="str">
        <f t="shared" si="62"/>
        <v xml:space="preserve"> </v>
      </c>
      <c r="ED40" s="46"/>
      <c r="EE40" s="52" t="str">
        <f>[2]uts!J39</f>
        <v/>
      </c>
      <c r="EF40" s="51"/>
      <c r="EG40" s="53" t="str">
        <f t="shared" si="63"/>
        <v xml:space="preserve">  </v>
      </c>
      <c r="EH40" s="53" t="str">
        <f t="shared" si="64"/>
        <v xml:space="preserve">  </v>
      </c>
      <c r="EI40" s="53" t="str">
        <f t="shared" si="65"/>
        <v xml:space="preserve">  </v>
      </c>
      <c r="EJ40" s="53" t="str">
        <f t="shared" si="66"/>
        <v xml:space="preserve">  </v>
      </c>
      <c r="EK40" s="53" t="str">
        <f t="shared" si="67"/>
        <v xml:space="preserve">  </v>
      </c>
      <c r="EL40" s="53" t="str">
        <f t="shared" si="68"/>
        <v xml:space="preserve">  </v>
      </c>
      <c r="EM40" s="53" t="str">
        <f t="shared" si="69"/>
        <v xml:space="preserve">  </v>
      </c>
      <c r="EN40" s="53" t="str">
        <f t="shared" si="70"/>
        <v xml:space="preserve">  </v>
      </c>
      <c r="EO40" s="53" t="str">
        <f t="shared" si="71"/>
        <v xml:space="preserve">  </v>
      </c>
      <c r="EP40" s="53"/>
      <c r="EQ40" s="54" t="str">
        <f t="shared" si="72"/>
        <v xml:space="preserve"> </v>
      </c>
      <c r="ER40" s="55">
        <f t="shared" si="73"/>
        <v>0</v>
      </c>
      <c r="ES40" s="55">
        <f t="shared" si="74"/>
        <v>0</v>
      </c>
      <c r="ET40" s="51">
        <f>SISWA!E38</f>
        <v>0</v>
      </c>
      <c r="EU40" s="51" t="str">
        <f t="shared" si="75"/>
        <v/>
      </c>
      <c r="EV40" s="56" t="str">
        <f t="shared" si="76"/>
        <v/>
      </c>
      <c r="EW40" s="57" t="str">
        <f t="shared" si="77"/>
        <v/>
      </c>
      <c r="EX40" s="57" t="str">
        <f t="shared" si="78"/>
        <v/>
      </c>
      <c r="EY40" s="57" t="str">
        <f t="shared" si="79"/>
        <v/>
      </c>
      <c r="EZ40" s="57" t="str">
        <f t="shared" si="80"/>
        <v/>
      </c>
      <c r="FA40" s="57" t="str">
        <f t="shared" si="81"/>
        <v/>
      </c>
      <c r="FB40" s="57" t="str">
        <f t="shared" si="82"/>
        <v/>
      </c>
      <c r="FC40" s="57" t="str">
        <f t="shared" si="83"/>
        <v/>
      </c>
      <c r="FD40" s="57" t="str">
        <f t="shared" si="84"/>
        <v/>
      </c>
      <c r="FE40" s="57"/>
      <c r="FF40" s="58">
        <f t="shared" si="85"/>
        <v>0</v>
      </c>
      <c r="FG40" s="55" t="e">
        <f t="shared" si="86"/>
        <v>#N/A</v>
      </c>
      <c r="FH40" s="58"/>
      <c r="FI40" s="59" t="e">
        <f>IF(ER40&gt;100,"",IF(ER40&gt;DQ$1,"sangat baik dalam "&amp;FG40,IF(ER40&gt;=DQ$2,"baik dalam "&amp;FG40,IF(ER40&gt;=DQ$3,"cukup dalam "&amp;FG40,IF(ER40&lt;DQ$3,"dengan bimbingan dapat meningkatkan dalam "&amp;FG40,IF(ER40&lt;1," ",””))))))</f>
        <v>#N/A</v>
      </c>
      <c r="FJ40" s="58"/>
      <c r="FK40" s="57" t="str">
        <f t="shared" si="87"/>
        <v/>
      </c>
      <c r="FL40" s="57" t="str">
        <f t="shared" si="88"/>
        <v/>
      </c>
      <c r="FM40" s="57" t="str">
        <f t="shared" si="89"/>
        <v/>
      </c>
      <c r="FN40" s="57" t="str">
        <f t="shared" si="90"/>
        <v/>
      </c>
      <c r="FO40" s="57" t="str">
        <f t="shared" si="91"/>
        <v/>
      </c>
      <c r="FP40" s="57" t="str">
        <f t="shared" si="92"/>
        <v/>
      </c>
      <c r="FQ40" s="57" t="str">
        <f t="shared" si="93"/>
        <v/>
      </c>
      <c r="FR40" s="57" t="str">
        <f t="shared" si="94"/>
        <v/>
      </c>
      <c r="FS40" s="57" t="str">
        <f t="shared" si="95"/>
        <v/>
      </c>
      <c r="FT40" s="57"/>
      <c r="FU40" s="59" t="e">
        <f t="shared" si="96"/>
        <v>#N/A</v>
      </c>
      <c r="FV40" s="59" t="e">
        <f>IF(ES40&gt;100,"",IF(ES40&gt;DQ$1,"sangat baik dalam "&amp;FU40,IF(ES40&gt;=DQ$2,"baik dalam "&amp;FU40,IF(ES40&gt;=DQ$3,"cukup dalam "&amp;FU40,IF(ES40&lt;DQ$3,"dengan bimbingan dapat meningkatkan dalam "&amp;FU40,IF(ES40&lt;1," ",””))))))</f>
        <v>#N/A</v>
      </c>
      <c r="FW40" s="61"/>
      <c r="FX40" s="62" t="e">
        <f t="shared" si="97"/>
        <v>#N/A</v>
      </c>
      <c r="FY40" s="57" t="str">
        <f t="shared" si="98"/>
        <v/>
      </c>
      <c r="FZ40" s="57" t="str">
        <f t="shared" si="98"/>
        <v/>
      </c>
      <c r="GA40" s="57" t="str">
        <f t="shared" si="98"/>
        <v/>
      </c>
      <c r="GB40" s="57"/>
      <c r="GC40" s="57"/>
      <c r="GD40" s="57"/>
      <c r="GE40" s="59">
        <f t="shared" si="45"/>
        <v>0</v>
      </c>
      <c r="GF40" s="60"/>
      <c r="GG40" s="61"/>
      <c r="GH40" s="62" t="str">
        <f t="shared" si="99"/>
        <v>, 0</v>
      </c>
    </row>
    <row r="41" spans="1:190">
      <c r="A41" s="39">
        <v>34</v>
      </c>
      <c r="B41" s="283">
        <f>SISWA!B39</f>
        <v>0</v>
      </c>
      <c r="C41" s="123"/>
      <c r="D41" s="123"/>
      <c r="E41" s="123"/>
      <c r="F41" s="123"/>
      <c r="G41" s="123"/>
      <c r="H41" s="123"/>
      <c r="I41" s="123"/>
      <c r="J41" s="123"/>
      <c r="K41" s="123"/>
      <c r="L41" s="256"/>
      <c r="M41" s="256"/>
      <c r="N41" s="256"/>
      <c r="O41" s="256"/>
      <c r="P41" s="256"/>
      <c r="Q41" s="256"/>
      <c r="R41" s="256"/>
      <c r="S41" s="256"/>
      <c r="T41" s="256"/>
      <c r="U41" s="123"/>
      <c r="V41" s="123"/>
      <c r="W41" s="123"/>
      <c r="X41" s="123"/>
      <c r="Y41" s="123"/>
      <c r="Z41" s="123"/>
      <c r="AA41" s="123"/>
      <c r="AB41" s="123"/>
      <c r="AC41" s="123"/>
      <c r="AD41" s="256"/>
      <c r="AE41" s="256"/>
      <c r="AF41" s="256"/>
      <c r="AG41" s="256"/>
      <c r="AH41" s="256"/>
      <c r="AI41" s="256"/>
      <c r="AJ41" s="256"/>
      <c r="AK41" s="256"/>
      <c r="AL41" s="256"/>
      <c r="AM41" s="123"/>
      <c r="AN41" s="123"/>
      <c r="AO41" s="123"/>
      <c r="AP41" s="123"/>
      <c r="AQ41" s="123"/>
      <c r="AR41" s="123"/>
      <c r="AS41" s="123"/>
      <c r="AT41" s="123"/>
      <c r="AU41" s="123"/>
      <c r="AV41" s="256"/>
      <c r="AW41" s="256"/>
      <c r="AX41" s="256"/>
      <c r="AY41" s="256"/>
      <c r="AZ41" s="256"/>
      <c r="BA41" s="256"/>
      <c r="BB41" s="256"/>
      <c r="BC41" s="256"/>
      <c r="BD41" s="256"/>
      <c r="BE41" s="123"/>
      <c r="BF41" s="123"/>
      <c r="BG41" s="123"/>
      <c r="BH41" s="123"/>
      <c r="BI41" s="123"/>
      <c r="BJ41" s="123"/>
      <c r="BK41" s="123"/>
      <c r="BL41" s="123"/>
      <c r="BM41" s="123"/>
      <c r="BN41" s="256"/>
      <c r="BO41" s="256"/>
      <c r="BP41" s="256"/>
      <c r="BQ41" s="256"/>
      <c r="BR41" s="256"/>
      <c r="BS41" s="256"/>
      <c r="BT41" s="256"/>
      <c r="BU41" s="256"/>
      <c r="BV41" s="256"/>
      <c r="BW41" s="460"/>
      <c r="BX41" s="460"/>
      <c r="BY41" s="460"/>
      <c r="BZ41" s="460"/>
      <c r="CA41" s="460"/>
      <c r="CB41" s="460"/>
      <c r="CC41" s="460"/>
      <c r="CD41" s="460"/>
      <c r="CE41" s="460"/>
      <c r="CF41" s="346"/>
      <c r="CG41" s="346"/>
      <c r="CH41" s="346"/>
      <c r="CI41" s="346"/>
      <c r="CJ41" s="346"/>
      <c r="CK41" s="346"/>
      <c r="CL41" s="346"/>
      <c r="CM41" s="346"/>
      <c r="CN41" s="346"/>
      <c r="CO41" s="260" t="str">
        <f t="shared" si="46"/>
        <v xml:space="preserve"> </v>
      </c>
      <c r="CP41" s="260" t="str">
        <f t="shared" si="47"/>
        <v xml:space="preserve"> </v>
      </c>
      <c r="CQ41" s="260" t="str">
        <f t="shared" si="48"/>
        <v xml:space="preserve"> </v>
      </c>
      <c r="CR41" s="260" t="str">
        <f t="shared" si="49"/>
        <v xml:space="preserve"> </v>
      </c>
      <c r="CS41" s="260" t="str">
        <f t="shared" si="50"/>
        <v xml:space="preserve"> </v>
      </c>
      <c r="CT41" s="260" t="str">
        <f t="shared" si="101"/>
        <v xml:space="preserve"> </v>
      </c>
      <c r="CU41" s="260" t="str">
        <f t="shared" si="101"/>
        <v xml:space="preserve"> </v>
      </c>
      <c r="CV41" s="260" t="str">
        <f t="shared" si="101"/>
        <v xml:space="preserve"> </v>
      </c>
      <c r="CW41" s="260" t="str">
        <f t="shared" si="101"/>
        <v xml:space="preserve"> </v>
      </c>
      <c r="CX41" s="547"/>
      <c r="CY41" s="547"/>
      <c r="CZ41" s="547"/>
      <c r="DA41" s="547"/>
      <c r="DB41" s="547"/>
      <c r="DC41" s="547"/>
      <c r="DD41" s="547"/>
      <c r="DE41" s="547"/>
      <c r="DF41" s="547"/>
      <c r="DG41" s="564"/>
      <c r="DH41" s="564"/>
      <c r="DI41" s="564"/>
      <c r="DJ41" s="564"/>
      <c r="DK41" s="564"/>
      <c r="DL41" s="564"/>
      <c r="DM41" s="564"/>
      <c r="DN41" s="564"/>
      <c r="DO41" s="564"/>
      <c r="DP41" s="549" t="str">
        <f t="shared" si="51"/>
        <v xml:space="preserve"> </v>
      </c>
      <c r="DQ41" s="291" t="str">
        <f t="shared" si="52"/>
        <v xml:space="preserve">  </v>
      </c>
      <c r="DR41" s="50" t="str">
        <f t="shared" si="53"/>
        <v xml:space="preserve"> </v>
      </c>
      <c r="DS41" s="282"/>
      <c r="DT41" s="51"/>
      <c r="DU41" s="46" t="str">
        <f t="shared" si="54"/>
        <v xml:space="preserve"> </v>
      </c>
      <c r="DV41" s="46" t="str">
        <f t="shared" si="55"/>
        <v xml:space="preserve"> </v>
      </c>
      <c r="DW41" s="46" t="str">
        <f t="shared" si="56"/>
        <v xml:space="preserve"> </v>
      </c>
      <c r="DX41" s="46" t="str">
        <f t="shared" si="57"/>
        <v xml:space="preserve"> </v>
      </c>
      <c r="DY41" s="46" t="str">
        <f t="shared" si="58"/>
        <v xml:space="preserve"> </v>
      </c>
      <c r="DZ41" s="46" t="str">
        <f t="shared" si="59"/>
        <v xml:space="preserve"> </v>
      </c>
      <c r="EA41" s="46" t="str">
        <f t="shared" si="60"/>
        <v xml:space="preserve"> </v>
      </c>
      <c r="EB41" s="46" t="str">
        <f t="shared" si="61"/>
        <v xml:space="preserve"> </v>
      </c>
      <c r="EC41" s="46" t="str">
        <f t="shared" si="62"/>
        <v xml:space="preserve"> </v>
      </c>
      <c r="ED41" s="46"/>
      <c r="EE41" s="52" t="str">
        <f>[2]uts!J40</f>
        <v/>
      </c>
      <c r="EF41" s="51"/>
      <c r="EG41" s="53" t="str">
        <f t="shared" si="63"/>
        <v xml:space="preserve">  </v>
      </c>
      <c r="EH41" s="53" t="str">
        <f t="shared" si="64"/>
        <v xml:space="preserve">  </v>
      </c>
      <c r="EI41" s="53" t="str">
        <f t="shared" si="65"/>
        <v xml:space="preserve">  </v>
      </c>
      <c r="EJ41" s="53" t="str">
        <f t="shared" si="66"/>
        <v xml:space="preserve">  </v>
      </c>
      <c r="EK41" s="53" t="str">
        <f t="shared" si="67"/>
        <v xml:space="preserve">  </v>
      </c>
      <c r="EL41" s="53" t="str">
        <f t="shared" si="68"/>
        <v xml:space="preserve">  </v>
      </c>
      <c r="EM41" s="53" t="str">
        <f t="shared" si="69"/>
        <v xml:space="preserve">  </v>
      </c>
      <c r="EN41" s="53" t="str">
        <f t="shared" si="70"/>
        <v xml:space="preserve">  </v>
      </c>
      <c r="EO41" s="53" t="str">
        <f t="shared" si="71"/>
        <v xml:space="preserve">  </v>
      </c>
      <c r="EP41" s="53"/>
      <c r="EQ41" s="54" t="str">
        <f t="shared" si="72"/>
        <v xml:space="preserve"> </v>
      </c>
      <c r="ER41" s="55">
        <f t="shared" si="73"/>
        <v>0</v>
      </c>
      <c r="ES41" s="55">
        <f t="shared" si="74"/>
        <v>0</v>
      </c>
      <c r="ET41" s="51">
        <f>SISWA!E39</f>
        <v>0</v>
      </c>
      <c r="EU41" s="51" t="str">
        <f t="shared" si="75"/>
        <v/>
      </c>
      <c r="EV41" s="56" t="str">
        <f t="shared" si="76"/>
        <v/>
      </c>
      <c r="EW41" s="57" t="str">
        <f t="shared" si="77"/>
        <v/>
      </c>
      <c r="EX41" s="57" t="str">
        <f t="shared" si="78"/>
        <v/>
      </c>
      <c r="EY41" s="57" t="str">
        <f t="shared" si="79"/>
        <v/>
      </c>
      <c r="EZ41" s="57" t="str">
        <f t="shared" si="80"/>
        <v/>
      </c>
      <c r="FA41" s="57" t="str">
        <f t="shared" si="81"/>
        <v/>
      </c>
      <c r="FB41" s="57" t="str">
        <f t="shared" si="82"/>
        <v/>
      </c>
      <c r="FC41" s="57" t="str">
        <f t="shared" si="83"/>
        <v/>
      </c>
      <c r="FD41" s="57" t="str">
        <f t="shared" si="84"/>
        <v/>
      </c>
      <c r="FE41" s="57"/>
      <c r="FF41" s="58">
        <f t="shared" si="85"/>
        <v>0</v>
      </c>
      <c r="FG41" s="55" t="e">
        <f t="shared" si="86"/>
        <v>#N/A</v>
      </c>
      <c r="FH41" s="58"/>
      <c r="FI41" s="59" t="e">
        <f>IF(ER41&gt;100,"",IF(ER41&gt;DQ$1,"sangat baik dalam "&amp;FG41,IF(ER41&gt;=DQ$2,"baik dalam "&amp;FG41,IF(ER41&gt;=DQ$3,"cukup dalam "&amp;FG41,IF(ER41&lt;DQ$3,"dengan bimbingan dapat meningkatkan dalam "&amp;FG41,IF(ER41&lt;1," ",””))))))</f>
        <v>#N/A</v>
      </c>
      <c r="FJ41" s="58"/>
      <c r="FK41" s="57" t="str">
        <f t="shared" si="87"/>
        <v/>
      </c>
      <c r="FL41" s="57" t="str">
        <f t="shared" si="88"/>
        <v/>
      </c>
      <c r="FM41" s="57" t="str">
        <f t="shared" si="89"/>
        <v/>
      </c>
      <c r="FN41" s="57" t="str">
        <f t="shared" si="90"/>
        <v/>
      </c>
      <c r="FO41" s="57" t="str">
        <f t="shared" si="91"/>
        <v/>
      </c>
      <c r="FP41" s="57" t="str">
        <f t="shared" si="92"/>
        <v/>
      </c>
      <c r="FQ41" s="57" t="str">
        <f t="shared" si="93"/>
        <v/>
      </c>
      <c r="FR41" s="57" t="str">
        <f t="shared" si="94"/>
        <v/>
      </c>
      <c r="FS41" s="57" t="str">
        <f t="shared" si="95"/>
        <v/>
      </c>
      <c r="FT41" s="57"/>
      <c r="FU41" s="59" t="e">
        <f t="shared" si="96"/>
        <v>#N/A</v>
      </c>
      <c r="FV41" s="59" t="e">
        <f>IF(ES41&gt;100,"",IF(ES41&gt;DQ$1,"sangat baik dalam "&amp;FU41,IF(ES41&gt;=DQ$2,"baik dalam "&amp;FU41,IF(ES41&gt;=DQ$3,"cukup dalam "&amp;FU41,IF(ES41&lt;DQ$3,"dengan bimbingan dapat meningkatkan dalam "&amp;FU41,IF(ES41&lt;1," ",””))))))</f>
        <v>#N/A</v>
      </c>
      <c r="FW41" s="61"/>
      <c r="FX41" s="62" t="e">
        <f t="shared" si="97"/>
        <v>#N/A</v>
      </c>
      <c r="FY41" s="57" t="str">
        <f t="shared" si="98"/>
        <v/>
      </c>
      <c r="FZ41" s="57" t="str">
        <f t="shared" si="98"/>
        <v/>
      </c>
      <c r="GA41" s="57" t="str">
        <f t="shared" si="98"/>
        <v/>
      </c>
      <c r="GB41" s="57"/>
      <c r="GC41" s="57"/>
      <c r="GD41" s="57"/>
      <c r="GE41" s="59">
        <f t="shared" si="45"/>
        <v>0</v>
      </c>
      <c r="GF41" s="60"/>
      <c r="GG41" s="61"/>
      <c r="GH41" s="62" t="str">
        <f t="shared" si="99"/>
        <v>, 0</v>
      </c>
    </row>
    <row r="42" spans="1:190">
      <c r="A42" s="39">
        <v>35</v>
      </c>
      <c r="B42" s="283">
        <f>SISWA!B40</f>
        <v>0</v>
      </c>
      <c r="C42" s="123"/>
      <c r="D42" s="123"/>
      <c r="E42" s="123"/>
      <c r="F42" s="123"/>
      <c r="G42" s="123"/>
      <c r="H42" s="123"/>
      <c r="I42" s="123"/>
      <c r="J42" s="123"/>
      <c r="K42" s="123"/>
      <c r="L42" s="256"/>
      <c r="M42" s="256"/>
      <c r="N42" s="256"/>
      <c r="O42" s="256"/>
      <c r="P42" s="256"/>
      <c r="Q42" s="256"/>
      <c r="R42" s="256"/>
      <c r="S42" s="256"/>
      <c r="T42" s="256"/>
      <c r="U42" s="123"/>
      <c r="V42" s="123"/>
      <c r="W42" s="123"/>
      <c r="X42" s="123"/>
      <c r="Y42" s="123"/>
      <c r="Z42" s="123"/>
      <c r="AA42" s="123"/>
      <c r="AB42" s="123"/>
      <c r="AC42" s="123"/>
      <c r="AD42" s="256"/>
      <c r="AE42" s="256"/>
      <c r="AF42" s="256"/>
      <c r="AG42" s="256"/>
      <c r="AH42" s="256"/>
      <c r="AI42" s="256"/>
      <c r="AJ42" s="256"/>
      <c r="AK42" s="256"/>
      <c r="AL42" s="256"/>
      <c r="AM42" s="123"/>
      <c r="AN42" s="123"/>
      <c r="AO42" s="123"/>
      <c r="AP42" s="123"/>
      <c r="AQ42" s="123"/>
      <c r="AR42" s="123"/>
      <c r="AS42" s="123"/>
      <c r="AT42" s="123"/>
      <c r="AU42" s="123"/>
      <c r="AV42" s="256"/>
      <c r="AW42" s="256"/>
      <c r="AX42" s="256"/>
      <c r="AY42" s="256"/>
      <c r="AZ42" s="256"/>
      <c r="BA42" s="256"/>
      <c r="BB42" s="256"/>
      <c r="BC42" s="256"/>
      <c r="BD42" s="256"/>
      <c r="BE42" s="123"/>
      <c r="BF42" s="123"/>
      <c r="BG42" s="123"/>
      <c r="BH42" s="123"/>
      <c r="BI42" s="123"/>
      <c r="BJ42" s="123"/>
      <c r="BK42" s="123"/>
      <c r="BL42" s="123"/>
      <c r="BM42" s="123"/>
      <c r="BN42" s="256"/>
      <c r="BO42" s="256"/>
      <c r="BP42" s="256"/>
      <c r="BQ42" s="256"/>
      <c r="BR42" s="256"/>
      <c r="BS42" s="256"/>
      <c r="BT42" s="256"/>
      <c r="BU42" s="256"/>
      <c r="BV42" s="256"/>
      <c r="BW42" s="460"/>
      <c r="BX42" s="460"/>
      <c r="BY42" s="460"/>
      <c r="BZ42" s="460"/>
      <c r="CA42" s="460"/>
      <c r="CB42" s="460"/>
      <c r="CC42" s="460"/>
      <c r="CD42" s="460"/>
      <c r="CE42" s="460"/>
      <c r="CF42" s="346"/>
      <c r="CG42" s="346"/>
      <c r="CH42" s="346"/>
      <c r="CI42" s="346"/>
      <c r="CJ42" s="346"/>
      <c r="CK42" s="346"/>
      <c r="CL42" s="346"/>
      <c r="CM42" s="346"/>
      <c r="CN42" s="346"/>
      <c r="CO42" s="260" t="str">
        <f t="shared" si="46"/>
        <v xml:space="preserve"> </v>
      </c>
      <c r="CP42" s="260" t="str">
        <f t="shared" si="47"/>
        <v xml:space="preserve"> </v>
      </c>
      <c r="CQ42" s="260" t="str">
        <f t="shared" si="48"/>
        <v xml:space="preserve"> </v>
      </c>
      <c r="CR42" s="260" t="str">
        <f t="shared" si="49"/>
        <v xml:space="preserve"> </v>
      </c>
      <c r="CS42" s="260" t="str">
        <f t="shared" si="50"/>
        <v xml:space="preserve"> </v>
      </c>
      <c r="CT42" s="260" t="str">
        <f t="shared" si="101"/>
        <v xml:space="preserve"> </v>
      </c>
      <c r="CU42" s="260" t="str">
        <f t="shared" si="101"/>
        <v xml:space="preserve"> </v>
      </c>
      <c r="CV42" s="260" t="str">
        <f t="shared" si="101"/>
        <v xml:space="preserve"> </v>
      </c>
      <c r="CW42" s="260" t="str">
        <f t="shared" si="101"/>
        <v xml:space="preserve"> </v>
      </c>
      <c r="CX42" s="547"/>
      <c r="CY42" s="547"/>
      <c r="CZ42" s="547"/>
      <c r="DA42" s="547"/>
      <c r="DB42" s="547"/>
      <c r="DC42" s="547"/>
      <c r="DD42" s="547"/>
      <c r="DE42" s="547"/>
      <c r="DF42" s="547"/>
      <c r="DG42" s="564"/>
      <c r="DH42" s="564"/>
      <c r="DI42" s="564"/>
      <c r="DJ42" s="564"/>
      <c r="DK42" s="564"/>
      <c r="DL42" s="564"/>
      <c r="DM42" s="564"/>
      <c r="DN42" s="564"/>
      <c r="DO42" s="564"/>
      <c r="DP42" s="549" t="str">
        <f t="shared" si="51"/>
        <v xml:space="preserve"> </v>
      </c>
      <c r="DQ42" s="291" t="str">
        <f t="shared" si="52"/>
        <v xml:space="preserve">  </v>
      </c>
      <c r="DR42" s="50" t="str">
        <f t="shared" si="53"/>
        <v xml:space="preserve"> </v>
      </c>
      <c r="DS42" s="282"/>
      <c r="DT42" s="51"/>
      <c r="DU42" s="46" t="str">
        <f t="shared" si="54"/>
        <v xml:space="preserve"> </v>
      </c>
      <c r="DV42" s="46" t="str">
        <f t="shared" si="55"/>
        <v xml:space="preserve"> </v>
      </c>
      <c r="DW42" s="46" t="str">
        <f t="shared" si="56"/>
        <v xml:space="preserve"> </v>
      </c>
      <c r="DX42" s="46" t="str">
        <f t="shared" si="57"/>
        <v xml:space="preserve"> </v>
      </c>
      <c r="DY42" s="46" t="str">
        <f t="shared" si="58"/>
        <v xml:space="preserve"> </v>
      </c>
      <c r="DZ42" s="46" t="str">
        <f t="shared" si="59"/>
        <v xml:space="preserve"> </v>
      </c>
      <c r="EA42" s="46" t="str">
        <f t="shared" si="60"/>
        <v xml:space="preserve"> </v>
      </c>
      <c r="EB42" s="46" t="str">
        <f t="shared" si="61"/>
        <v xml:space="preserve"> </v>
      </c>
      <c r="EC42" s="46" t="str">
        <f t="shared" si="62"/>
        <v xml:space="preserve"> </v>
      </c>
      <c r="ED42" s="46"/>
      <c r="EE42" s="52" t="str">
        <f>[2]uts!J41</f>
        <v/>
      </c>
      <c r="EF42" s="51"/>
      <c r="EG42" s="53" t="str">
        <f t="shared" si="63"/>
        <v xml:space="preserve">  </v>
      </c>
      <c r="EH42" s="53" t="str">
        <f t="shared" si="64"/>
        <v xml:space="preserve">  </v>
      </c>
      <c r="EI42" s="53" t="str">
        <f t="shared" si="65"/>
        <v xml:space="preserve">  </v>
      </c>
      <c r="EJ42" s="53" t="str">
        <f t="shared" si="66"/>
        <v xml:space="preserve">  </v>
      </c>
      <c r="EK42" s="53" t="str">
        <f t="shared" si="67"/>
        <v xml:space="preserve">  </v>
      </c>
      <c r="EL42" s="53" t="str">
        <f t="shared" si="68"/>
        <v xml:space="preserve">  </v>
      </c>
      <c r="EM42" s="53" t="str">
        <f t="shared" si="69"/>
        <v xml:space="preserve">  </v>
      </c>
      <c r="EN42" s="53" t="str">
        <f t="shared" si="70"/>
        <v xml:space="preserve">  </v>
      </c>
      <c r="EO42" s="53" t="str">
        <f t="shared" si="71"/>
        <v xml:space="preserve">  </v>
      </c>
      <c r="EP42" s="53"/>
      <c r="EQ42" s="54" t="str">
        <f t="shared" si="72"/>
        <v xml:space="preserve"> </v>
      </c>
      <c r="ER42" s="55">
        <f t="shared" si="73"/>
        <v>0</v>
      </c>
      <c r="ES42" s="55">
        <f t="shared" si="74"/>
        <v>0</v>
      </c>
      <c r="ET42" s="51">
        <f>SISWA!E40</f>
        <v>0</v>
      </c>
      <c r="EU42" s="51" t="str">
        <f t="shared" si="75"/>
        <v/>
      </c>
      <c r="EV42" s="56" t="str">
        <f t="shared" si="76"/>
        <v/>
      </c>
      <c r="EW42" s="57" t="str">
        <f t="shared" si="77"/>
        <v/>
      </c>
      <c r="EX42" s="57" t="str">
        <f t="shared" si="78"/>
        <v/>
      </c>
      <c r="EY42" s="57" t="str">
        <f t="shared" si="79"/>
        <v/>
      </c>
      <c r="EZ42" s="57" t="str">
        <f t="shared" si="80"/>
        <v/>
      </c>
      <c r="FA42" s="57" t="str">
        <f t="shared" si="81"/>
        <v/>
      </c>
      <c r="FB42" s="57" t="str">
        <f t="shared" si="82"/>
        <v/>
      </c>
      <c r="FC42" s="57" t="str">
        <f t="shared" si="83"/>
        <v/>
      </c>
      <c r="FD42" s="57" t="str">
        <f t="shared" si="84"/>
        <v/>
      </c>
      <c r="FE42" s="57"/>
      <c r="FF42" s="58">
        <f t="shared" si="85"/>
        <v>0</v>
      </c>
      <c r="FG42" s="55" t="e">
        <f t="shared" si="86"/>
        <v>#N/A</v>
      </c>
      <c r="FH42" s="58"/>
      <c r="FI42" s="59" t="e">
        <f>IF(ER42&gt;100,"",IF(ER42&gt;DQ$1,"sangat baik dalam "&amp;FG42,IF(ER42&gt;=DQ$2,"baik dalam "&amp;FG42,IF(ER42&gt;=DQ$3,"cukup dalam "&amp;FG42,IF(ER42&lt;DQ$3,"dengan bimbingan dapat meningkatkan dalam "&amp;FG42,IF(ER42&lt;1," ",””))))))</f>
        <v>#N/A</v>
      </c>
      <c r="FJ42" s="58"/>
      <c r="FK42" s="57" t="str">
        <f t="shared" si="87"/>
        <v/>
      </c>
      <c r="FL42" s="57" t="str">
        <f t="shared" si="88"/>
        <v/>
      </c>
      <c r="FM42" s="57" t="str">
        <f t="shared" si="89"/>
        <v/>
      </c>
      <c r="FN42" s="57" t="str">
        <f t="shared" si="90"/>
        <v/>
      </c>
      <c r="FO42" s="57" t="str">
        <f t="shared" si="91"/>
        <v/>
      </c>
      <c r="FP42" s="57" t="str">
        <f t="shared" si="92"/>
        <v/>
      </c>
      <c r="FQ42" s="57" t="str">
        <f t="shared" si="93"/>
        <v/>
      </c>
      <c r="FR42" s="57" t="str">
        <f t="shared" si="94"/>
        <v/>
      </c>
      <c r="FS42" s="57" t="str">
        <f t="shared" si="95"/>
        <v/>
      </c>
      <c r="FT42" s="57"/>
      <c r="FU42" s="59" t="e">
        <f t="shared" si="96"/>
        <v>#N/A</v>
      </c>
      <c r="FV42" s="59" t="e">
        <f>IF(ES42&gt;100,"",IF(ES42&gt;DQ$1,"sangat baik dalam "&amp;FU42,IF(ES42&gt;=DQ$2,"baik dalam "&amp;FU42,IF(ES42&gt;=DQ$3,"cukup dalam "&amp;FU42,IF(ES42&lt;DQ$3,"dengan bimbingan dapat meningkatkan dalam "&amp;FU42,IF(ES42&lt;1," ",””))))))</f>
        <v>#N/A</v>
      </c>
      <c r="FW42" s="61"/>
      <c r="FX42" s="62" t="e">
        <f t="shared" si="97"/>
        <v>#N/A</v>
      </c>
      <c r="FY42" s="57" t="str">
        <f t="shared" si="98"/>
        <v/>
      </c>
      <c r="FZ42" s="57" t="str">
        <f t="shared" si="98"/>
        <v/>
      </c>
      <c r="GA42" s="57" t="str">
        <f t="shared" si="98"/>
        <v/>
      </c>
      <c r="GB42" s="57"/>
      <c r="GC42" s="57"/>
      <c r="GD42" s="57"/>
      <c r="GE42" s="59">
        <f t="shared" si="45"/>
        <v>0</v>
      </c>
      <c r="GF42" s="60"/>
      <c r="GG42" s="61"/>
      <c r="GH42" s="62" t="str">
        <f t="shared" si="99"/>
        <v>, 0</v>
      </c>
    </row>
    <row r="43" spans="1:190"/>
    <row r="44" spans="1:190">
      <c r="B44" s="1167" t="str">
        <f>"Kompetensi Dasar "&amp;C2&amp;" :"</f>
        <v>Kompetensi Dasar I P S :</v>
      </c>
      <c r="C44" s="1168"/>
      <c r="D44" s="1168"/>
      <c r="E44" s="1168"/>
      <c r="F44" s="1168"/>
      <c r="G44" s="1168"/>
      <c r="H44" s="1168"/>
      <c r="I44" s="1168"/>
      <c r="J44" s="1168"/>
      <c r="K44" s="1168"/>
      <c r="L44" s="1168"/>
      <c r="M44" s="1168"/>
      <c r="N44" s="1168"/>
      <c r="O44" s="1168"/>
      <c r="P44" s="1168"/>
      <c r="Q44" s="1168"/>
      <c r="R44" s="1168"/>
      <c r="S44" s="1168"/>
      <c r="T44" s="1168"/>
      <c r="U44" s="1168"/>
      <c r="V44" s="1168"/>
      <c r="W44" s="1168"/>
      <c r="X44" s="1168"/>
      <c r="Y44" s="1168"/>
      <c r="Z44" s="1168"/>
      <c r="AA44" s="1168"/>
      <c r="AB44" s="1168"/>
      <c r="AC44" s="1168"/>
      <c r="AD44" s="1168"/>
      <c r="AE44" s="1168"/>
      <c r="AF44" s="1168"/>
    </row>
    <row r="45" spans="1:190">
      <c r="A45" s="357" t="str">
        <f>'KDKI-3'!A49</f>
        <v>3.1</v>
      </c>
      <c r="B45" s="357" t="str">
        <f>'KDKI-3'!B49</f>
        <v xml:space="preserve">mengidentifikasi karakteristik geografis Indonesia sebagai negara kepulauan/maritim dan agraris serta pengaruhnya terhadap kehidupan ekonomi, sosial, budaya, komunikasi, serta transportasi. </v>
      </c>
      <c r="C45" s="284"/>
      <c r="D45" s="284"/>
      <c r="E45" s="284"/>
      <c r="F45" s="284"/>
      <c r="G45" s="284"/>
      <c r="H45" s="284"/>
      <c r="I45" s="284"/>
      <c r="J45" s="284"/>
      <c r="K45" s="284"/>
      <c r="L45" s="284"/>
      <c r="M45" s="284"/>
      <c r="N45" s="284"/>
      <c r="O45" s="284"/>
      <c r="P45" s="284"/>
      <c r="Q45" s="284"/>
      <c r="R45" s="284"/>
      <c r="S45" s="284"/>
      <c r="T45" s="284"/>
      <c r="U45" s="284"/>
      <c r="V45" s="284"/>
      <c r="W45" s="284"/>
      <c r="X45" s="284"/>
      <c r="Y45" s="284"/>
      <c r="Z45" s="284"/>
      <c r="AA45" s="284"/>
      <c r="AB45" s="284"/>
      <c r="AC45" s="284"/>
      <c r="AD45" s="284"/>
      <c r="AE45" s="284"/>
      <c r="AF45" s="284"/>
      <c r="AG45" s="284"/>
      <c r="AH45" s="70"/>
      <c r="AI45" s="70"/>
      <c r="AJ45" s="70"/>
      <c r="AK45" s="70"/>
      <c r="AL45" s="70"/>
      <c r="AM45" s="70"/>
      <c r="AN45" s="70"/>
      <c r="AO45" s="70"/>
      <c r="AP45" s="70"/>
      <c r="AQ45" s="70"/>
      <c r="AR45" s="70"/>
      <c r="AS45" s="71"/>
      <c r="AT45" s="72"/>
      <c r="AU45" s="72"/>
    </row>
    <row r="46" spans="1:190">
      <c r="A46" s="357" t="str">
        <f>'KDKI-3'!A50</f>
        <v>3.2</v>
      </c>
      <c r="B46" s="357" t="str">
        <f>'KDKI-3'!B50</f>
        <v>menganalisis bentuk bentuk interaksi manusia dengan lingkungan dan pengaruhnya terhadap pembangunan sosial, budaya, dan ekonomi masyarakat Indonesia.</v>
      </c>
      <c r="C46" s="285"/>
      <c r="D46" s="285"/>
      <c r="E46" s="285"/>
      <c r="F46" s="285"/>
      <c r="G46" s="285"/>
      <c r="H46" s="285"/>
      <c r="I46" s="285"/>
      <c r="J46" s="285"/>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74"/>
      <c r="AI46" s="74"/>
      <c r="AJ46" s="74"/>
      <c r="AK46" s="74"/>
      <c r="AL46" s="74"/>
      <c r="AM46" s="74"/>
      <c r="AN46" s="74"/>
      <c r="AO46" s="74"/>
      <c r="AP46" s="74"/>
      <c r="AQ46" s="74"/>
      <c r="AR46" s="74"/>
      <c r="AS46" s="75"/>
      <c r="AT46" s="72"/>
      <c r="AU46" s="72"/>
    </row>
    <row r="47" spans="1:190">
      <c r="A47" s="357" t="str">
        <f>'KDKI-3'!A51</f>
        <v>3.3</v>
      </c>
      <c r="B47" s="357" t="str">
        <f>'KDKI-3'!B51</f>
        <v>menganalisis peran ekonomi dalam upaya menyejahterakan kehidupan masyarakat di bidang sosial dan budaya untuk memperkuat kesatuan dan persatuan bangsa.</v>
      </c>
      <c r="C47" s="286"/>
      <c r="D47" s="286"/>
      <c r="E47" s="286"/>
      <c r="F47" s="286"/>
      <c r="G47" s="286"/>
      <c r="H47" s="286"/>
      <c r="I47" s="286"/>
      <c r="J47" s="286"/>
      <c r="K47" s="286"/>
      <c r="L47" s="286"/>
      <c r="M47" s="286"/>
      <c r="N47" s="286"/>
      <c r="O47" s="286"/>
      <c r="P47" s="286"/>
      <c r="Q47" s="286"/>
      <c r="R47" s="286"/>
      <c r="S47" s="286"/>
      <c r="T47" s="286"/>
      <c r="U47" s="286"/>
      <c r="V47" s="286"/>
      <c r="W47" s="286"/>
      <c r="X47" s="286"/>
      <c r="Y47" s="286"/>
      <c r="Z47" s="286"/>
      <c r="AA47" s="286"/>
      <c r="AB47" s="286"/>
      <c r="AC47" s="286"/>
      <c r="AD47" s="286"/>
      <c r="AE47" s="286"/>
      <c r="AF47" s="286"/>
      <c r="AG47" s="286"/>
      <c r="AH47" s="72"/>
      <c r="AI47" s="72"/>
      <c r="AJ47" s="72"/>
      <c r="AK47" s="72"/>
      <c r="AL47" s="72"/>
      <c r="AM47" s="72"/>
      <c r="AN47" s="72"/>
      <c r="AO47" s="72"/>
      <c r="AP47" s="72"/>
      <c r="AQ47" s="72"/>
      <c r="AR47" s="72"/>
      <c r="AS47" s="76"/>
      <c r="AT47" s="72"/>
      <c r="AU47" s="72"/>
    </row>
    <row r="48" spans="1:190">
      <c r="A48" s="357" t="str">
        <f>'KDKI-3'!A52</f>
        <v>3.4</v>
      </c>
      <c r="B48" s="357" t="str">
        <f>'KDKI-3'!B52</f>
        <v>mengidentifikasi faktor-faktor penting penyebab penjajahan bangsa Indonesia dan upaya bangsa Indonesia dalam mempertahankan kedaulatannya.</v>
      </c>
      <c r="C48" s="284"/>
      <c r="D48" s="284"/>
      <c r="E48" s="284"/>
      <c r="F48" s="284"/>
      <c r="G48" s="284"/>
      <c r="H48" s="284"/>
      <c r="I48" s="284"/>
      <c r="J48" s="284"/>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4"/>
      <c r="AH48" s="70"/>
      <c r="AI48" s="70"/>
      <c r="AJ48" s="70"/>
      <c r="AK48" s="70"/>
      <c r="AL48" s="70"/>
      <c r="AM48" s="70"/>
      <c r="AN48" s="70"/>
      <c r="AO48" s="70"/>
      <c r="AP48" s="70"/>
      <c r="AQ48" s="70"/>
      <c r="AR48" s="70"/>
      <c r="AS48" s="71"/>
      <c r="AT48" s="72"/>
      <c r="AU48" s="72"/>
    </row>
    <row r="49" spans="1:47">
      <c r="A49" s="376">
        <f>'KDKI-3'!A53</f>
        <v>0</v>
      </c>
      <c r="B49" s="378">
        <f>'KDKI-3'!B53</f>
        <v>0</v>
      </c>
      <c r="C49" s="284"/>
      <c r="D49" s="284"/>
      <c r="E49" s="284"/>
      <c r="F49" s="284"/>
      <c r="G49" s="284"/>
      <c r="H49" s="284"/>
      <c r="I49" s="284"/>
      <c r="J49" s="284"/>
      <c r="K49" s="284"/>
      <c r="L49" s="284"/>
      <c r="M49" s="284"/>
      <c r="N49" s="284"/>
      <c r="O49" s="284"/>
      <c r="P49" s="284"/>
      <c r="Q49" s="284"/>
      <c r="R49" s="284"/>
      <c r="S49" s="284"/>
      <c r="T49" s="284"/>
      <c r="U49" s="284"/>
      <c r="V49" s="284"/>
      <c r="W49" s="284"/>
      <c r="X49" s="284"/>
      <c r="Y49" s="284"/>
      <c r="Z49" s="284"/>
      <c r="AA49" s="284"/>
      <c r="AB49" s="284"/>
      <c r="AC49" s="284"/>
      <c r="AD49" s="284"/>
      <c r="AE49" s="284"/>
      <c r="AF49" s="284"/>
      <c r="AG49" s="284"/>
      <c r="AH49" s="70"/>
      <c r="AI49" s="70"/>
      <c r="AJ49" s="70"/>
      <c r="AK49" s="70"/>
      <c r="AL49" s="70"/>
      <c r="AM49" s="70"/>
      <c r="AN49" s="70"/>
      <c r="AO49" s="70"/>
      <c r="AP49" s="70"/>
      <c r="AQ49" s="70"/>
      <c r="AR49" s="70"/>
      <c r="AS49" s="71"/>
      <c r="AT49" s="72"/>
      <c r="AU49" s="72"/>
    </row>
    <row r="50" spans="1:47">
      <c r="A50" s="379">
        <f>'KDKI-3'!A54</f>
        <v>0</v>
      </c>
      <c r="B50" s="380">
        <f>'KDKI-3'!B54</f>
        <v>0</v>
      </c>
      <c r="C50" s="285"/>
      <c r="D50" s="285"/>
      <c r="E50" s="285"/>
      <c r="F50" s="285"/>
      <c r="G50" s="285"/>
      <c r="H50" s="285"/>
      <c r="I50" s="285"/>
      <c r="J50" s="285"/>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74"/>
      <c r="AI50" s="74"/>
      <c r="AJ50" s="74"/>
      <c r="AK50" s="74"/>
      <c r="AL50" s="74"/>
      <c r="AM50" s="74"/>
      <c r="AN50" s="74"/>
      <c r="AO50" s="74"/>
      <c r="AP50" s="74"/>
      <c r="AQ50" s="74"/>
      <c r="AR50" s="74"/>
      <c r="AS50" s="75"/>
      <c r="AT50" s="72"/>
      <c r="AU50" s="72"/>
    </row>
    <row r="51" spans="1:47">
      <c r="A51" s="376">
        <f>'KDKI-3'!A55</f>
        <v>0</v>
      </c>
      <c r="B51" s="379">
        <f>'KDKI-3'!B55</f>
        <v>0</v>
      </c>
      <c r="C51" s="285"/>
      <c r="D51" s="285"/>
      <c r="E51" s="285"/>
      <c r="F51" s="285"/>
      <c r="G51" s="285"/>
      <c r="H51" s="285"/>
      <c r="I51" s="285"/>
      <c r="J51" s="285"/>
      <c r="K51" s="285"/>
      <c r="L51" s="285"/>
      <c r="M51" s="285"/>
      <c r="N51" s="285"/>
      <c r="O51" s="285"/>
      <c r="P51" s="285"/>
      <c r="Q51" s="285"/>
      <c r="R51" s="285"/>
      <c r="S51" s="285"/>
      <c r="T51" s="285"/>
      <c r="U51" s="285"/>
      <c r="V51" s="285"/>
      <c r="W51" s="285"/>
      <c r="X51" s="285"/>
      <c r="Y51" s="285"/>
      <c r="Z51" s="285"/>
      <c r="AA51" s="285"/>
      <c r="AB51" s="285"/>
      <c r="AC51" s="285"/>
      <c r="AD51" s="285"/>
      <c r="AE51" s="285"/>
      <c r="AF51" s="285"/>
      <c r="AG51" s="285"/>
      <c r="AH51" s="74"/>
      <c r="AI51" s="74"/>
      <c r="AJ51" s="74"/>
      <c r="AK51" s="74"/>
      <c r="AL51" s="74"/>
      <c r="AM51" s="74"/>
      <c r="AN51" s="74"/>
      <c r="AO51" s="74"/>
      <c r="AP51" s="74"/>
      <c r="AQ51" s="74"/>
      <c r="AR51" s="74"/>
      <c r="AS51" s="75"/>
      <c r="AT51" s="72"/>
      <c r="AU51" s="72"/>
    </row>
    <row r="52" spans="1:47">
      <c r="A52" s="376">
        <f>'KDKI-3'!A56</f>
        <v>0</v>
      </c>
      <c r="B52" s="377">
        <f>'KDKI-3'!B56</f>
        <v>0</v>
      </c>
      <c r="C52" s="286"/>
      <c r="D52" s="286"/>
      <c r="E52" s="286"/>
      <c r="F52" s="286"/>
      <c r="G52" s="286"/>
      <c r="H52" s="286"/>
      <c r="I52" s="286"/>
      <c r="J52" s="286"/>
      <c r="K52" s="286"/>
      <c r="L52" s="286"/>
      <c r="M52" s="286"/>
      <c r="N52" s="286"/>
      <c r="O52" s="286"/>
      <c r="P52" s="286"/>
      <c r="Q52" s="286"/>
      <c r="R52" s="286"/>
      <c r="S52" s="286"/>
      <c r="T52" s="286"/>
      <c r="U52" s="286"/>
      <c r="V52" s="286"/>
      <c r="W52" s="286"/>
      <c r="X52" s="286"/>
      <c r="Y52" s="286"/>
      <c r="Z52" s="286"/>
      <c r="AA52" s="286"/>
      <c r="AB52" s="286"/>
      <c r="AC52" s="286"/>
      <c r="AD52" s="286"/>
      <c r="AE52" s="286"/>
      <c r="AF52" s="286"/>
      <c r="AG52" s="286"/>
      <c r="AH52" s="72"/>
      <c r="AI52" s="72"/>
      <c r="AJ52" s="72"/>
      <c r="AK52" s="72"/>
      <c r="AL52" s="72"/>
      <c r="AM52" s="72"/>
      <c r="AN52" s="72"/>
      <c r="AO52" s="72"/>
      <c r="AP52" s="72"/>
      <c r="AQ52" s="72"/>
      <c r="AR52" s="72"/>
      <c r="AS52" s="76"/>
      <c r="AT52" s="72"/>
      <c r="AU52" s="72"/>
    </row>
    <row r="53" spans="1:47">
      <c r="A53" s="376">
        <f>'KDKI-3'!A57</f>
        <v>0</v>
      </c>
      <c r="B53" s="379">
        <f>'KDKI-3'!B57</f>
        <v>0</v>
      </c>
      <c r="C53" s="285"/>
      <c r="D53" s="285"/>
      <c r="E53" s="285"/>
      <c r="F53" s="285"/>
      <c r="G53" s="285"/>
      <c r="H53" s="285"/>
      <c r="I53" s="285"/>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74"/>
      <c r="AI53" s="74"/>
      <c r="AJ53" s="74"/>
      <c r="AK53" s="74"/>
      <c r="AL53" s="74"/>
      <c r="AM53" s="74"/>
      <c r="AN53" s="74"/>
      <c r="AO53" s="74"/>
      <c r="AP53" s="74"/>
      <c r="AQ53" s="74"/>
      <c r="AR53" s="74"/>
      <c r="AS53" s="75"/>
      <c r="AT53" s="72"/>
      <c r="AU53" s="72"/>
    </row>
    <row r="54" spans="1:47">
      <c r="A54" s="370"/>
      <c r="B54" s="381"/>
      <c r="C54" s="287"/>
      <c r="D54" s="287"/>
      <c r="E54" s="287"/>
      <c r="F54" s="287"/>
      <c r="G54" s="287"/>
      <c r="H54" s="287"/>
      <c r="I54" s="287"/>
      <c r="J54" s="287"/>
      <c r="K54" s="287"/>
      <c r="L54" s="287"/>
      <c r="M54" s="287"/>
      <c r="N54" s="287"/>
      <c r="O54" s="287"/>
      <c r="P54" s="287"/>
      <c r="Q54" s="287"/>
      <c r="R54" s="287"/>
      <c r="S54" s="287"/>
      <c r="T54" s="287"/>
      <c r="U54" s="287"/>
      <c r="V54" s="287"/>
      <c r="W54" s="287"/>
      <c r="X54" s="287"/>
      <c r="Y54" s="287"/>
      <c r="Z54" s="287"/>
      <c r="AA54" s="287"/>
      <c r="AB54" s="287"/>
      <c r="AC54" s="287"/>
      <c r="AD54" s="287"/>
      <c r="AE54" s="287"/>
      <c r="AF54" s="287"/>
      <c r="AG54" s="287"/>
      <c r="AH54" s="84"/>
      <c r="AI54" s="84"/>
      <c r="AJ54" s="84"/>
      <c r="AK54" s="84"/>
      <c r="AL54" s="84"/>
      <c r="AM54" s="84"/>
      <c r="AN54" s="84"/>
      <c r="AO54" s="84"/>
      <c r="AP54" s="84"/>
      <c r="AQ54" s="84"/>
      <c r="AR54" s="84"/>
      <c r="AS54" s="85"/>
      <c r="AT54" s="72"/>
      <c r="AU54" s="72"/>
    </row>
    <row r="55" spans="1:47"/>
    <row r="56" spans="1:47"/>
    <row r="57" spans="1:47"/>
    <row r="58" spans="1:47"/>
    <row r="59" spans="1:47"/>
    <row r="60" spans="1:47"/>
    <row r="61" spans="1:47"/>
  </sheetData>
  <sheetProtection password="CA9C" sheet="1" objects="1" scenarios="1" formatCells="0" formatRows="0"/>
  <mergeCells count="59">
    <mergeCell ref="B44:AF44"/>
    <mergeCell ref="FU6:FU7"/>
    <mergeCell ref="FV6:FV7"/>
    <mergeCell ref="FG6:FG7"/>
    <mergeCell ref="FI6:FI7"/>
    <mergeCell ref="FK6:FK7"/>
    <mergeCell ref="DQ5:DQ7"/>
    <mergeCell ref="DR5:DR7"/>
    <mergeCell ref="EE5:EE7"/>
    <mergeCell ref="FM6:FM7"/>
    <mergeCell ref="FN6:FN7"/>
    <mergeCell ref="FO6:FO7"/>
    <mergeCell ref="FR6:FR7"/>
    <mergeCell ref="CO5:CW5"/>
    <mergeCell ref="BW5:CN5"/>
    <mergeCell ref="BE5:BV5"/>
    <mergeCell ref="GC6:GC7"/>
    <mergeCell ref="GD6:GD7"/>
    <mergeCell ref="GE6:GE7"/>
    <mergeCell ref="FT6:FT7"/>
    <mergeCell ref="BW6:CE6"/>
    <mergeCell ref="CF6:CN6"/>
    <mergeCell ref="FL6:FL7"/>
    <mergeCell ref="FX4:FX7"/>
    <mergeCell ref="DU5:ED5"/>
    <mergeCell ref="EG5:EO5"/>
    <mergeCell ref="EV6:EV7"/>
    <mergeCell ref="EW6:EW7"/>
    <mergeCell ref="EX6:EX7"/>
    <mergeCell ref="EY6:EY7"/>
    <mergeCell ref="EZ6:EZ7"/>
    <mergeCell ref="FA6:FA7"/>
    <mergeCell ref="DG5:DO5"/>
    <mergeCell ref="CX5:DF5"/>
    <mergeCell ref="BE6:BM6"/>
    <mergeCell ref="BN6:BV6"/>
    <mergeCell ref="B1:AF1"/>
    <mergeCell ref="C2:L2"/>
    <mergeCell ref="AG3:AN3"/>
    <mergeCell ref="C4:T4"/>
    <mergeCell ref="C6:K6"/>
    <mergeCell ref="L6:T6"/>
    <mergeCell ref="U6:AC6"/>
    <mergeCell ref="AD6:AL6"/>
    <mergeCell ref="AM6:AU6"/>
    <mergeCell ref="C3:V3"/>
    <mergeCell ref="A5:A7"/>
    <mergeCell ref="B5:B7"/>
    <mergeCell ref="C5:T5"/>
    <mergeCell ref="U5:AL5"/>
    <mergeCell ref="AM5:BD5"/>
    <mergeCell ref="AV6:BD6"/>
    <mergeCell ref="FS6:FS7"/>
    <mergeCell ref="FP6:FP7"/>
    <mergeCell ref="FB6:FB7"/>
    <mergeCell ref="FC6:FC7"/>
    <mergeCell ref="FD6:FD7"/>
    <mergeCell ref="FE6:FE7"/>
    <mergeCell ref="FQ6:FQ7"/>
  </mergeCells>
  <pageMargins left="0.7" right="0.7" top="0.75" bottom="0.75" header="0.3" footer="0.3"/>
  <pageSetup paperSize="9" orientation="portrait" horizontalDpi="4294967294" verticalDpi="4294967294"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IB61"/>
  <sheetViews>
    <sheetView showRowColHeaders="0" showZeros="0" workbookViewId="0">
      <pane xSplit="2" ySplit="7" topLeftCell="CC16" activePane="bottomRight" state="frozen"/>
      <selection pane="topRight" activeCell="C1" sqref="C1"/>
      <selection pane="bottomLeft" activeCell="A8" sqref="A8"/>
      <selection pane="bottomRight" activeCell="CJ19" sqref="CJ19"/>
    </sheetView>
  </sheetViews>
  <sheetFormatPr defaultColWidth="0" defaultRowHeight="15" zeroHeight="1"/>
  <cols>
    <col min="1" max="1" width="4.7109375" customWidth="1"/>
    <col min="2" max="2" width="31" customWidth="1"/>
    <col min="3" max="114" width="3.7109375" customWidth="1"/>
    <col min="115" max="115" width="5.7109375" customWidth="1"/>
    <col min="116" max="116" width="4.140625" customWidth="1"/>
    <col min="117" max="117" width="90.28515625" customWidth="1"/>
    <col min="118" max="118" width="3.7109375" customWidth="1"/>
    <col min="119" max="236" width="3.7109375" hidden="1" customWidth="1"/>
    <col min="237" max="16384" width="9.140625" hidden="1"/>
  </cols>
  <sheetData>
    <row r="1" spans="1:236">
      <c r="A1" s="352"/>
      <c r="B1" s="894" t="s">
        <v>176</v>
      </c>
      <c r="C1" s="894"/>
      <c r="D1" s="894"/>
      <c r="E1" s="894"/>
      <c r="F1" s="894"/>
      <c r="G1" s="894"/>
      <c r="H1" s="894"/>
      <c r="I1" s="894"/>
      <c r="J1" s="894"/>
      <c r="K1" s="894"/>
      <c r="L1" s="894"/>
      <c r="M1" s="894"/>
      <c r="N1" s="894"/>
      <c r="O1" s="894"/>
      <c r="P1" s="894"/>
      <c r="Q1" s="894"/>
      <c r="R1" s="894"/>
      <c r="S1" s="894"/>
      <c r="T1" s="894"/>
      <c r="U1" s="894"/>
      <c r="V1" s="894"/>
      <c r="W1" s="894"/>
      <c r="X1" s="894"/>
      <c r="Y1" s="894"/>
      <c r="Z1" s="894"/>
      <c r="AA1" s="894"/>
      <c r="AB1" s="894"/>
      <c r="AC1" s="894"/>
      <c r="AD1" s="894"/>
      <c r="AE1" s="894"/>
      <c r="AF1" s="894"/>
      <c r="AG1" s="894"/>
      <c r="AH1" s="894"/>
      <c r="AI1" s="894"/>
      <c r="AJ1" s="894"/>
      <c r="AK1" s="894"/>
      <c r="AL1" s="894"/>
      <c r="AM1" s="894"/>
      <c r="AN1" s="894"/>
      <c r="DO1" t="s">
        <v>255</v>
      </c>
      <c r="DP1">
        <f>KKM!D29</f>
        <v>92</v>
      </c>
      <c r="DS1">
        <v>100</v>
      </c>
    </row>
    <row r="2" spans="1:236">
      <c r="A2" s="352"/>
      <c r="B2" s="7" t="s">
        <v>3</v>
      </c>
      <c r="C2" s="943" t="s">
        <v>204</v>
      </c>
      <c r="D2" s="943"/>
      <c r="E2" s="943"/>
      <c r="F2" s="943"/>
      <c r="G2" s="943"/>
      <c r="H2" s="943"/>
      <c r="I2" s="943"/>
      <c r="J2" s="943"/>
      <c r="K2" s="943"/>
      <c r="L2" s="943"/>
      <c r="M2" s="943"/>
      <c r="N2" s="943"/>
      <c r="O2" s="943"/>
      <c r="P2" s="943"/>
      <c r="Q2" s="943"/>
      <c r="R2" s="8"/>
      <c r="S2" s="9"/>
      <c r="T2" s="9"/>
      <c r="U2" s="9"/>
      <c r="V2" s="9"/>
      <c r="W2" s="9"/>
      <c r="X2" s="9"/>
      <c r="Y2" s="9"/>
      <c r="Z2" s="9"/>
      <c r="AA2" s="9"/>
      <c r="AB2" s="9"/>
      <c r="AC2" s="9"/>
      <c r="AD2" s="9"/>
      <c r="AE2" s="9"/>
      <c r="AF2" s="9"/>
      <c r="AG2" s="10"/>
      <c r="AH2" s="10"/>
      <c r="AL2" s="9"/>
      <c r="AM2" s="11"/>
      <c r="AN2" s="12"/>
      <c r="DO2" t="s">
        <v>207</v>
      </c>
      <c r="DP2">
        <f>KKM!D30</f>
        <v>83</v>
      </c>
      <c r="DS2">
        <f>(DS1-DP2)/2</f>
        <v>8.5</v>
      </c>
    </row>
    <row r="3" spans="1:236">
      <c r="A3" s="352"/>
      <c r="B3" s="7" t="s">
        <v>177</v>
      </c>
      <c r="C3" s="236" t="str">
        <f>MENU!N20</f>
        <v>V ( Lima )</v>
      </c>
      <c r="D3" s="10"/>
      <c r="E3" s="1231" t="str">
        <f>MENU!N20</f>
        <v>V ( Lima )</v>
      </c>
      <c r="F3" s="1231"/>
      <c r="G3" s="1231"/>
      <c r="H3" s="1231"/>
      <c r="I3" s="1231"/>
      <c r="J3" s="1231"/>
      <c r="K3" s="1231"/>
      <c r="L3" s="1231"/>
      <c r="M3" s="1231"/>
      <c r="N3" s="1231"/>
      <c r="O3" s="1231"/>
      <c r="P3" s="1231"/>
      <c r="Q3" s="1231"/>
      <c r="R3" s="1231"/>
      <c r="S3" s="1231"/>
      <c r="T3" s="1231"/>
      <c r="U3" s="1231"/>
      <c r="V3" s="1231"/>
      <c r="W3" s="1231"/>
      <c r="X3" s="1231"/>
      <c r="Y3" s="1231"/>
      <c r="AE3" s="9"/>
      <c r="AF3" s="8"/>
      <c r="AG3" s="21"/>
      <c r="AH3" s="8"/>
      <c r="AI3" s="238"/>
      <c r="AJ3" s="238"/>
      <c r="AK3" s="238"/>
      <c r="AL3" s="352"/>
      <c r="AM3" s="352"/>
      <c r="AN3" s="352"/>
      <c r="AO3" s="352"/>
      <c r="AP3" s="352"/>
      <c r="AQ3" s="352"/>
      <c r="AR3" s="352"/>
      <c r="AS3" s="352"/>
      <c r="AT3" s="352"/>
      <c r="AU3" s="352"/>
      <c r="BG3" s="8"/>
      <c r="BH3" s="23"/>
      <c r="DO3" t="s">
        <v>394</v>
      </c>
      <c r="DP3">
        <f>KKM!D31</f>
        <v>75</v>
      </c>
    </row>
    <row r="4" spans="1:236">
      <c r="B4" s="419" t="s">
        <v>304</v>
      </c>
      <c r="C4" s="1232">
        <f>KKM!D22</f>
        <v>75</v>
      </c>
      <c r="D4" s="942"/>
      <c r="E4" s="942"/>
      <c r="F4" s="942"/>
      <c r="G4" s="942"/>
      <c r="H4" s="942"/>
      <c r="I4" s="942"/>
      <c r="J4" s="942"/>
      <c r="K4" s="942"/>
      <c r="L4" s="27"/>
      <c r="M4" s="27"/>
      <c r="N4" s="27"/>
      <c r="O4" s="27"/>
      <c r="P4" s="27"/>
      <c r="Q4" s="27"/>
      <c r="R4" s="27"/>
      <c r="S4" s="27"/>
      <c r="T4" s="27"/>
      <c r="U4" s="27"/>
      <c r="V4" s="27"/>
      <c r="W4" s="27"/>
      <c r="X4" s="27"/>
      <c r="Y4" s="27"/>
      <c r="Z4" s="27"/>
      <c r="AA4" s="27"/>
      <c r="AB4" s="27"/>
      <c r="AC4" s="27"/>
      <c r="AD4" s="27"/>
      <c r="AE4" s="27"/>
      <c r="AF4" s="27"/>
      <c r="AG4" s="27"/>
      <c r="DM4" s="46"/>
      <c r="DO4" t="s">
        <v>395</v>
      </c>
      <c r="DP4">
        <f>KKM!D32</f>
        <v>75</v>
      </c>
    </row>
    <row r="5" spans="1:236" ht="15" customHeight="1">
      <c r="A5" s="900" t="s">
        <v>9</v>
      </c>
      <c r="B5" s="900" t="s">
        <v>10</v>
      </c>
      <c r="C5" s="962" t="s">
        <v>269</v>
      </c>
      <c r="D5" s="963"/>
      <c r="E5" s="963"/>
      <c r="F5" s="963"/>
      <c r="G5" s="963"/>
      <c r="H5" s="963"/>
      <c r="I5" s="963"/>
      <c r="J5" s="963"/>
      <c r="K5" s="963"/>
      <c r="L5" s="963"/>
      <c r="M5" s="963"/>
      <c r="N5" s="963"/>
      <c r="O5" s="963"/>
      <c r="P5" s="963"/>
      <c r="Q5" s="963"/>
      <c r="R5" s="963"/>
      <c r="S5" s="963"/>
      <c r="T5" s="963"/>
      <c r="U5" s="963"/>
      <c r="V5" s="963"/>
      <c r="W5" s="963"/>
      <c r="X5" s="931" t="s">
        <v>270</v>
      </c>
      <c r="Y5" s="932"/>
      <c r="Z5" s="932"/>
      <c r="AA5" s="932"/>
      <c r="AB5" s="932"/>
      <c r="AC5" s="932"/>
      <c r="AD5" s="932"/>
      <c r="AE5" s="932"/>
      <c r="AF5" s="932"/>
      <c r="AG5" s="932"/>
      <c r="AH5" s="932"/>
      <c r="AI5" s="932"/>
      <c r="AJ5" s="932"/>
      <c r="AK5" s="932"/>
      <c r="AL5" s="932"/>
      <c r="AM5" s="932"/>
      <c r="AN5" s="932"/>
      <c r="AO5" s="932"/>
      <c r="AP5" s="932"/>
      <c r="AQ5" s="932"/>
      <c r="AR5" s="932"/>
      <c r="AS5" s="1229" t="s">
        <v>271</v>
      </c>
      <c r="AT5" s="1230"/>
      <c r="AU5" s="1230"/>
      <c r="AV5" s="1230"/>
      <c r="AW5" s="1230"/>
      <c r="AX5" s="1230"/>
      <c r="AY5" s="1230"/>
      <c r="AZ5" s="1230"/>
      <c r="BA5" s="1230"/>
      <c r="BB5" s="1230"/>
      <c r="BC5" s="1230"/>
      <c r="BD5" s="1230"/>
      <c r="BE5" s="1230"/>
      <c r="BF5" s="1230"/>
      <c r="BG5" s="1230"/>
      <c r="BH5" s="1230"/>
      <c r="BI5" s="1230"/>
      <c r="BJ5" s="1230"/>
      <c r="BK5" s="1230"/>
      <c r="BL5" s="1230"/>
      <c r="BM5" s="1230"/>
      <c r="BN5" s="946" t="s">
        <v>272</v>
      </c>
      <c r="BO5" s="947"/>
      <c r="BP5" s="947"/>
      <c r="BQ5" s="947"/>
      <c r="BR5" s="947"/>
      <c r="BS5" s="947"/>
      <c r="BT5" s="947"/>
      <c r="BU5" s="947"/>
      <c r="BV5" s="947"/>
      <c r="BW5" s="947"/>
      <c r="BX5" s="947"/>
      <c r="BY5" s="947"/>
      <c r="BZ5" s="947"/>
      <c r="CA5" s="947"/>
      <c r="CB5" s="947"/>
      <c r="CC5" s="947"/>
      <c r="CD5" s="947"/>
      <c r="CE5" s="947"/>
      <c r="CF5" s="947"/>
      <c r="CG5" s="947"/>
      <c r="CH5" s="947"/>
      <c r="CI5" s="935" t="s">
        <v>281</v>
      </c>
      <c r="CJ5" s="935"/>
      <c r="CK5" s="935"/>
      <c r="CL5" s="935"/>
      <c r="CM5" s="935"/>
      <c r="CN5" s="935"/>
      <c r="CO5" s="935"/>
      <c r="CP5" s="935"/>
      <c r="CQ5" s="935"/>
      <c r="CR5" s="935"/>
      <c r="CS5" s="935"/>
      <c r="CT5" s="935"/>
      <c r="CU5" s="935"/>
      <c r="CV5" s="935"/>
      <c r="CW5" s="935"/>
      <c r="CX5" s="935"/>
      <c r="CY5" s="935"/>
      <c r="CZ5" s="935"/>
      <c r="DA5" s="935"/>
      <c r="DB5" s="935"/>
      <c r="DC5" s="936"/>
      <c r="DD5" s="956" t="s">
        <v>13</v>
      </c>
      <c r="DE5" s="957"/>
      <c r="DF5" s="957"/>
      <c r="DG5" s="957"/>
      <c r="DH5" s="957"/>
      <c r="DI5" s="957"/>
      <c r="DJ5" s="958"/>
      <c r="DK5" s="968" t="s">
        <v>179</v>
      </c>
      <c r="DL5" s="966" t="s">
        <v>15</v>
      </c>
      <c r="DM5" s="944" t="s">
        <v>180</v>
      </c>
      <c r="EA5" t="s">
        <v>398</v>
      </c>
    </row>
    <row r="6" spans="1:236" ht="15" customHeight="1">
      <c r="A6" s="900"/>
      <c r="B6" s="900"/>
      <c r="C6" s="931" t="s">
        <v>181</v>
      </c>
      <c r="D6" s="932"/>
      <c r="E6" s="932"/>
      <c r="F6" s="932"/>
      <c r="G6" s="932"/>
      <c r="H6" s="932"/>
      <c r="I6" s="933"/>
      <c r="J6" s="946" t="s">
        <v>532</v>
      </c>
      <c r="K6" s="947"/>
      <c r="L6" s="947"/>
      <c r="M6" s="947"/>
      <c r="N6" s="947"/>
      <c r="O6" s="947"/>
      <c r="P6" s="948"/>
      <c r="Q6" s="949" t="s">
        <v>182</v>
      </c>
      <c r="R6" s="950"/>
      <c r="S6" s="950"/>
      <c r="T6" s="950"/>
      <c r="U6" s="950"/>
      <c r="V6" s="950"/>
      <c r="W6" s="951"/>
      <c r="X6" s="931" t="s">
        <v>181</v>
      </c>
      <c r="Y6" s="932"/>
      <c r="Z6" s="932"/>
      <c r="AA6" s="932"/>
      <c r="AB6" s="932"/>
      <c r="AC6" s="932"/>
      <c r="AD6" s="933"/>
      <c r="AE6" s="946" t="s">
        <v>532</v>
      </c>
      <c r="AF6" s="947"/>
      <c r="AG6" s="947"/>
      <c r="AH6" s="947"/>
      <c r="AI6" s="947"/>
      <c r="AJ6" s="947"/>
      <c r="AK6" s="948"/>
      <c r="AL6" s="949" t="s">
        <v>182</v>
      </c>
      <c r="AM6" s="950"/>
      <c r="AN6" s="950"/>
      <c r="AO6" s="950"/>
      <c r="AP6" s="950"/>
      <c r="AQ6" s="950"/>
      <c r="AR6" s="951"/>
      <c r="AS6" s="931" t="s">
        <v>181</v>
      </c>
      <c r="AT6" s="932"/>
      <c r="AU6" s="932"/>
      <c r="AV6" s="932"/>
      <c r="AW6" s="932"/>
      <c r="AX6" s="932"/>
      <c r="AY6" s="933"/>
      <c r="AZ6" s="946" t="s">
        <v>532</v>
      </c>
      <c r="BA6" s="947"/>
      <c r="BB6" s="947"/>
      <c r="BC6" s="947"/>
      <c r="BD6" s="947"/>
      <c r="BE6" s="947"/>
      <c r="BF6" s="948"/>
      <c r="BG6" s="949" t="s">
        <v>182</v>
      </c>
      <c r="BH6" s="950"/>
      <c r="BI6" s="950"/>
      <c r="BJ6" s="950"/>
      <c r="BK6" s="950"/>
      <c r="BL6" s="950"/>
      <c r="BM6" s="951"/>
      <c r="BN6" s="931" t="s">
        <v>181</v>
      </c>
      <c r="BO6" s="932"/>
      <c r="BP6" s="932"/>
      <c r="BQ6" s="932"/>
      <c r="BR6" s="932"/>
      <c r="BS6" s="932"/>
      <c r="BT6" s="933"/>
      <c r="BU6" s="946" t="s">
        <v>532</v>
      </c>
      <c r="BV6" s="947"/>
      <c r="BW6" s="947"/>
      <c r="BX6" s="947"/>
      <c r="BY6" s="947"/>
      <c r="BZ6" s="947"/>
      <c r="CA6" s="948"/>
      <c r="CB6" s="949" t="s">
        <v>182</v>
      </c>
      <c r="CC6" s="950"/>
      <c r="CD6" s="950"/>
      <c r="CE6" s="950"/>
      <c r="CF6" s="950"/>
      <c r="CG6" s="950"/>
      <c r="CH6" s="951"/>
      <c r="CI6" s="931" t="s">
        <v>181</v>
      </c>
      <c r="CJ6" s="932"/>
      <c r="CK6" s="932"/>
      <c r="CL6" s="932"/>
      <c r="CM6" s="932"/>
      <c r="CN6" s="932"/>
      <c r="CO6" s="933"/>
      <c r="CP6" s="946" t="s">
        <v>532</v>
      </c>
      <c r="CQ6" s="947"/>
      <c r="CR6" s="947"/>
      <c r="CS6" s="947"/>
      <c r="CT6" s="947"/>
      <c r="CU6" s="947"/>
      <c r="CV6" s="948"/>
      <c r="CW6" s="949" t="s">
        <v>182</v>
      </c>
      <c r="CX6" s="950"/>
      <c r="CY6" s="950"/>
      <c r="CZ6" s="950"/>
      <c r="DA6" s="950"/>
      <c r="DB6" s="950"/>
      <c r="DC6" s="951"/>
      <c r="DD6" s="239" t="s">
        <v>19</v>
      </c>
      <c r="DE6" s="239" t="s">
        <v>19</v>
      </c>
      <c r="DF6" s="239" t="s">
        <v>19</v>
      </c>
      <c r="DG6" s="239" t="s">
        <v>19</v>
      </c>
      <c r="DH6" s="239" t="s">
        <v>19</v>
      </c>
      <c r="DI6" s="239" t="s">
        <v>19</v>
      </c>
      <c r="DJ6" s="239" t="s">
        <v>19</v>
      </c>
      <c r="DK6" s="969"/>
      <c r="DL6" s="967"/>
      <c r="DM6" s="944"/>
      <c r="DP6" s="931" t="s">
        <v>279</v>
      </c>
      <c r="DQ6" s="932"/>
      <c r="DR6" s="932"/>
      <c r="DS6" s="932"/>
      <c r="DT6" s="932"/>
      <c r="DU6" s="932"/>
      <c r="DV6" s="932"/>
      <c r="DW6" s="932"/>
      <c r="DX6" s="932"/>
      <c r="DY6" s="933"/>
      <c r="DZ6" s="937" t="s">
        <v>399</v>
      </c>
      <c r="EA6" s="934" t="s">
        <v>280</v>
      </c>
      <c r="EB6" s="935"/>
      <c r="EC6" s="935"/>
      <c r="ED6" s="935"/>
      <c r="EE6" s="935"/>
      <c r="EF6" s="935"/>
      <c r="EG6" s="935"/>
      <c r="EH6" s="935"/>
      <c r="EI6" s="935"/>
      <c r="EJ6" s="936"/>
      <c r="EK6" s="937" t="s">
        <v>399</v>
      </c>
      <c r="EL6" s="939" t="s">
        <v>400</v>
      </c>
      <c r="EM6" s="940"/>
      <c r="EN6" s="940"/>
      <c r="EO6" s="940"/>
      <c r="EP6" s="940"/>
      <c r="EQ6" s="940"/>
      <c r="ER6" s="940"/>
      <c r="ES6" s="940"/>
      <c r="ET6" s="940"/>
      <c r="EU6" s="941"/>
      <c r="EV6" s="971" t="s">
        <v>399</v>
      </c>
      <c r="EW6" s="972">
        <v>1</v>
      </c>
      <c r="EX6" s="973"/>
      <c r="EY6" s="973"/>
      <c r="EZ6" s="976"/>
      <c r="FA6" s="976"/>
      <c r="FB6" s="976"/>
      <c r="FC6" s="972">
        <v>2</v>
      </c>
      <c r="FD6" s="973"/>
      <c r="FE6" s="973"/>
      <c r="FF6" s="976"/>
      <c r="FG6" s="976"/>
      <c r="FH6" s="976"/>
      <c r="FI6" s="972">
        <v>3</v>
      </c>
      <c r="FJ6" s="973"/>
      <c r="FK6" s="973"/>
      <c r="FL6" s="976"/>
      <c r="FM6" s="976"/>
      <c r="FN6" s="976"/>
      <c r="FO6" s="972">
        <v>4</v>
      </c>
      <c r="FP6" s="973"/>
      <c r="FQ6" s="973"/>
      <c r="FR6" s="976"/>
      <c r="FS6" s="976"/>
      <c r="FT6" s="976"/>
      <c r="FU6" s="972">
        <v>5</v>
      </c>
      <c r="FV6" s="973"/>
      <c r="FW6" s="973"/>
      <c r="FX6" s="976"/>
      <c r="FY6" s="976"/>
      <c r="FZ6" s="976"/>
      <c r="GA6" s="972">
        <v>6</v>
      </c>
      <c r="GB6" s="973"/>
      <c r="GC6" s="973"/>
      <c r="GD6" s="976"/>
      <c r="GE6" s="976"/>
      <c r="GF6" s="976"/>
      <c r="GG6" s="972">
        <v>7</v>
      </c>
      <c r="GH6" s="973"/>
      <c r="GI6" s="973"/>
      <c r="GJ6" s="976"/>
      <c r="GK6" s="976"/>
      <c r="GL6" s="976"/>
      <c r="GV6" s="68" t="s">
        <v>184</v>
      </c>
      <c r="GW6" s="68" t="s">
        <v>185</v>
      </c>
      <c r="GX6" s="978"/>
      <c r="GY6" s="734"/>
      <c r="GZ6" s="979" t="str">
        <f>B45</f>
        <v>menyajikan hasil identifikasi karakteristik geografis Indonesia sebagai negara kepulauan/maritim dan agraris serta pengaruhnya terhadap kehidupan ekonomi, sosial, budaya, komunikasi, serta transportasi.</v>
      </c>
      <c r="HA6" s="979" t="str">
        <f>B46</f>
        <v>menyajikan hasil analisis tentang interaksi manusia dengan lingkungan dan pengaruhnya terhadap pembangunan sosial, budaya, dan ekonomi masyarakat Indonesia.</v>
      </c>
      <c r="HB6" s="979" t="str">
        <f>B47</f>
        <v>menyajikan hasil analisis tentang peran ekonomi dalam upaya menyejahterakan kehidupan masyarakat di bidang sosial dan budaya untuk memperkuat kesatuan dan persatuan bangsa.</v>
      </c>
      <c r="HC6" s="979" t="str">
        <f>B48</f>
        <v>menyajikan hasil identifikasi mengenai faktor-faktor penting penyebab penjajahan bangsa Indonesia dan upaya bangsa Indonesia dalam mempertahankan kedaulatannya.</v>
      </c>
      <c r="HD6" s="979">
        <f>B49</f>
        <v>0</v>
      </c>
      <c r="HE6" s="979">
        <f>B50</f>
        <v>0</v>
      </c>
      <c r="HF6" s="979">
        <f>B51</f>
        <v>0</v>
      </c>
      <c r="HG6" s="979">
        <f>B52</f>
        <v>0</v>
      </c>
      <c r="HH6" s="979">
        <f>B58</f>
        <v>0</v>
      </c>
      <c r="HI6" s="979">
        <f>B59</f>
        <v>0</v>
      </c>
      <c r="HJ6" s="979"/>
      <c r="HK6" s="981"/>
      <c r="HL6" s="981" t="s">
        <v>186</v>
      </c>
      <c r="HM6" s="981" t="s">
        <v>187</v>
      </c>
      <c r="HO6" s="983" t="str">
        <f>GZ6</f>
        <v>menyajikan hasil identifikasi karakteristik geografis Indonesia sebagai negara kepulauan/maritim dan agraris serta pengaruhnya terhadap kehidupan ekonomi, sosial, budaya, komunikasi, serta transportasi.</v>
      </c>
      <c r="HP6" s="983" t="str">
        <f t="shared" ref="HP6:HX6" si="0">HA6</f>
        <v>menyajikan hasil analisis tentang interaksi manusia dengan lingkungan dan pengaruhnya terhadap pembangunan sosial, budaya, dan ekonomi masyarakat Indonesia.</v>
      </c>
      <c r="HQ6" s="983" t="str">
        <f t="shared" si="0"/>
        <v>menyajikan hasil analisis tentang peran ekonomi dalam upaya menyejahterakan kehidupan masyarakat di bidang sosial dan budaya untuk memperkuat kesatuan dan persatuan bangsa.</v>
      </c>
      <c r="HR6" s="983" t="str">
        <f t="shared" si="0"/>
        <v>menyajikan hasil identifikasi mengenai faktor-faktor penting penyebab penjajahan bangsa Indonesia dan upaya bangsa Indonesia dalam mempertahankan kedaulatannya.</v>
      </c>
      <c r="HS6" s="983">
        <f t="shared" si="0"/>
        <v>0</v>
      </c>
      <c r="HT6" s="983">
        <f t="shared" si="0"/>
        <v>0</v>
      </c>
      <c r="HU6" s="983">
        <f t="shared" si="0"/>
        <v>0</v>
      </c>
      <c r="HV6" s="983">
        <f t="shared" si="0"/>
        <v>0</v>
      </c>
      <c r="HW6" s="983">
        <f t="shared" si="0"/>
        <v>0</v>
      </c>
      <c r="HX6" s="983">
        <f t="shared" si="0"/>
        <v>0</v>
      </c>
      <c r="HZ6" s="978" t="s">
        <v>401</v>
      </c>
      <c r="IB6" s="985" t="s">
        <v>402</v>
      </c>
    </row>
    <row r="7" spans="1:236" ht="21" customHeight="1">
      <c r="A7" s="900"/>
      <c r="B7" s="961"/>
      <c r="C7" s="240" t="str">
        <f>A45</f>
        <v>4.1</v>
      </c>
      <c r="D7" s="240" t="str">
        <f>A46</f>
        <v>4.2</v>
      </c>
      <c r="E7" s="240" t="str">
        <f>A47</f>
        <v>4.3</v>
      </c>
      <c r="F7" s="240" t="str">
        <f>A48</f>
        <v>4.4</v>
      </c>
      <c r="G7" s="240">
        <f>A49</f>
        <v>0</v>
      </c>
      <c r="H7" s="240">
        <f>A50</f>
        <v>0</v>
      </c>
      <c r="I7" s="240">
        <f>A51</f>
        <v>0</v>
      </c>
      <c r="J7" s="240" t="str">
        <f t="shared" ref="J7:BU7" si="1">C7</f>
        <v>4.1</v>
      </c>
      <c r="K7" s="240" t="str">
        <f t="shared" si="1"/>
        <v>4.2</v>
      </c>
      <c r="L7" s="240" t="str">
        <f t="shared" si="1"/>
        <v>4.3</v>
      </c>
      <c r="M7" s="240" t="str">
        <f t="shared" si="1"/>
        <v>4.4</v>
      </c>
      <c r="N7" s="240">
        <f t="shared" si="1"/>
        <v>0</v>
      </c>
      <c r="O7" s="240">
        <f t="shared" si="1"/>
        <v>0</v>
      </c>
      <c r="P7" s="240">
        <f t="shared" si="1"/>
        <v>0</v>
      </c>
      <c r="Q7" s="240" t="str">
        <f t="shared" si="1"/>
        <v>4.1</v>
      </c>
      <c r="R7" s="240" t="str">
        <f t="shared" si="1"/>
        <v>4.2</v>
      </c>
      <c r="S7" s="240" t="str">
        <f t="shared" si="1"/>
        <v>4.3</v>
      </c>
      <c r="T7" s="240" t="str">
        <f t="shared" si="1"/>
        <v>4.4</v>
      </c>
      <c r="U7" s="240">
        <f t="shared" si="1"/>
        <v>0</v>
      </c>
      <c r="V7" s="240">
        <f t="shared" si="1"/>
        <v>0</v>
      </c>
      <c r="W7" s="240">
        <f t="shared" si="1"/>
        <v>0</v>
      </c>
      <c r="X7" s="240" t="str">
        <f t="shared" si="1"/>
        <v>4.1</v>
      </c>
      <c r="Y7" s="240" t="str">
        <f t="shared" si="1"/>
        <v>4.2</v>
      </c>
      <c r="Z7" s="240" t="str">
        <f t="shared" si="1"/>
        <v>4.3</v>
      </c>
      <c r="AA7" s="240" t="str">
        <f t="shared" si="1"/>
        <v>4.4</v>
      </c>
      <c r="AB7" s="240">
        <f t="shared" si="1"/>
        <v>0</v>
      </c>
      <c r="AC7" s="240">
        <f t="shared" si="1"/>
        <v>0</v>
      </c>
      <c r="AD7" s="240">
        <f t="shared" si="1"/>
        <v>0</v>
      </c>
      <c r="AE7" s="240" t="str">
        <f t="shared" si="1"/>
        <v>4.1</v>
      </c>
      <c r="AF7" s="240" t="str">
        <f t="shared" si="1"/>
        <v>4.2</v>
      </c>
      <c r="AG7" s="240" t="str">
        <f t="shared" si="1"/>
        <v>4.3</v>
      </c>
      <c r="AH7" s="240" t="str">
        <f t="shared" si="1"/>
        <v>4.4</v>
      </c>
      <c r="AI7" s="240">
        <f t="shared" si="1"/>
        <v>0</v>
      </c>
      <c r="AJ7" s="240">
        <f t="shared" si="1"/>
        <v>0</v>
      </c>
      <c r="AK7" s="240">
        <f t="shared" si="1"/>
        <v>0</v>
      </c>
      <c r="AL7" s="240" t="str">
        <f t="shared" si="1"/>
        <v>4.1</v>
      </c>
      <c r="AM7" s="240" t="str">
        <f t="shared" si="1"/>
        <v>4.2</v>
      </c>
      <c r="AN7" s="240" t="str">
        <f t="shared" si="1"/>
        <v>4.3</v>
      </c>
      <c r="AO7" s="240" t="str">
        <f t="shared" si="1"/>
        <v>4.4</v>
      </c>
      <c r="AP7" s="240">
        <f t="shared" si="1"/>
        <v>0</v>
      </c>
      <c r="AQ7" s="240">
        <f t="shared" si="1"/>
        <v>0</v>
      </c>
      <c r="AR7" s="240">
        <f t="shared" si="1"/>
        <v>0</v>
      </c>
      <c r="AS7" s="240" t="str">
        <f t="shared" si="1"/>
        <v>4.1</v>
      </c>
      <c r="AT7" s="240" t="str">
        <f t="shared" si="1"/>
        <v>4.2</v>
      </c>
      <c r="AU7" s="240" t="str">
        <f t="shared" si="1"/>
        <v>4.3</v>
      </c>
      <c r="AV7" s="240" t="str">
        <f t="shared" si="1"/>
        <v>4.4</v>
      </c>
      <c r="AW7" s="240">
        <f t="shared" si="1"/>
        <v>0</v>
      </c>
      <c r="AX7" s="240">
        <f t="shared" si="1"/>
        <v>0</v>
      </c>
      <c r="AY7" s="240">
        <f t="shared" si="1"/>
        <v>0</v>
      </c>
      <c r="AZ7" s="240" t="str">
        <f t="shared" si="1"/>
        <v>4.1</v>
      </c>
      <c r="BA7" s="240" t="str">
        <f t="shared" si="1"/>
        <v>4.2</v>
      </c>
      <c r="BB7" s="240" t="str">
        <f t="shared" si="1"/>
        <v>4.3</v>
      </c>
      <c r="BC7" s="240" t="str">
        <f t="shared" si="1"/>
        <v>4.4</v>
      </c>
      <c r="BD7" s="240">
        <f t="shared" si="1"/>
        <v>0</v>
      </c>
      <c r="BE7" s="240">
        <f t="shared" si="1"/>
        <v>0</v>
      </c>
      <c r="BF7" s="240">
        <f t="shared" si="1"/>
        <v>0</v>
      </c>
      <c r="BG7" s="240" t="str">
        <f t="shared" si="1"/>
        <v>4.1</v>
      </c>
      <c r="BH7" s="240" t="str">
        <f t="shared" si="1"/>
        <v>4.2</v>
      </c>
      <c r="BI7" s="240" t="str">
        <f t="shared" si="1"/>
        <v>4.3</v>
      </c>
      <c r="BJ7" s="240" t="str">
        <f t="shared" si="1"/>
        <v>4.4</v>
      </c>
      <c r="BK7" s="240">
        <f t="shared" si="1"/>
        <v>0</v>
      </c>
      <c r="BL7" s="240">
        <f t="shared" si="1"/>
        <v>0</v>
      </c>
      <c r="BM7" s="240">
        <f t="shared" si="1"/>
        <v>0</v>
      </c>
      <c r="BN7" s="240" t="str">
        <f t="shared" si="1"/>
        <v>4.1</v>
      </c>
      <c r="BO7" s="240" t="str">
        <f t="shared" si="1"/>
        <v>4.2</v>
      </c>
      <c r="BP7" s="240" t="str">
        <f t="shared" si="1"/>
        <v>4.3</v>
      </c>
      <c r="BQ7" s="240" t="str">
        <f t="shared" si="1"/>
        <v>4.4</v>
      </c>
      <c r="BR7" s="240">
        <f t="shared" si="1"/>
        <v>0</v>
      </c>
      <c r="BS7" s="240">
        <f t="shared" si="1"/>
        <v>0</v>
      </c>
      <c r="BT7" s="240">
        <f t="shared" si="1"/>
        <v>0</v>
      </c>
      <c r="BU7" s="240" t="str">
        <f t="shared" si="1"/>
        <v>4.1</v>
      </c>
      <c r="BV7" s="240" t="str">
        <f t="shared" ref="BV7:CH7" si="2">BO7</f>
        <v>4.2</v>
      </c>
      <c r="BW7" s="240" t="str">
        <f t="shared" si="2"/>
        <v>4.3</v>
      </c>
      <c r="BX7" s="240" t="str">
        <f t="shared" si="2"/>
        <v>4.4</v>
      </c>
      <c r="BY7" s="240">
        <f t="shared" si="2"/>
        <v>0</v>
      </c>
      <c r="BZ7" s="240">
        <f t="shared" si="2"/>
        <v>0</v>
      </c>
      <c r="CA7" s="240">
        <f t="shared" si="2"/>
        <v>0</v>
      </c>
      <c r="CB7" s="240" t="str">
        <f t="shared" si="2"/>
        <v>4.1</v>
      </c>
      <c r="CC7" s="240" t="str">
        <f t="shared" si="2"/>
        <v>4.2</v>
      </c>
      <c r="CD7" s="240" t="str">
        <f t="shared" si="2"/>
        <v>4.3</v>
      </c>
      <c r="CE7" s="240" t="str">
        <f t="shared" si="2"/>
        <v>4.4</v>
      </c>
      <c r="CF7" s="240">
        <f t="shared" si="2"/>
        <v>0</v>
      </c>
      <c r="CG7" s="240">
        <f t="shared" si="2"/>
        <v>0</v>
      </c>
      <c r="CH7" s="240">
        <f t="shared" si="2"/>
        <v>0</v>
      </c>
      <c r="CI7" s="240" t="str">
        <f>CB7</f>
        <v>4.1</v>
      </c>
      <c r="CJ7" s="240" t="str">
        <f t="shared" ref="CJ7:CN7" si="3">CC7</f>
        <v>4.2</v>
      </c>
      <c r="CK7" s="240" t="str">
        <f t="shared" si="3"/>
        <v>4.3</v>
      </c>
      <c r="CL7" s="240" t="str">
        <f t="shared" si="3"/>
        <v>4.4</v>
      </c>
      <c r="CM7" s="240">
        <f t="shared" si="3"/>
        <v>0</v>
      </c>
      <c r="CN7" s="240">
        <f t="shared" si="3"/>
        <v>0</v>
      </c>
      <c r="CO7" s="240"/>
      <c r="CP7" s="240" t="str">
        <f>CI7</f>
        <v>4.1</v>
      </c>
      <c r="CQ7" s="240" t="str">
        <f t="shared" ref="CQ7:CV7" si="4">CJ7</f>
        <v>4.2</v>
      </c>
      <c r="CR7" s="240" t="str">
        <f t="shared" si="4"/>
        <v>4.3</v>
      </c>
      <c r="CS7" s="240" t="str">
        <f t="shared" si="4"/>
        <v>4.4</v>
      </c>
      <c r="CT7" s="240">
        <f t="shared" si="4"/>
        <v>0</v>
      </c>
      <c r="CU7" s="240">
        <f t="shared" si="4"/>
        <v>0</v>
      </c>
      <c r="CV7" s="240">
        <f t="shared" si="4"/>
        <v>0</v>
      </c>
      <c r="CW7" s="240" t="str">
        <f>CP7</f>
        <v>4.1</v>
      </c>
      <c r="CX7" s="240" t="str">
        <f t="shared" ref="CX7:DC7" si="5">CQ7</f>
        <v>4.2</v>
      </c>
      <c r="CY7" s="240" t="str">
        <f t="shared" si="5"/>
        <v>4.3</v>
      </c>
      <c r="CZ7" s="240" t="str">
        <f t="shared" si="5"/>
        <v>4.4</v>
      </c>
      <c r="DA7" s="240">
        <f t="shared" si="5"/>
        <v>0</v>
      </c>
      <c r="DB7" s="240">
        <f t="shared" si="5"/>
        <v>0</v>
      </c>
      <c r="DC7" s="240">
        <f t="shared" si="5"/>
        <v>0</v>
      </c>
      <c r="DD7" s="241" t="str">
        <f>CB7</f>
        <v>4.1</v>
      </c>
      <c r="DE7" s="241" t="str">
        <f t="shared" ref="DE7:DJ7" si="6">CC7</f>
        <v>4.2</v>
      </c>
      <c r="DF7" s="241" t="str">
        <f t="shared" si="6"/>
        <v>4.3</v>
      </c>
      <c r="DG7" s="241" t="str">
        <f t="shared" si="6"/>
        <v>4.4</v>
      </c>
      <c r="DH7" s="241">
        <f t="shared" si="6"/>
        <v>0</v>
      </c>
      <c r="DI7" s="241">
        <f t="shared" si="6"/>
        <v>0</v>
      </c>
      <c r="DJ7" s="241">
        <f t="shared" si="6"/>
        <v>0</v>
      </c>
      <c r="DK7" s="969"/>
      <c r="DL7" s="967"/>
      <c r="DM7" s="945"/>
      <c r="DP7" s="39">
        <v>1</v>
      </c>
      <c r="DQ7" s="39">
        <v>2</v>
      </c>
      <c r="DR7" s="39">
        <v>3</v>
      </c>
      <c r="DS7" s="39">
        <v>4</v>
      </c>
      <c r="DT7" s="39">
        <v>5</v>
      </c>
      <c r="DU7" s="39">
        <v>6</v>
      </c>
      <c r="DV7" s="39">
        <v>7</v>
      </c>
      <c r="DW7" s="39"/>
      <c r="DX7" s="39"/>
      <c r="DY7" s="39"/>
      <c r="DZ7" s="938"/>
      <c r="EA7" s="39">
        <v>1</v>
      </c>
      <c r="EB7" s="39">
        <v>2</v>
      </c>
      <c r="EC7" s="39">
        <v>3</v>
      </c>
      <c r="ED7" s="39">
        <v>4</v>
      </c>
      <c r="EE7" s="39">
        <v>5</v>
      </c>
      <c r="EF7" s="39">
        <v>6</v>
      </c>
      <c r="EG7" s="39">
        <v>7</v>
      </c>
      <c r="EH7" s="39"/>
      <c r="EI7" s="39"/>
      <c r="EJ7" s="39"/>
      <c r="EK7" s="938"/>
      <c r="EL7" s="39">
        <v>1</v>
      </c>
      <c r="EM7" s="39">
        <v>2</v>
      </c>
      <c r="EN7" s="39">
        <v>3</v>
      </c>
      <c r="EO7" s="39">
        <v>4</v>
      </c>
      <c r="EP7" s="39">
        <v>5</v>
      </c>
      <c r="EQ7" s="39">
        <v>6</v>
      </c>
      <c r="ER7" s="39">
        <v>7</v>
      </c>
      <c r="ES7" s="39"/>
      <c r="ET7" s="39"/>
      <c r="EU7" s="39"/>
      <c r="EV7" s="971"/>
      <c r="EW7" s="974"/>
      <c r="EX7" s="975"/>
      <c r="EY7" s="975"/>
      <c r="EZ7" s="977"/>
      <c r="FA7" s="977"/>
      <c r="FB7" s="977"/>
      <c r="FC7" s="974"/>
      <c r="FD7" s="975"/>
      <c r="FE7" s="975"/>
      <c r="FF7" s="977"/>
      <c r="FG7" s="977"/>
      <c r="FH7" s="977"/>
      <c r="FI7" s="974"/>
      <c r="FJ7" s="975"/>
      <c r="FK7" s="975"/>
      <c r="FL7" s="977"/>
      <c r="FM7" s="977"/>
      <c r="FN7" s="977"/>
      <c r="FO7" s="974"/>
      <c r="FP7" s="975"/>
      <c r="FQ7" s="975"/>
      <c r="FR7" s="977"/>
      <c r="FS7" s="977"/>
      <c r="FT7" s="977"/>
      <c r="FU7" s="974"/>
      <c r="FV7" s="975"/>
      <c r="FW7" s="975"/>
      <c r="FX7" s="977"/>
      <c r="FY7" s="977"/>
      <c r="FZ7" s="977"/>
      <c r="GA7" s="974"/>
      <c r="GB7" s="975"/>
      <c r="GC7" s="975"/>
      <c r="GD7" s="977"/>
      <c r="GE7" s="977"/>
      <c r="GF7" s="977"/>
      <c r="GG7" s="974"/>
      <c r="GH7" s="975"/>
      <c r="GI7" s="975"/>
      <c r="GJ7" s="977"/>
      <c r="GK7" s="977"/>
      <c r="GL7" s="977"/>
      <c r="GM7" s="578"/>
      <c r="GN7" s="581">
        <v>1</v>
      </c>
      <c r="GO7" s="581">
        <v>2</v>
      </c>
      <c r="GP7" s="581">
        <v>3</v>
      </c>
      <c r="GQ7" s="581">
        <v>4</v>
      </c>
      <c r="GR7" s="581">
        <v>5</v>
      </c>
      <c r="GS7" s="581">
        <v>6</v>
      </c>
      <c r="GT7" s="581">
        <v>7</v>
      </c>
      <c r="GU7" s="578"/>
      <c r="GV7" s="242"/>
      <c r="GW7" s="242"/>
      <c r="GX7" s="978"/>
      <c r="GY7" s="734"/>
      <c r="GZ7" s="980"/>
      <c r="HA7" s="980"/>
      <c r="HB7" s="980"/>
      <c r="HC7" s="980"/>
      <c r="HD7" s="980"/>
      <c r="HE7" s="980"/>
      <c r="HF7" s="980"/>
      <c r="HG7" s="980"/>
      <c r="HH7" s="980"/>
      <c r="HI7" s="980"/>
      <c r="HJ7" s="980"/>
      <c r="HK7" s="982"/>
      <c r="HL7" s="982"/>
      <c r="HM7" s="982"/>
      <c r="HO7" s="984"/>
      <c r="HP7" s="984"/>
      <c r="HQ7" s="984"/>
      <c r="HR7" s="984"/>
      <c r="HS7" s="984"/>
      <c r="HT7" s="984"/>
      <c r="HU7" s="984"/>
      <c r="HV7" s="984"/>
      <c r="HW7" s="984"/>
      <c r="HX7" s="984"/>
      <c r="HZ7" s="978"/>
      <c r="IB7" s="986"/>
    </row>
    <row r="8" spans="1:236" ht="30" customHeight="1">
      <c r="A8" s="223">
        <v>1</v>
      </c>
      <c r="B8" s="223" t="str">
        <f>SISWA!B6</f>
        <v>Afif Rafiudin</v>
      </c>
      <c r="C8" s="123">
        <v>75</v>
      </c>
      <c r="D8" s="123"/>
      <c r="E8" s="123"/>
      <c r="F8" s="123"/>
      <c r="G8" s="123"/>
      <c r="H8" s="123"/>
      <c r="I8" s="123"/>
      <c r="J8" s="255">
        <v>90</v>
      </c>
      <c r="K8" s="255"/>
      <c r="L8" s="255"/>
      <c r="M8" s="255"/>
      <c r="N8" s="255"/>
      <c r="O8" s="255"/>
      <c r="P8" s="255"/>
      <c r="Q8" s="256">
        <v>90</v>
      </c>
      <c r="R8" s="256"/>
      <c r="S8" s="256"/>
      <c r="T8" s="256"/>
      <c r="U8" s="256"/>
      <c r="V8" s="256"/>
      <c r="W8" s="256"/>
      <c r="X8" s="123"/>
      <c r="Y8" s="123"/>
      <c r="Z8" s="123">
        <v>90</v>
      </c>
      <c r="AA8" s="123"/>
      <c r="AB8" s="123"/>
      <c r="AC8" s="123"/>
      <c r="AD8" s="123"/>
      <c r="AE8" s="255"/>
      <c r="AF8" s="255"/>
      <c r="AG8" s="255">
        <v>75</v>
      </c>
      <c r="AH8" s="255"/>
      <c r="AI8" s="255"/>
      <c r="AJ8" s="255"/>
      <c r="AK8" s="255"/>
      <c r="AL8" s="256"/>
      <c r="AM8" s="256"/>
      <c r="AN8" s="256">
        <v>85</v>
      </c>
      <c r="AO8" s="256"/>
      <c r="AP8" s="256"/>
      <c r="AQ8" s="256"/>
      <c r="AR8" s="256"/>
      <c r="AS8" s="123"/>
      <c r="AT8" s="123">
        <v>80</v>
      </c>
      <c r="AU8" s="123"/>
      <c r="AV8" s="123"/>
      <c r="AW8" s="123"/>
      <c r="AX8" s="123"/>
      <c r="AY8" s="123"/>
      <c r="AZ8" s="255"/>
      <c r="BA8" s="255">
        <v>85</v>
      </c>
      <c r="BB8" s="255"/>
      <c r="BC8" s="255"/>
      <c r="BD8" s="255"/>
      <c r="BE8" s="255"/>
      <c r="BF8" s="255"/>
      <c r="BG8" s="256"/>
      <c r="BH8" s="256">
        <v>80</v>
      </c>
      <c r="BI8" s="256"/>
      <c r="BJ8" s="256"/>
      <c r="BK8" s="256"/>
      <c r="BL8" s="256"/>
      <c r="BM8" s="256"/>
      <c r="BN8" s="123"/>
      <c r="BO8" s="123"/>
      <c r="BP8" s="123">
        <v>75</v>
      </c>
      <c r="BQ8" s="123"/>
      <c r="BR8" s="123"/>
      <c r="BS8" s="123"/>
      <c r="BT8" s="123"/>
      <c r="BU8" s="255"/>
      <c r="BV8" s="255"/>
      <c r="BW8" s="255">
        <v>80</v>
      </c>
      <c r="BX8" s="255"/>
      <c r="BY8" s="255"/>
      <c r="BZ8" s="255"/>
      <c r="CA8" s="255"/>
      <c r="CB8" s="256"/>
      <c r="CC8" s="256"/>
      <c r="CD8" s="256">
        <v>75</v>
      </c>
      <c r="CE8" s="256"/>
      <c r="CF8" s="256"/>
      <c r="CG8" s="256"/>
      <c r="CH8" s="256"/>
      <c r="CI8" s="458">
        <v>75</v>
      </c>
      <c r="CJ8" s="458"/>
      <c r="CK8" s="458"/>
      <c r="CL8" s="458"/>
      <c r="CM8" s="458"/>
      <c r="CN8" s="458"/>
      <c r="CO8" s="458"/>
      <c r="CP8" s="457">
        <v>75</v>
      </c>
      <c r="CQ8" s="457"/>
      <c r="CR8" s="457"/>
      <c r="CS8" s="457"/>
      <c r="CT8" s="457"/>
      <c r="CU8" s="457"/>
      <c r="CV8" s="457"/>
      <c r="CW8" s="256">
        <v>80</v>
      </c>
      <c r="CX8" s="256"/>
      <c r="CY8" s="256"/>
      <c r="CZ8" s="256"/>
      <c r="DA8" s="256"/>
      <c r="DB8" s="256"/>
      <c r="DC8" s="256"/>
      <c r="DD8" s="257">
        <f>IFERROR(GN8," ")</f>
        <v>85</v>
      </c>
      <c r="DE8" s="257">
        <f t="shared" ref="DE8:DK23" si="7">IFERROR(GO8," ")</f>
        <v>81.666666666666671</v>
      </c>
      <c r="DF8" s="257">
        <f t="shared" si="7"/>
        <v>85</v>
      </c>
      <c r="DG8" s="257" t="str">
        <f t="shared" si="7"/>
        <v/>
      </c>
      <c r="DH8" s="257" t="str">
        <f t="shared" si="7"/>
        <v/>
      </c>
      <c r="DI8" s="257" t="str">
        <f t="shared" si="7"/>
        <v/>
      </c>
      <c r="DJ8" s="257" t="str">
        <f t="shared" si="7"/>
        <v/>
      </c>
      <c r="DK8" s="756">
        <f t="shared" si="7"/>
        <v>84</v>
      </c>
      <c r="DL8" s="291" t="str">
        <f>IF(DK8&gt;100,"  ",IF(DK8&gt;=DP$1,"A",IF(DK8&gt;=DP$2,"B",IF(DK8&gt;=DP$3,"C",IF(DK8&gt;=1,"D","")))))</f>
        <v>B</v>
      </c>
      <c r="DM8" s="243" t="str">
        <f>IFERROR(IB8," ")</f>
        <v>Ananda Afif baik dalam menyajikan hasil analisis tentang peran ekonomi dalam upaya menyejahterakan kehidupan masyarakat di bidang sosial dan budaya untuk memperkuat kesatuan dan persatuan bangsa., cukup dalam menyajikan hasil analisis tentang interaksi manusia dengan lingkungan dan pengaruhnya terhadap pembangunan sosial, budaya, dan ekonomi masyarakat Indonesia..</v>
      </c>
      <c r="DN8" s="39"/>
      <c r="DO8" s="39"/>
      <c r="DP8" s="257">
        <f>IFERROR(MAX(C8,X8,AS8,BN8,CI8)," ")</f>
        <v>75</v>
      </c>
      <c r="DQ8" s="257">
        <f t="shared" ref="DQ8:DV8" si="8">IFERROR(MAX(D8,Y8,AT8,BO8,CJ8)," ")</f>
        <v>80</v>
      </c>
      <c r="DR8" s="257">
        <f t="shared" si="8"/>
        <v>90</v>
      </c>
      <c r="DS8" s="257">
        <f t="shared" si="8"/>
        <v>0</v>
      </c>
      <c r="DT8" s="257">
        <f t="shared" si="8"/>
        <v>0</v>
      </c>
      <c r="DU8" s="257">
        <f t="shared" si="8"/>
        <v>0</v>
      </c>
      <c r="DV8" s="257">
        <f t="shared" si="8"/>
        <v>0</v>
      </c>
      <c r="DW8" s="257"/>
      <c r="DX8" s="257"/>
      <c r="DY8" s="257"/>
      <c r="DZ8" s="289">
        <f>MAX(DP8:DY8)</f>
        <v>90</v>
      </c>
      <c r="EA8" s="257">
        <f>IFERROR(MAX(J8,AE8,AZ8,BU8,CP8)," ")</f>
        <v>90</v>
      </c>
      <c r="EB8" s="257">
        <f t="shared" ref="EB8:EG8" si="9">IFERROR(MAX(K8,AF8,BA8,BV8,CQ8)," ")</f>
        <v>85</v>
      </c>
      <c r="EC8" s="257">
        <f t="shared" si="9"/>
        <v>80</v>
      </c>
      <c r="ED8" s="257">
        <f t="shared" si="9"/>
        <v>0</v>
      </c>
      <c r="EE8" s="257">
        <f t="shared" si="9"/>
        <v>0</v>
      </c>
      <c r="EF8" s="257">
        <f t="shared" si="9"/>
        <v>0</v>
      </c>
      <c r="EG8" s="257">
        <f t="shared" si="9"/>
        <v>0</v>
      </c>
      <c r="EH8" s="223"/>
      <c r="EI8" s="223"/>
      <c r="EJ8" s="223"/>
      <c r="EK8" s="289">
        <f>MAX(EA8:EJ8)</f>
        <v>90</v>
      </c>
      <c r="EL8" s="257">
        <f t="shared" ref="EL8:ER8" si="10">IFERROR(MAX(Q8,AL8,BG8,CB8,CW8)," ")</f>
        <v>90</v>
      </c>
      <c r="EM8" s="257">
        <f t="shared" si="10"/>
        <v>80</v>
      </c>
      <c r="EN8" s="257">
        <f t="shared" si="10"/>
        <v>85</v>
      </c>
      <c r="EO8" s="257">
        <f t="shared" si="10"/>
        <v>0</v>
      </c>
      <c r="EP8" s="257">
        <f t="shared" si="10"/>
        <v>0</v>
      </c>
      <c r="EQ8" s="257">
        <f t="shared" si="10"/>
        <v>0</v>
      </c>
      <c r="ER8" s="257">
        <f t="shared" si="10"/>
        <v>0</v>
      </c>
      <c r="ES8" s="223"/>
      <c r="ET8" s="223"/>
      <c r="EU8" s="223"/>
      <c r="EV8" s="289">
        <f>MAX(EL8:EU8)</f>
        <v>90</v>
      </c>
      <c r="EW8" s="257">
        <f>DP8</f>
        <v>75</v>
      </c>
      <c r="EX8" s="257">
        <f>EA8</f>
        <v>90</v>
      </c>
      <c r="EY8" s="257">
        <f>EL8</f>
        <v>90</v>
      </c>
      <c r="EZ8" s="575">
        <f>COUNTIF(EW8:EY8,)</f>
        <v>0</v>
      </c>
      <c r="FA8" s="506">
        <f>3-EZ8</f>
        <v>3</v>
      </c>
      <c r="FB8" s="39">
        <f>IFERROR(SUM(EW8:EY8)/FA8,"")</f>
        <v>85</v>
      </c>
      <c r="FC8" s="257">
        <f>DQ8</f>
        <v>80</v>
      </c>
      <c r="FD8" s="257">
        <f>EB8</f>
        <v>85</v>
      </c>
      <c r="FE8" s="257">
        <f>EM8</f>
        <v>80</v>
      </c>
      <c r="FF8" s="575">
        <f>COUNTIF(FC8:FE8,)</f>
        <v>0</v>
      </c>
      <c r="FG8" s="506">
        <f>3-FF8</f>
        <v>3</v>
      </c>
      <c r="FH8" s="39">
        <f>IFERROR(SUM(FC8:FE8)/FG8,"")</f>
        <v>81.666666666666671</v>
      </c>
      <c r="FI8" s="257">
        <f>DR8</f>
        <v>90</v>
      </c>
      <c r="FJ8" s="257">
        <f>EC8</f>
        <v>80</v>
      </c>
      <c r="FK8" s="257">
        <f>EN8</f>
        <v>85</v>
      </c>
      <c r="FL8" s="575">
        <f>COUNTIF(FI8:FK8,)</f>
        <v>0</v>
      </c>
      <c r="FM8" s="506">
        <f>3-FL8</f>
        <v>3</v>
      </c>
      <c r="FN8" s="39">
        <f>IFERROR(SUM(FI8:FK8)/FM8,"")</f>
        <v>85</v>
      </c>
      <c r="FO8" s="257">
        <f>DS8</f>
        <v>0</v>
      </c>
      <c r="FP8" s="257">
        <f>ED8</f>
        <v>0</v>
      </c>
      <c r="FQ8" s="257">
        <f>EO8</f>
        <v>0</v>
      </c>
      <c r="FR8" s="575">
        <f>COUNTIF(FO8:FQ8,)</f>
        <v>3</v>
      </c>
      <c r="FS8" s="506">
        <f>3-FR8</f>
        <v>0</v>
      </c>
      <c r="FT8" s="39" t="str">
        <f>IFERROR(SUM(FO8:FQ8)/FS8,"")</f>
        <v/>
      </c>
      <c r="FU8" s="257">
        <f>DT8</f>
        <v>0</v>
      </c>
      <c r="FV8" s="257">
        <f>EE8</f>
        <v>0</v>
      </c>
      <c r="FW8" s="257">
        <f>EP8</f>
        <v>0</v>
      </c>
      <c r="FX8" s="575">
        <f>COUNTIF(FU8:FW8,)</f>
        <v>3</v>
      </c>
      <c r="FY8" s="506">
        <f>3-FX8</f>
        <v>0</v>
      </c>
      <c r="FZ8" s="39" t="str">
        <f>IFERROR(SUM(FU8:FW8)/FY8,"")</f>
        <v/>
      </c>
      <c r="GA8" s="257">
        <f>DU8</f>
        <v>0</v>
      </c>
      <c r="GB8" s="257">
        <f>EF8</f>
        <v>0</v>
      </c>
      <c r="GC8" s="257">
        <f>EQ8</f>
        <v>0</v>
      </c>
      <c r="GD8" s="575">
        <f>COUNTIF(GA8:GC8,)</f>
        <v>3</v>
      </c>
      <c r="GE8" s="506">
        <f>3-GD8</f>
        <v>0</v>
      </c>
      <c r="GF8" s="39" t="str">
        <f>IFERROR(SUM(GA8:GC8)/GE8,"")</f>
        <v/>
      </c>
      <c r="GG8" s="257">
        <f>DV8</f>
        <v>0</v>
      </c>
      <c r="GH8" s="257">
        <f>EG8</f>
        <v>0</v>
      </c>
      <c r="GI8" s="257">
        <f>ER8</f>
        <v>0</v>
      </c>
      <c r="GJ8" s="575">
        <f>COUNTIF(GG8:GI8,)</f>
        <v>3</v>
      </c>
      <c r="GK8" s="506">
        <f>3-GJ8</f>
        <v>0</v>
      </c>
      <c r="GL8" s="39" t="str">
        <f>IFERROR(SUM(GG8:GI8)/GK8,"")</f>
        <v/>
      </c>
      <c r="GM8" s="39"/>
      <c r="GN8" s="39">
        <f>FB8</f>
        <v>85</v>
      </c>
      <c r="GO8" s="39">
        <f>FH8</f>
        <v>81.666666666666671</v>
      </c>
      <c r="GP8" s="39">
        <f>FN8</f>
        <v>85</v>
      </c>
      <c r="GQ8" s="39" t="str">
        <f>FT8</f>
        <v/>
      </c>
      <c r="GR8" s="39" t="str">
        <f>FZ8</f>
        <v/>
      </c>
      <c r="GS8" s="39" t="str">
        <f>GF8</f>
        <v/>
      </c>
      <c r="GT8" s="257" t="str">
        <f>GL8</f>
        <v/>
      </c>
      <c r="GU8" s="579">
        <f>IFERROR(ROUND(AVERAGE(GN8:GT8),0),"")</f>
        <v>84</v>
      </c>
      <c r="GV8" s="289">
        <f>MAX(GN8:GT8)</f>
        <v>85</v>
      </c>
      <c r="GW8" s="289">
        <f>MIN(GN8:GT8)</f>
        <v>81.666666666666671</v>
      </c>
      <c r="GX8" s="223" t="str">
        <f>SISWA!E6</f>
        <v>Afif</v>
      </c>
      <c r="GY8" s="223" t="str">
        <f>IF(HK8&gt;1,"Ananda "&amp;GX8&amp;" ","")</f>
        <v xml:space="preserve">Ananda Afif </v>
      </c>
      <c r="GZ8" s="580">
        <f>IF(GN8=$GV8,$GV8,"")</f>
        <v>85</v>
      </c>
      <c r="HA8" s="580" t="str">
        <f t="shared" ref="HA8:HF8" si="11">IF(GO8=$GV8,$GV8,"")</f>
        <v/>
      </c>
      <c r="HB8" s="580">
        <f t="shared" si="11"/>
        <v>85</v>
      </c>
      <c r="HC8" s="580" t="str">
        <f t="shared" si="11"/>
        <v/>
      </c>
      <c r="HD8" s="580" t="str">
        <f t="shared" si="11"/>
        <v/>
      </c>
      <c r="HE8" s="580" t="str">
        <f t="shared" si="11"/>
        <v/>
      </c>
      <c r="HF8" s="580" t="str">
        <f t="shared" si="11"/>
        <v/>
      </c>
      <c r="HG8" s="580"/>
      <c r="HH8" s="580"/>
      <c r="HI8" s="580"/>
      <c r="HJ8" s="580"/>
      <c r="HK8" s="223">
        <f>SUM(GZ8:HJ8)</f>
        <v>170</v>
      </c>
      <c r="HL8" s="289" t="str">
        <f>LOOKUP(GV8,(GZ8:HI8),($GZ$6:$HI$6))</f>
        <v>menyajikan hasil analisis tentang peran ekonomi dalam upaya menyejahterakan kehidupan masyarakat di bidang sosial dan budaya untuk memperkuat kesatuan dan persatuan bangsa.</v>
      </c>
      <c r="HM8" s="576" t="str">
        <f>IF(GV8&gt;100,"",IF(GV8&gt;DP$1,"sangat baik dalam "&amp;HL8,IF(GV8&gt;=DP$2,"baik dalam "&amp;HL8,IF(GV8&gt;=DP$3,"cukup dalam "&amp;HL8,IF(GV8&lt;DP$3,"dengan bimbingan dapat meningkatkan dalam "&amp;HL8,IF(GV8&lt;1," ",””))))))</f>
        <v>baik dalam menyajikan hasil analisis tentang peran ekonomi dalam upaya menyejahterakan kehidupan masyarakat di bidang sosial dan budaya untuk memperkuat kesatuan dan persatuan bangsa.</v>
      </c>
      <c r="HN8" s="223"/>
      <c r="HO8" s="223" t="str">
        <f>IF(GN8=$GW8,$GW8,"")</f>
        <v/>
      </c>
      <c r="HP8" s="223">
        <f t="shared" ref="HP8:HU8" si="12">IF(GO8=$GW8,$GW8,"")</f>
        <v>81.666666666666671</v>
      </c>
      <c r="HQ8" s="223" t="str">
        <f t="shared" si="12"/>
        <v/>
      </c>
      <c r="HR8" s="223" t="str">
        <f t="shared" si="12"/>
        <v/>
      </c>
      <c r="HS8" s="223" t="str">
        <f t="shared" si="12"/>
        <v/>
      </c>
      <c r="HT8" s="223" t="str">
        <f t="shared" si="12"/>
        <v/>
      </c>
      <c r="HU8" s="223" t="str">
        <f t="shared" si="12"/>
        <v/>
      </c>
      <c r="HV8" s="223"/>
      <c r="HW8" s="223"/>
      <c r="HX8" s="223"/>
      <c r="HY8" s="223"/>
      <c r="HZ8" s="223" t="str">
        <f>LOOKUP(GW8,(HO8:HX8),($HO$6:$HX$6))</f>
        <v>menyajikan hasil analisis tentang interaksi manusia dengan lingkungan dan pengaruhnya terhadap pembangunan sosial, budaya, dan ekonomi masyarakat Indonesia.</v>
      </c>
      <c r="IA8" s="577" t="str">
        <f>IF(GW8&gt;100,"",IF(GW8&gt;=DP$1,"sangat baik dalam "&amp;HZ8,IF(GW8&gt;=DP$2,"baik dalam "&amp;HZ8,IF(GW8&gt;=DP$3,"cukup dalam "&amp;HZ8,IF(GW8&lt;DP$3,"dengan bimbingan dapat meningkatkan dalam "&amp;HZ8,IF(GW8&lt;1," ",””))))))</f>
        <v>cukup dalam menyajikan hasil analisis tentang interaksi manusia dengan lingkungan dan pengaruhnya terhadap pembangunan sosial, budaya, dan ekonomi masyarakat Indonesia.</v>
      </c>
      <c r="IB8" s="223" t="str">
        <f>CONCATENATE(GY8&amp;HM8&amp;", "&amp;IA8&amp;".")</f>
        <v>Ananda Afif baik dalam menyajikan hasil analisis tentang peran ekonomi dalam upaya menyejahterakan kehidupan masyarakat di bidang sosial dan budaya untuk memperkuat kesatuan dan persatuan bangsa., cukup dalam menyajikan hasil analisis tentang interaksi manusia dengan lingkungan dan pengaruhnya terhadap pembangunan sosial, budaya, dan ekonomi masyarakat Indonesia..</v>
      </c>
    </row>
    <row r="9" spans="1:236" ht="30" customHeight="1">
      <c r="A9" s="39">
        <v>2</v>
      </c>
      <c r="B9" s="223" t="str">
        <f>SISWA!B7</f>
        <v>Ahmad Faiq Athaya</v>
      </c>
      <c r="C9" s="123">
        <v>90</v>
      </c>
      <c r="D9" s="123"/>
      <c r="E9" s="123"/>
      <c r="F9" s="123"/>
      <c r="G9" s="123"/>
      <c r="H9" s="123"/>
      <c r="I9" s="123"/>
      <c r="J9" s="255">
        <v>80</v>
      </c>
      <c r="K9" s="255"/>
      <c r="L9" s="255"/>
      <c r="M9" s="255"/>
      <c r="N9" s="255"/>
      <c r="O9" s="255"/>
      <c r="P9" s="255"/>
      <c r="Q9" s="256">
        <v>90</v>
      </c>
      <c r="R9" s="256"/>
      <c r="S9" s="256"/>
      <c r="T9" s="256"/>
      <c r="U9" s="256"/>
      <c r="V9" s="256"/>
      <c r="W9" s="256"/>
      <c r="X9" s="123"/>
      <c r="Y9" s="123"/>
      <c r="Z9" s="123">
        <v>80</v>
      </c>
      <c r="AA9" s="123"/>
      <c r="AB9" s="123"/>
      <c r="AC9" s="123"/>
      <c r="AD9" s="123"/>
      <c r="AE9" s="255"/>
      <c r="AF9" s="255"/>
      <c r="AG9" s="255">
        <v>90</v>
      </c>
      <c r="AH9" s="255"/>
      <c r="AI9" s="255"/>
      <c r="AJ9" s="255"/>
      <c r="AK9" s="255"/>
      <c r="AL9" s="256"/>
      <c r="AM9" s="256"/>
      <c r="AN9" s="256">
        <v>90</v>
      </c>
      <c r="AO9" s="256"/>
      <c r="AP9" s="256"/>
      <c r="AQ9" s="256"/>
      <c r="AR9" s="256"/>
      <c r="AS9" s="123"/>
      <c r="AT9" s="123">
        <v>80</v>
      </c>
      <c r="AU9" s="123"/>
      <c r="AV9" s="123"/>
      <c r="AW9" s="123"/>
      <c r="AX9" s="123"/>
      <c r="AY9" s="123"/>
      <c r="AZ9" s="255"/>
      <c r="BA9" s="255">
        <v>90</v>
      </c>
      <c r="BB9" s="255"/>
      <c r="BC9" s="255"/>
      <c r="BD9" s="255"/>
      <c r="BE9" s="255"/>
      <c r="BF9" s="255"/>
      <c r="BG9" s="256"/>
      <c r="BH9" s="256">
        <v>80</v>
      </c>
      <c r="BI9" s="256"/>
      <c r="BJ9" s="256"/>
      <c r="BK9" s="256"/>
      <c r="BL9" s="256"/>
      <c r="BM9" s="256"/>
      <c r="BN9" s="123"/>
      <c r="BO9" s="123"/>
      <c r="BP9" s="123">
        <v>90</v>
      </c>
      <c r="BQ9" s="123"/>
      <c r="BR9" s="123"/>
      <c r="BS9" s="123"/>
      <c r="BT9" s="123"/>
      <c r="BU9" s="255"/>
      <c r="BV9" s="255"/>
      <c r="BW9" s="255">
        <v>85</v>
      </c>
      <c r="BX9" s="255"/>
      <c r="BY9" s="255"/>
      <c r="BZ9" s="255"/>
      <c r="CA9" s="255"/>
      <c r="CB9" s="256"/>
      <c r="CC9" s="256"/>
      <c r="CD9" s="256">
        <v>90</v>
      </c>
      <c r="CE9" s="256"/>
      <c r="CF9" s="256"/>
      <c r="CG9" s="256"/>
      <c r="CH9" s="256"/>
      <c r="CI9" s="458">
        <v>90</v>
      </c>
      <c r="CJ9" s="458"/>
      <c r="CK9" s="458"/>
      <c r="CL9" s="458"/>
      <c r="CM9" s="458"/>
      <c r="CN9" s="458"/>
      <c r="CO9" s="458"/>
      <c r="CP9" s="457">
        <v>90</v>
      </c>
      <c r="CQ9" s="457"/>
      <c r="CR9" s="457"/>
      <c r="CS9" s="457"/>
      <c r="CT9" s="457"/>
      <c r="CU9" s="457"/>
      <c r="CV9" s="457"/>
      <c r="CW9" s="256">
        <v>85</v>
      </c>
      <c r="CX9" s="256"/>
      <c r="CY9" s="256"/>
      <c r="CZ9" s="256"/>
      <c r="DA9" s="256"/>
      <c r="DB9" s="256"/>
      <c r="DC9" s="256"/>
      <c r="DD9" s="257">
        <f t="shared" ref="DD9:DD42" si="13">IFERROR(GN9," ")</f>
        <v>90</v>
      </c>
      <c r="DE9" s="257">
        <f t="shared" ref="DE9:DE42" si="14">IFERROR(GO9," ")</f>
        <v>83.333333333333329</v>
      </c>
      <c r="DF9" s="257">
        <f t="shared" ref="DF9:DF42" si="15">IFERROR(GP9," ")</f>
        <v>90</v>
      </c>
      <c r="DG9" s="257" t="str">
        <f t="shared" ref="DG9:DG42" si="16">IFERROR(GQ9," ")</f>
        <v/>
      </c>
      <c r="DH9" s="257" t="str">
        <f t="shared" ref="DH9:DH42" si="17">IFERROR(GR9," ")</f>
        <v/>
      </c>
      <c r="DI9" s="257" t="str">
        <f t="shared" ref="DI9:DI42" si="18">IFERROR(GS9," ")</f>
        <v/>
      </c>
      <c r="DJ9" s="257" t="str">
        <f t="shared" ref="DJ9:DK42" si="19">IFERROR(GT9," ")</f>
        <v/>
      </c>
      <c r="DK9" s="756">
        <f t="shared" si="7"/>
        <v>88</v>
      </c>
      <c r="DL9" s="291" t="str">
        <f t="shared" ref="DL9:DL42" si="20">IF(DK9&gt;100,"  ",IF(DK9&gt;=DP$1,"A",IF(DK9&gt;=DP$2,"B",IF(DK9&gt;=DP$3,"C",IF(DK9&gt;=1,"D","")))))</f>
        <v>B</v>
      </c>
      <c r="DM9" s="243" t="str">
        <f t="shared" ref="DM9:DM42" si="21">IFERROR(IB9," ")</f>
        <v>Ananda Athaya baik dalam menyajikan hasil analisis tentang peran ekonomi dalam upaya menyejahterakan kehidupan masyarakat di bidang sosial dan budaya untuk memperkuat kesatuan dan persatuan bangsa., baik dalam menyajikan hasil analisis tentang interaksi manusia dengan lingkungan dan pengaruhnya terhadap pembangunan sosial, budaya, dan ekonomi masyarakat Indonesia..</v>
      </c>
      <c r="DN9" s="39"/>
      <c r="DO9" s="39"/>
      <c r="DP9" s="257">
        <f t="shared" ref="DP9:DP42" si="22">IFERROR(MAX(C9,X9,AS9,BN9,CI9)," ")</f>
        <v>90</v>
      </c>
      <c r="DQ9" s="257">
        <f t="shared" ref="DQ9:DQ42" si="23">IFERROR(MAX(D9,Y9,AT9,BO9,CJ9)," ")</f>
        <v>80</v>
      </c>
      <c r="DR9" s="257">
        <f t="shared" ref="DR9:DR42" si="24">IFERROR(MAX(E9,Z9,AU9,BP9,CK9)," ")</f>
        <v>90</v>
      </c>
      <c r="DS9" s="257">
        <f t="shared" ref="DS9:DS42" si="25">IFERROR(MAX(F9,AA9,AV9,BQ9,CL9)," ")</f>
        <v>0</v>
      </c>
      <c r="DT9" s="257">
        <f t="shared" ref="DT9:DT42" si="26">IFERROR(MAX(G9,AB9,AW9,BR9,CM9)," ")</f>
        <v>0</v>
      </c>
      <c r="DU9" s="257">
        <f t="shared" ref="DU9:DU42" si="27">IFERROR(MAX(H9,AC9,AX9,BS9,CN9)," ")</f>
        <v>0</v>
      </c>
      <c r="DV9" s="257">
        <f t="shared" ref="DV9:DV42" si="28">IFERROR(MAX(I9,AD9,AY9,BT9,CO9)," ")</f>
        <v>0</v>
      </c>
      <c r="DW9" s="257"/>
      <c r="DX9" s="257"/>
      <c r="DY9" s="257"/>
      <c r="DZ9" s="289">
        <f t="shared" ref="DZ9:DZ42" si="29">MAX(DP9:DY9)</f>
        <v>90</v>
      </c>
      <c r="EA9" s="257">
        <f t="shared" ref="EA9:EA42" si="30">IFERROR(MAX(J9,AE9,AZ9,BU9,CP9)," ")</f>
        <v>90</v>
      </c>
      <c r="EB9" s="257">
        <f t="shared" ref="EB9:EB42" si="31">IFERROR(MAX(K9,AF9,BA9,BV9,CQ9)," ")</f>
        <v>90</v>
      </c>
      <c r="EC9" s="257">
        <f t="shared" ref="EC9:EC42" si="32">IFERROR(MAX(L9,AG9,BB9,BW9,CR9)," ")</f>
        <v>90</v>
      </c>
      <c r="ED9" s="257">
        <f t="shared" ref="ED9:ED42" si="33">IFERROR(MAX(M9,AH9,BC9,BX9,CS9)," ")</f>
        <v>0</v>
      </c>
      <c r="EE9" s="257">
        <f t="shared" ref="EE9:EE42" si="34">IFERROR(MAX(N9,AI9,BD9,BY9,CT9)," ")</f>
        <v>0</v>
      </c>
      <c r="EF9" s="257">
        <f t="shared" ref="EF9:EF42" si="35">IFERROR(MAX(O9,AJ9,BE9,BZ9,CU9)," ")</f>
        <v>0</v>
      </c>
      <c r="EG9" s="257">
        <f t="shared" ref="EG9:EG42" si="36">IFERROR(MAX(P9,AK9,BF9,CA9,CV9)," ")</f>
        <v>0</v>
      </c>
      <c r="EH9" s="223"/>
      <c r="EI9" s="223"/>
      <c r="EJ9" s="223"/>
      <c r="EK9" s="289">
        <f t="shared" ref="EK9:EK42" si="37">MAX(EA9:EJ9)</f>
        <v>90</v>
      </c>
      <c r="EL9" s="257">
        <f t="shared" ref="EL9:EL42" si="38">IFERROR(MAX(Q9,AL9,BG9,CB9,CW9)," ")</f>
        <v>90</v>
      </c>
      <c r="EM9" s="257">
        <f t="shared" ref="EM9:EM42" si="39">IFERROR(MAX(R9,AM9,BH9,CC9,CX9)," ")</f>
        <v>80</v>
      </c>
      <c r="EN9" s="257">
        <f t="shared" ref="EN9:EN42" si="40">IFERROR(MAX(S9,AN9,BI9,CD9,CY9)," ")</f>
        <v>90</v>
      </c>
      <c r="EO9" s="257">
        <f t="shared" ref="EO9:EO42" si="41">IFERROR(MAX(T9,AO9,BJ9,CE9,CZ9)," ")</f>
        <v>0</v>
      </c>
      <c r="EP9" s="257">
        <f t="shared" ref="EP9:EP42" si="42">IFERROR(MAX(U9,AP9,BK9,CF9,DA9)," ")</f>
        <v>0</v>
      </c>
      <c r="EQ9" s="257">
        <f t="shared" ref="EQ9:EQ42" si="43">IFERROR(MAX(V9,AQ9,BL9,CG9,DB9)," ")</f>
        <v>0</v>
      </c>
      <c r="ER9" s="257">
        <f t="shared" ref="ER9:ER42" si="44">IFERROR(MAX(W9,AR9,BM9,CH9,DC9)," ")</f>
        <v>0</v>
      </c>
      <c r="ES9" s="223"/>
      <c r="ET9" s="223"/>
      <c r="EU9" s="223"/>
      <c r="EV9" s="289">
        <f t="shared" ref="EV9:EV42" si="45">MAX(EL9:EU9)</f>
        <v>90</v>
      </c>
      <c r="EW9" s="257">
        <f t="shared" ref="EW9:EW42" si="46">DP9</f>
        <v>90</v>
      </c>
      <c r="EX9" s="257">
        <f t="shared" ref="EX9:EX42" si="47">EA9</f>
        <v>90</v>
      </c>
      <c r="EY9" s="257">
        <f t="shared" ref="EY9:EY42" si="48">EL9</f>
        <v>90</v>
      </c>
      <c r="EZ9" s="575">
        <f t="shared" ref="EZ9:EZ42" si="49">COUNTIF(EW9:EY9,)</f>
        <v>0</v>
      </c>
      <c r="FA9" s="506">
        <f t="shared" ref="FA9:FA42" si="50">3-EZ9</f>
        <v>3</v>
      </c>
      <c r="FB9" s="39">
        <f t="shared" ref="FB9:FB42" si="51">IFERROR(SUM(EW9:EY9)/FA9,"")</f>
        <v>90</v>
      </c>
      <c r="FC9" s="257">
        <f t="shared" ref="FC9:FC42" si="52">DQ9</f>
        <v>80</v>
      </c>
      <c r="FD9" s="257">
        <f t="shared" ref="FD9:FD42" si="53">EB9</f>
        <v>90</v>
      </c>
      <c r="FE9" s="257">
        <f t="shared" ref="FE9:FE42" si="54">EM9</f>
        <v>80</v>
      </c>
      <c r="FF9" s="575">
        <f t="shared" ref="FF9:FF42" si="55">COUNTIF(FC9:FE9,)</f>
        <v>0</v>
      </c>
      <c r="FG9" s="506">
        <f t="shared" ref="FG9:FG42" si="56">3-FF9</f>
        <v>3</v>
      </c>
      <c r="FH9" s="39">
        <f t="shared" ref="FH9:FH42" si="57">IFERROR(SUM(FC9:FE9)/FG9,"")</f>
        <v>83.333333333333329</v>
      </c>
      <c r="FI9" s="257">
        <f t="shared" ref="FI9:FI42" si="58">DR9</f>
        <v>90</v>
      </c>
      <c r="FJ9" s="257">
        <f t="shared" ref="FJ9:FJ42" si="59">EC9</f>
        <v>90</v>
      </c>
      <c r="FK9" s="257">
        <f t="shared" ref="FK9:FK42" si="60">EN9</f>
        <v>90</v>
      </c>
      <c r="FL9" s="575">
        <f t="shared" ref="FL9:FL42" si="61">COUNTIF(FI9:FK9,)</f>
        <v>0</v>
      </c>
      <c r="FM9" s="506">
        <f t="shared" ref="FM9:FM42" si="62">3-FL9</f>
        <v>3</v>
      </c>
      <c r="FN9" s="39">
        <f t="shared" ref="FN9:FN42" si="63">IFERROR(SUM(FI9:FK9)/FM9,"")</f>
        <v>90</v>
      </c>
      <c r="FO9" s="257">
        <f t="shared" ref="FO9:FO42" si="64">DS9</f>
        <v>0</v>
      </c>
      <c r="FP9" s="257">
        <f t="shared" ref="FP9:FP42" si="65">ED9</f>
        <v>0</v>
      </c>
      <c r="FQ9" s="257">
        <f t="shared" ref="FQ9:FQ42" si="66">EO9</f>
        <v>0</v>
      </c>
      <c r="FR9" s="575">
        <f t="shared" ref="FR9:FR42" si="67">COUNTIF(FO9:FQ9,)</f>
        <v>3</v>
      </c>
      <c r="FS9" s="506">
        <f t="shared" ref="FS9:FS42" si="68">3-FR9</f>
        <v>0</v>
      </c>
      <c r="FT9" s="39" t="str">
        <f t="shared" ref="FT9:FT42" si="69">IFERROR(SUM(FO9:FQ9)/FS9,"")</f>
        <v/>
      </c>
      <c r="FU9" s="257">
        <f t="shared" ref="FU9:FU42" si="70">DT9</f>
        <v>0</v>
      </c>
      <c r="FV9" s="257">
        <f t="shared" ref="FV9:FV42" si="71">EE9</f>
        <v>0</v>
      </c>
      <c r="FW9" s="257">
        <f t="shared" ref="FW9:FW42" si="72">EP9</f>
        <v>0</v>
      </c>
      <c r="FX9" s="575">
        <f t="shared" ref="FX9:FX42" si="73">COUNTIF(FU9:FW9,)</f>
        <v>3</v>
      </c>
      <c r="FY9" s="506">
        <f t="shared" ref="FY9:FY42" si="74">3-FX9</f>
        <v>0</v>
      </c>
      <c r="FZ9" s="39" t="str">
        <f t="shared" ref="FZ9:FZ42" si="75">IFERROR(SUM(FU9:FW9)/FY9,"")</f>
        <v/>
      </c>
      <c r="GA9" s="257">
        <f t="shared" ref="GA9:GA42" si="76">DU9</f>
        <v>0</v>
      </c>
      <c r="GB9" s="257">
        <f t="shared" ref="GB9:GB42" si="77">EF9</f>
        <v>0</v>
      </c>
      <c r="GC9" s="257">
        <f t="shared" ref="GC9:GC42" si="78">EQ9</f>
        <v>0</v>
      </c>
      <c r="GD9" s="575">
        <f t="shared" ref="GD9:GD42" si="79">COUNTIF(GA9:GC9,)</f>
        <v>3</v>
      </c>
      <c r="GE9" s="506">
        <f t="shared" ref="GE9:GE42" si="80">3-GD9</f>
        <v>0</v>
      </c>
      <c r="GF9" s="39" t="str">
        <f t="shared" ref="GF9:GF42" si="81">IFERROR(SUM(GA9:GC9)/GE9,"")</f>
        <v/>
      </c>
      <c r="GG9" s="257">
        <f t="shared" ref="GG9:GG42" si="82">DV9</f>
        <v>0</v>
      </c>
      <c r="GH9" s="257">
        <f t="shared" ref="GH9:GH42" si="83">EG9</f>
        <v>0</v>
      </c>
      <c r="GI9" s="257">
        <f t="shared" ref="GI9:GI42" si="84">ER9</f>
        <v>0</v>
      </c>
      <c r="GJ9" s="575">
        <f t="shared" ref="GJ9:GJ42" si="85">COUNTIF(GG9:GI9,)</f>
        <v>3</v>
      </c>
      <c r="GK9" s="506">
        <f t="shared" ref="GK9:GK42" si="86">3-GJ9</f>
        <v>0</v>
      </c>
      <c r="GL9" s="39" t="str">
        <f t="shared" ref="GL9:GL42" si="87">IFERROR(SUM(GG9:GI9)/GK9,"")</f>
        <v/>
      </c>
      <c r="GM9" s="39"/>
      <c r="GN9" s="39">
        <f t="shared" ref="GN9:GN42" si="88">FB9</f>
        <v>90</v>
      </c>
      <c r="GO9" s="39">
        <f t="shared" ref="GO9:GO42" si="89">FH9</f>
        <v>83.333333333333329</v>
      </c>
      <c r="GP9" s="39">
        <f t="shared" ref="GP9:GP42" si="90">FN9</f>
        <v>90</v>
      </c>
      <c r="GQ9" s="39" t="str">
        <f t="shared" ref="GQ9:GQ42" si="91">FT9</f>
        <v/>
      </c>
      <c r="GR9" s="39" t="str">
        <f t="shared" ref="GR9:GR42" si="92">FZ9</f>
        <v/>
      </c>
      <c r="GS9" s="39" t="str">
        <f t="shared" ref="GS9:GS42" si="93">GF9</f>
        <v/>
      </c>
      <c r="GT9" s="257" t="str">
        <f t="shared" ref="GT9:GT42" si="94">GL9</f>
        <v/>
      </c>
      <c r="GU9" s="579">
        <f t="shared" ref="GU9:GU42" si="95">IFERROR(ROUND(AVERAGE(GN9:GT9),0),"")</f>
        <v>88</v>
      </c>
      <c r="GV9" s="289">
        <f t="shared" ref="GV9:GV42" si="96">MAX(GN9:GT9)</f>
        <v>90</v>
      </c>
      <c r="GW9" s="289">
        <f t="shared" ref="GW9:GW42" si="97">MIN(GN9:GT9)</f>
        <v>83.333333333333329</v>
      </c>
      <c r="GX9" s="223" t="str">
        <f>SISWA!E7</f>
        <v>Athaya</v>
      </c>
      <c r="GY9" s="223" t="str">
        <f t="shared" ref="GY9:GY42" si="98">IF(HK9&gt;1,"Ananda "&amp;GX9&amp;" ","")</f>
        <v xml:space="preserve">Ananda Athaya </v>
      </c>
      <c r="GZ9" s="580">
        <f t="shared" ref="GZ9:GZ42" si="99">IF(GN9=$GV9,$GV9,"")</f>
        <v>90</v>
      </c>
      <c r="HA9" s="580" t="str">
        <f t="shared" ref="HA9:HA42" si="100">IF(GO9=$GV9,$GV9,"")</f>
        <v/>
      </c>
      <c r="HB9" s="580">
        <f t="shared" ref="HB9:HB42" si="101">IF(GP9=$GV9,$GV9,"")</f>
        <v>90</v>
      </c>
      <c r="HC9" s="580" t="str">
        <f t="shared" ref="HC9:HC42" si="102">IF(GQ9=$GV9,$GV9,"")</f>
        <v/>
      </c>
      <c r="HD9" s="580" t="str">
        <f t="shared" ref="HD9:HD42" si="103">IF(GR9=$GV9,$GV9,"")</f>
        <v/>
      </c>
      <c r="HE9" s="580" t="str">
        <f t="shared" ref="HE9:HE42" si="104">IF(GS9=$GV9,$GV9,"")</f>
        <v/>
      </c>
      <c r="HF9" s="580" t="str">
        <f t="shared" ref="HF9:HF42" si="105">IF(GT9=$GV9,$GV9,"")</f>
        <v/>
      </c>
      <c r="HG9" s="580"/>
      <c r="HH9" s="580"/>
      <c r="HI9" s="580"/>
      <c r="HJ9" s="580"/>
      <c r="HK9" s="223">
        <f t="shared" ref="HK9:HK42" si="106">SUM(GZ9:HJ9)</f>
        <v>180</v>
      </c>
      <c r="HL9" s="289" t="str">
        <f t="shared" ref="HL9:HL42" si="107">LOOKUP(GV9,(GZ9:HI9),($GZ$6:$HI$6))</f>
        <v>menyajikan hasil analisis tentang peran ekonomi dalam upaya menyejahterakan kehidupan masyarakat di bidang sosial dan budaya untuk memperkuat kesatuan dan persatuan bangsa.</v>
      </c>
      <c r="HM9" s="576" t="str">
        <f>IF(GV9&gt;100,"",IF(GV9&gt;DP$1,"sangat baik dalam "&amp;HL9,IF(GV9&gt;=DP$2,"baik dalam "&amp;HL9,IF(GV9&gt;=DP$3,"cukup dalam "&amp;HL9,IF(GV9&lt;DP$3,"dengan bimbingan dapat meningkatkan dalam "&amp;HL9,IF(GV9&lt;1," ",””))))))</f>
        <v>baik dalam menyajikan hasil analisis tentang peran ekonomi dalam upaya menyejahterakan kehidupan masyarakat di bidang sosial dan budaya untuk memperkuat kesatuan dan persatuan bangsa.</v>
      </c>
      <c r="HN9" s="223"/>
      <c r="HO9" s="223" t="str">
        <f t="shared" ref="HO9:HO42" si="108">IF(GN9=$GW9,$GW9,"")</f>
        <v/>
      </c>
      <c r="HP9" s="223">
        <f t="shared" ref="HP9:HP42" si="109">IF(GO9=$GW9,$GW9,"")</f>
        <v>83.333333333333329</v>
      </c>
      <c r="HQ9" s="223" t="str">
        <f t="shared" ref="HQ9:HQ42" si="110">IF(GP9=$GW9,$GW9,"")</f>
        <v/>
      </c>
      <c r="HR9" s="223" t="str">
        <f t="shared" ref="HR9:HR42" si="111">IF(GQ9=$GW9,$GW9,"")</f>
        <v/>
      </c>
      <c r="HS9" s="223" t="str">
        <f t="shared" ref="HS9:HS42" si="112">IF(GR9=$GW9,$GW9,"")</f>
        <v/>
      </c>
      <c r="HT9" s="223" t="str">
        <f t="shared" ref="HT9:HT42" si="113">IF(GS9=$GW9,$GW9,"")</f>
        <v/>
      </c>
      <c r="HU9" s="223" t="str">
        <f t="shared" ref="HU9:HU42" si="114">IF(GT9=$GW9,$GW9,"")</f>
        <v/>
      </c>
      <c r="HV9" s="223"/>
      <c r="HW9" s="223"/>
      <c r="HX9" s="223"/>
      <c r="HY9" s="223"/>
      <c r="HZ9" s="223" t="str">
        <f t="shared" ref="HZ9:HZ42" si="115">LOOKUP(GW9,(HO9:HX9),($HO$6:$HX$6))</f>
        <v>menyajikan hasil analisis tentang interaksi manusia dengan lingkungan dan pengaruhnya terhadap pembangunan sosial, budaya, dan ekonomi masyarakat Indonesia.</v>
      </c>
      <c r="IA9" s="577" t="str">
        <f>IF(GW9&gt;100,"",IF(GW9&gt;=DP$1,"sangat baik dalam "&amp;HZ9,IF(GW9&gt;=DP$2,"baik dalam "&amp;HZ9,IF(GW9&gt;=DP$3,"cukup dalam "&amp;HZ9,IF(GW9&lt;DP$3,"dengan bimbingan dapat meningkatkan dalam "&amp;HZ9,IF(GW9&lt;1," ",””))))))</f>
        <v>baik dalam menyajikan hasil analisis tentang interaksi manusia dengan lingkungan dan pengaruhnya terhadap pembangunan sosial, budaya, dan ekonomi masyarakat Indonesia.</v>
      </c>
      <c r="IB9" s="223" t="str">
        <f t="shared" ref="IB9:IB42" si="116">CONCATENATE(GY9&amp;HM9&amp;", "&amp;IA9&amp;".")</f>
        <v>Ananda Athaya baik dalam menyajikan hasil analisis tentang peran ekonomi dalam upaya menyejahterakan kehidupan masyarakat di bidang sosial dan budaya untuk memperkuat kesatuan dan persatuan bangsa., baik dalam menyajikan hasil analisis tentang interaksi manusia dengan lingkungan dan pengaruhnya terhadap pembangunan sosial, budaya, dan ekonomi masyarakat Indonesia..</v>
      </c>
    </row>
    <row r="10" spans="1:236" ht="30" customHeight="1">
      <c r="A10" s="39">
        <v>3</v>
      </c>
      <c r="B10" s="223" t="str">
        <f>SISWA!B8</f>
        <v>Amira Zerlinda</v>
      </c>
      <c r="C10" s="123">
        <v>85</v>
      </c>
      <c r="D10" s="123"/>
      <c r="E10" s="123"/>
      <c r="F10" s="123"/>
      <c r="G10" s="123"/>
      <c r="H10" s="123"/>
      <c r="I10" s="123"/>
      <c r="J10" s="255">
        <v>90</v>
      </c>
      <c r="K10" s="255"/>
      <c r="L10" s="255"/>
      <c r="M10" s="255"/>
      <c r="N10" s="255"/>
      <c r="O10" s="255"/>
      <c r="P10" s="255"/>
      <c r="Q10" s="256">
        <v>90</v>
      </c>
      <c r="R10" s="256"/>
      <c r="S10" s="256"/>
      <c r="T10" s="256"/>
      <c r="U10" s="256"/>
      <c r="V10" s="256"/>
      <c r="W10" s="256"/>
      <c r="X10" s="123"/>
      <c r="Y10" s="123"/>
      <c r="Z10" s="123">
        <v>75</v>
      </c>
      <c r="AA10" s="123"/>
      <c r="AB10" s="123"/>
      <c r="AC10" s="123"/>
      <c r="AD10" s="123"/>
      <c r="AE10" s="255"/>
      <c r="AF10" s="255"/>
      <c r="AG10" s="255">
        <v>75</v>
      </c>
      <c r="AH10" s="255"/>
      <c r="AI10" s="255"/>
      <c r="AJ10" s="255"/>
      <c r="AK10" s="255"/>
      <c r="AL10" s="256"/>
      <c r="AM10" s="256"/>
      <c r="AN10" s="256">
        <v>90</v>
      </c>
      <c r="AO10" s="256"/>
      <c r="AP10" s="256"/>
      <c r="AQ10" s="256"/>
      <c r="AR10" s="256"/>
      <c r="AS10" s="123"/>
      <c r="AT10" s="123">
        <v>90</v>
      </c>
      <c r="AU10" s="123"/>
      <c r="AV10" s="123"/>
      <c r="AW10" s="123"/>
      <c r="AX10" s="123"/>
      <c r="AY10" s="123"/>
      <c r="AZ10" s="255"/>
      <c r="BA10" s="255">
        <v>90</v>
      </c>
      <c r="BB10" s="255"/>
      <c r="BC10" s="255"/>
      <c r="BD10" s="255"/>
      <c r="BE10" s="255"/>
      <c r="BF10" s="255"/>
      <c r="BG10" s="256"/>
      <c r="BH10" s="256">
        <v>90</v>
      </c>
      <c r="BI10" s="256"/>
      <c r="BJ10" s="256"/>
      <c r="BK10" s="256"/>
      <c r="BL10" s="256"/>
      <c r="BM10" s="256"/>
      <c r="BN10" s="123"/>
      <c r="BO10" s="123"/>
      <c r="BP10" s="123">
        <v>90</v>
      </c>
      <c r="BQ10" s="123"/>
      <c r="BR10" s="123"/>
      <c r="BS10" s="123"/>
      <c r="BT10" s="123"/>
      <c r="BU10" s="255"/>
      <c r="BV10" s="255"/>
      <c r="BW10" s="255">
        <v>85</v>
      </c>
      <c r="BX10" s="255"/>
      <c r="BY10" s="255"/>
      <c r="BZ10" s="255"/>
      <c r="CA10" s="255"/>
      <c r="CB10" s="256"/>
      <c r="CC10" s="256"/>
      <c r="CD10" s="256">
        <v>85</v>
      </c>
      <c r="CE10" s="256"/>
      <c r="CF10" s="256"/>
      <c r="CG10" s="256"/>
      <c r="CH10" s="256"/>
      <c r="CI10" s="458">
        <v>75</v>
      </c>
      <c r="CJ10" s="458"/>
      <c r="CK10" s="458"/>
      <c r="CL10" s="458"/>
      <c r="CM10" s="458"/>
      <c r="CN10" s="458"/>
      <c r="CO10" s="458"/>
      <c r="CP10" s="457">
        <v>85</v>
      </c>
      <c r="CQ10" s="457"/>
      <c r="CR10" s="457"/>
      <c r="CS10" s="457"/>
      <c r="CT10" s="457"/>
      <c r="CU10" s="457"/>
      <c r="CV10" s="457"/>
      <c r="CW10" s="256">
        <v>80</v>
      </c>
      <c r="CX10" s="256"/>
      <c r="CY10" s="256"/>
      <c r="CZ10" s="256"/>
      <c r="DA10" s="256"/>
      <c r="DB10" s="256"/>
      <c r="DC10" s="256"/>
      <c r="DD10" s="257">
        <f t="shared" si="13"/>
        <v>88.333333333333329</v>
      </c>
      <c r="DE10" s="257">
        <f t="shared" si="14"/>
        <v>90</v>
      </c>
      <c r="DF10" s="257">
        <f t="shared" si="15"/>
        <v>88.333333333333329</v>
      </c>
      <c r="DG10" s="257" t="str">
        <f t="shared" si="16"/>
        <v/>
      </c>
      <c r="DH10" s="257" t="str">
        <f t="shared" si="17"/>
        <v/>
      </c>
      <c r="DI10" s="257" t="str">
        <f t="shared" si="18"/>
        <v/>
      </c>
      <c r="DJ10" s="257" t="str">
        <f t="shared" si="19"/>
        <v/>
      </c>
      <c r="DK10" s="756">
        <f t="shared" si="7"/>
        <v>89</v>
      </c>
      <c r="DL10" s="291" t="str">
        <f t="shared" si="20"/>
        <v>B</v>
      </c>
      <c r="DM10" s="243" t="str">
        <f t="shared" si="21"/>
        <v>Ananda Amira baik dalam menyajikan hasil analisis tentang interaksi manusia dengan lingkungan dan pengaruhnya terhadap pembangunan sosial, budaya, dan ekonomi masyarakat Indonesia., baik dalam menyajikan hasil analisis tentang peran ekonomi dalam upaya menyejahterakan kehidupan masyarakat di bidang sosial dan budaya untuk memperkuat kesatuan dan persatuan bangsa..</v>
      </c>
      <c r="DN10" s="39"/>
      <c r="DO10" s="39"/>
      <c r="DP10" s="257">
        <f t="shared" si="22"/>
        <v>85</v>
      </c>
      <c r="DQ10" s="257">
        <f t="shared" si="23"/>
        <v>90</v>
      </c>
      <c r="DR10" s="257">
        <f t="shared" si="24"/>
        <v>90</v>
      </c>
      <c r="DS10" s="257">
        <f t="shared" si="25"/>
        <v>0</v>
      </c>
      <c r="DT10" s="257">
        <f t="shared" si="26"/>
        <v>0</v>
      </c>
      <c r="DU10" s="257">
        <f t="shared" si="27"/>
        <v>0</v>
      </c>
      <c r="DV10" s="257">
        <f t="shared" si="28"/>
        <v>0</v>
      </c>
      <c r="DW10" s="257"/>
      <c r="DX10" s="257"/>
      <c r="DY10" s="257"/>
      <c r="DZ10" s="289">
        <f t="shared" si="29"/>
        <v>90</v>
      </c>
      <c r="EA10" s="257">
        <f t="shared" si="30"/>
        <v>90</v>
      </c>
      <c r="EB10" s="257">
        <f t="shared" si="31"/>
        <v>90</v>
      </c>
      <c r="EC10" s="257">
        <f t="shared" si="32"/>
        <v>85</v>
      </c>
      <c r="ED10" s="257">
        <f t="shared" si="33"/>
        <v>0</v>
      </c>
      <c r="EE10" s="257">
        <f t="shared" si="34"/>
        <v>0</v>
      </c>
      <c r="EF10" s="257">
        <f t="shared" si="35"/>
        <v>0</v>
      </c>
      <c r="EG10" s="257">
        <f t="shared" si="36"/>
        <v>0</v>
      </c>
      <c r="EH10" s="223"/>
      <c r="EI10" s="223"/>
      <c r="EJ10" s="223"/>
      <c r="EK10" s="289">
        <f t="shared" si="37"/>
        <v>90</v>
      </c>
      <c r="EL10" s="257">
        <f t="shared" si="38"/>
        <v>90</v>
      </c>
      <c r="EM10" s="257">
        <f t="shared" si="39"/>
        <v>90</v>
      </c>
      <c r="EN10" s="257">
        <f t="shared" si="40"/>
        <v>90</v>
      </c>
      <c r="EO10" s="257">
        <f t="shared" si="41"/>
        <v>0</v>
      </c>
      <c r="EP10" s="257">
        <f t="shared" si="42"/>
        <v>0</v>
      </c>
      <c r="EQ10" s="257">
        <f t="shared" si="43"/>
        <v>0</v>
      </c>
      <c r="ER10" s="257">
        <f t="shared" si="44"/>
        <v>0</v>
      </c>
      <c r="ES10" s="223"/>
      <c r="ET10" s="223"/>
      <c r="EU10" s="223"/>
      <c r="EV10" s="289">
        <f t="shared" si="45"/>
        <v>90</v>
      </c>
      <c r="EW10" s="257">
        <f t="shared" si="46"/>
        <v>85</v>
      </c>
      <c r="EX10" s="257">
        <f t="shared" si="47"/>
        <v>90</v>
      </c>
      <c r="EY10" s="257">
        <f t="shared" si="48"/>
        <v>90</v>
      </c>
      <c r="EZ10" s="575">
        <f t="shared" si="49"/>
        <v>0</v>
      </c>
      <c r="FA10" s="506">
        <f t="shared" si="50"/>
        <v>3</v>
      </c>
      <c r="FB10" s="39">
        <f t="shared" si="51"/>
        <v>88.333333333333329</v>
      </c>
      <c r="FC10" s="257">
        <f t="shared" si="52"/>
        <v>90</v>
      </c>
      <c r="FD10" s="257">
        <f t="shared" si="53"/>
        <v>90</v>
      </c>
      <c r="FE10" s="257">
        <f t="shared" si="54"/>
        <v>90</v>
      </c>
      <c r="FF10" s="575">
        <f t="shared" si="55"/>
        <v>0</v>
      </c>
      <c r="FG10" s="506">
        <f t="shared" si="56"/>
        <v>3</v>
      </c>
      <c r="FH10" s="39">
        <f t="shared" si="57"/>
        <v>90</v>
      </c>
      <c r="FI10" s="257">
        <f t="shared" si="58"/>
        <v>90</v>
      </c>
      <c r="FJ10" s="257">
        <f t="shared" si="59"/>
        <v>85</v>
      </c>
      <c r="FK10" s="257">
        <f t="shared" si="60"/>
        <v>90</v>
      </c>
      <c r="FL10" s="575">
        <f t="shared" si="61"/>
        <v>0</v>
      </c>
      <c r="FM10" s="506">
        <f t="shared" si="62"/>
        <v>3</v>
      </c>
      <c r="FN10" s="39">
        <f t="shared" si="63"/>
        <v>88.333333333333329</v>
      </c>
      <c r="FO10" s="257">
        <f t="shared" si="64"/>
        <v>0</v>
      </c>
      <c r="FP10" s="257">
        <f t="shared" si="65"/>
        <v>0</v>
      </c>
      <c r="FQ10" s="257">
        <f t="shared" si="66"/>
        <v>0</v>
      </c>
      <c r="FR10" s="575">
        <f t="shared" si="67"/>
        <v>3</v>
      </c>
      <c r="FS10" s="506">
        <f t="shared" si="68"/>
        <v>0</v>
      </c>
      <c r="FT10" s="39" t="str">
        <f t="shared" si="69"/>
        <v/>
      </c>
      <c r="FU10" s="257">
        <f t="shared" si="70"/>
        <v>0</v>
      </c>
      <c r="FV10" s="257">
        <f t="shared" si="71"/>
        <v>0</v>
      </c>
      <c r="FW10" s="257">
        <f t="shared" si="72"/>
        <v>0</v>
      </c>
      <c r="FX10" s="575">
        <f t="shared" si="73"/>
        <v>3</v>
      </c>
      <c r="FY10" s="506">
        <f t="shared" si="74"/>
        <v>0</v>
      </c>
      <c r="FZ10" s="39" t="str">
        <f t="shared" si="75"/>
        <v/>
      </c>
      <c r="GA10" s="257">
        <f t="shared" si="76"/>
        <v>0</v>
      </c>
      <c r="GB10" s="257">
        <f t="shared" si="77"/>
        <v>0</v>
      </c>
      <c r="GC10" s="257">
        <f t="shared" si="78"/>
        <v>0</v>
      </c>
      <c r="GD10" s="575">
        <f t="shared" si="79"/>
        <v>3</v>
      </c>
      <c r="GE10" s="506">
        <f t="shared" si="80"/>
        <v>0</v>
      </c>
      <c r="GF10" s="39" t="str">
        <f t="shared" si="81"/>
        <v/>
      </c>
      <c r="GG10" s="257">
        <f t="shared" si="82"/>
        <v>0</v>
      </c>
      <c r="GH10" s="257">
        <f t="shared" si="83"/>
        <v>0</v>
      </c>
      <c r="GI10" s="257">
        <f t="shared" si="84"/>
        <v>0</v>
      </c>
      <c r="GJ10" s="575">
        <f t="shared" si="85"/>
        <v>3</v>
      </c>
      <c r="GK10" s="506">
        <f t="shared" si="86"/>
        <v>0</v>
      </c>
      <c r="GL10" s="39" t="str">
        <f t="shared" si="87"/>
        <v/>
      </c>
      <c r="GM10" s="39"/>
      <c r="GN10" s="39">
        <f t="shared" si="88"/>
        <v>88.333333333333329</v>
      </c>
      <c r="GO10" s="39">
        <f t="shared" si="89"/>
        <v>90</v>
      </c>
      <c r="GP10" s="39">
        <f t="shared" si="90"/>
        <v>88.333333333333329</v>
      </c>
      <c r="GQ10" s="39" t="str">
        <f t="shared" si="91"/>
        <v/>
      </c>
      <c r="GR10" s="39" t="str">
        <f t="shared" si="92"/>
        <v/>
      </c>
      <c r="GS10" s="39" t="str">
        <f t="shared" si="93"/>
        <v/>
      </c>
      <c r="GT10" s="257" t="str">
        <f t="shared" si="94"/>
        <v/>
      </c>
      <c r="GU10" s="579">
        <f t="shared" si="95"/>
        <v>89</v>
      </c>
      <c r="GV10" s="289">
        <f t="shared" si="96"/>
        <v>90</v>
      </c>
      <c r="GW10" s="289">
        <f t="shared" si="97"/>
        <v>88.333333333333329</v>
      </c>
      <c r="GX10" s="223" t="str">
        <f>SISWA!E8</f>
        <v>Amira</v>
      </c>
      <c r="GY10" s="223" t="str">
        <f t="shared" si="98"/>
        <v xml:space="preserve">Ananda Amira </v>
      </c>
      <c r="GZ10" s="580" t="str">
        <f t="shared" si="99"/>
        <v/>
      </c>
      <c r="HA10" s="580">
        <f t="shared" si="100"/>
        <v>90</v>
      </c>
      <c r="HB10" s="580" t="str">
        <f t="shared" si="101"/>
        <v/>
      </c>
      <c r="HC10" s="580" t="str">
        <f t="shared" si="102"/>
        <v/>
      </c>
      <c r="HD10" s="580" t="str">
        <f t="shared" si="103"/>
        <v/>
      </c>
      <c r="HE10" s="580" t="str">
        <f t="shared" si="104"/>
        <v/>
      </c>
      <c r="HF10" s="580" t="str">
        <f t="shared" si="105"/>
        <v/>
      </c>
      <c r="HG10" s="580"/>
      <c r="HH10" s="580"/>
      <c r="HI10" s="580"/>
      <c r="HJ10" s="580"/>
      <c r="HK10" s="223">
        <f t="shared" si="106"/>
        <v>90</v>
      </c>
      <c r="HL10" s="289" t="str">
        <f t="shared" si="107"/>
        <v>menyajikan hasil analisis tentang interaksi manusia dengan lingkungan dan pengaruhnya terhadap pembangunan sosial, budaya, dan ekonomi masyarakat Indonesia.</v>
      </c>
      <c r="HM10" s="576" t="str">
        <f>IF(GV10&gt;100,"",IF(GV10&gt;DP$1,"sangat baik dalam "&amp;HL10,IF(GV10&gt;=DP$2,"baik dalam "&amp;HL10,IF(GV10&gt;=DP$3,"cukup dalam "&amp;HL10,IF(GV10&lt;DP$3,"dengan bimbingan dapat meningkatkan dalam "&amp;HL10,IF(GV10&lt;1," ",””))))))</f>
        <v>baik dalam menyajikan hasil analisis tentang interaksi manusia dengan lingkungan dan pengaruhnya terhadap pembangunan sosial, budaya, dan ekonomi masyarakat Indonesia.</v>
      </c>
      <c r="HN10" s="223"/>
      <c r="HO10" s="223">
        <f t="shared" si="108"/>
        <v>88.333333333333329</v>
      </c>
      <c r="HP10" s="223" t="str">
        <f t="shared" si="109"/>
        <v/>
      </c>
      <c r="HQ10" s="223">
        <f t="shared" si="110"/>
        <v>88.333333333333329</v>
      </c>
      <c r="HR10" s="223" t="str">
        <f t="shared" si="111"/>
        <v/>
      </c>
      <c r="HS10" s="223" t="str">
        <f t="shared" si="112"/>
        <v/>
      </c>
      <c r="HT10" s="223" t="str">
        <f t="shared" si="113"/>
        <v/>
      </c>
      <c r="HU10" s="223" t="str">
        <f t="shared" si="114"/>
        <v/>
      </c>
      <c r="HV10" s="223"/>
      <c r="HW10" s="223"/>
      <c r="HX10" s="223"/>
      <c r="HY10" s="223"/>
      <c r="HZ10" s="223" t="str">
        <f t="shared" si="115"/>
        <v>menyajikan hasil analisis tentang peran ekonomi dalam upaya menyejahterakan kehidupan masyarakat di bidang sosial dan budaya untuk memperkuat kesatuan dan persatuan bangsa.</v>
      </c>
      <c r="IA10" s="577" t="str">
        <f>IF(GW10&gt;100,"",IF(GW10&gt;=DP$1,"sangat baik dalam "&amp;HZ10,IF(GW10&gt;=DP$2,"baik dalam "&amp;HZ10,IF(GW10&gt;=DP$3,"cukup dalam "&amp;HZ10,IF(GW10&lt;DP$3,"dengan bimbingan dapat meningkatkan dalam "&amp;HZ10,IF(GW10&lt;1," ",””))))))</f>
        <v>baik dalam menyajikan hasil analisis tentang peran ekonomi dalam upaya menyejahterakan kehidupan masyarakat di bidang sosial dan budaya untuk memperkuat kesatuan dan persatuan bangsa.</v>
      </c>
      <c r="IB10" s="223" t="str">
        <f t="shared" si="116"/>
        <v>Ananda Amira baik dalam menyajikan hasil analisis tentang interaksi manusia dengan lingkungan dan pengaruhnya terhadap pembangunan sosial, budaya, dan ekonomi masyarakat Indonesia., baik dalam menyajikan hasil analisis tentang peran ekonomi dalam upaya menyejahterakan kehidupan masyarakat di bidang sosial dan budaya untuk memperkuat kesatuan dan persatuan bangsa..</v>
      </c>
    </row>
    <row r="11" spans="1:236" ht="30" customHeight="1">
      <c r="A11" s="39">
        <v>4</v>
      </c>
      <c r="B11" s="223" t="str">
        <f>SISWA!B9</f>
        <v>Andrian Putra Pangestu</v>
      </c>
      <c r="C11" s="123">
        <v>75</v>
      </c>
      <c r="D11" s="123"/>
      <c r="E11" s="123"/>
      <c r="F11" s="123"/>
      <c r="G11" s="123"/>
      <c r="H11" s="123"/>
      <c r="I11" s="123"/>
      <c r="J11" s="255">
        <v>80</v>
      </c>
      <c r="K11" s="255"/>
      <c r="L11" s="255"/>
      <c r="M11" s="255"/>
      <c r="N11" s="255"/>
      <c r="O11" s="255"/>
      <c r="P11" s="255"/>
      <c r="Q11" s="256">
        <v>75</v>
      </c>
      <c r="R11" s="256"/>
      <c r="S11" s="256"/>
      <c r="T11" s="256"/>
      <c r="U11" s="256"/>
      <c r="V11" s="256"/>
      <c r="W11" s="256"/>
      <c r="X11" s="123"/>
      <c r="Y11" s="123"/>
      <c r="Z11" s="123">
        <v>75</v>
      </c>
      <c r="AA11" s="123"/>
      <c r="AB11" s="123"/>
      <c r="AC11" s="123"/>
      <c r="AD11" s="123"/>
      <c r="AE11" s="255"/>
      <c r="AF11" s="255"/>
      <c r="AG11" s="255">
        <v>75</v>
      </c>
      <c r="AH11" s="255"/>
      <c r="AI11" s="255"/>
      <c r="AJ11" s="255"/>
      <c r="AK11" s="255"/>
      <c r="AL11" s="256"/>
      <c r="AM11" s="256"/>
      <c r="AN11" s="256">
        <v>75</v>
      </c>
      <c r="AO11" s="256"/>
      <c r="AP11" s="256"/>
      <c r="AQ11" s="256"/>
      <c r="AR11" s="256"/>
      <c r="AS11" s="123"/>
      <c r="AT11" s="123">
        <v>75</v>
      </c>
      <c r="AU11" s="123"/>
      <c r="AV11" s="123"/>
      <c r="AW11" s="123"/>
      <c r="AX11" s="123"/>
      <c r="AY11" s="123"/>
      <c r="AZ11" s="255"/>
      <c r="BA11" s="255">
        <v>75</v>
      </c>
      <c r="BB11" s="255"/>
      <c r="BC11" s="255"/>
      <c r="BD11" s="255"/>
      <c r="BE11" s="255"/>
      <c r="BF11" s="255"/>
      <c r="BG11" s="256"/>
      <c r="BH11" s="256">
        <v>75</v>
      </c>
      <c r="BI11" s="256"/>
      <c r="BJ11" s="256"/>
      <c r="BK11" s="256"/>
      <c r="BL11" s="256"/>
      <c r="BM11" s="256"/>
      <c r="BN11" s="123"/>
      <c r="BO11" s="123"/>
      <c r="BP11" s="123">
        <v>75</v>
      </c>
      <c r="BQ11" s="123"/>
      <c r="BR11" s="123"/>
      <c r="BS11" s="123"/>
      <c r="BT11" s="123"/>
      <c r="BU11" s="255"/>
      <c r="BV11" s="255"/>
      <c r="BW11" s="255">
        <v>75</v>
      </c>
      <c r="BX11" s="255"/>
      <c r="BY11" s="255"/>
      <c r="BZ11" s="255"/>
      <c r="CA11" s="255"/>
      <c r="CB11" s="256"/>
      <c r="CC11" s="256"/>
      <c r="CD11" s="256">
        <v>75</v>
      </c>
      <c r="CE11" s="256"/>
      <c r="CF11" s="256"/>
      <c r="CG11" s="256"/>
      <c r="CH11" s="256"/>
      <c r="CI11" s="458">
        <v>75</v>
      </c>
      <c r="CJ11" s="458"/>
      <c r="CK11" s="458"/>
      <c r="CL11" s="458"/>
      <c r="CM11" s="458"/>
      <c r="CN11" s="458"/>
      <c r="CO11" s="458"/>
      <c r="CP11" s="457">
        <v>75</v>
      </c>
      <c r="CQ11" s="457"/>
      <c r="CR11" s="457"/>
      <c r="CS11" s="457"/>
      <c r="CT11" s="457"/>
      <c r="CU11" s="457"/>
      <c r="CV11" s="457"/>
      <c r="CW11" s="256">
        <v>80</v>
      </c>
      <c r="CX11" s="256"/>
      <c r="CY11" s="256"/>
      <c r="CZ11" s="256"/>
      <c r="DA11" s="256"/>
      <c r="DB11" s="256"/>
      <c r="DC11" s="256"/>
      <c r="DD11" s="257">
        <f t="shared" si="13"/>
        <v>78.333333333333329</v>
      </c>
      <c r="DE11" s="257">
        <f t="shared" si="14"/>
        <v>75</v>
      </c>
      <c r="DF11" s="257">
        <f t="shared" si="15"/>
        <v>75</v>
      </c>
      <c r="DG11" s="257" t="str">
        <f t="shared" si="16"/>
        <v/>
      </c>
      <c r="DH11" s="257" t="str">
        <f t="shared" si="17"/>
        <v/>
      </c>
      <c r="DI11" s="257" t="str">
        <f t="shared" si="18"/>
        <v/>
      </c>
      <c r="DJ11" s="257" t="str">
        <f t="shared" si="19"/>
        <v/>
      </c>
      <c r="DK11" s="756">
        <f t="shared" si="7"/>
        <v>76</v>
      </c>
      <c r="DL11" s="291" t="str">
        <f t="shared" si="20"/>
        <v>C</v>
      </c>
      <c r="DM11" s="243" t="str">
        <f t="shared" si="21"/>
        <v>Ananda Andri cukup dalam menyajikan hasil identifikasi karakteristik geografis Indonesia sebagai negara kepulauan/maritim dan agraris serta pengaruhnya terhadap kehidupan ekonomi, sosial, budaya, komunikasi, serta transportasi., cukup dalam menyajikan hasil analisis tentang peran ekonomi dalam upaya menyejahterakan kehidupan masyarakat di bidang sosial dan budaya untuk memperkuat kesatuan dan persatuan bangsa..</v>
      </c>
      <c r="DN11" s="39"/>
      <c r="DO11" s="39"/>
      <c r="DP11" s="257">
        <f t="shared" si="22"/>
        <v>75</v>
      </c>
      <c r="DQ11" s="257">
        <f t="shared" si="23"/>
        <v>75</v>
      </c>
      <c r="DR11" s="257">
        <f t="shared" si="24"/>
        <v>75</v>
      </c>
      <c r="DS11" s="257">
        <f t="shared" si="25"/>
        <v>0</v>
      </c>
      <c r="DT11" s="257">
        <f t="shared" si="26"/>
        <v>0</v>
      </c>
      <c r="DU11" s="257">
        <f t="shared" si="27"/>
        <v>0</v>
      </c>
      <c r="DV11" s="257">
        <f t="shared" si="28"/>
        <v>0</v>
      </c>
      <c r="DW11" s="257"/>
      <c r="DX11" s="257"/>
      <c r="DY11" s="257"/>
      <c r="DZ11" s="289">
        <f t="shared" si="29"/>
        <v>75</v>
      </c>
      <c r="EA11" s="257">
        <f t="shared" si="30"/>
        <v>80</v>
      </c>
      <c r="EB11" s="257">
        <f t="shared" si="31"/>
        <v>75</v>
      </c>
      <c r="EC11" s="257">
        <f t="shared" si="32"/>
        <v>75</v>
      </c>
      <c r="ED11" s="257">
        <f t="shared" si="33"/>
        <v>0</v>
      </c>
      <c r="EE11" s="257">
        <f t="shared" si="34"/>
        <v>0</v>
      </c>
      <c r="EF11" s="257">
        <f t="shared" si="35"/>
        <v>0</v>
      </c>
      <c r="EG11" s="257">
        <f t="shared" si="36"/>
        <v>0</v>
      </c>
      <c r="EH11" s="223"/>
      <c r="EI11" s="223"/>
      <c r="EJ11" s="223"/>
      <c r="EK11" s="289">
        <f t="shared" si="37"/>
        <v>80</v>
      </c>
      <c r="EL11" s="257">
        <f t="shared" si="38"/>
        <v>80</v>
      </c>
      <c r="EM11" s="257">
        <f t="shared" si="39"/>
        <v>75</v>
      </c>
      <c r="EN11" s="257">
        <f t="shared" si="40"/>
        <v>75</v>
      </c>
      <c r="EO11" s="257">
        <f t="shared" si="41"/>
        <v>0</v>
      </c>
      <c r="EP11" s="257">
        <f t="shared" si="42"/>
        <v>0</v>
      </c>
      <c r="EQ11" s="257">
        <f t="shared" si="43"/>
        <v>0</v>
      </c>
      <c r="ER11" s="257">
        <f t="shared" si="44"/>
        <v>0</v>
      </c>
      <c r="ES11" s="223"/>
      <c r="ET11" s="223"/>
      <c r="EU11" s="223"/>
      <c r="EV11" s="289">
        <f t="shared" si="45"/>
        <v>80</v>
      </c>
      <c r="EW11" s="257">
        <f t="shared" si="46"/>
        <v>75</v>
      </c>
      <c r="EX11" s="257">
        <f t="shared" si="47"/>
        <v>80</v>
      </c>
      <c r="EY11" s="257">
        <f t="shared" si="48"/>
        <v>80</v>
      </c>
      <c r="EZ11" s="575">
        <f t="shared" si="49"/>
        <v>0</v>
      </c>
      <c r="FA11" s="506">
        <f t="shared" si="50"/>
        <v>3</v>
      </c>
      <c r="FB11" s="39">
        <f t="shared" si="51"/>
        <v>78.333333333333329</v>
      </c>
      <c r="FC11" s="257">
        <f t="shared" si="52"/>
        <v>75</v>
      </c>
      <c r="FD11" s="257">
        <f t="shared" si="53"/>
        <v>75</v>
      </c>
      <c r="FE11" s="257">
        <f t="shared" si="54"/>
        <v>75</v>
      </c>
      <c r="FF11" s="575">
        <f t="shared" si="55"/>
        <v>0</v>
      </c>
      <c r="FG11" s="506">
        <f t="shared" si="56"/>
        <v>3</v>
      </c>
      <c r="FH11" s="39">
        <f t="shared" si="57"/>
        <v>75</v>
      </c>
      <c r="FI11" s="257">
        <f t="shared" si="58"/>
        <v>75</v>
      </c>
      <c r="FJ11" s="257">
        <f t="shared" si="59"/>
        <v>75</v>
      </c>
      <c r="FK11" s="257">
        <f t="shared" si="60"/>
        <v>75</v>
      </c>
      <c r="FL11" s="575">
        <f t="shared" si="61"/>
        <v>0</v>
      </c>
      <c r="FM11" s="506">
        <f t="shared" si="62"/>
        <v>3</v>
      </c>
      <c r="FN11" s="39">
        <f t="shared" si="63"/>
        <v>75</v>
      </c>
      <c r="FO11" s="257">
        <f t="shared" si="64"/>
        <v>0</v>
      </c>
      <c r="FP11" s="257">
        <f t="shared" si="65"/>
        <v>0</v>
      </c>
      <c r="FQ11" s="257">
        <f t="shared" si="66"/>
        <v>0</v>
      </c>
      <c r="FR11" s="575">
        <f t="shared" si="67"/>
        <v>3</v>
      </c>
      <c r="FS11" s="506">
        <f t="shared" si="68"/>
        <v>0</v>
      </c>
      <c r="FT11" s="39" t="str">
        <f t="shared" si="69"/>
        <v/>
      </c>
      <c r="FU11" s="257">
        <f t="shared" si="70"/>
        <v>0</v>
      </c>
      <c r="FV11" s="257">
        <f t="shared" si="71"/>
        <v>0</v>
      </c>
      <c r="FW11" s="257">
        <f t="shared" si="72"/>
        <v>0</v>
      </c>
      <c r="FX11" s="575">
        <f t="shared" si="73"/>
        <v>3</v>
      </c>
      <c r="FY11" s="506">
        <f t="shared" si="74"/>
        <v>0</v>
      </c>
      <c r="FZ11" s="39" t="str">
        <f t="shared" si="75"/>
        <v/>
      </c>
      <c r="GA11" s="257">
        <f t="shared" si="76"/>
        <v>0</v>
      </c>
      <c r="GB11" s="257">
        <f t="shared" si="77"/>
        <v>0</v>
      </c>
      <c r="GC11" s="257">
        <f t="shared" si="78"/>
        <v>0</v>
      </c>
      <c r="GD11" s="575">
        <f t="shared" si="79"/>
        <v>3</v>
      </c>
      <c r="GE11" s="506">
        <f t="shared" si="80"/>
        <v>0</v>
      </c>
      <c r="GF11" s="39" t="str">
        <f t="shared" si="81"/>
        <v/>
      </c>
      <c r="GG11" s="257">
        <f t="shared" si="82"/>
        <v>0</v>
      </c>
      <c r="GH11" s="257">
        <f t="shared" si="83"/>
        <v>0</v>
      </c>
      <c r="GI11" s="257">
        <f t="shared" si="84"/>
        <v>0</v>
      </c>
      <c r="GJ11" s="575">
        <f t="shared" si="85"/>
        <v>3</v>
      </c>
      <c r="GK11" s="506">
        <f t="shared" si="86"/>
        <v>0</v>
      </c>
      <c r="GL11" s="39" t="str">
        <f t="shared" si="87"/>
        <v/>
      </c>
      <c r="GM11" s="39"/>
      <c r="GN11" s="39">
        <f t="shared" si="88"/>
        <v>78.333333333333329</v>
      </c>
      <c r="GO11" s="39">
        <f t="shared" si="89"/>
        <v>75</v>
      </c>
      <c r="GP11" s="39">
        <f t="shared" si="90"/>
        <v>75</v>
      </c>
      <c r="GQ11" s="39" t="str">
        <f t="shared" si="91"/>
        <v/>
      </c>
      <c r="GR11" s="39" t="str">
        <f t="shared" si="92"/>
        <v/>
      </c>
      <c r="GS11" s="39" t="str">
        <f t="shared" si="93"/>
        <v/>
      </c>
      <c r="GT11" s="257" t="str">
        <f t="shared" si="94"/>
        <v/>
      </c>
      <c r="GU11" s="579">
        <f t="shared" si="95"/>
        <v>76</v>
      </c>
      <c r="GV11" s="289">
        <f t="shared" si="96"/>
        <v>78.333333333333329</v>
      </c>
      <c r="GW11" s="289">
        <f t="shared" si="97"/>
        <v>75</v>
      </c>
      <c r="GX11" s="223" t="str">
        <f>SISWA!E9</f>
        <v>Andri</v>
      </c>
      <c r="GY11" s="223" t="str">
        <f t="shared" si="98"/>
        <v xml:space="preserve">Ananda Andri </v>
      </c>
      <c r="GZ11" s="580">
        <f t="shared" si="99"/>
        <v>78.333333333333329</v>
      </c>
      <c r="HA11" s="580" t="str">
        <f t="shared" si="100"/>
        <v/>
      </c>
      <c r="HB11" s="580" t="str">
        <f t="shared" si="101"/>
        <v/>
      </c>
      <c r="HC11" s="580" t="str">
        <f t="shared" si="102"/>
        <v/>
      </c>
      <c r="HD11" s="580" t="str">
        <f t="shared" si="103"/>
        <v/>
      </c>
      <c r="HE11" s="580" t="str">
        <f t="shared" si="104"/>
        <v/>
      </c>
      <c r="HF11" s="580" t="str">
        <f t="shared" si="105"/>
        <v/>
      </c>
      <c r="HG11" s="580"/>
      <c r="HH11" s="580"/>
      <c r="HI11" s="580"/>
      <c r="HJ11" s="580"/>
      <c r="HK11" s="223">
        <f t="shared" si="106"/>
        <v>78.333333333333329</v>
      </c>
      <c r="HL11" s="289" t="str">
        <f t="shared" si="107"/>
        <v>menyajikan hasil identifikasi karakteristik geografis Indonesia sebagai negara kepulauan/maritim dan agraris serta pengaruhnya terhadap kehidupan ekonomi, sosial, budaya, komunikasi, serta transportasi.</v>
      </c>
      <c r="HM11" s="576" t="str">
        <f>IF(GV11&gt;100,"",IF(GV11&gt;DP$1,"sangat baik dalam "&amp;HL11,IF(GV11&gt;=DP$2,"baik dalam "&amp;HL11,IF(GV11&gt;=DP$3,"cukup dalam "&amp;HL11,IF(GV11&lt;DP$3,"dengan bimbingan dapat meningkatkan dalam "&amp;HL11,IF(GV11&lt;1," ",””))))))</f>
        <v>cukup dalam menyajikan hasil identifikasi karakteristik geografis Indonesia sebagai negara kepulauan/maritim dan agraris serta pengaruhnya terhadap kehidupan ekonomi, sosial, budaya, komunikasi, serta transportasi.</v>
      </c>
      <c r="HN11" s="223"/>
      <c r="HO11" s="223" t="str">
        <f t="shared" si="108"/>
        <v/>
      </c>
      <c r="HP11" s="223">
        <f t="shared" si="109"/>
        <v>75</v>
      </c>
      <c r="HQ11" s="223">
        <f t="shared" si="110"/>
        <v>75</v>
      </c>
      <c r="HR11" s="223" t="str">
        <f t="shared" si="111"/>
        <v/>
      </c>
      <c r="HS11" s="223" t="str">
        <f t="shared" si="112"/>
        <v/>
      </c>
      <c r="HT11" s="223" t="str">
        <f t="shared" si="113"/>
        <v/>
      </c>
      <c r="HU11" s="223" t="str">
        <f t="shared" si="114"/>
        <v/>
      </c>
      <c r="HV11" s="223"/>
      <c r="HW11" s="223"/>
      <c r="HX11" s="223"/>
      <c r="HY11" s="223"/>
      <c r="HZ11" s="223" t="str">
        <f t="shared" si="115"/>
        <v>menyajikan hasil analisis tentang peran ekonomi dalam upaya menyejahterakan kehidupan masyarakat di bidang sosial dan budaya untuk memperkuat kesatuan dan persatuan bangsa.</v>
      </c>
      <c r="IA11" s="577" t="str">
        <f>IF(GW11&gt;100,"",IF(GW11&gt;=DP$1,"sangat baik dalam "&amp;HZ11,IF(GW11&gt;=DP$2,"baik dalam "&amp;HZ11,IF(GW11&gt;=DP$3,"cukup dalam "&amp;HZ11,IF(GW11&lt;DP$3,"dengan bimbingan dapat meningkatkan dalam "&amp;HZ11,IF(GW11&lt;1," ",””))))))</f>
        <v>cukup dalam menyajikan hasil analisis tentang peran ekonomi dalam upaya menyejahterakan kehidupan masyarakat di bidang sosial dan budaya untuk memperkuat kesatuan dan persatuan bangsa.</v>
      </c>
      <c r="IB11" s="223" t="str">
        <f t="shared" si="116"/>
        <v>Ananda Andri cukup dalam menyajikan hasil identifikasi karakteristik geografis Indonesia sebagai negara kepulauan/maritim dan agraris serta pengaruhnya terhadap kehidupan ekonomi, sosial, budaya, komunikasi, serta transportasi., cukup dalam menyajikan hasil analisis tentang peran ekonomi dalam upaya menyejahterakan kehidupan masyarakat di bidang sosial dan budaya untuk memperkuat kesatuan dan persatuan bangsa..</v>
      </c>
    </row>
    <row r="12" spans="1:236" ht="30" customHeight="1">
      <c r="A12" s="39">
        <v>5</v>
      </c>
      <c r="B12" s="223" t="str">
        <f>SISWA!B10</f>
        <v>Gresiya Suma Safitri</v>
      </c>
      <c r="C12" s="123">
        <v>75</v>
      </c>
      <c r="D12" s="123"/>
      <c r="E12" s="123"/>
      <c r="F12" s="123"/>
      <c r="G12" s="123"/>
      <c r="H12" s="123"/>
      <c r="I12" s="123"/>
      <c r="J12" s="255">
        <v>75</v>
      </c>
      <c r="K12" s="255"/>
      <c r="L12" s="255"/>
      <c r="M12" s="255"/>
      <c r="N12" s="255"/>
      <c r="O12" s="255"/>
      <c r="P12" s="255"/>
      <c r="Q12" s="256">
        <v>85</v>
      </c>
      <c r="R12" s="256"/>
      <c r="S12" s="256"/>
      <c r="T12" s="256"/>
      <c r="U12" s="256"/>
      <c r="V12" s="256"/>
      <c r="W12" s="256"/>
      <c r="X12" s="123"/>
      <c r="Y12" s="123"/>
      <c r="Z12" s="123">
        <v>75</v>
      </c>
      <c r="AA12" s="123"/>
      <c r="AB12" s="123"/>
      <c r="AC12" s="123"/>
      <c r="AD12" s="123"/>
      <c r="AE12" s="255"/>
      <c r="AF12" s="255"/>
      <c r="AG12" s="255">
        <v>80</v>
      </c>
      <c r="AH12" s="255"/>
      <c r="AI12" s="255"/>
      <c r="AJ12" s="255"/>
      <c r="AK12" s="255"/>
      <c r="AL12" s="256"/>
      <c r="AM12" s="256"/>
      <c r="AN12" s="256">
        <v>90</v>
      </c>
      <c r="AO12" s="256"/>
      <c r="AP12" s="256"/>
      <c r="AQ12" s="256"/>
      <c r="AR12" s="256"/>
      <c r="AS12" s="123"/>
      <c r="AT12" s="123">
        <v>85</v>
      </c>
      <c r="AU12" s="123"/>
      <c r="AV12" s="123"/>
      <c r="AW12" s="123"/>
      <c r="AX12" s="123"/>
      <c r="AY12" s="123"/>
      <c r="AZ12" s="255"/>
      <c r="BA12" s="255">
        <v>85</v>
      </c>
      <c r="BB12" s="255"/>
      <c r="BC12" s="255"/>
      <c r="BD12" s="255"/>
      <c r="BE12" s="255"/>
      <c r="BF12" s="255"/>
      <c r="BG12" s="256"/>
      <c r="BH12" s="256">
        <v>75</v>
      </c>
      <c r="BI12" s="256"/>
      <c r="BJ12" s="256"/>
      <c r="BK12" s="256"/>
      <c r="BL12" s="256"/>
      <c r="BM12" s="256"/>
      <c r="BN12" s="123"/>
      <c r="BO12" s="123"/>
      <c r="BP12" s="123">
        <v>85</v>
      </c>
      <c r="BQ12" s="123"/>
      <c r="BR12" s="123"/>
      <c r="BS12" s="123"/>
      <c r="BT12" s="123"/>
      <c r="BU12" s="255"/>
      <c r="BV12" s="255"/>
      <c r="BW12" s="255">
        <v>75</v>
      </c>
      <c r="BX12" s="255"/>
      <c r="BY12" s="255"/>
      <c r="BZ12" s="255"/>
      <c r="CA12" s="255"/>
      <c r="CB12" s="256"/>
      <c r="CC12" s="256"/>
      <c r="CD12" s="256">
        <v>75</v>
      </c>
      <c r="CE12" s="256"/>
      <c r="CF12" s="256"/>
      <c r="CG12" s="256"/>
      <c r="CH12" s="256"/>
      <c r="CI12" s="458">
        <v>80</v>
      </c>
      <c r="CJ12" s="458"/>
      <c r="CK12" s="458"/>
      <c r="CL12" s="458"/>
      <c r="CM12" s="458"/>
      <c r="CN12" s="458"/>
      <c r="CO12" s="458"/>
      <c r="CP12" s="457">
        <v>90</v>
      </c>
      <c r="CQ12" s="457"/>
      <c r="CR12" s="457"/>
      <c r="CS12" s="457"/>
      <c r="CT12" s="457"/>
      <c r="CU12" s="457"/>
      <c r="CV12" s="457"/>
      <c r="CW12" s="256">
        <v>80</v>
      </c>
      <c r="CX12" s="256"/>
      <c r="CY12" s="256"/>
      <c r="CZ12" s="256"/>
      <c r="DA12" s="256"/>
      <c r="DB12" s="256"/>
      <c r="DC12" s="256"/>
      <c r="DD12" s="257">
        <f t="shared" si="13"/>
        <v>85</v>
      </c>
      <c r="DE12" s="257">
        <f t="shared" si="14"/>
        <v>81.666666666666671</v>
      </c>
      <c r="DF12" s="257">
        <f t="shared" si="15"/>
        <v>85</v>
      </c>
      <c r="DG12" s="257" t="str">
        <f t="shared" si="16"/>
        <v/>
      </c>
      <c r="DH12" s="257" t="str">
        <f t="shared" si="17"/>
        <v/>
      </c>
      <c r="DI12" s="257" t="str">
        <f t="shared" si="18"/>
        <v/>
      </c>
      <c r="DJ12" s="257" t="str">
        <f t="shared" si="19"/>
        <v/>
      </c>
      <c r="DK12" s="756">
        <f t="shared" si="7"/>
        <v>84</v>
      </c>
      <c r="DL12" s="291" t="str">
        <f t="shared" si="20"/>
        <v>B</v>
      </c>
      <c r="DM12" s="243" t="str">
        <f t="shared" si="21"/>
        <v>Ananda Gresia baik dalam menyajikan hasil analisis tentang peran ekonomi dalam upaya menyejahterakan kehidupan masyarakat di bidang sosial dan budaya untuk memperkuat kesatuan dan persatuan bangsa., cukup dalam menyajikan hasil analisis tentang interaksi manusia dengan lingkungan dan pengaruhnya terhadap pembangunan sosial, budaya, dan ekonomi masyarakat Indonesia..</v>
      </c>
      <c r="DN12" s="39"/>
      <c r="DO12" s="39"/>
      <c r="DP12" s="257">
        <f t="shared" si="22"/>
        <v>80</v>
      </c>
      <c r="DQ12" s="257">
        <f t="shared" si="23"/>
        <v>85</v>
      </c>
      <c r="DR12" s="257">
        <f t="shared" si="24"/>
        <v>85</v>
      </c>
      <c r="DS12" s="257">
        <f t="shared" si="25"/>
        <v>0</v>
      </c>
      <c r="DT12" s="257">
        <f t="shared" si="26"/>
        <v>0</v>
      </c>
      <c r="DU12" s="257">
        <f t="shared" si="27"/>
        <v>0</v>
      </c>
      <c r="DV12" s="257">
        <f t="shared" si="28"/>
        <v>0</v>
      </c>
      <c r="DW12" s="257"/>
      <c r="DX12" s="257"/>
      <c r="DY12" s="257"/>
      <c r="DZ12" s="289">
        <f t="shared" si="29"/>
        <v>85</v>
      </c>
      <c r="EA12" s="257">
        <f t="shared" si="30"/>
        <v>90</v>
      </c>
      <c r="EB12" s="257">
        <f t="shared" si="31"/>
        <v>85</v>
      </c>
      <c r="EC12" s="257">
        <f t="shared" si="32"/>
        <v>80</v>
      </c>
      <c r="ED12" s="257">
        <f t="shared" si="33"/>
        <v>0</v>
      </c>
      <c r="EE12" s="257">
        <f t="shared" si="34"/>
        <v>0</v>
      </c>
      <c r="EF12" s="257">
        <f t="shared" si="35"/>
        <v>0</v>
      </c>
      <c r="EG12" s="257">
        <f t="shared" si="36"/>
        <v>0</v>
      </c>
      <c r="EH12" s="223"/>
      <c r="EI12" s="223"/>
      <c r="EJ12" s="223"/>
      <c r="EK12" s="289">
        <f t="shared" si="37"/>
        <v>90</v>
      </c>
      <c r="EL12" s="257">
        <f t="shared" si="38"/>
        <v>85</v>
      </c>
      <c r="EM12" s="257">
        <f t="shared" si="39"/>
        <v>75</v>
      </c>
      <c r="EN12" s="257">
        <f t="shared" si="40"/>
        <v>90</v>
      </c>
      <c r="EO12" s="257">
        <f t="shared" si="41"/>
        <v>0</v>
      </c>
      <c r="EP12" s="257">
        <f t="shared" si="42"/>
        <v>0</v>
      </c>
      <c r="EQ12" s="257">
        <f t="shared" si="43"/>
        <v>0</v>
      </c>
      <c r="ER12" s="257">
        <f t="shared" si="44"/>
        <v>0</v>
      </c>
      <c r="ES12" s="223"/>
      <c r="ET12" s="223"/>
      <c r="EU12" s="223"/>
      <c r="EV12" s="289">
        <f t="shared" si="45"/>
        <v>90</v>
      </c>
      <c r="EW12" s="257">
        <f t="shared" si="46"/>
        <v>80</v>
      </c>
      <c r="EX12" s="257">
        <f t="shared" si="47"/>
        <v>90</v>
      </c>
      <c r="EY12" s="257">
        <f t="shared" si="48"/>
        <v>85</v>
      </c>
      <c r="EZ12" s="575">
        <f t="shared" si="49"/>
        <v>0</v>
      </c>
      <c r="FA12" s="506">
        <f t="shared" si="50"/>
        <v>3</v>
      </c>
      <c r="FB12" s="39">
        <f t="shared" si="51"/>
        <v>85</v>
      </c>
      <c r="FC12" s="257">
        <f t="shared" si="52"/>
        <v>85</v>
      </c>
      <c r="FD12" s="257">
        <f t="shared" si="53"/>
        <v>85</v>
      </c>
      <c r="FE12" s="257">
        <f t="shared" si="54"/>
        <v>75</v>
      </c>
      <c r="FF12" s="575">
        <f t="shared" si="55"/>
        <v>0</v>
      </c>
      <c r="FG12" s="506">
        <f t="shared" si="56"/>
        <v>3</v>
      </c>
      <c r="FH12" s="39">
        <f t="shared" si="57"/>
        <v>81.666666666666671</v>
      </c>
      <c r="FI12" s="257">
        <f t="shared" si="58"/>
        <v>85</v>
      </c>
      <c r="FJ12" s="257">
        <f t="shared" si="59"/>
        <v>80</v>
      </c>
      <c r="FK12" s="257">
        <f t="shared" si="60"/>
        <v>90</v>
      </c>
      <c r="FL12" s="575">
        <f t="shared" si="61"/>
        <v>0</v>
      </c>
      <c r="FM12" s="506">
        <f t="shared" si="62"/>
        <v>3</v>
      </c>
      <c r="FN12" s="39">
        <f t="shared" si="63"/>
        <v>85</v>
      </c>
      <c r="FO12" s="257">
        <f t="shared" si="64"/>
        <v>0</v>
      </c>
      <c r="FP12" s="257">
        <f t="shared" si="65"/>
        <v>0</v>
      </c>
      <c r="FQ12" s="257">
        <f t="shared" si="66"/>
        <v>0</v>
      </c>
      <c r="FR12" s="575">
        <f t="shared" si="67"/>
        <v>3</v>
      </c>
      <c r="FS12" s="506">
        <f t="shared" si="68"/>
        <v>0</v>
      </c>
      <c r="FT12" s="39" t="str">
        <f t="shared" si="69"/>
        <v/>
      </c>
      <c r="FU12" s="257">
        <f t="shared" si="70"/>
        <v>0</v>
      </c>
      <c r="FV12" s="257">
        <f t="shared" si="71"/>
        <v>0</v>
      </c>
      <c r="FW12" s="257">
        <f t="shared" si="72"/>
        <v>0</v>
      </c>
      <c r="FX12" s="575">
        <f t="shared" si="73"/>
        <v>3</v>
      </c>
      <c r="FY12" s="506">
        <f t="shared" si="74"/>
        <v>0</v>
      </c>
      <c r="FZ12" s="39" t="str">
        <f t="shared" si="75"/>
        <v/>
      </c>
      <c r="GA12" s="257">
        <f t="shared" si="76"/>
        <v>0</v>
      </c>
      <c r="GB12" s="257">
        <f t="shared" si="77"/>
        <v>0</v>
      </c>
      <c r="GC12" s="257">
        <f t="shared" si="78"/>
        <v>0</v>
      </c>
      <c r="GD12" s="575">
        <f t="shared" si="79"/>
        <v>3</v>
      </c>
      <c r="GE12" s="506">
        <f t="shared" si="80"/>
        <v>0</v>
      </c>
      <c r="GF12" s="39" t="str">
        <f t="shared" si="81"/>
        <v/>
      </c>
      <c r="GG12" s="257">
        <f t="shared" si="82"/>
        <v>0</v>
      </c>
      <c r="GH12" s="257">
        <f t="shared" si="83"/>
        <v>0</v>
      </c>
      <c r="GI12" s="257">
        <f t="shared" si="84"/>
        <v>0</v>
      </c>
      <c r="GJ12" s="575">
        <f t="shared" si="85"/>
        <v>3</v>
      </c>
      <c r="GK12" s="506">
        <f t="shared" si="86"/>
        <v>0</v>
      </c>
      <c r="GL12" s="39" t="str">
        <f t="shared" si="87"/>
        <v/>
      </c>
      <c r="GM12" s="39"/>
      <c r="GN12" s="39">
        <f t="shared" si="88"/>
        <v>85</v>
      </c>
      <c r="GO12" s="39">
        <f t="shared" si="89"/>
        <v>81.666666666666671</v>
      </c>
      <c r="GP12" s="39">
        <f t="shared" si="90"/>
        <v>85</v>
      </c>
      <c r="GQ12" s="39" t="str">
        <f t="shared" si="91"/>
        <v/>
      </c>
      <c r="GR12" s="39" t="str">
        <f t="shared" si="92"/>
        <v/>
      </c>
      <c r="GS12" s="39" t="str">
        <f t="shared" si="93"/>
        <v/>
      </c>
      <c r="GT12" s="257" t="str">
        <f t="shared" si="94"/>
        <v/>
      </c>
      <c r="GU12" s="579">
        <f t="shared" si="95"/>
        <v>84</v>
      </c>
      <c r="GV12" s="289">
        <f t="shared" si="96"/>
        <v>85</v>
      </c>
      <c r="GW12" s="289">
        <f t="shared" si="97"/>
        <v>81.666666666666671</v>
      </c>
      <c r="GX12" s="223" t="str">
        <f>SISWA!E10</f>
        <v>Gresia</v>
      </c>
      <c r="GY12" s="223" t="str">
        <f t="shared" si="98"/>
        <v xml:space="preserve">Ananda Gresia </v>
      </c>
      <c r="GZ12" s="580">
        <f t="shared" si="99"/>
        <v>85</v>
      </c>
      <c r="HA12" s="580" t="str">
        <f t="shared" si="100"/>
        <v/>
      </c>
      <c r="HB12" s="580">
        <f t="shared" si="101"/>
        <v>85</v>
      </c>
      <c r="HC12" s="580" t="str">
        <f t="shared" si="102"/>
        <v/>
      </c>
      <c r="HD12" s="580" t="str">
        <f t="shared" si="103"/>
        <v/>
      </c>
      <c r="HE12" s="580" t="str">
        <f t="shared" si="104"/>
        <v/>
      </c>
      <c r="HF12" s="580" t="str">
        <f t="shared" si="105"/>
        <v/>
      </c>
      <c r="HG12" s="580"/>
      <c r="HH12" s="580"/>
      <c r="HI12" s="580"/>
      <c r="HJ12" s="580"/>
      <c r="HK12" s="223">
        <f t="shared" si="106"/>
        <v>170</v>
      </c>
      <c r="HL12" s="289" t="str">
        <f t="shared" si="107"/>
        <v>menyajikan hasil analisis tentang peran ekonomi dalam upaya menyejahterakan kehidupan masyarakat di bidang sosial dan budaya untuk memperkuat kesatuan dan persatuan bangsa.</v>
      </c>
      <c r="HM12" s="576" t="str">
        <f>IF(GV12&gt;100,"",IF(GV12&gt;DP$1,"sangat baik dalam "&amp;HL12,IF(GV12&gt;=DP$2,"baik dalam "&amp;HL12,IF(GV12&gt;=DP$3,"cukup dalam "&amp;HL12,IF(GV12&lt;DP$3,"dengan bimbingan dapat meningkatkan dalam "&amp;HL12,IF(GV12&lt;1," ",””))))))</f>
        <v>baik dalam menyajikan hasil analisis tentang peran ekonomi dalam upaya menyejahterakan kehidupan masyarakat di bidang sosial dan budaya untuk memperkuat kesatuan dan persatuan bangsa.</v>
      </c>
      <c r="HN12" s="223"/>
      <c r="HO12" s="223" t="str">
        <f t="shared" si="108"/>
        <v/>
      </c>
      <c r="HP12" s="223">
        <f t="shared" si="109"/>
        <v>81.666666666666671</v>
      </c>
      <c r="HQ12" s="223" t="str">
        <f t="shared" si="110"/>
        <v/>
      </c>
      <c r="HR12" s="223" t="str">
        <f t="shared" si="111"/>
        <v/>
      </c>
      <c r="HS12" s="223" t="str">
        <f t="shared" si="112"/>
        <v/>
      </c>
      <c r="HT12" s="223" t="str">
        <f t="shared" si="113"/>
        <v/>
      </c>
      <c r="HU12" s="223" t="str">
        <f t="shared" si="114"/>
        <v/>
      </c>
      <c r="HV12" s="223"/>
      <c r="HW12" s="223"/>
      <c r="HX12" s="223"/>
      <c r="HY12" s="223"/>
      <c r="HZ12" s="223" t="str">
        <f t="shared" si="115"/>
        <v>menyajikan hasil analisis tentang interaksi manusia dengan lingkungan dan pengaruhnya terhadap pembangunan sosial, budaya, dan ekonomi masyarakat Indonesia.</v>
      </c>
      <c r="IA12" s="577" t="str">
        <f>IF(GW12&gt;100,"",IF(GW12&gt;=DP$1,"sangat baik dalam "&amp;HZ12,IF(GW12&gt;=DP$2,"baik dalam "&amp;HZ12,IF(GW12&gt;=DP$3,"cukup dalam "&amp;HZ12,IF(GW12&lt;DP$3,"dengan bimbingan dapat meningkatkan dalam "&amp;HZ12,IF(GW12&lt;1," ",””))))))</f>
        <v>cukup dalam menyajikan hasil analisis tentang interaksi manusia dengan lingkungan dan pengaruhnya terhadap pembangunan sosial, budaya, dan ekonomi masyarakat Indonesia.</v>
      </c>
      <c r="IB12" s="223" t="str">
        <f t="shared" si="116"/>
        <v>Ananda Gresia baik dalam menyajikan hasil analisis tentang peran ekonomi dalam upaya menyejahterakan kehidupan masyarakat di bidang sosial dan budaya untuk memperkuat kesatuan dan persatuan bangsa., cukup dalam menyajikan hasil analisis tentang interaksi manusia dengan lingkungan dan pengaruhnya terhadap pembangunan sosial, budaya, dan ekonomi masyarakat Indonesia..</v>
      </c>
    </row>
    <row r="13" spans="1:236" ht="30" customHeight="1">
      <c r="A13" s="39">
        <v>6</v>
      </c>
      <c r="B13" s="223" t="str">
        <f>SISWA!B11</f>
        <v>Hasna Fathitya Sabrina</v>
      </c>
      <c r="C13" s="123">
        <v>75</v>
      </c>
      <c r="D13" s="123"/>
      <c r="E13" s="123"/>
      <c r="F13" s="123"/>
      <c r="G13" s="123"/>
      <c r="H13" s="123"/>
      <c r="I13" s="123"/>
      <c r="J13" s="255">
        <v>90</v>
      </c>
      <c r="K13" s="255"/>
      <c r="L13" s="255"/>
      <c r="M13" s="255"/>
      <c r="N13" s="255"/>
      <c r="O13" s="255"/>
      <c r="P13" s="255"/>
      <c r="Q13" s="256">
        <v>90</v>
      </c>
      <c r="R13" s="256"/>
      <c r="S13" s="256"/>
      <c r="T13" s="256"/>
      <c r="U13" s="256"/>
      <c r="V13" s="256"/>
      <c r="W13" s="256"/>
      <c r="X13" s="123"/>
      <c r="Y13" s="123"/>
      <c r="Z13" s="123">
        <v>90</v>
      </c>
      <c r="AA13" s="123"/>
      <c r="AB13" s="123"/>
      <c r="AC13" s="123"/>
      <c r="AD13" s="123"/>
      <c r="AE13" s="255"/>
      <c r="AF13" s="255"/>
      <c r="AG13" s="255">
        <v>85</v>
      </c>
      <c r="AH13" s="255"/>
      <c r="AI13" s="255"/>
      <c r="AJ13" s="255"/>
      <c r="AK13" s="255"/>
      <c r="AL13" s="256"/>
      <c r="AM13" s="256"/>
      <c r="AN13" s="256">
        <v>90</v>
      </c>
      <c r="AO13" s="256"/>
      <c r="AP13" s="256"/>
      <c r="AQ13" s="256"/>
      <c r="AR13" s="256"/>
      <c r="AS13" s="123"/>
      <c r="AT13" s="123">
        <v>85</v>
      </c>
      <c r="AU13" s="123"/>
      <c r="AV13" s="123"/>
      <c r="AW13" s="123"/>
      <c r="AX13" s="123"/>
      <c r="AY13" s="123"/>
      <c r="AZ13" s="255"/>
      <c r="BA13" s="255">
        <v>85</v>
      </c>
      <c r="BB13" s="255"/>
      <c r="BC13" s="255"/>
      <c r="BD13" s="255"/>
      <c r="BE13" s="255"/>
      <c r="BF13" s="255"/>
      <c r="BG13" s="256"/>
      <c r="BH13" s="256">
        <v>80</v>
      </c>
      <c r="BI13" s="256"/>
      <c r="BJ13" s="256"/>
      <c r="BK13" s="256"/>
      <c r="BL13" s="256"/>
      <c r="BM13" s="256"/>
      <c r="BN13" s="123"/>
      <c r="BO13" s="123"/>
      <c r="BP13" s="123">
        <v>90</v>
      </c>
      <c r="BQ13" s="123"/>
      <c r="BR13" s="123"/>
      <c r="BS13" s="123"/>
      <c r="BT13" s="123"/>
      <c r="BU13" s="255"/>
      <c r="BV13" s="255"/>
      <c r="BW13" s="255">
        <v>75</v>
      </c>
      <c r="BX13" s="255"/>
      <c r="BY13" s="255"/>
      <c r="BZ13" s="255"/>
      <c r="CA13" s="255"/>
      <c r="CB13" s="256"/>
      <c r="CC13" s="256"/>
      <c r="CD13" s="256">
        <v>90</v>
      </c>
      <c r="CE13" s="256"/>
      <c r="CF13" s="256"/>
      <c r="CG13" s="256"/>
      <c r="CH13" s="256"/>
      <c r="CI13" s="458">
        <v>75</v>
      </c>
      <c r="CJ13" s="458"/>
      <c r="CK13" s="458"/>
      <c r="CL13" s="458"/>
      <c r="CM13" s="458"/>
      <c r="CN13" s="458"/>
      <c r="CO13" s="458"/>
      <c r="CP13" s="457">
        <v>75</v>
      </c>
      <c r="CQ13" s="457"/>
      <c r="CR13" s="457"/>
      <c r="CS13" s="457"/>
      <c r="CT13" s="457"/>
      <c r="CU13" s="457"/>
      <c r="CV13" s="457"/>
      <c r="CW13" s="256">
        <v>80</v>
      </c>
      <c r="CX13" s="256"/>
      <c r="CY13" s="256"/>
      <c r="CZ13" s="256"/>
      <c r="DA13" s="256"/>
      <c r="DB13" s="256"/>
      <c r="DC13" s="256"/>
      <c r="DD13" s="257">
        <f t="shared" si="13"/>
        <v>85</v>
      </c>
      <c r="DE13" s="257">
        <f t="shared" si="14"/>
        <v>83.333333333333329</v>
      </c>
      <c r="DF13" s="257">
        <f t="shared" si="15"/>
        <v>88.333333333333329</v>
      </c>
      <c r="DG13" s="257" t="str">
        <f t="shared" si="16"/>
        <v/>
      </c>
      <c r="DH13" s="257" t="str">
        <f t="shared" si="17"/>
        <v/>
      </c>
      <c r="DI13" s="257" t="str">
        <f t="shared" si="18"/>
        <v/>
      </c>
      <c r="DJ13" s="257" t="str">
        <f t="shared" si="19"/>
        <v/>
      </c>
      <c r="DK13" s="756">
        <f t="shared" si="7"/>
        <v>86</v>
      </c>
      <c r="DL13" s="291" t="str">
        <f t="shared" si="20"/>
        <v>B</v>
      </c>
      <c r="DM13" s="243" t="str">
        <f t="shared" si="21"/>
        <v>Ananda Hasna baik dalam menyajikan hasil analisis tentang peran ekonomi dalam upaya menyejahterakan kehidupan masyarakat di bidang sosial dan budaya untuk memperkuat kesatuan dan persatuan bangsa., baik dalam menyajikan hasil analisis tentang interaksi manusia dengan lingkungan dan pengaruhnya terhadap pembangunan sosial, budaya, dan ekonomi masyarakat Indonesia..</v>
      </c>
      <c r="DN13" s="39"/>
      <c r="DO13" s="39"/>
      <c r="DP13" s="257">
        <f t="shared" si="22"/>
        <v>75</v>
      </c>
      <c r="DQ13" s="257">
        <f t="shared" si="23"/>
        <v>85</v>
      </c>
      <c r="DR13" s="257">
        <f t="shared" si="24"/>
        <v>90</v>
      </c>
      <c r="DS13" s="257">
        <f t="shared" si="25"/>
        <v>0</v>
      </c>
      <c r="DT13" s="257">
        <f t="shared" si="26"/>
        <v>0</v>
      </c>
      <c r="DU13" s="257">
        <f t="shared" si="27"/>
        <v>0</v>
      </c>
      <c r="DV13" s="257">
        <f t="shared" si="28"/>
        <v>0</v>
      </c>
      <c r="DW13" s="257"/>
      <c r="DX13" s="257"/>
      <c r="DY13" s="257"/>
      <c r="DZ13" s="289">
        <f t="shared" si="29"/>
        <v>90</v>
      </c>
      <c r="EA13" s="257">
        <f t="shared" si="30"/>
        <v>90</v>
      </c>
      <c r="EB13" s="257">
        <f t="shared" si="31"/>
        <v>85</v>
      </c>
      <c r="EC13" s="257">
        <f t="shared" si="32"/>
        <v>85</v>
      </c>
      <c r="ED13" s="257">
        <f t="shared" si="33"/>
        <v>0</v>
      </c>
      <c r="EE13" s="257">
        <f t="shared" si="34"/>
        <v>0</v>
      </c>
      <c r="EF13" s="257">
        <f t="shared" si="35"/>
        <v>0</v>
      </c>
      <c r="EG13" s="257">
        <f t="shared" si="36"/>
        <v>0</v>
      </c>
      <c r="EH13" s="223"/>
      <c r="EI13" s="223"/>
      <c r="EJ13" s="223"/>
      <c r="EK13" s="289">
        <f t="shared" si="37"/>
        <v>90</v>
      </c>
      <c r="EL13" s="257">
        <f t="shared" si="38"/>
        <v>90</v>
      </c>
      <c r="EM13" s="257">
        <f t="shared" si="39"/>
        <v>80</v>
      </c>
      <c r="EN13" s="257">
        <f t="shared" si="40"/>
        <v>90</v>
      </c>
      <c r="EO13" s="257">
        <f t="shared" si="41"/>
        <v>0</v>
      </c>
      <c r="EP13" s="257">
        <f t="shared" si="42"/>
        <v>0</v>
      </c>
      <c r="EQ13" s="257">
        <f t="shared" si="43"/>
        <v>0</v>
      </c>
      <c r="ER13" s="257">
        <f t="shared" si="44"/>
        <v>0</v>
      </c>
      <c r="ES13" s="223"/>
      <c r="ET13" s="223"/>
      <c r="EU13" s="223"/>
      <c r="EV13" s="289">
        <f t="shared" si="45"/>
        <v>90</v>
      </c>
      <c r="EW13" s="257">
        <f t="shared" si="46"/>
        <v>75</v>
      </c>
      <c r="EX13" s="257">
        <f t="shared" si="47"/>
        <v>90</v>
      </c>
      <c r="EY13" s="257">
        <f t="shared" si="48"/>
        <v>90</v>
      </c>
      <c r="EZ13" s="575">
        <f t="shared" si="49"/>
        <v>0</v>
      </c>
      <c r="FA13" s="506">
        <f t="shared" si="50"/>
        <v>3</v>
      </c>
      <c r="FB13" s="39">
        <f t="shared" si="51"/>
        <v>85</v>
      </c>
      <c r="FC13" s="257">
        <f t="shared" si="52"/>
        <v>85</v>
      </c>
      <c r="FD13" s="257">
        <f t="shared" si="53"/>
        <v>85</v>
      </c>
      <c r="FE13" s="257">
        <f t="shared" si="54"/>
        <v>80</v>
      </c>
      <c r="FF13" s="575">
        <f t="shared" si="55"/>
        <v>0</v>
      </c>
      <c r="FG13" s="506">
        <f t="shared" si="56"/>
        <v>3</v>
      </c>
      <c r="FH13" s="39">
        <f t="shared" si="57"/>
        <v>83.333333333333329</v>
      </c>
      <c r="FI13" s="257">
        <f t="shared" si="58"/>
        <v>90</v>
      </c>
      <c r="FJ13" s="257">
        <f t="shared" si="59"/>
        <v>85</v>
      </c>
      <c r="FK13" s="257">
        <f t="shared" si="60"/>
        <v>90</v>
      </c>
      <c r="FL13" s="575">
        <f t="shared" si="61"/>
        <v>0</v>
      </c>
      <c r="FM13" s="506">
        <f t="shared" si="62"/>
        <v>3</v>
      </c>
      <c r="FN13" s="39">
        <f t="shared" si="63"/>
        <v>88.333333333333329</v>
      </c>
      <c r="FO13" s="257">
        <f t="shared" si="64"/>
        <v>0</v>
      </c>
      <c r="FP13" s="257">
        <f t="shared" si="65"/>
        <v>0</v>
      </c>
      <c r="FQ13" s="257">
        <f t="shared" si="66"/>
        <v>0</v>
      </c>
      <c r="FR13" s="575">
        <f t="shared" si="67"/>
        <v>3</v>
      </c>
      <c r="FS13" s="506">
        <f t="shared" si="68"/>
        <v>0</v>
      </c>
      <c r="FT13" s="39" t="str">
        <f t="shared" si="69"/>
        <v/>
      </c>
      <c r="FU13" s="257">
        <f t="shared" si="70"/>
        <v>0</v>
      </c>
      <c r="FV13" s="257">
        <f t="shared" si="71"/>
        <v>0</v>
      </c>
      <c r="FW13" s="257">
        <f t="shared" si="72"/>
        <v>0</v>
      </c>
      <c r="FX13" s="575">
        <f t="shared" si="73"/>
        <v>3</v>
      </c>
      <c r="FY13" s="506">
        <f t="shared" si="74"/>
        <v>0</v>
      </c>
      <c r="FZ13" s="39" t="str">
        <f t="shared" si="75"/>
        <v/>
      </c>
      <c r="GA13" s="257">
        <f t="shared" si="76"/>
        <v>0</v>
      </c>
      <c r="GB13" s="257">
        <f t="shared" si="77"/>
        <v>0</v>
      </c>
      <c r="GC13" s="257">
        <f t="shared" si="78"/>
        <v>0</v>
      </c>
      <c r="GD13" s="575">
        <f t="shared" si="79"/>
        <v>3</v>
      </c>
      <c r="GE13" s="506">
        <f t="shared" si="80"/>
        <v>0</v>
      </c>
      <c r="GF13" s="39" t="str">
        <f t="shared" si="81"/>
        <v/>
      </c>
      <c r="GG13" s="257">
        <f t="shared" si="82"/>
        <v>0</v>
      </c>
      <c r="GH13" s="257">
        <f t="shared" si="83"/>
        <v>0</v>
      </c>
      <c r="GI13" s="257">
        <f t="shared" si="84"/>
        <v>0</v>
      </c>
      <c r="GJ13" s="575">
        <f t="shared" si="85"/>
        <v>3</v>
      </c>
      <c r="GK13" s="506">
        <f t="shared" si="86"/>
        <v>0</v>
      </c>
      <c r="GL13" s="39" t="str">
        <f t="shared" si="87"/>
        <v/>
      </c>
      <c r="GM13" s="39"/>
      <c r="GN13" s="39">
        <f t="shared" si="88"/>
        <v>85</v>
      </c>
      <c r="GO13" s="39">
        <f t="shared" si="89"/>
        <v>83.333333333333329</v>
      </c>
      <c r="GP13" s="39">
        <f t="shared" si="90"/>
        <v>88.333333333333329</v>
      </c>
      <c r="GQ13" s="39" t="str">
        <f t="shared" si="91"/>
        <v/>
      </c>
      <c r="GR13" s="39" t="str">
        <f t="shared" si="92"/>
        <v/>
      </c>
      <c r="GS13" s="39" t="str">
        <f t="shared" si="93"/>
        <v/>
      </c>
      <c r="GT13" s="257" t="str">
        <f t="shared" si="94"/>
        <v/>
      </c>
      <c r="GU13" s="579">
        <f t="shared" si="95"/>
        <v>86</v>
      </c>
      <c r="GV13" s="289">
        <f t="shared" si="96"/>
        <v>88.333333333333329</v>
      </c>
      <c r="GW13" s="289">
        <f t="shared" si="97"/>
        <v>83.333333333333329</v>
      </c>
      <c r="GX13" s="223" t="str">
        <f>SISWA!E11</f>
        <v>Hasna</v>
      </c>
      <c r="GY13" s="223" t="str">
        <f t="shared" si="98"/>
        <v xml:space="preserve">Ananda Hasna </v>
      </c>
      <c r="GZ13" s="580" t="str">
        <f t="shared" si="99"/>
        <v/>
      </c>
      <c r="HA13" s="580" t="str">
        <f t="shared" si="100"/>
        <v/>
      </c>
      <c r="HB13" s="580">
        <f t="shared" si="101"/>
        <v>88.333333333333329</v>
      </c>
      <c r="HC13" s="580" t="str">
        <f t="shared" si="102"/>
        <v/>
      </c>
      <c r="HD13" s="580" t="str">
        <f t="shared" si="103"/>
        <v/>
      </c>
      <c r="HE13" s="580" t="str">
        <f t="shared" si="104"/>
        <v/>
      </c>
      <c r="HF13" s="580" t="str">
        <f t="shared" si="105"/>
        <v/>
      </c>
      <c r="HG13" s="580"/>
      <c r="HH13" s="580"/>
      <c r="HI13" s="580"/>
      <c r="HJ13" s="580"/>
      <c r="HK13" s="223">
        <f t="shared" si="106"/>
        <v>88.333333333333329</v>
      </c>
      <c r="HL13" s="289" t="str">
        <f t="shared" si="107"/>
        <v>menyajikan hasil analisis tentang peran ekonomi dalam upaya menyejahterakan kehidupan masyarakat di bidang sosial dan budaya untuk memperkuat kesatuan dan persatuan bangsa.</v>
      </c>
      <c r="HM13" s="576" t="str">
        <f>IF(GV13&gt;100,"",IF(GV13&gt;DP$1,"sangat baik dalam "&amp;HL13,IF(GV13&gt;=DP$2,"baik dalam "&amp;HL13,IF(GV13&gt;=DP$3,"cukup dalam "&amp;HL13,IF(GV13&lt;DP$3,"dengan bimbingan dapat meningkatkan dalam "&amp;HL13,IF(GV13&lt;1," ",””))))))</f>
        <v>baik dalam menyajikan hasil analisis tentang peran ekonomi dalam upaya menyejahterakan kehidupan masyarakat di bidang sosial dan budaya untuk memperkuat kesatuan dan persatuan bangsa.</v>
      </c>
      <c r="HN13" s="223"/>
      <c r="HO13" s="223" t="str">
        <f t="shared" si="108"/>
        <v/>
      </c>
      <c r="HP13" s="223">
        <f t="shared" si="109"/>
        <v>83.333333333333329</v>
      </c>
      <c r="HQ13" s="223" t="str">
        <f t="shared" si="110"/>
        <v/>
      </c>
      <c r="HR13" s="223" t="str">
        <f t="shared" si="111"/>
        <v/>
      </c>
      <c r="HS13" s="223" t="str">
        <f t="shared" si="112"/>
        <v/>
      </c>
      <c r="HT13" s="223" t="str">
        <f t="shared" si="113"/>
        <v/>
      </c>
      <c r="HU13" s="223" t="str">
        <f t="shared" si="114"/>
        <v/>
      </c>
      <c r="HV13" s="223"/>
      <c r="HW13" s="223"/>
      <c r="HX13" s="223"/>
      <c r="HY13" s="223"/>
      <c r="HZ13" s="223" t="str">
        <f t="shared" si="115"/>
        <v>menyajikan hasil analisis tentang interaksi manusia dengan lingkungan dan pengaruhnya terhadap pembangunan sosial, budaya, dan ekonomi masyarakat Indonesia.</v>
      </c>
      <c r="IA13" s="577" t="str">
        <f>IF(GW13&gt;100,"",IF(GW13&gt;=DP$1,"sangat baik dalam "&amp;HZ13,IF(GW13&gt;=DP$2,"baik dalam "&amp;HZ13,IF(GW13&gt;=DP$3,"cukup dalam "&amp;HZ13,IF(GW13&lt;DP$3,"dengan bimbingan dapat meningkatkan dalam "&amp;HZ13,IF(GW13&lt;1," ",””))))))</f>
        <v>baik dalam menyajikan hasil analisis tentang interaksi manusia dengan lingkungan dan pengaruhnya terhadap pembangunan sosial, budaya, dan ekonomi masyarakat Indonesia.</v>
      </c>
      <c r="IB13" s="223" t="str">
        <f t="shared" si="116"/>
        <v>Ananda Hasna baik dalam menyajikan hasil analisis tentang peran ekonomi dalam upaya menyejahterakan kehidupan masyarakat di bidang sosial dan budaya untuk memperkuat kesatuan dan persatuan bangsa., baik dalam menyajikan hasil analisis tentang interaksi manusia dengan lingkungan dan pengaruhnya terhadap pembangunan sosial, budaya, dan ekonomi masyarakat Indonesia..</v>
      </c>
    </row>
    <row r="14" spans="1:236" ht="30" customHeight="1">
      <c r="A14" s="39">
        <v>7</v>
      </c>
      <c r="B14" s="223" t="str">
        <f>SISWA!B12</f>
        <v>Indah Fitria Ningrum</v>
      </c>
      <c r="C14" s="123">
        <v>90</v>
      </c>
      <c r="D14" s="123"/>
      <c r="E14" s="123"/>
      <c r="F14" s="123"/>
      <c r="G14" s="123"/>
      <c r="H14" s="123"/>
      <c r="I14" s="123"/>
      <c r="J14" s="255">
        <v>75</v>
      </c>
      <c r="K14" s="255"/>
      <c r="L14" s="255"/>
      <c r="M14" s="255"/>
      <c r="N14" s="255"/>
      <c r="O14" s="255"/>
      <c r="P14" s="255"/>
      <c r="Q14" s="256">
        <v>80</v>
      </c>
      <c r="R14" s="256"/>
      <c r="S14" s="256"/>
      <c r="T14" s="256"/>
      <c r="U14" s="256"/>
      <c r="V14" s="256"/>
      <c r="W14" s="256"/>
      <c r="X14" s="123"/>
      <c r="Y14" s="123"/>
      <c r="Z14" s="123">
        <v>75</v>
      </c>
      <c r="AA14" s="123"/>
      <c r="AB14" s="123"/>
      <c r="AC14" s="123"/>
      <c r="AD14" s="123"/>
      <c r="AE14" s="255"/>
      <c r="AF14" s="255"/>
      <c r="AG14" s="255">
        <v>90</v>
      </c>
      <c r="AH14" s="255"/>
      <c r="AI14" s="255"/>
      <c r="AJ14" s="255"/>
      <c r="AK14" s="255"/>
      <c r="AL14" s="256"/>
      <c r="AM14" s="256"/>
      <c r="AN14" s="256">
        <v>90</v>
      </c>
      <c r="AO14" s="256"/>
      <c r="AP14" s="256"/>
      <c r="AQ14" s="256"/>
      <c r="AR14" s="256"/>
      <c r="AS14" s="123"/>
      <c r="AT14" s="123">
        <v>85</v>
      </c>
      <c r="AU14" s="123"/>
      <c r="AV14" s="123"/>
      <c r="AW14" s="123"/>
      <c r="AX14" s="123"/>
      <c r="AY14" s="123"/>
      <c r="AZ14" s="255"/>
      <c r="BA14" s="255">
        <v>90</v>
      </c>
      <c r="BB14" s="255"/>
      <c r="BC14" s="255"/>
      <c r="BD14" s="255"/>
      <c r="BE14" s="255"/>
      <c r="BF14" s="255"/>
      <c r="BG14" s="256"/>
      <c r="BH14" s="256">
        <v>90</v>
      </c>
      <c r="BI14" s="256"/>
      <c r="BJ14" s="256"/>
      <c r="BK14" s="256"/>
      <c r="BL14" s="256"/>
      <c r="BM14" s="256"/>
      <c r="BN14" s="123"/>
      <c r="BO14" s="123"/>
      <c r="BP14" s="123">
        <v>90</v>
      </c>
      <c r="BQ14" s="123"/>
      <c r="BR14" s="123"/>
      <c r="BS14" s="123"/>
      <c r="BT14" s="123"/>
      <c r="BU14" s="255"/>
      <c r="BV14" s="255"/>
      <c r="BW14" s="255">
        <v>75</v>
      </c>
      <c r="BX14" s="255"/>
      <c r="BY14" s="255"/>
      <c r="BZ14" s="255"/>
      <c r="CA14" s="255"/>
      <c r="CB14" s="256"/>
      <c r="CC14" s="256"/>
      <c r="CD14" s="256">
        <v>75</v>
      </c>
      <c r="CE14" s="256"/>
      <c r="CF14" s="256"/>
      <c r="CG14" s="256"/>
      <c r="CH14" s="256"/>
      <c r="CI14" s="458">
        <v>80</v>
      </c>
      <c r="CJ14" s="458"/>
      <c r="CK14" s="458"/>
      <c r="CL14" s="458"/>
      <c r="CM14" s="458"/>
      <c r="CN14" s="458"/>
      <c r="CO14" s="458"/>
      <c r="CP14" s="457">
        <v>90</v>
      </c>
      <c r="CQ14" s="457"/>
      <c r="CR14" s="457"/>
      <c r="CS14" s="457"/>
      <c r="CT14" s="457"/>
      <c r="CU14" s="457"/>
      <c r="CV14" s="457"/>
      <c r="CW14" s="256">
        <v>85</v>
      </c>
      <c r="CX14" s="256"/>
      <c r="CY14" s="256"/>
      <c r="CZ14" s="256"/>
      <c r="DA14" s="256"/>
      <c r="DB14" s="256"/>
      <c r="DC14" s="256"/>
      <c r="DD14" s="257">
        <f t="shared" si="13"/>
        <v>88.333333333333329</v>
      </c>
      <c r="DE14" s="257">
        <f t="shared" si="14"/>
        <v>88.333333333333329</v>
      </c>
      <c r="DF14" s="257">
        <f t="shared" si="15"/>
        <v>90</v>
      </c>
      <c r="DG14" s="257" t="str">
        <f t="shared" si="16"/>
        <v/>
      </c>
      <c r="DH14" s="257" t="str">
        <f t="shared" si="17"/>
        <v/>
      </c>
      <c r="DI14" s="257" t="str">
        <f t="shared" si="18"/>
        <v/>
      </c>
      <c r="DJ14" s="257" t="str">
        <f t="shared" si="19"/>
        <v/>
      </c>
      <c r="DK14" s="756">
        <f t="shared" si="7"/>
        <v>89</v>
      </c>
      <c r="DL14" s="291" t="str">
        <f t="shared" si="20"/>
        <v>B</v>
      </c>
      <c r="DM14" s="243" t="str">
        <f t="shared" si="21"/>
        <v>Ananda Indah baik dalam menyajikan hasil analisis tentang peran ekonomi dalam upaya menyejahterakan kehidupan masyarakat di bidang sosial dan budaya untuk memperkuat kesatuan dan persatuan bangsa., baik dalam menyajikan hasil analisis tentang interaksi manusia dengan lingkungan dan pengaruhnya terhadap pembangunan sosial, budaya, dan ekonomi masyarakat Indonesia..</v>
      </c>
      <c r="DN14" s="39"/>
      <c r="DO14" s="39"/>
      <c r="DP14" s="257">
        <f t="shared" si="22"/>
        <v>90</v>
      </c>
      <c r="DQ14" s="257">
        <f t="shared" si="23"/>
        <v>85</v>
      </c>
      <c r="DR14" s="257">
        <f t="shared" si="24"/>
        <v>90</v>
      </c>
      <c r="DS14" s="257">
        <f t="shared" si="25"/>
        <v>0</v>
      </c>
      <c r="DT14" s="257">
        <f t="shared" si="26"/>
        <v>0</v>
      </c>
      <c r="DU14" s="257">
        <f t="shared" si="27"/>
        <v>0</v>
      </c>
      <c r="DV14" s="257">
        <f t="shared" si="28"/>
        <v>0</v>
      </c>
      <c r="DW14" s="257"/>
      <c r="DX14" s="257"/>
      <c r="DY14" s="257"/>
      <c r="DZ14" s="289">
        <f t="shared" si="29"/>
        <v>90</v>
      </c>
      <c r="EA14" s="257">
        <f t="shared" si="30"/>
        <v>90</v>
      </c>
      <c r="EB14" s="257">
        <f t="shared" si="31"/>
        <v>90</v>
      </c>
      <c r="EC14" s="257">
        <f t="shared" si="32"/>
        <v>90</v>
      </c>
      <c r="ED14" s="257">
        <f t="shared" si="33"/>
        <v>0</v>
      </c>
      <c r="EE14" s="257">
        <f t="shared" si="34"/>
        <v>0</v>
      </c>
      <c r="EF14" s="257">
        <f t="shared" si="35"/>
        <v>0</v>
      </c>
      <c r="EG14" s="257">
        <f t="shared" si="36"/>
        <v>0</v>
      </c>
      <c r="EH14" s="223"/>
      <c r="EI14" s="223"/>
      <c r="EJ14" s="223"/>
      <c r="EK14" s="289">
        <f t="shared" si="37"/>
        <v>90</v>
      </c>
      <c r="EL14" s="257">
        <f t="shared" si="38"/>
        <v>85</v>
      </c>
      <c r="EM14" s="257">
        <f t="shared" si="39"/>
        <v>90</v>
      </c>
      <c r="EN14" s="257">
        <f t="shared" si="40"/>
        <v>90</v>
      </c>
      <c r="EO14" s="257">
        <f t="shared" si="41"/>
        <v>0</v>
      </c>
      <c r="EP14" s="257">
        <f t="shared" si="42"/>
        <v>0</v>
      </c>
      <c r="EQ14" s="257">
        <f t="shared" si="43"/>
        <v>0</v>
      </c>
      <c r="ER14" s="257">
        <f t="shared" si="44"/>
        <v>0</v>
      </c>
      <c r="ES14" s="223"/>
      <c r="ET14" s="223"/>
      <c r="EU14" s="223"/>
      <c r="EV14" s="289">
        <f t="shared" si="45"/>
        <v>90</v>
      </c>
      <c r="EW14" s="257">
        <f t="shared" si="46"/>
        <v>90</v>
      </c>
      <c r="EX14" s="257">
        <f t="shared" si="47"/>
        <v>90</v>
      </c>
      <c r="EY14" s="257">
        <f t="shared" si="48"/>
        <v>85</v>
      </c>
      <c r="EZ14" s="575">
        <f t="shared" si="49"/>
        <v>0</v>
      </c>
      <c r="FA14" s="506">
        <f t="shared" si="50"/>
        <v>3</v>
      </c>
      <c r="FB14" s="39">
        <f t="shared" si="51"/>
        <v>88.333333333333329</v>
      </c>
      <c r="FC14" s="257">
        <f t="shared" si="52"/>
        <v>85</v>
      </c>
      <c r="FD14" s="257">
        <f t="shared" si="53"/>
        <v>90</v>
      </c>
      <c r="FE14" s="257">
        <f t="shared" si="54"/>
        <v>90</v>
      </c>
      <c r="FF14" s="575">
        <f t="shared" si="55"/>
        <v>0</v>
      </c>
      <c r="FG14" s="506">
        <f t="shared" si="56"/>
        <v>3</v>
      </c>
      <c r="FH14" s="39">
        <f t="shared" si="57"/>
        <v>88.333333333333329</v>
      </c>
      <c r="FI14" s="257">
        <f t="shared" si="58"/>
        <v>90</v>
      </c>
      <c r="FJ14" s="257">
        <f t="shared" si="59"/>
        <v>90</v>
      </c>
      <c r="FK14" s="257">
        <f t="shared" si="60"/>
        <v>90</v>
      </c>
      <c r="FL14" s="575">
        <f t="shared" si="61"/>
        <v>0</v>
      </c>
      <c r="FM14" s="506">
        <f t="shared" si="62"/>
        <v>3</v>
      </c>
      <c r="FN14" s="39">
        <f t="shared" si="63"/>
        <v>90</v>
      </c>
      <c r="FO14" s="257">
        <f t="shared" si="64"/>
        <v>0</v>
      </c>
      <c r="FP14" s="257">
        <f t="shared" si="65"/>
        <v>0</v>
      </c>
      <c r="FQ14" s="257">
        <f t="shared" si="66"/>
        <v>0</v>
      </c>
      <c r="FR14" s="575">
        <f t="shared" si="67"/>
        <v>3</v>
      </c>
      <c r="FS14" s="506">
        <f t="shared" si="68"/>
        <v>0</v>
      </c>
      <c r="FT14" s="39" t="str">
        <f t="shared" si="69"/>
        <v/>
      </c>
      <c r="FU14" s="257">
        <f t="shared" si="70"/>
        <v>0</v>
      </c>
      <c r="FV14" s="257">
        <f t="shared" si="71"/>
        <v>0</v>
      </c>
      <c r="FW14" s="257">
        <f t="shared" si="72"/>
        <v>0</v>
      </c>
      <c r="FX14" s="575">
        <f t="shared" si="73"/>
        <v>3</v>
      </c>
      <c r="FY14" s="506">
        <f t="shared" si="74"/>
        <v>0</v>
      </c>
      <c r="FZ14" s="39" t="str">
        <f t="shared" si="75"/>
        <v/>
      </c>
      <c r="GA14" s="257">
        <f t="shared" si="76"/>
        <v>0</v>
      </c>
      <c r="GB14" s="257">
        <f t="shared" si="77"/>
        <v>0</v>
      </c>
      <c r="GC14" s="257">
        <f t="shared" si="78"/>
        <v>0</v>
      </c>
      <c r="GD14" s="575">
        <f t="shared" si="79"/>
        <v>3</v>
      </c>
      <c r="GE14" s="506">
        <f t="shared" si="80"/>
        <v>0</v>
      </c>
      <c r="GF14" s="39" t="str">
        <f t="shared" si="81"/>
        <v/>
      </c>
      <c r="GG14" s="257">
        <f t="shared" si="82"/>
        <v>0</v>
      </c>
      <c r="GH14" s="257">
        <f t="shared" si="83"/>
        <v>0</v>
      </c>
      <c r="GI14" s="257">
        <f t="shared" si="84"/>
        <v>0</v>
      </c>
      <c r="GJ14" s="575">
        <f t="shared" si="85"/>
        <v>3</v>
      </c>
      <c r="GK14" s="506">
        <f t="shared" si="86"/>
        <v>0</v>
      </c>
      <c r="GL14" s="39" t="str">
        <f t="shared" si="87"/>
        <v/>
      </c>
      <c r="GM14" s="39"/>
      <c r="GN14" s="39">
        <f t="shared" si="88"/>
        <v>88.333333333333329</v>
      </c>
      <c r="GO14" s="39">
        <f t="shared" si="89"/>
        <v>88.333333333333329</v>
      </c>
      <c r="GP14" s="39">
        <f t="shared" si="90"/>
        <v>90</v>
      </c>
      <c r="GQ14" s="39" t="str">
        <f t="shared" si="91"/>
        <v/>
      </c>
      <c r="GR14" s="39" t="str">
        <f t="shared" si="92"/>
        <v/>
      </c>
      <c r="GS14" s="39" t="str">
        <f t="shared" si="93"/>
        <v/>
      </c>
      <c r="GT14" s="257" t="str">
        <f t="shared" si="94"/>
        <v/>
      </c>
      <c r="GU14" s="579">
        <f t="shared" si="95"/>
        <v>89</v>
      </c>
      <c r="GV14" s="289">
        <f t="shared" si="96"/>
        <v>90</v>
      </c>
      <c r="GW14" s="289">
        <f t="shared" si="97"/>
        <v>88.333333333333329</v>
      </c>
      <c r="GX14" s="223" t="str">
        <f>SISWA!E12</f>
        <v>Indah</v>
      </c>
      <c r="GY14" s="223" t="str">
        <f t="shared" si="98"/>
        <v xml:space="preserve">Ananda Indah </v>
      </c>
      <c r="GZ14" s="580" t="str">
        <f t="shared" si="99"/>
        <v/>
      </c>
      <c r="HA14" s="580" t="str">
        <f t="shared" si="100"/>
        <v/>
      </c>
      <c r="HB14" s="580">
        <f t="shared" si="101"/>
        <v>90</v>
      </c>
      <c r="HC14" s="580" t="str">
        <f t="shared" si="102"/>
        <v/>
      </c>
      <c r="HD14" s="580" t="str">
        <f t="shared" si="103"/>
        <v/>
      </c>
      <c r="HE14" s="580" t="str">
        <f t="shared" si="104"/>
        <v/>
      </c>
      <c r="HF14" s="580" t="str">
        <f t="shared" si="105"/>
        <v/>
      </c>
      <c r="HG14" s="580"/>
      <c r="HH14" s="580"/>
      <c r="HI14" s="580"/>
      <c r="HJ14" s="580"/>
      <c r="HK14" s="223">
        <f t="shared" si="106"/>
        <v>90</v>
      </c>
      <c r="HL14" s="289" t="str">
        <f t="shared" si="107"/>
        <v>menyajikan hasil analisis tentang peran ekonomi dalam upaya menyejahterakan kehidupan masyarakat di bidang sosial dan budaya untuk memperkuat kesatuan dan persatuan bangsa.</v>
      </c>
      <c r="HM14" s="576" t="str">
        <f>IF(GV14&gt;100,"",IF(GV14&gt;DP$1,"sangat baik dalam "&amp;HL14,IF(GV14&gt;=DP$2,"baik dalam "&amp;HL14,IF(GV14&gt;=DP$3,"cukup dalam "&amp;HL14,IF(GV14&lt;DP$3,"dengan bimbingan dapat meningkatkan dalam "&amp;HL14,IF(GV14&lt;1," ",””))))))</f>
        <v>baik dalam menyajikan hasil analisis tentang peran ekonomi dalam upaya menyejahterakan kehidupan masyarakat di bidang sosial dan budaya untuk memperkuat kesatuan dan persatuan bangsa.</v>
      </c>
      <c r="HN14" s="223"/>
      <c r="HO14" s="223">
        <f t="shared" si="108"/>
        <v>88.333333333333329</v>
      </c>
      <c r="HP14" s="223">
        <f t="shared" si="109"/>
        <v>88.333333333333329</v>
      </c>
      <c r="HQ14" s="223" t="str">
        <f t="shared" si="110"/>
        <v/>
      </c>
      <c r="HR14" s="223" t="str">
        <f t="shared" si="111"/>
        <v/>
      </c>
      <c r="HS14" s="223" t="str">
        <f t="shared" si="112"/>
        <v/>
      </c>
      <c r="HT14" s="223" t="str">
        <f t="shared" si="113"/>
        <v/>
      </c>
      <c r="HU14" s="223" t="str">
        <f t="shared" si="114"/>
        <v/>
      </c>
      <c r="HV14" s="223"/>
      <c r="HW14" s="223"/>
      <c r="HX14" s="223"/>
      <c r="HY14" s="223"/>
      <c r="HZ14" s="223" t="str">
        <f t="shared" si="115"/>
        <v>menyajikan hasil analisis tentang interaksi manusia dengan lingkungan dan pengaruhnya terhadap pembangunan sosial, budaya, dan ekonomi masyarakat Indonesia.</v>
      </c>
      <c r="IA14" s="577" t="str">
        <f>IF(GW14&gt;100,"",IF(GW14&gt;=DP$1,"sangat baik dalam "&amp;HZ14,IF(GW14&gt;=DP$2,"baik dalam "&amp;HZ14,IF(GW14&gt;=DP$3,"cukup dalam "&amp;HZ14,IF(GW14&lt;DP$3,"dengan bimbingan dapat meningkatkan dalam "&amp;HZ14,IF(GW14&lt;1," ",””))))))</f>
        <v>baik dalam menyajikan hasil analisis tentang interaksi manusia dengan lingkungan dan pengaruhnya terhadap pembangunan sosial, budaya, dan ekonomi masyarakat Indonesia.</v>
      </c>
      <c r="IB14" s="223" t="str">
        <f t="shared" si="116"/>
        <v>Ananda Indah baik dalam menyajikan hasil analisis tentang peran ekonomi dalam upaya menyejahterakan kehidupan masyarakat di bidang sosial dan budaya untuk memperkuat kesatuan dan persatuan bangsa., baik dalam menyajikan hasil analisis tentang interaksi manusia dengan lingkungan dan pengaruhnya terhadap pembangunan sosial, budaya, dan ekonomi masyarakat Indonesia..</v>
      </c>
    </row>
    <row r="15" spans="1:236" ht="30" customHeight="1">
      <c r="A15" s="39">
        <v>8</v>
      </c>
      <c r="B15" s="223" t="str">
        <f>SISWA!B13</f>
        <v>Muhammad Ilham Sarifuddin</v>
      </c>
      <c r="C15" s="123">
        <v>90</v>
      </c>
      <c r="D15" s="123"/>
      <c r="E15" s="123"/>
      <c r="F15" s="123"/>
      <c r="G15" s="123"/>
      <c r="H15" s="123"/>
      <c r="I15" s="123"/>
      <c r="J15" s="255">
        <v>75</v>
      </c>
      <c r="K15" s="255"/>
      <c r="L15" s="255"/>
      <c r="M15" s="255"/>
      <c r="N15" s="255"/>
      <c r="O15" s="255"/>
      <c r="P15" s="255"/>
      <c r="Q15" s="256">
        <v>75</v>
      </c>
      <c r="R15" s="256"/>
      <c r="S15" s="256"/>
      <c r="T15" s="256"/>
      <c r="U15" s="256"/>
      <c r="V15" s="256"/>
      <c r="W15" s="256"/>
      <c r="X15" s="123"/>
      <c r="Y15" s="123"/>
      <c r="Z15" s="123">
        <v>80</v>
      </c>
      <c r="AA15" s="123"/>
      <c r="AB15" s="123"/>
      <c r="AC15" s="123"/>
      <c r="AD15" s="123"/>
      <c r="AE15" s="255"/>
      <c r="AF15" s="255"/>
      <c r="AG15" s="255">
        <v>90</v>
      </c>
      <c r="AH15" s="255"/>
      <c r="AI15" s="255"/>
      <c r="AJ15" s="255"/>
      <c r="AK15" s="255"/>
      <c r="AL15" s="256"/>
      <c r="AM15" s="256"/>
      <c r="AN15" s="256">
        <v>90</v>
      </c>
      <c r="AO15" s="256"/>
      <c r="AP15" s="256"/>
      <c r="AQ15" s="256"/>
      <c r="AR15" s="256"/>
      <c r="AS15" s="123"/>
      <c r="AT15" s="123">
        <v>75</v>
      </c>
      <c r="AU15" s="123"/>
      <c r="AV15" s="123"/>
      <c r="AW15" s="123"/>
      <c r="AX15" s="123"/>
      <c r="AY15" s="123"/>
      <c r="AZ15" s="255"/>
      <c r="BA15" s="255">
        <v>90</v>
      </c>
      <c r="BB15" s="255"/>
      <c r="BC15" s="255"/>
      <c r="BD15" s="255"/>
      <c r="BE15" s="255"/>
      <c r="BF15" s="255"/>
      <c r="BG15" s="256"/>
      <c r="BH15" s="256">
        <v>75</v>
      </c>
      <c r="BI15" s="256"/>
      <c r="BJ15" s="256"/>
      <c r="BK15" s="256"/>
      <c r="BL15" s="256"/>
      <c r="BM15" s="256"/>
      <c r="BN15" s="123"/>
      <c r="BO15" s="123"/>
      <c r="BP15" s="123">
        <v>75</v>
      </c>
      <c r="BQ15" s="123"/>
      <c r="BR15" s="123"/>
      <c r="BS15" s="123"/>
      <c r="BT15" s="123"/>
      <c r="BU15" s="255"/>
      <c r="BV15" s="255"/>
      <c r="BW15" s="255">
        <v>75</v>
      </c>
      <c r="BX15" s="255"/>
      <c r="BY15" s="255"/>
      <c r="BZ15" s="255"/>
      <c r="CA15" s="255"/>
      <c r="CB15" s="256"/>
      <c r="CC15" s="256"/>
      <c r="CD15" s="256">
        <v>90</v>
      </c>
      <c r="CE15" s="256"/>
      <c r="CF15" s="256"/>
      <c r="CG15" s="256"/>
      <c r="CH15" s="256"/>
      <c r="CI15" s="458">
        <v>75</v>
      </c>
      <c r="CJ15" s="458"/>
      <c r="CK15" s="458"/>
      <c r="CL15" s="458"/>
      <c r="CM15" s="458"/>
      <c r="CN15" s="458"/>
      <c r="CO15" s="458"/>
      <c r="CP15" s="457">
        <v>75</v>
      </c>
      <c r="CQ15" s="457"/>
      <c r="CR15" s="457"/>
      <c r="CS15" s="457"/>
      <c r="CT15" s="457"/>
      <c r="CU15" s="457"/>
      <c r="CV15" s="457"/>
      <c r="CW15" s="256">
        <v>80</v>
      </c>
      <c r="CX15" s="256"/>
      <c r="CY15" s="256"/>
      <c r="CZ15" s="256"/>
      <c r="DA15" s="256"/>
      <c r="DB15" s="256"/>
      <c r="DC15" s="256"/>
      <c r="DD15" s="257">
        <f t="shared" si="13"/>
        <v>81.666666666666671</v>
      </c>
      <c r="DE15" s="257">
        <f t="shared" si="14"/>
        <v>80</v>
      </c>
      <c r="DF15" s="257">
        <f t="shared" si="15"/>
        <v>86.666666666666671</v>
      </c>
      <c r="DG15" s="257" t="str">
        <f t="shared" si="16"/>
        <v/>
      </c>
      <c r="DH15" s="257" t="str">
        <f t="shared" si="17"/>
        <v/>
      </c>
      <c r="DI15" s="257" t="str">
        <f t="shared" si="18"/>
        <v/>
      </c>
      <c r="DJ15" s="257" t="str">
        <f t="shared" si="19"/>
        <v/>
      </c>
      <c r="DK15" s="756">
        <f t="shared" si="7"/>
        <v>83</v>
      </c>
      <c r="DL15" s="291" t="str">
        <f t="shared" si="20"/>
        <v>B</v>
      </c>
      <c r="DM15" s="243" t="str">
        <f t="shared" si="21"/>
        <v>Ananda Ilham baik dalam menyajikan hasil analisis tentang peran ekonomi dalam upaya menyejahterakan kehidupan masyarakat di bidang sosial dan budaya untuk memperkuat kesatuan dan persatuan bangsa., cukup dalam menyajikan hasil analisis tentang interaksi manusia dengan lingkungan dan pengaruhnya terhadap pembangunan sosial, budaya, dan ekonomi masyarakat Indonesia..</v>
      </c>
      <c r="DN15" s="39"/>
      <c r="DO15" s="39"/>
      <c r="DP15" s="257">
        <f t="shared" si="22"/>
        <v>90</v>
      </c>
      <c r="DQ15" s="257">
        <f t="shared" si="23"/>
        <v>75</v>
      </c>
      <c r="DR15" s="257">
        <f t="shared" si="24"/>
        <v>80</v>
      </c>
      <c r="DS15" s="257">
        <f t="shared" si="25"/>
        <v>0</v>
      </c>
      <c r="DT15" s="257">
        <f t="shared" si="26"/>
        <v>0</v>
      </c>
      <c r="DU15" s="257">
        <f t="shared" si="27"/>
        <v>0</v>
      </c>
      <c r="DV15" s="257">
        <f t="shared" si="28"/>
        <v>0</v>
      </c>
      <c r="DW15" s="257"/>
      <c r="DX15" s="257"/>
      <c r="DY15" s="257"/>
      <c r="DZ15" s="289">
        <f t="shared" si="29"/>
        <v>90</v>
      </c>
      <c r="EA15" s="257">
        <f t="shared" si="30"/>
        <v>75</v>
      </c>
      <c r="EB15" s="257">
        <f t="shared" si="31"/>
        <v>90</v>
      </c>
      <c r="EC15" s="257">
        <f t="shared" si="32"/>
        <v>90</v>
      </c>
      <c r="ED15" s="257">
        <f t="shared" si="33"/>
        <v>0</v>
      </c>
      <c r="EE15" s="257">
        <f t="shared" si="34"/>
        <v>0</v>
      </c>
      <c r="EF15" s="257">
        <f t="shared" si="35"/>
        <v>0</v>
      </c>
      <c r="EG15" s="257">
        <f t="shared" si="36"/>
        <v>0</v>
      </c>
      <c r="EH15" s="223"/>
      <c r="EI15" s="223"/>
      <c r="EJ15" s="223"/>
      <c r="EK15" s="289">
        <f t="shared" si="37"/>
        <v>90</v>
      </c>
      <c r="EL15" s="257">
        <f t="shared" si="38"/>
        <v>80</v>
      </c>
      <c r="EM15" s="257">
        <f t="shared" si="39"/>
        <v>75</v>
      </c>
      <c r="EN15" s="257">
        <f t="shared" si="40"/>
        <v>90</v>
      </c>
      <c r="EO15" s="257">
        <f t="shared" si="41"/>
        <v>0</v>
      </c>
      <c r="EP15" s="257">
        <f t="shared" si="42"/>
        <v>0</v>
      </c>
      <c r="EQ15" s="257">
        <f t="shared" si="43"/>
        <v>0</v>
      </c>
      <c r="ER15" s="257">
        <f t="shared" si="44"/>
        <v>0</v>
      </c>
      <c r="ES15" s="223"/>
      <c r="ET15" s="223"/>
      <c r="EU15" s="223"/>
      <c r="EV15" s="289">
        <f t="shared" si="45"/>
        <v>90</v>
      </c>
      <c r="EW15" s="257">
        <f t="shared" si="46"/>
        <v>90</v>
      </c>
      <c r="EX15" s="257">
        <f t="shared" si="47"/>
        <v>75</v>
      </c>
      <c r="EY15" s="257">
        <f t="shared" si="48"/>
        <v>80</v>
      </c>
      <c r="EZ15" s="575">
        <f t="shared" si="49"/>
        <v>0</v>
      </c>
      <c r="FA15" s="506">
        <f t="shared" si="50"/>
        <v>3</v>
      </c>
      <c r="FB15" s="39">
        <f t="shared" si="51"/>
        <v>81.666666666666671</v>
      </c>
      <c r="FC15" s="257">
        <f t="shared" si="52"/>
        <v>75</v>
      </c>
      <c r="FD15" s="257">
        <f t="shared" si="53"/>
        <v>90</v>
      </c>
      <c r="FE15" s="257">
        <f t="shared" si="54"/>
        <v>75</v>
      </c>
      <c r="FF15" s="575">
        <f t="shared" si="55"/>
        <v>0</v>
      </c>
      <c r="FG15" s="506">
        <f t="shared" si="56"/>
        <v>3</v>
      </c>
      <c r="FH15" s="39">
        <f t="shared" si="57"/>
        <v>80</v>
      </c>
      <c r="FI15" s="257">
        <f t="shared" si="58"/>
        <v>80</v>
      </c>
      <c r="FJ15" s="257">
        <f t="shared" si="59"/>
        <v>90</v>
      </c>
      <c r="FK15" s="257">
        <f t="shared" si="60"/>
        <v>90</v>
      </c>
      <c r="FL15" s="575">
        <f t="shared" si="61"/>
        <v>0</v>
      </c>
      <c r="FM15" s="506">
        <f t="shared" si="62"/>
        <v>3</v>
      </c>
      <c r="FN15" s="39">
        <f t="shared" si="63"/>
        <v>86.666666666666671</v>
      </c>
      <c r="FO15" s="257">
        <f t="shared" si="64"/>
        <v>0</v>
      </c>
      <c r="FP15" s="257">
        <f t="shared" si="65"/>
        <v>0</v>
      </c>
      <c r="FQ15" s="257">
        <f t="shared" si="66"/>
        <v>0</v>
      </c>
      <c r="FR15" s="575">
        <f t="shared" si="67"/>
        <v>3</v>
      </c>
      <c r="FS15" s="506">
        <f t="shared" si="68"/>
        <v>0</v>
      </c>
      <c r="FT15" s="39" t="str">
        <f t="shared" si="69"/>
        <v/>
      </c>
      <c r="FU15" s="257">
        <f t="shared" si="70"/>
        <v>0</v>
      </c>
      <c r="FV15" s="257">
        <f t="shared" si="71"/>
        <v>0</v>
      </c>
      <c r="FW15" s="257">
        <f t="shared" si="72"/>
        <v>0</v>
      </c>
      <c r="FX15" s="575">
        <f t="shared" si="73"/>
        <v>3</v>
      </c>
      <c r="FY15" s="506">
        <f t="shared" si="74"/>
        <v>0</v>
      </c>
      <c r="FZ15" s="39" t="str">
        <f t="shared" si="75"/>
        <v/>
      </c>
      <c r="GA15" s="257">
        <f t="shared" si="76"/>
        <v>0</v>
      </c>
      <c r="GB15" s="257">
        <f t="shared" si="77"/>
        <v>0</v>
      </c>
      <c r="GC15" s="257">
        <f t="shared" si="78"/>
        <v>0</v>
      </c>
      <c r="GD15" s="575">
        <f t="shared" si="79"/>
        <v>3</v>
      </c>
      <c r="GE15" s="506">
        <f t="shared" si="80"/>
        <v>0</v>
      </c>
      <c r="GF15" s="39" t="str">
        <f t="shared" si="81"/>
        <v/>
      </c>
      <c r="GG15" s="257">
        <f t="shared" si="82"/>
        <v>0</v>
      </c>
      <c r="GH15" s="257">
        <f t="shared" si="83"/>
        <v>0</v>
      </c>
      <c r="GI15" s="257">
        <f t="shared" si="84"/>
        <v>0</v>
      </c>
      <c r="GJ15" s="575">
        <f t="shared" si="85"/>
        <v>3</v>
      </c>
      <c r="GK15" s="506">
        <f t="shared" si="86"/>
        <v>0</v>
      </c>
      <c r="GL15" s="39" t="str">
        <f t="shared" si="87"/>
        <v/>
      </c>
      <c r="GM15" s="39"/>
      <c r="GN15" s="39">
        <f t="shared" si="88"/>
        <v>81.666666666666671</v>
      </c>
      <c r="GO15" s="39">
        <f t="shared" si="89"/>
        <v>80</v>
      </c>
      <c r="GP15" s="39">
        <f t="shared" si="90"/>
        <v>86.666666666666671</v>
      </c>
      <c r="GQ15" s="39" t="str">
        <f t="shared" si="91"/>
        <v/>
      </c>
      <c r="GR15" s="39" t="str">
        <f t="shared" si="92"/>
        <v/>
      </c>
      <c r="GS15" s="39" t="str">
        <f t="shared" si="93"/>
        <v/>
      </c>
      <c r="GT15" s="257" t="str">
        <f t="shared" si="94"/>
        <v/>
      </c>
      <c r="GU15" s="579">
        <f t="shared" si="95"/>
        <v>83</v>
      </c>
      <c r="GV15" s="289">
        <f t="shared" si="96"/>
        <v>86.666666666666671</v>
      </c>
      <c r="GW15" s="289">
        <f t="shared" si="97"/>
        <v>80</v>
      </c>
      <c r="GX15" s="223" t="str">
        <f>SISWA!E13</f>
        <v>Ilham</v>
      </c>
      <c r="GY15" s="223" t="str">
        <f t="shared" si="98"/>
        <v xml:space="preserve">Ananda Ilham </v>
      </c>
      <c r="GZ15" s="580" t="str">
        <f t="shared" si="99"/>
        <v/>
      </c>
      <c r="HA15" s="580" t="str">
        <f t="shared" si="100"/>
        <v/>
      </c>
      <c r="HB15" s="580">
        <f t="shared" si="101"/>
        <v>86.666666666666671</v>
      </c>
      <c r="HC15" s="580" t="str">
        <f t="shared" si="102"/>
        <v/>
      </c>
      <c r="HD15" s="580" t="str">
        <f t="shared" si="103"/>
        <v/>
      </c>
      <c r="HE15" s="580" t="str">
        <f t="shared" si="104"/>
        <v/>
      </c>
      <c r="HF15" s="580" t="str">
        <f t="shared" si="105"/>
        <v/>
      </c>
      <c r="HG15" s="580"/>
      <c r="HH15" s="580"/>
      <c r="HI15" s="580"/>
      <c r="HJ15" s="580"/>
      <c r="HK15" s="223">
        <f t="shared" si="106"/>
        <v>86.666666666666671</v>
      </c>
      <c r="HL15" s="289" t="str">
        <f t="shared" si="107"/>
        <v>menyajikan hasil analisis tentang peran ekonomi dalam upaya menyejahterakan kehidupan masyarakat di bidang sosial dan budaya untuk memperkuat kesatuan dan persatuan bangsa.</v>
      </c>
      <c r="HM15" s="576" t="str">
        <f>IF(GV15&gt;100,"",IF(GV15&gt;DP$1,"sangat baik dalam "&amp;HL15,IF(GV15&gt;=DP$2,"baik dalam "&amp;HL15,IF(GV15&gt;=DP$3,"cukup dalam "&amp;HL15,IF(GV15&lt;DP$3,"dengan bimbingan dapat meningkatkan dalam "&amp;HL15,IF(GV15&lt;1," ",””))))))</f>
        <v>baik dalam menyajikan hasil analisis tentang peran ekonomi dalam upaya menyejahterakan kehidupan masyarakat di bidang sosial dan budaya untuk memperkuat kesatuan dan persatuan bangsa.</v>
      </c>
      <c r="HN15" s="223"/>
      <c r="HO15" s="223" t="str">
        <f t="shared" si="108"/>
        <v/>
      </c>
      <c r="HP15" s="223">
        <f t="shared" si="109"/>
        <v>80</v>
      </c>
      <c r="HQ15" s="223" t="str">
        <f t="shared" si="110"/>
        <v/>
      </c>
      <c r="HR15" s="223" t="str">
        <f t="shared" si="111"/>
        <v/>
      </c>
      <c r="HS15" s="223" t="str">
        <f t="shared" si="112"/>
        <v/>
      </c>
      <c r="HT15" s="223" t="str">
        <f t="shared" si="113"/>
        <v/>
      </c>
      <c r="HU15" s="223" t="str">
        <f t="shared" si="114"/>
        <v/>
      </c>
      <c r="HV15" s="223"/>
      <c r="HW15" s="223"/>
      <c r="HX15" s="223"/>
      <c r="HY15" s="223"/>
      <c r="HZ15" s="223" t="str">
        <f t="shared" si="115"/>
        <v>menyajikan hasil analisis tentang interaksi manusia dengan lingkungan dan pengaruhnya terhadap pembangunan sosial, budaya, dan ekonomi masyarakat Indonesia.</v>
      </c>
      <c r="IA15" s="577" t="str">
        <f>IF(GW15&gt;100,"",IF(GW15&gt;=DP$1,"sangat baik dalam "&amp;HZ15,IF(GW15&gt;=DP$2,"baik dalam "&amp;HZ15,IF(GW15&gt;=DP$3,"cukup dalam "&amp;HZ15,IF(GW15&lt;DP$3,"dengan bimbingan dapat meningkatkan dalam "&amp;HZ15,IF(GW15&lt;1," ",””))))))</f>
        <v>cukup dalam menyajikan hasil analisis tentang interaksi manusia dengan lingkungan dan pengaruhnya terhadap pembangunan sosial, budaya, dan ekonomi masyarakat Indonesia.</v>
      </c>
      <c r="IB15" s="223" t="str">
        <f t="shared" si="116"/>
        <v>Ananda Ilham baik dalam menyajikan hasil analisis tentang peran ekonomi dalam upaya menyejahterakan kehidupan masyarakat di bidang sosial dan budaya untuk memperkuat kesatuan dan persatuan bangsa., cukup dalam menyajikan hasil analisis tentang interaksi manusia dengan lingkungan dan pengaruhnya terhadap pembangunan sosial, budaya, dan ekonomi masyarakat Indonesia..</v>
      </c>
    </row>
    <row r="16" spans="1:236" ht="30" customHeight="1">
      <c r="A16" s="39">
        <v>9</v>
      </c>
      <c r="B16" s="223" t="str">
        <f>SISWA!B14</f>
        <v>Muhammad Raditya Ainul Yaqin</v>
      </c>
      <c r="C16" s="123">
        <v>90</v>
      </c>
      <c r="D16" s="123"/>
      <c r="E16" s="123"/>
      <c r="F16" s="123"/>
      <c r="G16" s="123"/>
      <c r="H16" s="123"/>
      <c r="I16" s="123"/>
      <c r="J16" s="255">
        <v>90</v>
      </c>
      <c r="K16" s="255"/>
      <c r="L16" s="255"/>
      <c r="M16" s="255"/>
      <c r="N16" s="255"/>
      <c r="O16" s="255"/>
      <c r="P16" s="255"/>
      <c r="Q16" s="256">
        <v>90</v>
      </c>
      <c r="R16" s="256"/>
      <c r="S16" s="256"/>
      <c r="T16" s="256"/>
      <c r="U16" s="256"/>
      <c r="V16" s="256"/>
      <c r="W16" s="256"/>
      <c r="X16" s="123"/>
      <c r="Y16" s="123"/>
      <c r="Z16" s="123">
        <v>85</v>
      </c>
      <c r="AA16" s="123"/>
      <c r="AB16" s="123"/>
      <c r="AC16" s="123"/>
      <c r="AD16" s="123"/>
      <c r="AE16" s="255"/>
      <c r="AF16" s="255"/>
      <c r="AG16" s="255">
        <v>90</v>
      </c>
      <c r="AH16" s="255"/>
      <c r="AI16" s="255"/>
      <c r="AJ16" s="255"/>
      <c r="AK16" s="255"/>
      <c r="AL16" s="256"/>
      <c r="AM16" s="256"/>
      <c r="AN16" s="256">
        <v>90</v>
      </c>
      <c r="AO16" s="256"/>
      <c r="AP16" s="256"/>
      <c r="AQ16" s="256"/>
      <c r="AR16" s="256"/>
      <c r="AS16" s="123"/>
      <c r="AT16" s="123">
        <v>75</v>
      </c>
      <c r="AU16" s="123"/>
      <c r="AV16" s="123"/>
      <c r="AW16" s="123"/>
      <c r="AX16" s="123"/>
      <c r="AY16" s="123"/>
      <c r="AZ16" s="255"/>
      <c r="BA16" s="255">
        <v>90</v>
      </c>
      <c r="BB16" s="255"/>
      <c r="BC16" s="255"/>
      <c r="BD16" s="255"/>
      <c r="BE16" s="255"/>
      <c r="BF16" s="255"/>
      <c r="BG16" s="256"/>
      <c r="BH16" s="256">
        <v>80</v>
      </c>
      <c r="BI16" s="256"/>
      <c r="BJ16" s="256"/>
      <c r="BK16" s="256"/>
      <c r="BL16" s="256"/>
      <c r="BM16" s="256"/>
      <c r="BN16" s="123"/>
      <c r="BO16" s="123"/>
      <c r="BP16" s="123">
        <v>75</v>
      </c>
      <c r="BQ16" s="123"/>
      <c r="BR16" s="123"/>
      <c r="BS16" s="123"/>
      <c r="BT16" s="123"/>
      <c r="BU16" s="255"/>
      <c r="BV16" s="255"/>
      <c r="BW16" s="255">
        <v>75</v>
      </c>
      <c r="BX16" s="255"/>
      <c r="BY16" s="255"/>
      <c r="BZ16" s="255"/>
      <c r="CA16" s="255"/>
      <c r="CB16" s="256"/>
      <c r="CC16" s="256"/>
      <c r="CD16" s="256">
        <v>90</v>
      </c>
      <c r="CE16" s="256"/>
      <c r="CF16" s="256"/>
      <c r="CG16" s="256"/>
      <c r="CH16" s="256"/>
      <c r="CI16" s="458">
        <v>75</v>
      </c>
      <c r="CJ16" s="458"/>
      <c r="CK16" s="458"/>
      <c r="CL16" s="458"/>
      <c r="CM16" s="458"/>
      <c r="CN16" s="458"/>
      <c r="CO16" s="458"/>
      <c r="CP16" s="457">
        <v>75</v>
      </c>
      <c r="CQ16" s="457"/>
      <c r="CR16" s="457"/>
      <c r="CS16" s="457"/>
      <c r="CT16" s="457"/>
      <c r="CU16" s="457"/>
      <c r="CV16" s="457"/>
      <c r="CW16" s="256">
        <v>80</v>
      </c>
      <c r="CX16" s="256"/>
      <c r="CY16" s="256"/>
      <c r="CZ16" s="256"/>
      <c r="DA16" s="256"/>
      <c r="DB16" s="256"/>
      <c r="DC16" s="256"/>
      <c r="DD16" s="257">
        <f t="shared" si="13"/>
        <v>90</v>
      </c>
      <c r="DE16" s="257">
        <f t="shared" si="14"/>
        <v>81.666666666666671</v>
      </c>
      <c r="DF16" s="257">
        <f t="shared" si="15"/>
        <v>88.333333333333329</v>
      </c>
      <c r="DG16" s="257" t="str">
        <f t="shared" si="16"/>
        <v/>
      </c>
      <c r="DH16" s="257" t="str">
        <f t="shared" si="17"/>
        <v/>
      </c>
      <c r="DI16" s="257" t="str">
        <f t="shared" si="18"/>
        <v/>
      </c>
      <c r="DJ16" s="257" t="str">
        <f t="shared" si="19"/>
        <v/>
      </c>
      <c r="DK16" s="756">
        <f t="shared" si="7"/>
        <v>87</v>
      </c>
      <c r="DL16" s="291" t="str">
        <f t="shared" si="20"/>
        <v>B</v>
      </c>
      <c r="DM16" s="243" t="str">
        <f t="shared" si="21"/>
        <v>Ananda Radit baik dalam menyajikan hasil identifikasi karakteristik geografis Indonesia sebagai negara kepulauan/maritim dan agraris serta pengaruhnya terhadap kehidupan ekonomi, sosial, budaya, komunikasi, serta transportasi., cukup dalam menyajikan hasil analisis tentang interaksi manusia dengan lingkungan dan pengaruhnya terhadap pembangunan sosial, budaya, dan ekonomi masyarakat Indonesia..</v>
      </c>
      <c r="DN16" s="39"/>
      <c r="DO16" s="39"/>
      <c r="DP16" s="257">
        <f t="shared" si="22"/>
        <v>90</v>
      </c>
      <c r="DQ16" s="257">
        <f t="shared" si="23"/>
        <v>75</v>
      </c>
      <c r="DR16" s="257">
        <f t="shared" si="24"/>
        <v>85</v>
      </c>
      <c r="DS16" s="257">
        <f t="shared" si="25"/>
        <v>0</v>
      </c>
      <c r="DT16" s="257">
        <f t="shared" si="26"/>
        <v>0</v>
      </c>
      <c r="DU16" s="257">
        <f t="shared" si="27"/>
        <v>0</v>
      </c>
      <c r="DV16" s="257">
        <f t="shared" si="28"/>
        <v>0</v>
      </c>
      <c r="DW16" s="257"/>
      <c r="DX16" s="257"/>
      <c r="DY16" s="257"/>
      <c r="DZ16" s="289">
        <f t="shared" si="29"/>
        <v>90</v>
      </c>
      <c r="EA16" s="257">
        <f t="shared" si="30"/>
        <v>90</v>
      </c>
      <c r="EB16" s="257">
        <f t="shared" si="31"/>
        <v>90</v>
      </c>
      <c r="EC16" s="257">
        <f t="shared" si="32"/>
        <v>90</v>
      </c>
      <c r="ED16" s="257">
        <f t="shared" si="33"/>
        <v>0</v>
      </c>
      <c r="EE16" s="257">
        <f t="shared" si="34"/>
        <v>0</v>
      </c>
      <c r="EF16" s="257">
        <f t="shared" si="35"/>
        <v>0</v>
      </c>
      <c r="EG16" s="257">
        <f t="shared" si="36"/>
        <v>0</v>
      </c>
      <c r="EH16" s="223"/>
      <c r="EI16" s="223"/>
      <c r="EJ16" s="223"/>
      <c r="EK16" s="289">
        <f t="shared" si="37"/>
        <v>90</v>
      </c>
      <c r="EL16" s="257">
        <f t="shared" si="38"/>
        <v>90</v>
      </c>
      <c r="EM16" s="257">
        <f t="shared" si="39"/>
        <v>80</v>
      </c>
      <c r="EN16" s="257">
        <f t="shared" si="40"/>
        <v>90</v>
      </c>
      <c r="EO16" s="257">
        <f t="shared" si="41"/>
        <v>0</v>
      </c>
      <c r="EP16" s="257">
        <f t="shared" si="42"/>
        <v>0</v>
      </c>
      <c r="EQ16" s="257">
        <f t="shared" si="43"/>
        <v>0</v>
      </c>
      <c r="ER16" s="257">
        <f t="shared" si="44"/>
        <v>0</v>
      </c>
      <c r="ES16" s="223"/>
      <c r="ET16" s="223"/>
      <c r="EU16" s="223"/>
      <c r="EV16" s="289">
        <f t="shared" si="45"/>
        <v>90</v>
      </c>
      <c r="EW16" s="257">
        <f t="shared" si="46"/>
        <v>90</v>
      </c>
      <c r="EX16" s="257">
        <f t="shared" si="47"/>
        <v>90</v>
      </c>
      <c r="EY16" s="257">
        <f t="shared" si="48"/>
        <v>90</v>
      </c>
      <c r="EZ16" s="575">
        <f t="shared" si="49"/>
        <v>0</v>
      </c>
      <c r="FA16" s="506">
        <f t="shared" si="50"/>
        <v>3</v>
      </c>
      <c r="FB16" s="39">
        <f t="shared" si="51"/>
        <v>90</v>
      </c>
      <c r="FC16" s="257">
        <f t="shared" si="52"/>
        <v>75</v>
      </c>
      <c r="FD16" s="257">
        <f t="shared" si="53"/>
        <v>90</v>
      </c>
      <c r="FE16" s="257">
        <f t="shared" si="54"/>
        <v>80</v>
      </c>
      <c r="FF16" s="575">
        <f t="shared" si="55"/>
        <v>0</v>
      </c>
      <c r="FG16" s="506">
        <f t="shared" si="56"/>
        <v>3</v>
      </c>
      <c r="FH16" s="39">
        <f t="shared" si="57"/>
        <v>81.666666666666671</v>
      </c>
      <c r="FI16" s="257">
        <f t="shared" si="58"/>
        <v>85</v>
      </c>
      <c r="FJ16" s="257">
        <f t="shared" si="59"/>
        <v>90</v>
      </c>
      <c r="FK16" s="257">
        <f t="shared" si="60"/>
        <v>90</v>
      </c>
      <c r="FL16" s="575">
        <f t="shared" si="61"/>
        <v>0</v>
      </c>
      <c r="FM16" s="506">
        <f t="shared" si="62"/>
        <v>3</v>
      </c>
      <c r="FN16" s="39">
        <f t="shared" si="63"/>
        <v>88.333333333333329</v>
      </c>
      <c r="FO16" s="257">
        <f t="shared" si="64"/>
        <v>0</v>
      </c>
      <c r="FP16" s="257">
        <f t="shared" si="65"/>
        <v>0</v>
      </c>
      <c r="FQ16" s="257">
        <f t="shared" si="66"/>
        <v>0</v>
      </c>
      <c r="FR16" s="575">
        <f t="shared" si="67"/>
        <v>3</v>
      </c>
      <c r="FS16" s="506">
        <f t="shared" si="68"/>
        <v>0</v>
      </c>
      <c r="FT16" s="39" t="str">
        <f t="shared" si="69"/>
        <v/>
      </c>
      <c r="FU16" s="257">
        <f t="shared" si="70"/>
        <v>0</v>
      </c>
      <c r="FV16" s="257">
        <f t="shared" si="71"/>
        <v>0</v>
      </c>
      <c r="FW16" s="257">
        <f t="shared" si="72"/>
        <v>0</v>
      </c>
      <c r="FX16" s="575">
        <f t="shared" si="73"/>
        <v>3</v>
      </c>
      <c r="FY16" s="506">
        <f t="shared" si="74"/>
        <v>0</v>
      </c>
      <c r="FZ16" s="39" t="str">
        <f t="shared" si="75"/>
        <v/>
      </c>
      <c r="GA16" s="257">
        <f t="shared" si="76"/>
        <v>0</v>
      </c>
      <c r="GB16" s="257">
        <f t="shared" si="77"/>
        <v>0</v>
      </c>
      <c r="GC16" s="257">
        <f t="shared" si="78"/>
        <v>0</v>
      </c>
      <c r="GD16" s="575">
        <f t="shared" si="79"/>
        <v>3</v>
      </c>
      <c r="GE16" s="506">
        <f t="shared" si="80"/>
        <v>0</v>
      </c>
      <c r="GF16" s="39" t="str">
        <f t="shared" si="81"/>
        <v/>
      </c>
      <c r="GG16" s="257">
        <f t="shared" si="82"/>
        <v>0</v>
      </c>
      <c r="GH16" s="257">
        <f t="shared" si="83"/>
        <v>0</v>
      </c>
      <c r="GI16" s="257">
        <f t="shared" si="84"/>
        <v>0</v>
      </c>
      <c r="GJ16" s="575">
        <f t="shared" si="85"/>
        <v>3</v>
      </c>
      <c r="GK16" s="506">
        <f t="shared" si="86"/>
        <v>0</v>
      </c>
      <c r="GL16" s="39" t="str">
        <f t="shared" si="87"/>
        <v/>
      </c>
      <c r="GM16" s="39"/>
      <c r="GN16" s="39">
        <f t="shared" si="88"/>
        <v>90</v>
      </c>
      <c r="GO16" s="39">
        <f t="shared" si="89"/>
        <v>81.666666666666671</v>
      </c>
      <c r="GP16" s="39">
        <f t="shared" si="90"/>
        <v>88.333333333333329</v>
      </c>
      <c r="GQ16" s="39" t="str">
        <f t="shared" si="91"/>
        <v/>
      </c>
      <c r="GR16" s="39" t="str">
        <f t="shared" si="92"/>
        <v/>
      </c>
      <c r="GS16" s="39" t="str">
        <f t="shared" si="93"/>
        <v/>
      </c>
      <c r="GT16" s="257" t="str">
        <f t="shared" si="94"/>
        <v/>
      </c>
      <c r="GU16" s="579">
        <f t="shared" si="95"/>
        <v>87</v>
      </c>
      <c r="GV16" s="289">
        <f t="shared" si="96"/>
        <v>90</v>
      </c>
      <c r="GW16" s="289">
        <f t="shared" si="97"/>
        <v>81.666666666666671</v>
      </c>
      <c r="GX16" s="223" t="str">
        <f>SISWA!E14</f>
        <v>Radit</v>
      </c>
      <c r="GY16" s="223" t="str">
        <f t="shared" si="98"/>
        <v xml:space="preserve">Ananda Radit </v>
      </c>
      <c r="GZ16" s="580">
        <f t="shared" si="99"/>
        <v>90</v>
      </c>
      <c r="HA16" s="580" t="str">
        <f t="shared" si="100"/>
        <v/>
      </c>
      <c r="HB16" s="580" t="str">
        <f t="shared" si="101"/>
        <v/>
      </c>
      <c r="HC16" s="580" t="str">
        <f t="shared" si="102"/>
        <v/>
      </c>
      <c r="HD16" s="580" t="str">
        <f t="shared" si="103"/>
        <v/>
      </c>
      <c r="HE16" s="580" t="str">
        <f t="shared" si="104"/>
        <v/>
      </c>
      <c r="HF16" s="580" t="str">
        <f t="shared" si="105"/>
        <v/>
      </c>
      <c r="HG16" s="580"/>
      <c r="HH16" s="580"/>
      <c r="HI16" s="580"/>
      <c r="HJ16" s="580"/>
      <c r="HK16" s="223">
        <f t="shared" si="106"/>
        <v>90</v>
      </c>
      <c r="HL16" s="289" t="str">
        <f t="shared" si="107"/>
        <v>menyajikan hasil identifikasi karakteristik geografis Indonesia sebagai negara kepulauan/maritim dan agraris serta pengaruhnya terhadap kehidupan ekonomi, sosial, budaya, komunikasi, serta transportasi.</v>
      </c>
      <c r="HM16" s="576" t="str">
        <f>IF(GV16&gt;100,"",IF(GV16&gt;DP$1,"sangat baik dalam "&amp;HL16,IF(GV16&gt;=DP$2,"baik dalam "&amp;HL16,IF(GV16&gt;=DP$3,"cukup dalam "&amp;HL16,IF(GV16&lt;DP$3,"dengan bimbingan dapat meningkatkan dalam "&amp;HL16,IF(GV16&lt;1," ",””))))))</f>
        <v>baik dalam menyajikan hasil identifikasi karakteristik geografis Indonesia sebagai negara kepulauan/maritim dan agraris serta pengaruhnya terhadap kehidupan ekonomi, sosial, budaya, komunikasi, serta transportasi.</v>
      </c>
      <c r="HN16" s="223"/>
      <c r="HO16" s="223" t="str">
        <f t="shared" si="108"/>
        <v/>
      </c>
      <c r="HP16" s="223">
        <f t="shared" si="109"/>
        <v>81.666666666666671</v>
      </c>
      <c r="HQ16" s="223" t="str">
        <f t="shared" si="110"/>
        <v/>
      </c>
      <c r="HR16" s="223" t="str">
        <f t="shared" si="111"/>
        <v/>
      </c>
      <c r="HS16" s="223" t="str">
        <f t="shared" si="112"/>
        <v/>
      </c>
      <c r="HT16" s="223" t="str">
        <f t="shared" si="113"/>
        <v/>
      </c>
      <c r="HU16" s="223" t="str">
        <f t="shared" si="114"/>
        <v/>
      </c>
      <c r="HV16" s="223"/>
      <c r="HW16" s="223"/>
      <c r="HX16" s="223"/>
      <c r="HY16" s="223"/>
      <c r="HZ16" s="223" t="str">
        <f t="shared" si="115"/>
        <v>menyajikan hasil analisis tentang interaksi manusia dengan lingkungan dan pengaruhnya terhadap pembangunan sosial, budaya, dan ekonomi masyarakat Indonesia.</v>
      </c>
      <c r="IA16" s="577" t="str">
        <f>IF(GW16&gt;100,"",IF(GW16&gt;=DP$1,"sangat baik dalam "&amp;HZ16,IF(GW16&gt;=DP$2,"baik dalam "&amp;HZ16,IF(GW16&gt;=DP$3,"cukup dalam "&amp;HZ16,IF(GW16&lt;DP$3,"dengan bimbingan dapat meningkatkan dalam "&amp;HZ16,IF(GW16&lt;1," ",””))))))</f>
        <v>cukup dalam menyajikan hasil analisis tentang interaksi manusia dengan lingkungan dan pengaruhnya terhadap pembangunan sosial, budaya, dan ekonomi masyarakat Indonesia.</v>
      </c>
      <c r="IB16" s="223" t="str">
        <f t="shared" si="116"/>
        <v>Ananda Radit baik dalam menyajikan hasil identifikasi karakteristik geografis Indonesia sebagai negara kepulauan/maritim dan agraris serta pengaruhnya terhadap kehidupan ekonomi, sosial, budaya, komunikasi, serta transportasi., cukup dalam menyajikan hasil analisis tentang interaksi manusia dengan lingkungan dan pengaruhnya terhadap pembangunan sosial, budaya, dan ekonomi masyarakat Indonesia..</v>
      </c>
    </row>
    <row r="17" spans="1:236" ht="30" customHeight="1">
      <c r="A17" s="39">
        <v>10</v>
      </c>
      <c r="B17" s="223" t="str">
        <f>SISWA!B15</f>
        <v>Muhammad Shulhan Al-farisi</v>
      </c>
      <c r="C17" s="123">
        <v>90</v>
      </c>
      <c r="D17" s="123"/>
      <c r="E17" s="123"/>
      <c r="F17" s="123"/>
      <c r="G17" s="123"/>
      <c r="H17" s="123"/>
      <c r="I17" s="123"/>
      <c r="J17" s="255">
        <v>85</v>
      </c>
      <c r="K17" s="255"/>
      <c r="L17" s="255"/>
      <c r="M17" s="255"/>
      <c r="N17" s="255"/>
      <c r="O17" s="255"/>
      <c r="P17" s="255"/>
      <c r="Q17" s="256">
        <v>90</v>
      </c>
      <c r="R17" s="256"/>
      <c r="S17" s="256"/>
      <c r="T17" s="256"/>
      <c r="U17" s="256"/>
      <c r="V17" s="256"/>
      <c r="W17" s="256"/>
      <c r="X17" s="123"/>
      <c r="Y17" s="123"/>
      <c r="Z17" s="123">
        <v>90</v>
      </c>
      <c r="AA17" s="123"/>
      <c r="AB17" s="123"/>
      <c r="AC17" s="123"/>
      <c r="AD17" s="123"/>
      <c r="AE17" s="255"/>
      <c r="AF17" s="255"/>
      <c r="AG17" s="255">
        <v>85</v>
      </c>
      <c r="AH17" s="255"/>
      <c r="AI17" s="255"/>
      <c r="AJ17" s="255"/>
      <c r="AK17" s="255"/>
      <c r="AL17" s="256"/>
      <c r="AM17" s="256"/>
      <c r="AN17" s="256">
        <v>90</v>
      </c>
      <c r="AO17" s="256"/>
      <c r="AP17" s="256"/>
      <c r="AQ17" s="256"/>
      <c r="AR17" s="256"/>
      <c r="AS17" s="123"/>
      <c r="AT17" s="123">
        <v>75</v>
      </c>
      <c r="AU17" s="123"/>
      <c r="AV17" s="123"/>
      <c r="AW17" s="123"/>
      <c r="AX17" s="123"/>
      <c r="AY17" s="123"/>
      <c r="AZ17" s="255"/>
      <c r="BA17" s="255">
        <v>90</v>
      </c>
      <c r="BB17" s="255"/>
      <c r="BC17" s="255"/>
      <c r="BD17" s="255"/>
      <c r="BE17" s="255"/>
      <c r="BF17" s="255"/>
      <c r="BG17" s="256"/>
      <c r="BH17" s="256">
        <v>85</v>
      </c>
      <c r="BI17" s="256"/>
      <c r="BJ17" s="256"/>
      <c r="BK17" s="256"/>
      <c r="BL17" s="256"/>
      <c r="BM17" s="256"/>
      <c r="BN17" s="123"/>
      <c r="BO17" s="123"/>
      <c r="BP17" s="123">
        <v>89</v>
      </c>
      <c r="BQ17" s="123"/>
      <c r="BR17" s="123"/>
      <c r="BS17" s="123"/>
      <c r="BT17" s="123"/>
      <c r="BU17" s="255"/>
      <c r="BV17" s="255"/>
      <c r="BW17" s="255">
        <v>75</v>
      </c>
      <c r="BX17" s="255"/>
      <c r="BY17" s="255"/>
      <c r="BZ17" s="255"/>
      <c r="CA17" s="255"/>
      <c r="CB17" s="256"/>
      <c r="CC17" s="256"/>
      <c r="CD17" s="256">
        <v>85</v>
      </c>
      <c r="CE17" s="256"/>
      <c r="CF17" s="256"/>
      <c r="CG17" s="256"/>
      <c r="CH17" s="256"/>
      <c r="CI17" s="458">
        <v>75</v>
      </c>
      <c r="CJ17" s="458"/>
      <c r="CK17" s="458"/>
      <c r="CL17" s="458"/>
      <c r="CM17" s="458"/>
      <c r="CN17" s="458"/>
      <c r="CO17" s="458"/>
      <c r="CP17" s="457">
        <v>75</v>
      </c>
      <c r="CQ17" s="457"/>
      <c r="CR17" s="457"/>
      <c r="CS17" s="457"/>
      <c r="CT17" s="457"/>
      <c r="CU17" s="457"/>
      <c r="CV17" s="457"/>
      <c r="CW17" s="256">
        <v>85</v>
      </c>
      <c r="CX17" s="256"/>
      <c r="CY17" s="256"/>
      <c r="CZ17" s="256"/>
      <c r="DA17" s="256"/>
      <c r="DB17" s="256"/>
      <c r="DC17" s="256"/>
      <c r="DD17" s="257">
        <f t="shared" si="13"/>
        <v>88.333333333333329</v>
      </c>
      <c r="DE17" s="257">
        <f t="shared" si="14"/>
        <v>83.333333333333329</v>
      </c>
      <c r="DF17" s="257">
        <f t="shared" si="15"/>
        <v>88.333333333333329</v>
      </c>
      <c r="DG17" s="257" t="str">
        <f t="shared" si="16"/>
        <v/>
      </c>
      <c r="DH17" s="257" t="str">
        <f t="shared" si="17"/>
        <v/>
      </c>
      <c r="DI17" s="257" t="str">
        <f t="shared" si="18"/>
        <v/>
      </c>
      <c r="DJ17" s="257" t="str">
        <f t="shared" si="19"/>
        <v/>
      </c>
      <c r="DK17" s="756">
        <f t="shared" si="7"/>
        <v>87</v>
      </c>
      <c r="DL17" s="291" t="str">
        <f t="shared" si="20"/>
        <v>B</v>
      </c>
      <c r="DM17" s="243" t="str">
        <f t="shared" si="21"/>
        <v>Ananda Shulhan baik dalam menyajikan hasil analisis tentang peran ekonomi dalam upaya menyejahterakan kehidupan masyarakat di bidang sosial dan budaya untuk memperkuat kesatuan dan persatuan bangsa., baik dalam menyajikan hasil analisis tentang interaksi manusia dengan lingkungan dan pengaruhnya terhadap pembangunan sosial, budaya, dan ekonomi masyarakat Indonesia..</v>
      </c>
      <c r="DN17" s="39"/>
      <c r="DO17" s="39"/>
      <c r="DP17" s="257">
        <f t="shared" si="22"/>
        <v>90</v>
      </c>
      <c r="DQ17" s="257">
        <f t="shared" si="23"/>
        <v>75</v>
      </c>
      <c r="DR17" s="257">
        <f t="shared" si="24"/>
        <v>90</v>
      </c>
      <c r="DS17" s="257">
        <f t="shared" si="25"/>
        <v>0</v>
      </c>
      <c r="DT17" s="257">
        <f t="shared" si="26"/>
        <v>0</v>
      </c>
      <c r="DU17" s="257">
        <f t="shared" si="27"/>
        <v>0</v>
      </c>
      <c r="DV17" s="257">
        <f t="shared" si="28"/>
        <v>0</v>
      </c>
      <c r="DW17" s="257"/>
      <c r="DX17" s="257"/>
      <c r="DY17" s="257"/>
      <c r="DZ17" s="289">
        <f t="shared" si="29"/>
        <v>90</v>
      </c>
      <c r="EA17" s="257">
        <f t="shared" si="30"/>
        <v>85</v>
      </c>
      <c r="EB17" s="257">
        <f t="shared" si="31"/>
        <v>90</v>
      </c>
      <c r="EC17" s="257">
        <f t="shared" si="32"/>
        <v>85</v>
      </c>
      <c r="ED17" s="257">
        <f t="shared" si="33"/>
        <v>0</v>
      </c>
      <c r="EE17" s="257">
        <f t="shared" si="34"/>
        <v>0</v>
      </c>
      <c r="EF17" s="257">
        <f t="shared" si="35"/>
        <v>0</v>
      </c>
      <c r="EG17" s="257">
        <f t="shared" si="36"/>
        <v>0</v>
      </c>
      <c r="EH17" s="223"/>
      <c r="EI17" s="223"/>
      <c r="EJ17" s="223"/>
      <c r="EK17" s="289">
        <f t="shared" si="37"/>
        <v>90</v>
      </c>
      <c r="EL17" s="257">
        <f t="shared" si="38"/>
        <v>90</v>
      </c>
      <c r="EM17" s="257">
        <f t="shared" si="39"/>
        <v>85</v>
      </c>
      <c r="EN17" s="257">
        <f t="shared" si="40"/>
        <v>90</v>
      </c>
      <c r="EO17" s="257">
        <f t="shared" si="41"/>
        <v>0</v>
      </c>
      <c r="EP17" s="257">
        <f t="shared" si="42"/>
        <v>0</v>
      </c>
      <c r="EQ17" s="257">
        <f t="shared" si="43"/>
        <v>0</v>
      </c>
      <c r="ER17" s="257">
        <f t="shared" si="44"/>
        <v>0</v>
      </c>
      <c r="ES17" s="223"/>
      <c r="ET17" s="223"/>
      <c r="EU17" s="223"/>
      <c r="EV17" s="289">
        <f t="shared" si="45"/>
        <v>90</v>
      </c>
      <c r="EW17" s="257">
        <f t="shared" si="46"/>
        <v>90</v>
      </c>
      <c r="EX17" s="257">
        <f t="shared" si="47"/>
        <v>85</v>
      </c>
      <c r="EY17" s="257">
        <f t="shared" si="48"/>
        <v>90</v>
      </c>
      <c r="EZ17" s="575">
        <f t="shared" si="49"/>
        <v>0</v>
      </c>
      <c r="FA17" s="506">
        <f t="shared" si="50"/>
        <v>3</v>
      </c>
      <c r="FB17" s="39">
        <f t="shared" si="51"/>
        <v>88.333333333333329</v>
      </c>
      <c r="FC17" s="257">
        <f t="shared" si="52"/>
        <v>75</v>
      </c>
      <c r="FD17" s="257">
        <f t="shared" si="53"/>
        <v>90</v>
      </c>
      <c r="FE17" s="257">
        <f t="shared" si="54"/>
        <v>85</v>
      </c>
      <c r="FF17" s="575">
        <f t="shared" si="55"/>
        <v>0</v>
      </c>
      <c r="FG17" s="506">
        <f t="shared" si="56"/>
        <v>3</v>
      </c>
      <c r="FH17" s="39">
        <f t="shared" si="57"/>
        <v>83.333333333333329</v>
      </c>
      <c r="FI17" s="257">
        <f t="shared" si="58"/>
        <v>90</v>
      </c>
      <c r="FJ17" s="257">
        <f t="shared" si="59"/>
        <v>85</v>
      </c>
      <c r="FK17" s="257">
        <f t="shared" si="60"/>
        <v>90</v>
      </c>
      <c r="FL17" s="575">
        <f t="shared" si="61"/>
        <v>0</v>
      </c>
      <c r="FM17" s="506">
        <f t="shared" si="62"/>
        <v>3</v>
      </c>
      <c r="FN17" s="39">
        <f t="shared" si="63"/>
        <v>88.333333333333329</v>
      </c>
      <c r="FO17" s="257">
        <f t="shared" si="64"/>
        <v>0</v>
      </c>
      <c r="FP17" s="257">
        <f t="shared" si="65"/>
        <v>0</v>
      </c>
      <c r="FQ17" s="257">
        <f t="shared" si="66"/>
        <v>0</v>
      </c>
      <c r="FR17" s="575">
        <f t="shared" si="67"/>
        <v>3</v>
      </c>
      <c r="FS17" s="506">
        <f t="shared" si="68"/>
        <v>0</v>
      </c>
      <c r="FT17" s="39" t="str">
        <f t="shared" si="69"/>
        <v/>
      </c>
      <c r="FU17" s="257">
        <f t="shared" si="70"/>
        <v>0</v>
      </c>
      <c r="FV17" s="257">
        <f t="shared" si="71"/>
        <v>0</v>
      </c>
      <c r="FW17" s="257">
        <f t="shared" si="72"/>
        <v>0</v>
      </c>
      <c r="FX17" s="575">
        <f t="shared" si="73"/>
        <v>3</v>
      </c>
      <c r="FY17" s="506">
        <f t="shared" si="74"/>
        <v>0</v>
      </c>
      <c r="FZ17" s="39" t="str">
        <f t="shared" si="75"/>
        <v/>
      </c>
      <c r="GA17" s="257">
        <f t="shared" si="76"/>
        <v>0</v>
      </c>
      <c r="GB17" s="257">
        <f t="shared" si="77"/>
        <v>0</v>
      </c>
      <c r="GC17" s="257">
        <f t="shared" si="78"/>
        <v>0</v>
      </c>
      <c r="GD17" s="575">
        <f t="shared" si="79"/>
        <v>3</v>
      </c>
      <c r="GE17" s="506">
        <f t="shared" si="80"/>
        <v>0</v>
      </c>
      <c r="GF17" s="39" t="str">
        <f t="shared" si="81"/>
        <v/>
      </c>
      <c r="GG17" s="257">
        <f t="shared" si="82"/>
        <v>0</v>
      </c>
      <c r="GH17" s="257">
        <f t="shared" si="83"/>
        <v>0</v>
      </c>
      <c r="GI17" s="257">
        <f t="shared" si="84"/>
        <v>0</v>
      </c>
      <c r="GJ17" s="575">
        <f t="shared" si="85"/>
        <v>3</v>
      </c>
      <c r="GK17" s="506">
        <f t="shared" si="86"/>
        <v>0</v>
      </c>
      <c r="GL17" s="39" t="str">
        <f t="shared" si="87"/>
        <v/>
      </c>
      <c r="GM17" s="39"/>
      <c r="GN17" s="39">
        <f t="shared" si="88"/>
        <v>88.333333333333329</v>
      </c>
      <c r="GO17" s="39">
        <f t="shared" si="89"/>
        <v>83.333333333333329</v>
      </c>
      <c r="GP17" s="39">
        <f t="shared" si="90"/>
        <v>88.333333333333329</v>
      </c>
      <c r="GQ17" s="39" t="str">
        <f t="shared" si="91"/>
        <v/>
      </c>
      <c r="GR17" s="39" t="str">
        <f t="shared" si="92"/>
        <v/>
      </c>
      <c r="GS17" s="39" t="str">
        <f t="shared" si="93"/>
        <v/>
      </c>
      <c r="GT17" s="257" t="str">
        <f t="shared" si="94"/>
        <v/>
      </c>
      <c r="GU17" s="579">
        <f t="shared" si="95"/>
        <v>87</v>
      </c>
      <c r="GV17" s="289">
        <f t="shared" si="96"/>
        <v>88.333333333333329</v>
      </c>
      <c r="GW17" s="289">
        <f t="shared" si="97"/>
        <v>83.333333333333329</v>
      </c>
      <c r="GX17" s="223" t="str">
        <f>SISWA!E15</f>
        <v>Shulhan</v>
      </c>
      <c r="GY17" s="223" t="str">
        <f t="shared" si="98"/>
        <v xml:space="preserve">Ananda Shulhan </v>
      </c>
      <c r="GZ17" s="580">
        <f t="shared" si="99"/>
        <v>88.333333333333329</v>
      </c>
      <c r="HA17" s="580" t="str">
        <f t="shared" si="100"/>
        <v/>
      </c>
      <c r="HB17" s="580">
        <f t="shared" si="101"/>
        <v>88.333333333333329</v>
      </c>
      <c r="HC17" s="580" t="str">
        <f t="shared" si="102"/>
        <v/>
      </c>
      <c r="HD17" s="580" t="str">
        <f t="shared" si="103"/>
        <v/>
      </c>
      <c r="HE17" s="580" t="str">
        <f t="shared" si="104"/>
        <v/>
      </c>
      <c r="HF17" s="580" t="str">
        <f t="shared" si="105"/>
        <v/>
      </c>
      <c r="HG17" s="580"/>
      <c r="HH17" s="580"/>
      <c r="HI17" s="580"/>
      <c r="HJ17" s="580"/>
      <c r="HK17" s="223">
        <f t="shared" si="106"/>
        <v>176.66666666666666</v>
      </c>
      <c r="HL17" s="289" t="str">
        <f t="shared" si="107"/>
        <v>menyajikan hasil analisis tentang peran ekonomi dalam upaya menyejahterakan kehidupan masyarakat di bidang sosial dan budaya untuk memperkuat kesatuan dan persatuan bangsa.</v>
      </c>
      <c r="HM17" s="576" t="str">
        <f>IF(GV17&gt;100,"",IF(GV17&gt;DP$1,"sangat baik dalam "&amp;HL17,IF(GV17&gt;=DP$2,"baik dalam "&amp;HL17,IF(GV17&gt;=DP$3,"cukup dalam "&amp;HL17,IF(GV17&lt;DP$3,"dengan bimbingan dapat meningkatkan dalam "&amp;HL17,IF(GV17&lt;1," ",””))))))</f>
        <v>baik dalam menyajikan hasil analisis tentang peran ekonomi dalam upaya menyejahterakan kehidupan masyarakat di bidang sosial dan budaya untuk memperkuat kesatuan dan persatuan bangsa.</v>
      </c>
      <c r="HN17" s="223"/>
      <c r="HO17" s="223" t="str">
        <f t="shared" si="108"/>
        <v/>
      </c>
      <c r="HP17" s="223">
        <f t="shared" si="109"/>
        <v>83.333333333333329</v>
      </c>
      <c r="HQ17" s="223" t="str">
        <f t="shared" si="110"/>
        <v/>
      </c>
      <c r="HR17" s="223" t="str">
        <f t="shared" si="111"/>
        <v/>
      </c>
      <c r="HS17" s="223" t="str">
        <f t="shared" si="112"/>
        <v/>
      </c>
      <c r="HT17" s="223" t="str">
        <f t="shared" si="113"/>
        <v/>
      </c>
      <c r="HU17" s="223" t="str">
        <f t="shared" si="114"/>
        <v/>
      </c>
      <c r="HV17" s="223"/>
      <c r="HW17" s="223"/>
      <c r="HX17" s="223"/>
      <c r="HY17" s="223"/>
      <c r="HZ17" s="223" t="str">
        <f t="shared" si="115"/>
        <v>menyajikan hasil analisis tentang interaksi manusia dengan lingkungan dan pengaruhnya terhadap pembangunan sosial, budaya, dan ekonomi masyarakat Indonesia.</v>
      </c>
      <c r="IA17" s="577" t="str">
        <f>IF(GW17&gt;100,"",IF(GW17&gt;=DP$1,"sangat baik dalam "&amp;HZ17,IF(GW17&gt;=DP$2,"baik dalam "&amp;HZ17,IF(GW17&gt;=DP$3,"cukup dalam "&amp;HZ17,IF(GW17&lt;DP$3,"dengan bimbingan dapat meningkatkan dalam "&amp;HZ17,IF(GW17&lt;1," ",””))))))</f>
        <v>baik dalam menyajikan hasil analisis tentang interaksi manusia dengan lingkungan dan pengaruhnya terhadap pembangunan sosial, budaya, dan ekonomi masyarakat Indonesia.</v>
      </c>
      <c r="IB17" s="223" t="str">
        <f t="shared" si="116"/>
        <v>Ananda Shulhan baik dalam menyajikan hasil analisis tentang peran ekonomi dalam upaya menyejahterakan kehidupan masyarakat di bidang sosial dan budaya untuk memperkuat kesatuan dan persatuan bangsa., baik dalam menyajikan hasil analisis tentang interaksi manusia dengan lingkungan dan pengaruhnya terhadap pembangunan sosial, budaya, dan ekonomi masyarakat Indonesia..</v>
      </c>
    </row>
    <row r="18" spans="1:236" ht="30" customHeight="1">
      <c r="A18" s="39">
        <v>11</v>
      </c>
      <c r="B18" s="223" t="str">
        <f>SISWA!B16</f>
        <v>Novaris Dwi Firmansyah</v>
      </c>
      <c r="C18" s="123">
        <v>90</v>
      </c>
      <c r="D18" s="123"/>
      <c r="E18" s="123"/>
      <c r="F18" s="123"/>
      <c r="G18" s="123"/>
      <c r="H18" s="123"/>
      <c r="I18" s="123"/>
      <c r="J18" s="255">
        <v>90</v>
      </c>
      <c r="K18" s="255"/>
      <c r="L18" s="255"/>
      <c r="M18" s="255"/>
      <c r="N18" s="255"/>
      <c r="O18" s="255"/>
      <c r="P18" s="255"/>
      <c r="Q18" s="256">
        <v>90</v>
      </c>
      <c r="R18" s="256"/>
      <c r="S18" s="256"/>
      <c r="T18" s="256"/>
      <c r="U18" s="256"/>
      <c r="V18" s="256"/>
      <c r="W18" s="256"/>
      <c r="X18" s="123"/>
      <c r="Y18" s="123"/>
      <c r="Z18" s="123">
        <v>90</v>
      </c>
      <c r="AA18" s="123"/>
      <c r="AB18" s="123"/>
      <c r="AC18" s="123"/>
      <c r="AD18" s="123"/>
      <c r="AE18" s="255"/>
      <c r="AF18" s="255"/>
      <c r="AG18" s="255">
        <v>80</v>
      </c>
      <c r="AH18" s="255"/>
      <c r="AI18" s="255"/>
      <c r="AJ18" s="255"/>
      <c r="AK18" s="255"/>
      <c r="AL18" s="256"/>
      <c r="AM18" s="256"/>
      <c r="AN18" s="256">
        <v>90</v>
      </c>
      <c r="AO18" s="256"/>
      <c r="AP18" s="256"/>
      <c r="AQ18" s="256"/>
      <c r="AR18" s="256"/>
      <c r="AS18" s="123"/>
      <c r="AT18" s="123">
        <v>75</v>
      </c>
      <c r="AU18" s="123"/>
      <c r="AV18" s="123"/>
      <c r="AW18" s="123"/>
      <c r="AX18" s="123"/>
      <c r="AY18" s="123"/>
      <c r="AZ18" s="255"/>
      <c r="BA18" s="255">
        <v>75</v>
      </c>
      <c r="BB18" s="255"/>
      <c r="BC18" s="255"/>
      <c r="BD18" s="255"/>
      <c r="BE18" s="255"/>
      <c r="BF18" s="255"/>
      <c r="BG18" s="256"/>
      <c r="BH18" s="256">
        <v>85</v>
      </c>
      <c r="BI18" s="256"/>
      <c r="BJ18" s="256"/>
      <c r="BK18" s="256"/>
      <c r="BL18" s="256"/>
      <c r="BM18" s="256"/>
      <c r="BN18" s="123"/>
      <c r="BO18" s="123"/>
      <c r="BP18" s="123">
        <v>75</v>
      </c>
      <c r="BQ18" s="123"/>
      <c r="BR18" s="123"/>
      <c r="BS18" s="123"/>
      <c r="BT18" s="123"/>
      <c r="BU18" s="255"/>
      <c r="BV18" s="255"/>
      <c r="BW18" s="255">
        <v>75</v>
      </c>
      <c r="BX18" s="255"/>
      <c r="BY18" s="255"/>
      <c r="BZ18" s="255"/>
      <c r="CA18" s="255"/>
      <c r="CB18" s="256"/>
      <c r="CC18" s="256"/>
      <c r="CD18" s="256">
        <v>85</v>
      </c>
      <c r="CE18" s="256"/>
      <c r="CF18" s="256"/>
      <c r="CG18" s="256"/>
      <c r="CH18" s="256"/>
      <c r="CI18" s="458">
        <v>80</v>
      </c>
      <c r="CJ18" s="458"/>
      <c r="CK18" s="458"/>
      <c r="CL18" s="458"/>
      <c r="CM18" s="458"/>
      <c r="CN18" s="458"/>
      <c r="CO18" s="458"/>
      <c r="CP18" s="457">
        <v>75</v>
      </c>
      <c r="CQ18" s="457"/>
      <c r="CR18" s="457"/>
      <c r="CS18" s="457"/>
      <c r="CT18" s="457"/>
      <c r="CU18" s="457"/>
      <c r="CV18" s="457"/>
      <c r="CW18" s="256">
        <v>80</v>
      </c>
      <c r="CX18" s="256"/>
      <c r="CY18" s="256"/>
      <c r="CZ18" s="256"/>
      <c r="DA18" s="256"/>
      <c r="DB18" s="256"/>
      <c r="DC18" s="256"/>
      <c r="DD18" s="257">
        <f t="shared" si="13"/>
        <v>90</v>
      </c>
      <c r="DE18" s="257">
        <f t="shared" si="14"/>
        <v>78.333333333333329</v>
      </c>
      <c r="DF18" s="257">
        <f t="shared" si="15"/>
        <v>86.666666666666671</v>
      </c>
      <c r="DG18" s="257" t="str">
        <f t="shared" si="16"/>
        <v/>
      </c>
      <c r="DH18" s="257" t="str">
        <f t="shared" si="17"/>
        <v/>
      </c>
      <c r="DI18" s="257" t="str">
        <f t="shared" si="18"/>
        <v/>
      </c>
      <c r="DJ18" s="257" t="str">
        <f t="shared" si="19"/>
        <v/>
      </c>
      <c r="DK18" s="756">
        <f t="shared" si="7"/>
        <v>85</v>
      </c>
      <c r="DL18" s="291" t="str">
        <f t="shared" si="20"/>
        <v>B</v>
      </c>
      <c r="DM18" s="243" t="str">
        <f t="shared" si="21"/>
        <v>Ananda Varis baik dalam menyajikan hasil identifikasi karakteristik geografis Indonesia sebagai negara kepulauan/maritim dan agraris serta pengaruhnya terhadap kehidupan ekonomi, sosial, budaya, komunikasi, serta transportasi., cukup dalam menyajikan hasil analisis tentang interaksi manusia dengan lingkungan dan pengaruhnya terhadap pembangunan sosial, budaya, dan ekonomi masyarakat Indonesia..</v>
      </c>
      <c r="DN18" s="39"/>
      <c r="DO18" s="39"/>
      <c r="DP18" s="257">
        <f t="shared" si="22"/>
        <v>90</v>
      </c>
      <c r="DQ18" s="257">
        <f t="shared" si="23"/>
        <v>75</v>
      </c>
      <c r="DR18" s="257">
        <f t="shared" si="24"/>
        <v>90</v>
      </c>
      <c r="DS18" s="257">
        <f t="shared" si="25"/>
        <v>0</v>
      </c>
      <c r="DT18" s="257">
        <f t="shared" si="26"/>
        <v>0</v>
      </c>
      <c r="DU18" s="257">
        <f t="shared" si="27"/>
        <v>0</v>
      </c>
      <c r="DV18" s="257">
        <f t="shared" si="28"/>
        <v>0</v>
      </c>
      <c r="DW18" s="257"/>
      <c r="DX18" s="257"/>
      <c r="DY18" s="257"/>
      <c r="DZ18" s="289">
        <f t="shared" si="29"/>
        <v>90</v>
      </c>
      <c r="EA18" s="257">
        <f t="shared" si="30"/>
        <v>90</v>
      </c>
      <c r="EB18" s="257">
        <f t="shared" si="31"/>
        <v>75</v>
      </c>
      <c r="EC18" s="257">
        <f t="shared" si="32"/>
        <v>80</v>
      </c>
      <c r="ED18" s="257">
        <f t="shared" si="33"/>
        <v>0</v>
      </c>
      <c r="EE18" s="257">
        <f t="shared" si="34"/>
        <v>0</v>
      </c>
      <c r="EF18" s="257">
        <f t="shared" si="35"/>
        <v>0</v>
      </c>
      <c r="EG18" s="257">
        <f t="shared" si="36"/>
        <v>0</v>
      </c>
      <c r="EH18" s="223"/>
      <c r="EI18" s="223"/>
      <c r="EJ18" s="223"/>
      <c r="EK18" s="289">
        <f t="shared" si="37"/>
        <v>90</v>
      </c>
      <c r="EL18" s="257">
        <f t="shared" si="38"/>
        <v>90</v>
      </c>
      <c r="EM18" s="257">
        <f t="shared" si="39"/>
        <v>85</v>
      </c>
      <c r="EN18" s="257">
        <f t="shared" si="40"/>
        <v>90</v>
      </c>
      <c r="EO18" s="257">
        <f t="shared" si="41"/>
        <v>0</v>
      </c>
      <c r="EP18" s="257">
        <f t="shared" si="42"/>
        <v>0</v>
      </c>
      <c r="EQ18" s="257">
        <f t="shared" si="43"/>
        <v>0</v>
      </c>
      <c r="ER18" s="257">
        <f t="shared" si="44"/>
        <v>0</v>
      </c>
      <c r="ES18" s="223"/>
      <c r="ET18" s="223"/>
      <c r="EU18" s="223"/>
      <c r="EV18" s="289">
        <f t="shared" si="45"/>
        <v>90</v>
      </c>
      <c r="EW18" s="257">
        <f t="shared" si="46"/>
        <v>90</v>
      </c>
      <c r="EX18" s="257">
        <f t="shared" si="47"/>
        <v>90</v>
      </c>
      <c r="EY18" s="257">
        <f t="shared" si="48"/>
        <v>90</v>
      </c>
      <c r="EZ18" s="575">
        <f t="shared" si="49"/>
        <v>0</v>
      </c>
      <c r="FA18" s="506">
        <f t="shared" si="50"/>
        <v>3</v>
      </c>
      <c r="FB18" s="39">
        <f t="shared" si="51"/>
        <v>90</v>
      </c>
      <c r="FC18" s="257">
        <f t="shared" si="52"/>
        <v>75</v>
      </c>
      <c r="FD18" s="257">
        <f t="shared" si="53"/>
        <v>75</v>
      </c>
      <c r="FE18" s="257">
        <f t="shared" si="54"/>
        <v>85</v>
      </c>
      <c r="FF18" s="575">
        <f t="shared" si="55"/>
        <v>0</v>
      </c>
      <c r="FG18" s="506">
        <f t="shared" si="56"/>
        <v>3</v>
      </c>
      <c r="FH18" s="39">
        <f t="shared" si="57"/>
        <v>78.333333333333329</v>
      </c>
      <c r="FI18" s="257">
        <f t="shared" si="58"/>
        <v>90</v>
      </c>
      <c r="FJ18" s="257">
        <f t="shared" si="59"/>
        <v>80</v>
      </c>
      <c r="FK18" s="257">
        <f t="shared" si="60"/>
        <v>90</v>
      </c>
      <c r="FL18" s="575">
        <f t="shared" si="61"/>
        <v>0</v>
      </c>
      <c r="FM18" s="506">
        <f t="shared" si="62"/>
        <v>3</v>
      </c>
      <c r="FN18" s="39">
        <f t="shared" si="63"/>
        <v>86.666666666666671</v>
      </c>
      <c r="FO18" s="257">
        <f t="shared" si="64"/>
        <v>0</v>
      </c>
      <c r="FP18" s="257">
        <f t="shared" si="65"/>
        <v>0</v>
      </c>
      <c r="FQ18" s="257">
        <f t="shared" si="66"/>
        <v>0</v>
      </c>
      <c r="FR18" s="575">
        <f t="shared" si="67"/>
        <v>3</v>
      </c>
      <c r="FS18" s="506">
        <f t="shared" si="68"/>
        <v>0</v>
      </c>
      <c r="FT18" s="39" t="str">
        <f t="shared" si="69"/>
        <v/>
      </c>
      <c r="FU18" s="257">
        <f t="shared" si="70"/>
        <v>0</v>
      </c>
      <c r="FV18" s="257">
        <f t="shared" si="71"/>
        <v>0</v>
      </c>
      <c r="FW18" s="257">
        <f t="shared" si="72"/>
        <v>0</v>
      </c>
      <c r="FX18" s="575">
        <f t="shared" si="73"/>
        <v>3</v>
      </c>
      <c r="FY18" s="506">
        <f t="shared" si="74"/>
        <v>0</v>
      </c>
      <c r="FZ18" s="39" t="str">
        <f t="shared" si="75"/>
        <v/>
      </c>
      <c r="GA18" s="257">
        <f t="shared" si="76"/>
        <v>0</v>
      </c>
      <c r="GB18" s="257">
        <f t="shared" si="77"/>
        <v>0</v>
      </c>
      <c r="GC18" s="257">
        <f t="shared" si="78"/>
        <v>0</v>
      </c>
      <c r="GD18" s="575">
        <f t="shared" si="79"/>
        <v>3</v>
      </c>
      <c r="GE18" s="506">
        <f t="shared" si="80"/>
        <v>0</v>
      </c>
      <c r="GF18" s="39" t="str">
        <f t="shared" si="81"/>
        <v/>
      </c>
      <c r="GG18" s="257">
        <f t="shared" si="82"/>
        <v>0</v>
      </c>
      <c r="GH18" s="257">
        <f t="shared" si="83"/>
        <v>0</v>
      </c>
      <c r="GI18" s="257">
        <f t="shared" si="84"/>
        <v>0</v>
      </c>
      <c r="GJ18" s="575">
        <f t="shared" si="85"/>
        <v>3</v>
      </c>
      <c r="GK18" s="506">
        <f t="shared" si="86"/>
        <v>0</v>
      </c>
      <c r="GL18" s="39" t="str">
        <f t="shared" si="87"/>
        <v/>
      </c>
      <c r="GM18" s="39"/>
      <c r="GN18" s="39">
        <f t="shared" si="88"/>
        <v>90</v>
      </c>
      <c r="GO18" s="39">
        <f t="shared" si="89"/>
        <v>78.333333333333329</v>
      </c>
      <c r="GP18" s="39">
        <f t="shared" si="90"/>
        <v>86.666666666666671</v>
      </c>
      <c r="GQ18" s="39" t="str">
        <f t="shared" si="91"/>
        <v/>
      </c>
      <c r="GR18" s="39" t="str">
        <f t="shared" si="92"/>
        <v/>
      </c>
      <c r="GS18" s="39" t="str">
        <f t="shared" si="93"/>
        <v/>
      </c>
      <c r="GT18" s="257" t="str">
        <f t="shared" si="94"/>
        <v/>
      </c>
      <c r="GU18" s="579">
        <f t="shared" si="95"/>
        <v>85</v>
      </c>
      <c r="GV18" s="289">
        <f t="shared" si="96"/>
        <v>90</v>
      </c>
      <c r="GW18" s="289">
        <f t="shared" si="97"/>
        <v>78.333333333333329</v>
      </c>
      <c r="GX18" s="223" t="str">
        <f>SISWA!E16</f>
        <v>Varis</v>
      </c>
      <c r="GY18" s="223" t="str">
        <f t="shared" si="98"/>
        <v xml:space="preserve">Ananda Varis </v>
      </c>
      <c r="GZ18" s="580">
        <f t="shared" si="99"/>
        <v>90</v>
      </c>
      <c r="HA18" s="580" t="str">
        <f t="shared" si="100"/>
        <v/>
      </c>
      <c r="HB18" s="580" t="str">
        <f t="shared" si="101"/>
        <v/>
      </c>
      <c r="HC18" s="580" t="str">
        <f t="shared" si="102"/>
        <v/>
      </c>
      <c r="HD18" s="580" t="str">
        <f t="shared" si="103"/>
        <v/>
      </c>
      <c r="HE18" s="580" t="str">
        <f t="shared" si="104"/>
        <v/>
      </c>
      <c r="HF18" s="580" t="str">
        <f t="shared" si="105"/>
        <v/>
      </c>
      <c r="HG18" s="580"/>
      <c r="HH18" s="580"/>
      <c r="HI18" s="580"/>
      <c r="HJ18" s="580"/>
      <c r="HK18" s="223">
        <f t="shared" si="106"/>
        <v>90</v>
      </c>
      <c r="HL18" s="289" t="str">
        <f t="shared" si="107"/>
        <v>menyajikan hasil identifikasi karakteristik geografis Indonesia sebagai negara kepulauan/maritim dan agraris serta pengaruhnya terhadap kehidupan ekonomi, sosial, budaya, komunikasi, serta transportasi.</v>
      </c>
      <c r="HM18" s="576" t="str">
        <f>IF(GV18&gt;100,"",IF(GV18&gt;DP$1,"sangat baik dalam "&amp;HL18,IF(GV18&gt;=DP$2,"baik dalam "&amp;HL18,IF(GV18&gt;=DP$3,"cukup dalam "&amp;HL18,IF(GV18&lt;DP$3,"dengan bimbingan dapat meningkatkan dalam "&amp;HL18,IF(GV18&lt;1," ",””))))))</f>
        <v>baik dalam menyajikan hasil identifikasi karakteristik geografis Indonesia sebagai negara kepulauan/maritim dan agraris serta pengaruhnya terhadap kehidupan ekonomi, sosial, budaya, komunikasi, serta transportasi.</v>
      </c>
      <c r="HN18" s="223"/>
      <c r="HO18" s="223" t="str">
        <f t="shared" si="108"/>
        <v/>
      </c>
      <c r="HP18" s="223">
        <f t="shared" si="109"/>
        <v>78.333333333333329</v>
      </c>
      <c r="HQ18" s="223" t="str">
        <f t="shared" si="110"/>
        <v/>
      </c>
      <c r="HR18" s="223" t="str">
        <f t="shared" si="111"/>
        <v/>
      </c>
      <c r="HS18" s="223" t="str">
        <f t="shared" si="112"/>
        <v/>
      </c>
      <c r="HT18" s="223" t="str">
        <f t="shared" si="113"/>
        <v/>
      </c>
      <c r="HU18" s="223" t="str">
        <f t="shared" si="114"/>
        <v/>
      </c>
      <c r="HV18" s="223"/>
      <c r="HW18" s="223"/>
      <c r="HX18" s="223"/>
      <c r="HY18" s="223"/>
      <c r="HZ18" s="223" t="str">
        <f t="shared" si="115"/>
        <v>menyajikan hasil analisis tentang interaksi manusia dengan lingkungan dan pengaruhnya terhadap pembangunan sosial, budaya, dan ekonomi masyarakat Indonesia.</v>
      </c>
      <c r="IA18" s="577" t="str">
        <f>IF(GW18&gt;100,"",IF(GW18&gt;=DP$1,"sangat baik dalam "&amp;HZ18,IF(GW18&gt;=DP$2,"baik dalam "&amp;HZ18,IF(GW18&gt;=DP$3,"cukup dalam "&amp;HZ18,IF(GW18&lt;DP$3,"dengan bimbingan dapat meningkatkan dalam "&amp;HZ18,IF(GW18&lt;1," ",””))))))</f>
        <v>cukup dalam menyajikan hasil analisis tentang interaksi manusia dengan lingkungan dan pengaruhnya terhadap pembangunan sosial, budaya, dan ekonomi masyarakat Indonesia.</v>
      </c>
      <c r="IB18" s="223" t="str">
        <f t="shared" si="116"/>
        <v>Ananda Varis baik dalam menyajikan hasil identifikasi karakteristik geografis Indonesia sebagai negara kepulauan/maritim dan agraris serta pengaruhnya terhadap kehidupan ekonomi, sosial, budaya, komunikasi, serta transportasi., cukup dalam menyajikan hasil analisis tentang interaksi manusia dengan lingkungan dan pengaruhnya terhadap pembangunan sosial, budaya, dan ekonomi masyarakat Indonesia..</v>
      </c>
    </row>
    <row r="19" spans="1:236" ht="30" customHeight="1">
      <c r="A19" s="39">
        <v>12</v>
      </c>
      <c r="B19" s="223" t="str">
        <f>SISWA!B17</f>
        <v>Oktafiya Duwi Safitri</v>
      </c>
      <c r="C19" s="123">
        <v>75</v>
      </c>
      <c r="D19" s="123"/>
      <c r="E19" s="123"/>
      <c r="F19" s="123"/>
      <c r="G19" s="123"/>
      <c r="H19" s="123"/>
      <c r="I19" s="123"/>
      <c r="J19" s="255">
        <v>75</v>
      </c>
      <c r="K19" s="255"/>
      <c r="L19" s="255"/>
      <c r="M19" s="255"/>
      <c r="N19" s="255"/>
      <c r="O19" s="255"/>
      <c r="P19" s="255"/>
      <c r="Q19" s="256">
        <v>75</v>
      </c>
      <c r="R19" s="256"/>
      <c r="S19" s="256"/>
      <c r="T19" s="256"/>
      <c r="U19" s="256"/>
      <c r="V19" s="256"/>
      <c r="W19" s="256"/>
      <c r="X19" s="123"/>
      <c r="Y19" s="123"/>
      <c r="Z19" s="123">
        <v>75</v>
      </c>
      <c r="AA19" s="123"/>
      <c r="AB19" s="123"/>
      <c r="AC19" s="123"/>
      <c r="AD19" s="123"/>
      <c r="AE19" s="255"/>
      <c r="AF19" s="255"/>
      <c r="AG19" s="255">
        <v>75</v>
      </c>
      <c r="AH19" s="255"/>
      <c r="AI19" s="255"/>
      <c r="AJ19" s="255"/>
      <c r="AK19" s="255"/>
      <c r="AL19" s="256"/>
      <c r="AM19" s="256"/>
      <c r="AN19" s="256">
        <v>75</v>
      </c>
      <c r="AO19" s="256"/>
      <c r="AP19" s="256"/>
      <c r="AQ19" s="256"/>
      <c r="AR19" s="256"/>
      <c r="AS19" s="123"/>
      <c r="AT19" s="123">
        <v>75</v>
      </c>
      <c r="AU19" s="123"/>
      <c r="AV19" s="123"/>
      <c r="AW19" s="123"/>
      <c r="AX19" s="123"/>
      <c r="AY19" s="123"/>
      <c r="AZ19" s="255"/>
      <c r="BA19" s="255">
        <v>75</v>
      </c>
      <c r="BB19" s="255"/>
      <c r="BC19" s="255"/>
      <c r="BD19" s="255"/>
      <c r="BE19" s="255"/>
      <c r="BF19" s="255"/>
      <c r="BG19" s="256"/>
      <c r="BH19" s="256">
        <v>75</v>
      </c>
      <c r="BI19" s="256"/>
      <c r="BJ19" s="256"/>
      <c r="BK19" s="256"/>
      <c r="BL19" s="256"/>
      <c r="BM19" s="256"/>
      <c r="BN19" s="123"/>
      <c r="BO19" s="123"/>
      <c r="BP19" s="123">
        <v>75</v>
      </c>
      <c r="BQ19" s="123"/>
      <c r="BR19" s="123"/>
      <c r="BS19" s="123"/>
      <c r="BT19" s="123"/>
      <c r="BU19" s="255"/>
      <c r="BV19" s="255"/>
      <c r="BW19" s="255">
        <v>75</v>
      </c>
      <c r="BX19" s="255"/>
      <c r="BY19" s="255"/>
      <c r="BZ19" s="255"/>
      <c r="CA19" s="255"/>
      <c r="CB19" s="256"/>
      <c r="CC19" s="256"/>
      <c r="CD19" s="256">
        <v>75</v>
      </c>
      <c r="CE19" s="256"/>
      <c r="CF19" s="256"/>
      <c r="CG19" s="256"/>
      <c r="CH19" s="256"/>
      <c r="CI19" s="458">
        <v>75</v>
      </c>
      <c r="CJ19" s="458"/>
      <c r="CK19" s="458"/>
      <c r="CL19" s="458"/>
      <c r="CM19" s="458"/>
      <c r="CN19" s="458"/>
      <c r="CO19" s="458"/>
      <c r="CP19" s="457">
        <v>75</v>
      </c>
      <c r="CQ19" s="457"/>
      <c r="CR19" s="457"/>
      <c r="CS19" s="457"/>
      <c r="CT19" s="457"/>
      <c r="CU19" s="457"/>
      <c r="CV19" s="457"/>
      <c r="CW19" s="256">
        <v>80</v>
      </c>
      <c r="CX19" s="256"/>
      <c r="CY19" s="256"/>
      <c r="CZ19" s="256"/>
      <c r="DA19" s="256"/>
      <c r="DB19" s="256"/>
      <c r="DC19" s="256"/>
      <c r="DD19" s="257">
        <f t="shared" si="13"/>
        <v>76.666666666666671</v>
      </c>
      <c r="DE19" s="257">
        <f t="shared" si="14"/>
        <v>75</v>
      </c>
      <c r="DF19" s="257">
        <f t="shared" si="15"/>
        <v>75</v>
      </c>
      <c r="DG19" s="257" t="str">
        <f t="shared" si="16"/>
        <v/>
      </c>
      <c r="DH19" s="257" t="str">
        <f t="shared" si="17"/>
        <v/>
      </c>
      <c r="DI19" s="257" t="str">
        <f t="shared" si="18"/>
        <v/>
      </c>
      <c r="DJ19" s="257" t="str">
        <f t="shared" si="19"/>
        <v/>
      </c>
      <c r="DK19" s="756">
        <f t="shared" si="7"/>
        <v>76</v>
      </c>
      <c r="DL19" s="291" t="str">
        <f t="shared" si="20"/>
        <v>C</v>
      </c>
      <c r="DM19" s="243" t="str">
        <f t="shared" si="21"/>
        <v>Ananda Fitri cukup dalam menyajikan hasil identifikasi karakteristik geografis Indonesia sebagai negara kepulauan/maritim dan agraris serta pengaruhnya terhadap kehidupan ekonomi, sosial, budaya, komunikasi, serta transportasi., cukup dalam menyajikan hasil analisis tentang peran ekonomi dalam upaya menyejahterakan kehidupan masyarakat di bidang sosial dan budaya untuk memperkuat kesatuan dan persatuan bangsa..</v>
      </c>
      <c r="DN19" s="39"/>
      <c r="DO19" s="39"/>
      <c r="DP19" s="257">
        <f t="shared" si="22"/>
        <v>75</v>
      </c>
      <c r="DQ19" s="257">
        <f t="shared" si="23"/>
        <v>75</v>
      </c>
      <c r="DR19" s="257">
        <f t="shared" si="24"/>
        <v>75</v>
      </c>
      <c r="DS19" s="257">
        <f t="shared" si="25"/>
        <v>0</v>
      </c>
      <c r="DT19" s="257">
        <f t="shared" si="26"/>
        <v>0</v>
      </c>
      <c r="DU19" s="257">
        <f t="shared" si="27"/>
        <v>0</v>
      </c>
      <c r="DV19" s="257">
        <f t="shared" si="28"/>
        <v>0</v>
      </c>
      <c r="DW19" s="257"/>
      <c r="DX19" s="257"/>
      <c r="DY19" s="257"/>
      <c r="DZ19" s="289">
        <f t="shared" si="29"/>
        <v>75</v>
      </c>
      <c r="EA19" s="257">
        <f t="shared" si="30"/>
        <v>75</v>
      </c>
      <c r="EB19" s="257">
        <f t="shared" si="31"/>
        <v>75</v>
      </c>
      <c r="EC19" s="257">
        <f t="shared" si="32"/>
        <v>75</v>
      </c>
      <c r="ED19" s="257">
        <f t="shared" si="33"/>
        <v>0</v>
      </c>
      <c r="EE19" s="257">
        <f t="shared" si="34"/>
        <v>0</v>
      </c>
      <c r="EF19" s="257">
        <f t="shared" si="35"/>
        <v>0</v>
      </c>
      <c r="EG19" s="257">
        <f t="shared" si="36"/>
        <v>0</v>
      </c>
      <c r="EH19" s="223"/>
      <c r="EI19" s="223"/>
      <c r="EJ19" s="223"/>
      <c r="EK19" s="289">
        <f t="shared" si="37"/>
        <v>75</v>
      </c>
      <c r="EL19" s="257">
        <f t="shared" si="38"/>
        <v>80</v>
      </c>
      <c r="EM19" s="257">
        <f t="shared" si="39"/>
        <v>75</v>
      </c>
      <c r="EN19" s="257">
        <f t="shared" si="40"/>
        <v>75</v>
      </c>
      <c r="EO19" s="257">
        <f t="shared" si="41"/>
        <v>0</v>
      </c>
      <c r="EP19" s="257">
        <f t="shared" si="42"/>
        <v>0</v>
      </c>
      <c r="EQ19" s="257">
        <f t="shared" si="43"/>
        <v>0</v>
      </c>
      <c r="ER19" s="257">
        <f t="shared" si="44"/>
        <v>0</v>
      </c>
      <c r="ES19" s="223"/>
      <c r="ET19" s="223"/>
      <c r="EU19" s="223"/>
      <c r="EV19" s="289">
        <f t="shared" si="45"/>
        <v>80</v>
      </c>
      <c r="EW19" s="257">
        <f t="shared" si="46"/>
        <v>75</v>
      </c>
      <c r="EX19" s="257">
        <f t="shared" si="47"/>
        <v>75</v>
      </c>
      <c r="EY19" s="257">
        <f t="shared" si="48"/>
        <v>80</v>
      </c>
      <c r="EZ19" s="575">
        <f t="shared" si="49"/>
        <v>0</v>
      </c>
      <c r="FA19" s="506">
        <f t="shared" si="50"/>
        <v>3</v>
      </c>
      <c r="FB19" s="39">
        <f t="shared" si="51"/>
        <v>76.666666666666671</v>
      </c>
      <c r="FC19" s="257">
        <f t="shared" si="52"/>
        <v>75</v>
      </c>
      <c r="FD19" s="257">
        <f t="shared" si="53"/>
        <v>75</v>
      </c>
      <c r="FE19" s="257">
        <f t="shared" si="54"/>
        <v>75</v>
      </c>
      <c r="FF19" s="575">
        <f t="shared" si="55"/>
        <v>0</v>
      </c>
      <c r="FG19" s="506">
        <f t="shared" si="56"/>
        <v>3</v>
      </c>
      <c r="FH19" s="39">
        <f t="shared" si="57"/>
        <v>75</v>
      </c>
      <c r="FI19" s="257">
        <f t="shared" si="58"/>
        <v>75</v>
      </c>
      <c r="FJ19" s="257">
        <f t="shared" si="59"/>
        <v>75</v>
      </c>
      <c r="FK19" s="257">
        <f t="shared" si="60"/>
        <v>75</v>
      </c>
      <c r="FL19" s="575">
        <f t="shared" si="61"/>
        <v>0</v>
      </c>
      <c r="FM19" s="506">
        <f t="shared" si="62"/>
        <v>3</v>
      </c>
      <c r="FN19" s="39">
        <f t="shared" si="63"/>
        <v>75</v>
      </c>
      <c r="FO19" s="257">
        <f t="shared" si="64"/>
        <v>0</v>
      </c>
      <c r="FP19" s="257">
        <f t="shared" si="65"/>
        <v>0</v>
      </c>
      <c r="FQ19" s="257">
        <f t="shared" si="66"/>
        <v>0</v>
      </c>
      <c r="FR19" s="575">
        <f t="shared" si="67"/>
        <v>3</v>
      </c>
      <c r="FS19" s="506">
        <f t="shared" si="68"/>
        <v>0</v>
      </c>
      <c r="FT19" s="39" t="str">
        <f t="shared" si="69"/>
        <v/>
      </c>
      <c r="FU19" s="257">
        <f t="shared" si="70"/>
        <v>0</v>
      </c>
      <c r="FV19" s="257">
        <f t="shared" si="71"/>
        <v>0</v>
      </c>
      <c r="FW19" s="257">
        <f t="shared" si="72"/>
        <v>0</v>
      </c>
      <c r="FX19" s="575">
        <f t="shared" si="73"/>
        <v>3</v>
      </c>
      <c r="FY19" s="506">
        <f t="shared" si="74"/>
        <v>0</v>
      </c>
      <c r="FZ19" s="39" t="str">
        <f t="shared" si="75"/>
        <v/>
      </c>
      <c r="GA19" s="257">
        <f t="shared" si="76"/>
        <v>0</v>
      </c>
      <c r="GB19" s="257">
        <f t="shared" si="77"/>
        <v>0</v>
      </c>
      <c r="GC19" s="257">
        <f t="shared" si="78"/>
        <v>0</v>
      </c>
      <c r="GD19" s="575">
        <f t="shared" si="79"/>
        <v>3</v>
      </c>
      <c r="GE19" s="506">
        <f t="shared" si="80"/>
        <v>0</v>
      </c>
      <c r="GF19" s="39" t="str">
        <f t="shared" si="81"/>
        <v/>
      </c>
      <c r="GG19" s="257">
        <f t="shared" si="82"/>
        <v>0</v>
      </c>
      <c r="GH19" s="257">
        <f t="shared" si="83"/>
        <v>0</v>
      </c>
      <c r="GI19" s="257">
        <f t="shared" si="84"/>
        <v>0</v>
      </c>
      <c r="GJ19" s="575">
        <f t="shared" si="85"/>
        <v>3</v>
      </c>
      <c r="GK19" s="506">
        <f t="shared" si="86"/>
        <v>0</v>
      </c>
      <c r="GL19" s="39" t="str">
        <f t="shared" si="87"/>
        <v/>
      </c>
      <c r="GM19" s="39"/>
      <c r="GN19" s="39">
        <f t="shared" si="88"/>
        <v>76.666666666666671</v>
      </c>
      <c r="GO19" s="39">
        <f t="shared" si="89"/>
        <v>75</v>
      </c>
      <c r="GP19" s="39">
        <f t="shared" si="90"/>
        <v>75</v>
      </c>
      <c r="GQ19" s="39" t="str">
        <f t="shared" si="91"/>
        <v/>
      </c>
      <c r="GR19" s="39" t="str">
        <f t="shared" si="92"/>
        <v/>
      </c>
      <c r="GS19" s="39" t="str">
        <f t="shared" si="93"/>
        <v/>
      </c>
      <c r="GT19" s="257" t="str">
        <f t="shared" si="94"/>
        <v/>
      </c>
      <c r="GU19" s="579">
        <f t="shared" si="95"/>
        <v>76</v>
      </c>
      <c r="GV19" s="289">
        <f t="shared" si="96"/>
        <v>76.666666666666671</v>
      </c>
      <c r="GW19" s="289">
        <f t="shared" si="97"/>
        <v>75</v>
      </c>
      <c r="GX19" s="223" t="str">
        <f>SISWA!E17</f>
        <v>Fitri</v>
      </c>
      <c r="GY19" s="223" t="str">
        <f t="shared" si="98"/>
        <v xml:space="preserve">Ananda Fitri </v>
      </c>
      <c r="GZ19" s="580">
        <f t="shared" si="99"/>
        <v>76.666666666666671</v>
      </c>
      <c r="HA19" s="580" t="str">
        <f t="shared" si="100"/>
        <v/>
      </c>
      <c r="HB19" s="580" t="str">
        <f t="shared" si="101"/>
        <v/>
      </c>
      <c r="HC19" s="580" t="str">
        <f t="shared" si="102"/>
        <v/>
      </c>
      <c r="HD19" s="580" t="str">
        <f t="shared" si="103"/>
        <v/>
      </c>
      <c r="HE19" s="580" t="str">
        <f t="shared" si="104"/>
        <v/>
      </c>
      <c r="HF19" s="580" t="str">
        <f t="shared" si="105"/>
        <v/>
      </c>
      <c r="HG19" s="580"/>
      <c r="HH19" s="580"/>
      <c r="HI19" s="580"/>
      <c r="HJ19" s="580"/>
      <c r="HK19" s="223">
        <f t="shared" si="106"/>
        <v>76.666666666666671</v>
      </c>
      <c r="HL19" s="289" t="str">
        <f t="shared" si="107"/>
        <v>menyajikan hasil identifikasi karakteristik geografis Indonesia sebagai negara kepulauan/maritim dan agraris serta pengaruhnya terhadap kehidupan ekonomi, sosial, budaya, komunikasi, serta transportasi.</v>
      </c>
      <c r="HM19" s="576" t="str">
        <f>IF(GV19&gt;100,"",IF(GV19&gt;DP$1,"sangat baik dalam "&amp;HL19,IF(GV19&gt;=DP$2,"baik dalam "&amp;HL19,IF(GV19&gt;=DP$3,"cukup dalam "&amp;HL19,IF(GV19&lt;DP$3,"dengan bimbingan dapat meningkatkan dalam "&amp;HL19,IF(GV19&lt;1," ",””))))))</f>
        <v>cukup dalam menyajikan hasil identifikasi karakteristik geografis Indonesia sebagai negara kepulauan/maritim dan agraris serta pengaruhnya terhadap kehidupan ekonomi, sosial, budaya, komunikasi, serta transportasi.</v>
      </c>
      <c r="HN19" s="223"/>
      <c r="HO19" s="223" t="str">
        <f t="shared" si="108"/>
        <v/>
      </c>
      <c r="HP19" s="223">
        <f t="shared" si="109"/>
        <v>75</v>
      </c>
      <c r="HQ19" s="223">
        <f t="shared" si="110"/>
        <v>75</v>
      </c>
      <c r="HR19" s="223" t="str">
        <f t="shared" si="111"/>
        <v/>
      </c>
      <c r="HS19" s="223" t="str">
        <f t="shared" si="112"/>
        <v/>
      </c>
      <c r="HT19" s="223" t="str">
        <f t="shared" si="113"/>
        <v/>
      </c>
      <c r="HU19" s="223" t="str">
        <f t="shared" si="114"/>
        <v/>
      </c>
      <c r="HV19" s="223"/>
      <c r="HW19" s="223"/>
      <c r="HX19" s="223"/>
      <c r="HY19" s="223"/>
      <c r="HZ19" s="223" t="str">
        <f t="shared" si="115"/>
        <v>menyajikan hasil analisis tentang peran ekonomi dalam upaya menyejahterakan kehidupan masyarakat di bidang sosial dan budaya untuk memperkuat kesatuan dan persatuan bangsa.</v>
      </c>
      <c r="IA19" s="577" t="str">
        <f>IF(GW19&gt;100,"",IF(GW19&gt;=DP$1,"sangat baik dalam "&amp;HZ19,IF(GW19&gt;=DP$2,"baik dalam "&amp;HZ19,IF(GW19&gt;=DP$3,"cukup dalam "&amp;HZ19,IF(GW19&lt;DP$3,"dengan bimbingan dapat meningkatkan dalam "&amp;HZ19,IF(GW19&lt;1," ",””))))))</f>
        <v>cukup dalam menyajikan hasil analisis tentang peran ekonomi dalam upaya menyejahterakan kehidupan masyarakat di bidang sosial dan budaya untuk memperkuat kesatuan dan persatuan bangsa.</v>
      </c>
      <c r="IB19" s="223" t="str">
        <f t="shared" si="116"/>
        <v>Ananda Fitri cukup dalam menyajikan hasil identifikasi karakteristik geografis Indonesia sebagai negara kepulauan/maritim dan agraris serta pengaruhnya terhadap kehidupan ekonomi, sosial, budaya, komunikasi, serta transportasi., cukup dalam menyajikan hasil analisis tentang peran ekonomi dalam upaya menyejahterakan kehidupan masyarakat di bidang sosial dan budaya untuk memperkuat kesatuan dan persatuan bangsa..</v>
      </c>
    </row>
    <row r="20" spans="1:236" ht="30" customHeight="1">
      <c r="A20" s="39">
        <v>13</v>
      </c>
      <c r="B20" s="223" t="str">
        <f>SISWA!B18</f>
        <v>Prastika Guntur Firmansyah</v>
      </c>
      <c r="C20" s="123">
        <v>90</v>
      </c>
      <c r="D20" s="123"/>
      <c r="E20" s="123"/>
      <c r="F20" s="123"/>
      <c r="G20" s="123"/>
      <c r="H20" s="123"/>
      <c r="I20" s="123"/>
      <c r="J20" s="255">
        <v>75</v>
      </c>
      <c r="K20" s="255"/>
      <c r="L20" s="255"/>
      <c r="M20" s="255"/>
      <c r="N20" s="255"/>
      <c r="O20" s="255"/>
      <c r="P20" s="255"/>
      <c r="Q20" s="256">
        <v>90</v>
      </c>
      <c r="R20" s="256"/>
      <c r="S20" s="256"/>
      <c r="T20" s="256"/>
      <c r="U20" s="256"/>
      <c r="V20" s="256"/>
      <c r="W20" s="256"/>
      <c r="X20" s="123"/>
      <c r="Y20" s="123"/>
      <c r="Z20" s="123">
        <v>80</v>
      </c>
      <c r="AA20" s="123"/>
      <c r="AB20" s="123"/>
      <c r="AC20" s="123"/>
      <c r="AD20" s="123"/>
      <c r="AE20" s="255"/>
      <c r="AF20" s="255"/>
      <c r="AG20" s="255">
        <v>85</v>
      </c>
      <c r="AH20" s="255"/>
      <c r="AI20" s="255"/>
      <c r="AJ20" s="255"/>
      <c r="AK20" s="255"/>
      <c r="AL20" s="256"/>
      <c r="AM20" s="256"/>
      <c r="AN20" s="256">
        <v>75</v>
      </c>
      <c r="AO20" s="256"/>
      <c r="AP20" s="256"/>
      <c r="AQ20" s="256"/>
      <c r="AR20" s="256"/>
      <c r="AS20" s="123"/>
      <c r="AT20" s="123">
        <v>85</v>
      </c>
      <c r="AU20" s="123"/>
      <c r="AV20" s="123"/>
      <c r="AW20" s="123"/>
      <c r="AX20" s="123"/>
      <c r="AY20" s="123"/>
      <c r="AZ20" s="255"/>
      <c r="BA20" s="255">
        <v>85</v>
      </c>
      <c r="BB20" s="255"/>
      <c r="BC20" s="255"/>
      <c r="BD20" s="255"/>
      <c r="BE20" s="255"/>
      <c r="BF20" s="255"/>
      <c r="BG20" s="256"/>
      <c r="BH20" s="256">
        <v>80</v>
      </c>
      <c r="BI20" s="256"/>
      <c r="BJ20" s="256"/>
      <c r="BK20" s="256"/>
      <c r="BL20" s="256"/>
      <c r="BM20" s="256"/>
      <c r="BN20" s="123"/>
      <c r="BO20" s="123"/>
      <c r="BP20" s="123">
        <v>75</v>
      </c>
      <c r="BQ20" s="123"/>
      <c r="BR20" s="123"/>
      <c r="BS20" s="123"/>
      <c r="BT20" s="123"/>
      <c r="BU20" s="255"/>
      <c r="BV20" s="255"/>
      <c r="BW20" s="255">
        <v>80</v>
      </c>
      <c r="BX20" s="255"/>
      <c r="BY20" s="255"/>
      <c r="BZ20" s="255"/>
      <c r="CA20" s="255"/>
      <c r="CB20" s="256"/>
      <c r="CC20" s="256"/>
      <c r="CD20" s="256">
        <v>75</v>
      </c>
      <c r="CE20" s="256"/>
      <c r="CF20" s="256"/>
      <c r="CG20" s="256"/>
      <c r="CH20" s="256"/>
      <c r="CI20" s="458">
        <v>75</v>
      </c>
      <c r="CJ20" s="458"/>
      <c r="CK20" s="458"/>
      <c r="CL20" s="458"/>
      <c r="CM20" s="458"/>
      <c r="CN20" s="458"/>
      <c r="CO20" s="458"/>
      <c r="CP20" s="457">
        <v>85</v>
      </c>
      <c r="CQ20" s="457"/>
      <c r="CR20" s="457"/>
      <c r="CS20" s="457"/>
      <c r="CT20" s="457"/>
      <c r="CU20" s="457"/>
      <c r="CV20" s="457"/>
      <c r="CW20" s="256">
        <v>85</v>
      </c>
      <c r="CX20" s="256"/>
      <c r="CY20" s="256"/>
      <c r="CZ20" s="256"/>
      <c r="DA20" s="256"/>
      <c r="DB20" s="256"/>
      <c r="DC20" s="256"/>
      <c r="DD20" s="257">
        <f t="shared" si="13"/>
        <v>88.333333333333329</v>
      </c>
      <c r="DE20" s="257">
        <f t="shared" si="14"/>
        <v>83.333333333333329</v>
      </c>
      <c r="DF20" s="257">
        <f t="shared" si="15"/>
        <v>80</v>
      </c>
      <c r="DG20" s="257" t="str">
        <f t="shared" si="16"/>
        <v/>
      </c>
      <c r="DH20" s="257" t="str">
        <f t="shared" si="17"/>
        <v/>
      </c>
      <c r="DI20" s="257" t="str">
        <f t="shared" si="18"/>
        <v/>
      </c>
      <c r="DJ20" s="257" t="str">
        <f t="shared" si="19"/>
        <v/>
      </c>
      <c r="DK20" s="756">
        <f t="shared" si="7"/>
        <v>84</v>
      </c>
      <c r="DL20" s="291" t="str">
        <f t="shared" si="20"/>
        <v>B</v>
      </c>
      <c r="DM20" s="243" t="str">
        <f t="shared" si="21"/>
        <v>Ananda Pras baik dalam menyajikan hasil identifikasi karakteristik geografis Indonesia sebagai negara kepulauan/maritim dan agraris serta pengaruhnya terhadap kehidupan ekonomi, sosial, budaya, komunikasi, serta transportasi., cukup dalam menyajikan hasil analisis tentang peran ekonomi dalam upaya menyejahterakan kehidupan masyarakat di bidang sosial dan budaya untuk memperkuat kesatuan dan persatuan bangsa..</v>
      </c>
      <c r="DN20" s="39"/>
      <c r="DO20" s="39"/>
      <c r="DP20" s="257">
        <f t="shared" si="22"/>
        <v>90</v>
      </c>
      <c r="DQ20" s="257">
        <f t="shared" si="23"/>
        <v>85</v>
      </c>
      <c r="DR20" s="257">
        <f t="shared" si="24"/>
        <v>80</v>
      </c>
      <c r="DS20" s="257">
        <f t="shared" si="25"/>
        <v>0</v>
      </c>
      <c r="DT20" s="257">
        <f t="shared" si="26"/>
        <v>0</v>
      </c>
      <c r="DU20" s="257">
        <f t="shared" si="27"/>
        <v>0</v>
      </c>
      <c r="DV20" s="257">
        <f t="shared" si="28"/>
        <v>0</v>
      </c>
      <c r="DW20" s="257"/>
      <c r="DX20" s="257"/>
      <c r="DY20" s="257"/>
      <c r="DZ20" s="289">
        <f t="shared" si="29"/>
        <v>90</v>
      </c>
      <c r="EA20" s="257">
        <f t="shared" si="30"/>
        <v>85</v>
      </c>
      <c r="EB20" s="257">
        <f t="shared" si="31"/>
        <v>85</v>
      </c>
      <c r="EC20" s="257">
        <f t="shared" si="32"/>
        <v>85</v>
      </c>
      <c r="ED20" s="257">
        <f t="shared" si="33"/>
        <v>0</v>
      </c>
      <c r="EE20" s="257">
        <f t="shared" si="34"/>
        <v>0</v>
      </c>
      <c r="EF20" s="257">
        <f t="shared" si="35"/>
        <v>0</v>
      </c>
      <c r="EG20" s="257">
        <f t="shared" si="36"/>
        <v>0</v>
      </c>
      <c r="EH20" s="223"/>
      <c r="EI20" s="223"/>
      <c r="EJ20" s="223"/>
      <c r="EK20" s="289">
        <f t="shared" si="37"/>
        <v>85</v>
      </c>
      <c r="EL20" s="257">
        <f t="shared" si="38"/>
        <v>90</v>
      </c>
      <c r="EM20" s="257">
        <f t="shared" si="39"/>
        <v>80</v>
      </c>
      <c r="EN20" s="257">
        <f t="shared" si="40"/>
        <v>75</v>
      </c>
      <c r="EO20" s="257">
        <f t="shared" si="41"/>
        <v>0</v>
      </c>
      <c r="EP20" s="257">
        <f t="shared" si="42"/>
        <v>0</v>
      </c>
      <c r="EQ20" s="257">
        <f t="shared" si="43"/>
        <v>0</v>
      </c>
      <c r="ER20" s="257">
        <f t="shared" si="44"/>
        <v>0</v>
      </c>
      <c r="ES20" s="223"/>
      <c r="ET20" s="223"/>
      <c r="EU20" s="223"/>
      <c r="EV20" s="289">
        <f t="shared" si="45"/>
        <v>90</v>
      </c>
      <c r="EW20" s="257">
        <f t="shared" si="46"/>
        <v>90</v>
      </c>
      <c r="EX20" s="257">
        <f t="shared" si="47"/>
        <v>85</v>
      </c>
      <c r="EY20" s="257">
        <f t="shared" si="48"/>
        <v>90</v>
      </c>
      <c r="EZ20" s="575">
        <f t="shared" si="49"/>
        <v>0</v>
      </c>
      <c r="FA20" s="506">
        <f t="shared" si="50"/>
        <v>3</v>
      </c>
      <c r="FB20" s="39">
        <f t="shared" si="51"/>
        <v>88.333333333333329</v>
      </c>
      <c r="FC20" s="257">
        <f t="shared" si="52"/>
        <v>85</v>
      </c>
      <c r="FD20" s="257">
        <f t="shared" si="53"/>
        <v>85</v>
      </c>
      <c r="FE20" s="257">
        <f t="shared" si="54"/>
        <v>80</v>
      </c>
      <c r="FF20" s="575">
        <f t="shared" si="55"/>
        <v>0</v>
      </c>
      <c r="FG20" s="506">
        <f t="shared" si="56"/>
        <v>3</v>
      </c>
      <c r="FH20" s="39">
        <f t="shared" si="57"/>
        <v>83.333333333333329</v>
      </c>
      <c r="FI20" s="257">
        <f t="shared" si="58"/>
        <v>80</v>
      </c>
      <c r="FJ20" s="257">
        <f t="shared" si="59"/>
        <v>85</v>
      </c>
      <c r="FK20" s="257">
        <f t="shared" si="60"/>
        <v>75</v>
      </c>
      <c r="FL20" s="575">
        <f t="shared" si="61"/>
        <v>0</v>
      </c>
      <c r="FM20" s="506">
        <f t="shared" si="62"/>
        <v>3</v>
      </c>
      <c r="FN20" s="39">
        <f t="shared" si="63"/>
        <v>80</v>
      </c>
      <c r="FO20" s="257">
        <f t="shared" si="64"/>
        <v>0</v>
      </c>
      <c r="FP20" s="257">
        <f t="shared" si="65"/>
        <v>0</v>
      </c>
      <c r="FQ20" s="257">
        <f t="shared" si="66"/>
        <v>0</v>
      </c>
      <c r="FR20" s="575">
        <f t="shared" si="67"/>
        <v>3</v>
      </c>
      <c r="FS20" s="506">
        <f t="shared" si="68"/>
        <v>0</v>
      </c>
      <c r="FT20" s="39" t="str">
        <f t="shared" si="69"/>
        <v/>
      </c>
      <c r="FU20" s="257">
        <f t="shared" si="70"/>
        <v>0</v>
      </c>
      <c r="FV20" s="257">
        <f t="shared" si="71"/>
        <v>0</v>
      </c>
      <c r="FW20" s="257">
        <f t="shared" si="72"/>
        <v>0</v>
      </c>
      <c r="FX20" s="575">
        <f t="shared" si="73"/>
        <v>3</v>
      </c>
      <c r="FY20" s="506">
        <f t="shared" si="74"/>
        <v>0</v>
      </c>
      <c r="FZ20" s="39" t="str">
        <f t="shared" si="75"/>
        <v/>
      </c>
      <c r="GA20" s="257">
        <f t="shared" si="76"/>
        <v>0</v>
      </c>
      <c r="GB20" s="257">
        <f t="shared" si="77"/>
        <v>0</v>
      </c>
      <c r="GC20" s="257">
        <f t="shared" si="78"/>
        <v>0</v>
      </c>
      <c r="GD20" s="575">
        <f t="shared" si="79"/>
        <v>3</v>
      </c>
      <c r="GE20" s="506">
        <f t="shared" si="80"/>
        <v>0</v>
      </c>
      <c r="GF20" s="39" t="str">
        <f t="shared" si="81"/>
        <v/>
      </c>
      <c r="GG20" s="257">
        <f t="shared" si="82"/>
        <v>0</v>
      </c>
      <c r="GH20" s="257">
        <f t="shared" si="83"/>
        <v>0</v>
      </c>
      <c r="GI20" s="257">
        <f t="shared" si="84"/>
        <v>0</v>
      </c>
      <c r="GJ20" s="575">
        <f t="shared" si="85"/>
        <v>3</v>
      </c>
      <c r="GK20" s="506">
        <f t="shared" si="86"/>
        <v>0</v>
      </c>
      <c r="GL20" s="39" t="str">
        <f t="shared" si="87"/>
        <v/>
      </c>
      <c r="GM20" s="39"/>
      <c r="GN20" s="39">
        <f t="shared" si="88"/>
        <v>88.333333333333329</v>
      </c>
      <c r="GO20" s="39">
        <f t="shared" si="89"/>
        <v>83.333333333333329</v>
      </c>
      <c r="GP20" s="39">
        <f t="shared" si="90"/>
        <v>80</v>
      </c>
      <c r="GQ20" s="39" t="str">
        <f t="shared" si="91"/>
        <v/>
      </c>
      <c r="GR20" s="39" t="str">
        <f t="shared" si="92"/>
        <v/>
      </c>
      <c r="GS20" s="39" t="str">
        <f t="shared" si="93"/>
        <v/>
      </c>
      <c r="GT20" s="257" t="str">
        <f t="shared" si="94"/>
        <v/>
      </c>
      <c r="GU20" s="579">
        <f t="shared" si="95"/>
        <v>84</v>
      </c>
      <c r="GV20" s="289">
        <f t="shared" si="96"/>
        <v>88.333333333333329</v>
      </c>
      <c r="GW20" s="289">
        <f t="shared" si="97"/>
        <v>80</v>
      </c>
      <c r="GX20" s="223" t="str">
        <f>SISWA!E18</f>
        <v>Pras</v>
      </c>
      <c r="GY20" s="223" t="str">
        <f t="shared" si="98"/>
        <v xml:space="preserve">Ananda Pras </v>
      </c>
      <c r="GZ20" s="580">
        <f t="shared" si="99"/>
        <v>88.333333333333329</v>
      </c>
      <c r="HA20" s="580" t="str">
        <f t="shared" si="100"/>
        <v/>
      </c>
      <c r="HB20" s="580" t="str">
        <f t="shared" si="101"/>
        <v/>
      </c>
      <c r="HC20" s="580" t="str">
        <f t="shared" si="102"/>
        <v/>
      </c>
      <c r="HD20" s="580" t="str">
        <f t="shared" si="103"/>
        <v/>
      </c>
      <c r="HE20" s="580" t="str">
        <f t="shared" si="104"/>
        <v/>
      </c>
      <c r="HF20" s="580" t="str">
        <f t="shared" si="105"/>
        <v/>
      </c>
      <c r="HG20" s="580"/>
      <c r="HH20" s="580"/>
      <c r="HI20" s="580"/>
      <c r="HJ20" s="580"/>
      <c r="HK20" s="223">
        <f t="shared" si="106"/>
        <v>88.333333333333329</v>
      </c>
      <c r="HL20" s="289" t="str">
        <f t="shared" si="107"/>
        <v>menyajikan hasil identifikasi karakteristik geografis Indonesia sebagai negara kepulauan/maritim dan agraris serta pengaruhnya terhadap kehidupan ekonomi, sosial, budaya, komunikasi, serta transportasi.</v>
      </c>
      <c r="HM20" s="576" t="str">
        <f>IF(GV20&gt;100,"",IF(GV20&gt;DP$1,"sangat baik dalam "&amp;HL20,IF(GV20&gt;=DP$2,"baik dalam "&amp;HL20,IF(GV20&gt;=DP$3,"cukup dalam "&amp;HL20,IF(GV20&lt;DP$3,"dengan bimbingan dapat meningkatkan dalam "&amp;HL20,IF(GV20&lt;1," ",””))))))</f>
        <v>baik dalam menyajikan hasil identifikasi karakteristik geografis Indonesia sebagai negara kepulauan/maritim dan agraris serta pengaruhnya terhadap kehidupan ekonomi, sosial, budaya, komunikasi, serta transportasi.</v>
      </c>
      <c r="HN20" s="223"/>
      <c r="HO20" s="223" t="str">
        <f t="shared" si="108"/>
        <v/>
      </c>
      <c r="HP20" s="223" t="str">
        <f t="shared" si="109"/>
        <v/>
      </c>
      <c r="HQ20" s="223">
        <f t="shared" si="110"/>
        <v>80</v>
      </c>
      <c r="HR20" s="223" t="str">
        <f t="shared" si="111"/>
        <v/>
      </c>
      <c r="HS20" s="223" t="str">
        <f t="shared" si="112"/>
        <v/>
      </c>
      <c r="HT20" s="223" t="str">
        <f t="shared" si="113"/>
        <v/>
      </c>
      <c r="HU20" s="223" t="str">
        <f t="shared" si="114"/>
        <v/>
      </c>
      <c r="HV20" s="223"/>
      <c r="HW20" s="223"/>
      <c r="HX20" s="223"/>
      <c r="HY20" s="223"/>
      <c r="HZ20" s="223" t="str">
        <f t="shared" si="115"/>
        <v>menyajikan hasil analisis tentang peran ekonomi dalam upaya menyejahterakan kehidupan masyarakat di bidang sosial dan budaya untuk memperkuat kesatuan dan persatuan bangsa.</v>
      </c>
      <c r="IA20" s="577" t="str">
        <f>IF(GW20&gt;100,"",IF(GW20&gt;=DP$1,"sangat baik dalam "&amp;HZ20,IF(GW20&gt;=DP$2,"baik dalam "&amp;HZ20,IF(GW20&gt;=DP$3,"cukup dalam "&amp;HZ20,IF(GW20&lt;DP$3,"dengan bimbingan dapat meningkatkan dalam "&amp;HZ20,IF(GW20&lt;1," ",””))))))</f>
        <v>cukup dalam menyajikan hasil analisis tentang peran ekonomi dalam upaya menyejahterakan kehidupan masyarakat di bidang sosial dan budaya untuk memperkuat kesatuan dan persatuan bangsa.</v>
      </c>
      <c r="IB20" s="223" t="str">
        <f t="shared" si="116"/>
        <v>Ananda Pras baik dalam menyajikan hasil identifikasi karakteristik geografis Indonesia sebagai negara kepulauan/maritim dan agraris serta pengaruhnya terhadap kehidupan ekonomi, sosial, budaya, komunikasi, serta transportasi., cukup dalam menyajikan hasil analisis tentang peran ekonomi dalam upaya menyejahterakan kehidupan masyarakat di bidang sosial dan budaya untuk memperkuat kesatuan dan persatuan bangsa..</v>
      </c>
    </row>
    <row r="21" spans="1:236" ht="30" customHeight="1">
      <c r="A21" s="39">
        <v>14</v>
      </c>
      <c r="B21" s="223" t="str">
        <f>SISWA!B19</f>
        <v>Siti Musyafiani</v>
      </c>
      <c r="C21" s="123">
        <v>90</v>
      </c>
      <c r="D21" s="123"/>
      <c r="E21" s="123"/>
      <c r="F21" s="123"/>
      <c r="G21" s="123"/>
      <c r="H21" s="123"/>
      <c r="I21" s="123"/>
      <c r="J21" s="255">
        <v>90</v>
      </c>
      <c r="K21" s="255"/>
      <c r="L21" s="255"/>
      <c r="M21" s="255"/>
      <c r="N21" s="255"/>
      <c r="O21" s="255"/>
      <c r="P21" s="255"/>
      <c r="Q21" s="256">
        <v>90</v>
      </c>
      <c r="R21" s="256"/>
      <c r="S21" s="256"/>
      <c r="T21" s="256"/>
      <c r="U21" s="256"/>
      <c r="V21" s="256"/>
      <c r="W21" s="256"/>
      <c r="X21" s="123"/>
      <c r="Y21" s="123"/>
      <c r="Z21" s="123">
        <v>75</v>
      </c>
      <c r="AA21" s="123"/>
      <c r="AB21" s="123"/>
      <c r="AC21" s="123"/>
      <c r="AD21" s="123"/>
      <c r="AE21" s="255"/>
      <c r="AF21" s="255"/>
      <c r="AG21" s="255">
        <v>90</v>
      </c>
      <c r="AH21" s="255"/>
      <c r="AI21" s="255"/>
      <c r="AJ21" s="255"/>
      <c r="AK21" s="255"/>
      <c r="AL21" s="256"/>
      <c r="AM21" s="256"/>
      <c r="AN21" s="256">
        <v>90</v>
      </c>
      <c r="AO21" s="256"/>
      <c r="AP21" s="256"/>
      <c r="AQ21" s="256"/>
      <c r="AR21" s="256"/>
      <c r="AS21" s="123"/>
      <c r="AT21" s="123">
        <v>85</v>
      </c>
      <c r="AU21" s="123"/>
      <c r="AV21" s="123"/>
      <c r="AW21" s="123"/>
      <c r="AX21" s="123"/>
      <c r="AY21" s="123"/>
      <c r="AZ21" s="255"/>
      <c r="BA21" s="255">
        <v>80</v>
      </c>
      <c r="BB21" s="255"/>
      <c r="BC21" s="255"/>
      <c r="BD21" s="255"/>
      <c r="BE21" s="255"/>
      <c r="BF21" s="255"/>
      <c r="BG21" s="256"/>
      <c r="BH21" s="256">
        <v>90</v>
      </c>
      <c r="BI21" s="256"/>
      <c r="BJ21" s="256"/>
      <c r="BK21" s="256"/>
      <c r="BL21" s="256"/>
      <c r="BM21" s="256"/>
      <c r="BN21" s="123"/>
      <c r="BO21" s="123"/>
      <c r="BP21" s="123">
        <v>90</v>
      </c>
      <c r="BQ21" s="123"/>
      <c r="BR21" s="123"/>
      <c r="BS21" s="123"/>
      <c r="BT21" s="123"/>
      <c r="BU21" s="255"/>
      <c r="BV21" s="255"/>
      <c r="BW21" s="255">
        <v>75</v>
      </c>
      <c r="BX21" s="255"/>
      <c r="BY21" s="255"/>
      <c r="BZ21" s="255"/>
      <c r="CA21" s="255"/>
      <c r="CB21" s="256"/>
      <c r="CC21" s="256"/>
      <c r="CD21" s="256">
        <v>75</v>
      </c>
      <c r="CE21" s="256"/>
      <c r="CF21" s="256"/>
      <c r="CG21" s="256"/>
      <c r="CH21" s="256"/>
      <c r="CI21" s="458">
        <v>75</v>
      </c>
      <c r="CJ21" s="458"/>
      <c r="CK21" s="458"/>
      <c r="CL21" s="458"/>
      <c r="CM21" s="458"/>
      <c r="CN21" s="458"/>
      <c r="CO21" s="458"/>
      <c r="CP21" s="457">
        <v>75</v>
      </c>
      <c r="CQ21" s="457"/>
      <c r="CR21" s="457"/>
      <c r="CS21" s="457"/>
      <c r="CT21" s="457"/>
      <c r="CU21" s="457"/>
      <c r="CV21" s="457"/>
      <c r="CW21" s="256">
        <v>80</v>
      </c>
      <c r="CX21" s="256"/>
      <c r="CY21" s="256"/>
      <c r="CZ21" s="256"/>
      <c r="DA21" s="256"/>
      <c r="DB21" s="256"/>
      <c r="DC21" s="256"/>
      <c r="DD21" s="257">
        <f t="shared" si="13"/>
        <v>90</v>
      </c>
      <c r="DE21" s="257">
        <f t="shared" si="14"/>
        <v>85</v>
      </c>
      <c r="DF21" s="257">
        <f t="shared" si="15"/>
        <v>90</v>
      </c>
      <c r="DG21" s="257" t="str">
        <f t="shared" si="16"/>
        <v/>
      </c>
      <c r="DH21" s="257" t="str">
        <f t="shared" si="17"/>
        <v/>
      </c>
      <c r="DI21" s="257" t="str">
        <f t="shared" si="18"/>
        <v/>
      </c>
      <c r="DJ21" s="257" t="str">
        <f t="shared" si="19"/>
        <v/>
      </c>
      <c r="DK21" s="756">
        <f t="shared" si="7"/>
        <v>88</v>
      </c>
      <c r="DL21" s="291" t="str">
        <f t="shared" si="20"/>
        <v>B</v>
      </c>
      <c r="DM21" s="243" t="str">
        <f t="shared" si="21"/>
        <v>Ananda Fifi baik dalam menyajikan hasil analisis tentang peran ekonomi dalam upaya menyejahterakan kehidupan masyarakat di bidang sosial dan budaya untuk memperkuat kesatuan dan persatuan bangsa., baik dalam menyajikan hasil analisis tentang interaksi manusia dengan lingkungan dan pengaruhnya terhadap pembangunan sosial, budaya, dan ekonomi masyarakat Indonesia..</v>
      </c>
      <c r="DN21" s="39"/>
      <c r="DO21" s="39"/>
      <c r="DP21" s="257">
        <f t="shared" si="22"/>
        <v>90</v>
      </c>
      <c r="DQ21" s="257">
        <f t="shared" si="23"/>
        <v>85</v>
      </c>
      <c r="DR21" s="257">
        <f t="shared" si="24"/>
        <v>90</v>
      </c>
      <c r="DS21" s="257">
        <f t="shared" si="25"/>
        <v>0</v>
      </c>
      <c r="DT21" s="257">
        <f t="shared" si="26"/>
        <v>0</v>
      </c>
      <c r="DU21" s="257">
        <f t="shared" si="27"/>
        <v>0</v>
      </c>
      <c r="DV21" s="257">
        <f t="shared" si="28"/>
        <v>0</v>
      </c>
      <c r="DW21" s="257"/>
      <c r="DX21" s="257"/>
      <c r="DY21" s="257"/>
      <c r="DZ21" s="289">
        <f t="shared" si="29"/>
        <v>90</v>
      </c>
      <c r="EA21" s="257">
        <f t="shared" si="30"/>
        <v>90</v>
      </c>
      <c r="EB21" s="257">
        <f t="shared" si="31"/>
        <v>80</v>
      </c>
      <c r="EC21" s="257">
        <f t="shared" si="32"/>
        <v>90</v>
      </c>
      <c r="ED21" s="257">
        <f t="shared" si="33"/>
        <v>0</v>
      </c>
      <c r="EE21" s="257">
        <f t="shared" si="34"/>
        <v>0</v>
      </c>
      <c r="EF21" s="257">
        <f t="shared" si="35"/>
        <v>0</v>
      </c>
      <c r="EG21" s="257">
        <f t="shared" si="36"/>
        <v>0</v>
      </c>
      <c r="EH21" s="223"/>
      <c r="EI21" s="223"/>
      <c r="EJ21" s="223"/>
      <c r="EK21" s="289">
        <f t="shared" si="37"/>
        <v>90</v>
      </c>
      <c r="EL21" s="257">
        <f t="shared" si="38"/>
        <v>90</v>
      </c>
      <c r="EM21" s="257">
        <f t="shared" si="39"/>
        <v>90</v>
      </c>
      <c r="EN21" s="257">
        <f t="shared" si="40"/>
        <v>90</v>
      </c>
      <c r="EO21" s="257">
        <f t="shared" si="41"/>
        <v>0</v>
      </c>
      <c r="EP21" s="257">
        <f t="shared" si="42"/>
        <v>0</v>
      </c>
      <c r="EQ21" s="257">
        <f t="shared" si="43"/>
        <v>0</v>
      </c>
      <c r="ER21" s="257">
        <f t="shared" si="44"/>
        <v>0</v>
      </c>
      <c r="ES21" s="223"/>
      <c r="ET21" s="223"/>
      <c r="EU21" s="223"/>
      <c r="EV21" s="289">
        <f t="shared" si="45"/>
        <v>90</v>
      </c>
      <c r="EW21" s="257">
        <f t="shared" si="46"/>
        <v>90</v>
      </c>
      <c r="EX21" s="257">
        <f t="shared" si="47"/>
        <v>90</v>
      </c>
      <c r="EY21" s="257">
        <f t="shared" si="48"/>
        <v>90</v>
      </c>
      <c r="EZ21" s="575">
        <f t="shared" si="49"/>
        <v>0</v>
      </c>
      <c r="FA21" s="506">
        <f t="shared" si="50"/>
        <v>3</v>
      </c>
      <c r="FB21" s="39">
        <f t="shared" si="51"/>
        <v>90</v>
      </c>
      <c r="FC21" s="257">
        <f t="shared" si="52"/>
        <v>85</v>
      </c>
      <c r="FD21" s="257">
        <f t="shared" si="53"/>
        <v>80</v>
      </c>
      <c r="FE21" s="257">
        <f t="shared" si="54"/>
        <v>90</v>
      </c>
      <c r="FF21" s="575">
        <f t="shared" si="55"/>
        <v>0</v>
      </c>
      <c r="FG21" s="506">
        <f t="shared" si="56"/>
        <v>3</v>
      </c>
      <c r="FH21" s="39">
        <f t="shared" si="57"/>
        <v>85</v>
      </c>
      <c r="FI21" s="257">
        <f t="shared" si="58"/>
        <v>90</v>
      </c>
      <c r="FJ21" s="257">
        <f t="shared" si="59"/>
        <v>90</v>
      </c>
      <c r="FK21" s="257">
        <f t="shared" si="60"/>
        <v>90</v>
      </c>
      <c r="FL21" s="575">
        <f t="shared" si="61"/>
        <v>0</v>
      </c>
      <c r="FM21" s="506">
        <f t="shared" si="62"/>
        <v>3</v>
      </c>
      <c r="FN21" s="39">
        <f t="shared" si="63"/>
        <v>90</v>
      </c>
      <c r="FO21" s="257">
        <f t="shared" si="64"/>
        <v>0</v>
      </c>
      <c r="FP21" s="257">
        <f t="shared" si="65"/>
        <v>0</v>
      </c>
      <c r="FQ21" s="257">
        <f t="shared" si="66"/>
        <v>0</v>
      </c>
      <c r="FR21" s="575">
        <f t="shared" si="67"/>
        <v>3</v>
      </c>
      <c r="FS21" s="506">
        <f t="shared" si="68"/>
        <v>0</v>
      </c>
      <c r="FT21" s="39" t="str">
        <f t="shared" si="69"/>
        <v/>
      </c>
      <c r="FU21" s="257">
        <f t="shared" si="70"/>
        <v>0</v>
      </c>
      <c r="FV21" s="257">
        <f t="shared" si="71"/>
        <v>0</v>
      </c>
      <c r="FW21" s="257">
        <f t="shared" si="72"/>
        <v>0</v>
      </c>
      <c r="FX21" s="575">
        <f t="shared" si="73"/>
        <v>3</v>
      </c>
      <c r="FY21" s="506">
        <f t="shared" si="74"/>
        <v>0</v>
      </c>
      <c r="FZ21" s="39" t="str">
        <f t="shared" si="75"/>
        <v/>
      </c>
      <c r="GA21" s="257">
        <f t="shared" si="76"/>
        <v>0</v>
      </c>
      <c r="GB21" s="257">
        <f t="shared" si="77"/>
        <v>0</v>
      </c>
      <c r="GC21" s="257">
        <f t="shared" si="78"/>
        <v>0</v>
      </c>
      <c r="GD21" s="575">
        <f t="shared" si="79"/>
        <v>3</v>
      </c>
      <c r="GE21" s="506">
        <f t="shared" si="80"/>
        <v>0</v>
      </c>
      <c r="GF21" s="39" t="str">
        <f t="shared" si="81"/>
        <v/>
      </c>
      <c r="GG21" s="257">
        <f t="shared" si="82"/>
        <v>0</v>
      </c>
      <c r="GH21" s="257">
        <f t="shared" si="83"/>
        <v>0</v>
      </c>
      <c r="GI21" s="257">
        <f t="shared" si="84"/>
        <v>0</v>
      </c>
      <c r="GJ21" s="575">
        <f t="shared" si="85"/>
        <v>3</v>
      </c>
      <c r="GK21" s="506">
        <f t="shared" si="86"/>
        <v>0</v>
      </c>
      <c r="GL21" s="39" t="str">
        <f t="shared" si="87"/>
        <v/>
      </c>
      <c r="GM21" s="39"/>
      <c r="GN21" s="39">
        <f t="shared" si="88"/>
        <v>90</v>
      </c>
      <c r="GO21" s="39">
        <f t="shared" si="89"/>
        <v>85</v>
      </c>
      <c r="GP21" s="39">
        <f t="shared" si="90"/>
        <v>90</v>
      </c>
      <c r="GQ21" s="39" t="str">
        <f t="shared" si="91"/>
        <v/>
      </c>
      <c r="GR21" s="39" t="str">
        <f t="shared" si="92"/>
        <v/>
      </c>
      <c r="GS21" s="39" t="str">
        <f t="shared" si="93"/>
        <v/>
      </c>
      <c r="GT21" s="257" t="str">
        <f t="shared" si="94"/>
        <v/>
      </c>
      <c r="GU21" s="579">
        <f t="shared" si="95"/>
        <v>88</v>
      </c>
      <c r="GV21" s="289">
        <f t="shared" si="96"/>
        <v>90</v>
      </c>
      <c r="GW21" s="289">
        <f t="shared" si="97"/>
        <v>85</v>
      </c>
      <c r="GX21" s="223" t="str">
        <f>SISWA!E19</f>
        <v>Fifi</v>
      </c>
      <c r="GY21" s="223" t="str">
        <f t="shared" si="98"/>
        <v xml:space="preserve">Ananda Fifi </v>
      </c>
      <c r="GZ21" s="580">
        <f t="shared" si="99"/>
        <v>90</v>
      </c>
      <c r="HA21" s="580" t="str">
        <f t="shared" si="100"/>
        <v/>
      </c>
      <c r="HB21" s="580">
        <f t="shared" si="101"/>
        <v>90</v>
      </c>
      <c r="HC21" s="580" t="str">
        <f t="shared" si="102"/>
        <v/>
      </c>
      <c r="HD21" s="580" t="str">
        <f t="shared" si="103"/>
        <v/>
      </c>
      <c r="HE21" s="580" t="str">
        <f t="shared" si="104"/>
        <v/>
      </c>
      <c r="HF21" s="580" t="str">
        <f t="shared" si="105"/>
        <v/>
      </c>
      <c r="HG21" s="580"/>
      <c r="HH21" s="580"/>
      <c r="HI21" s="580"/>
      <c r="HJ21" s="580"/>
      <c r="HK21" s="223">
        <f t="shared" si="106"/>
        <v>180</v>
      </c>
      <c r="HL21" s="289" t="str">
        <f t="shared" si="107"/>
        <v>menyajikan hasil analisis tentang peran ekonomi dalam upaya menyejahterakan kehidupan masyarakat di bidang sosial dan budaya untuk memperkuat kesatuan dan persatuan bangsa.</v>
      </c>
      <c r="HM21" s="576" t="str">
        <f>IF(GV21&gt;100,"",IF(GV21&gt;DP$1,"sangat baik dalam "&amp;HL21,IF(GV21&gt;=DP$2,"baik dalam "&amp;HL21,IF(GV21&gt;=DP$3,"cukup dalam "&amp;HL21,IF(GV21&lt;DP$3,"dengan bimbingan dapat meningkatkan dalam "&amp;HL21,IF(GV21&lt;1," ",””))))))</f>
        <v>baik dalam menyajikan hasil analisis tentang peran ekonomi dalam upaya menyejahterakan kehidupan masyarakat di bidang sosial dan budaya untuk memperkuat kesatuan dan persatuan bangsa.</v>
      </c>
      <c r="HN21" s="223"/>
      <c r="HO21" s="223" t="str">
        <f t="shared" si="108"/>
        <v/>
      </c>
      <c r="HP21" s="223">
        <f t="shared" si="109"/>
        <v>85</v>
      </c>
      <c r="HQ21" s="223" t="str">
        <f t="shared" si="110"/>
        <v/>
      </c>
      <c r="HR21" s="223" t="str">
        <f t="shared" si="111"/>
        <v/>
      </c>
      <c r="HS21" s="223" t="str">
        <f t="shared" si="112"/>
        <v/>
      </c>
      <c r="HT21" s="223" t="str">
        <f t="shared" si="113"/>
        <v/>
      </c>
      <c r="HU21" s="223" t="str">
        <f t="shared" si="114"/>
        <v/>
      </c>
      <c r="HV21" s="223"/>
      <c r="HW21" s="223"/>
      <c r="HX21" s="223"/>
      <c r="HY21" s="223"/>
      <c r="HZ21" s="223" t="str">
        <f t="shared" si="115"/>
        <v>menyajikan hasil analisis tentang interaksi manusia dengan lingkungan dan pengaruhnya terhadap pembangunan sosial, budaya, dan ekonomi masyarakat Indonesia.</v>
      </c>
      <c r="IA21" s="577" t="str">
        <f>IF(GW21&gt;100,"",IF(GW21&gt;=DP$1,"sangat baik dalam "&amp;HZ21,IF(GW21&gt;=DP$2,"baik dalam "&amp;HZ21,IF(GW21&gt;=DP$3,"cukup dalam "&amp;HZ21,IF(GW21&lt;DP$3,"dengan bimbingan dapat meningkatkan dalam "&amp;HZ21,IF(GW21&lt;1," ",””))))))</f>
        <v>baik dalam menyajikan hasil analisis tentang interaksi manusia dengan lingkungan dan pengaruhnya terhadap pembangunan sosial, budaya, dan ekonomi masyarakat Indonesia.</v>
      </c>
      <c r="IB21" s="223" t="str">
        <f t="shared" si="116"/>
        <v>Ananda Fifi baik dalam menyajikan hasil analisis tentang peran ekonomi dalam upaya menyejahterakan kehidupan masyarakat di bidang sosial dan budaya untuk memperkuat kesatuan dan persatuan bangsa., baik dalam menyajikan hasil analisis tentang interaksi manusia dengan lingkungan dan pengaruhnya terhadap pembangunan sosial, budaya, dan ekonomi masyarakat Indonesia..</v>
      </c>
    </row>
    <row r="22" spans="1:236" ht="30" customHeight="1">
      <c r="A22" s="39">
        <v>15</v>
      </c>
      <c r="B22" s="223" t="str">
        <f>SISWA!B20</f>
        <v>Tegar Arya Pangestu</v>
      </c>
      <c r="C22" s="123">
        <v>90</v>
      </c>
      <c r="D22" s="123"/>
      <c r="E22" s="123"/>
      <c r="F22" s="123"/>
      <c r="G22" s="123"/>
      <c r="H22" s="123"/>
      <c r="I22" s="123"/>
      <c r="J22" s="255">
        <v>90</v>
      </c>
      <c r="K22" s="255"/>
      <c r="L22" s="255"/>
      <c r="M22" s="255"/>
      <c r="N22" s="255"/>
      <c r="O22" s="255"/>
      <c r="P22" s="255"/>
      <c r="Q22" s="256">
        <v>90</v>
      </c>
      <c r="R22" s="256"/>
      <c r="S22" s="256"/>
      <c r="T22" s="256"/>
      <c r="U22" s="256"/>
      <c r="V22" s="256"/>
      <c r="W22" s="256"/>
      <c r="X22" s="123"/>
      <c r="Y22" s="123"/>
      <c r="Z22" s="123">
        <v>85</v>
      </c>
      <c r="AA22" s="123"/>
      <c r="AB22" s="123"/>
      <c r="AC22" s="123"/>
      <c r="AD22" s="123"/>
      <c r="AE22" s="255"/>
      <c r="AF22" s="255"/>
      <c r="AG22" s="255">
        <v>80</v>
      </c>
      <c r="AH22" s="255"/>
      <c r="AI22" s="255"/>
      <c r="AJ22" s="255"/>
      <c r="AK22" s="255"/>
      <c r="AL22" s="256"/>
      <c r="AM22" s="256"/>
      <c r="AN22" s="256">
        <v>90</v>
      </c>
      <c r="AO22" s="256"/>
      <c r="AP22" s="256"/>
      <c r="AQ22" s="256"/>
      <c r="AR22" s="256"/>
      <c r="AS22" s="123"/>
      <c r="AT22" s="123">
        <v>85</v>
      </c>
      <c r="AU22" s="123"/>
      <c r="AV22" s="123"/>
      <c r="AW22" s="123"/>
      <c r="AX22" s="123"/>
      <c r="AY22" s="123"/>
      <c r="AZ22" s="255"/>
      <c r="BA22" s="255">
        <v>90</v>
      </c>
      <c r="BB22" s="255"/>
      <c r="BC22" s="255"/>
      <c r="BD22" s="255"/>
      <c r="BE22" s="255"/>
      <c r="BF22" s="255"/>
      <c r="BG22" s="256"/>
      <c r="BH22" s="256">
        <v>85</v>
      </c>
      <c r="BI22" s="256"/>
      <c r="BJ22" s="256"/>
      <c r="BK22" s="256"/>
      <c r="BL22" s="256"/>
      <c r="BM22" s="256"/>
      <c r="BN22" s="123"/>
      <c r="BO22" s="123"/>
      <c r="BP22" s="123">
        <v>75</v>
      </c>
      <c r="BQ22" s="123"/>
      <c r="BR22" s="123"/>
      <c r="BS22" s="123"/>
      <c r="BT22" s="123"/>
      <c r="BU22" s="255"/>
      <c r="BV22" s="255"/>
      <c r="BW22" s="255">
        <v>85</v>
      </c>
      <c r="BX22" s="255"/>
      <c r="BY22" s="255"/>
      <c r="BZ22" s="255"/>
      <c r="CA22" s="255"/>
      <c r="CB22" s="256"/>
      <c r="CC22" s="256"/>
      <c r="CD22" s="256">
        <v>75</v>
      </c>
      <c r="CE22" s="256"/>
      <c r="CF22" s="256"/>
      <c r="CG22" s="256"/>
      <c r="CH22" s="256"/>
      <c r="CI22" s="458">
        <v>85</v>
      </c>
      <c r="CJ22" s="458"/>
      <c r="CK22" s="458"/>
      <c r="CL22" s="458"/>
      <c r="CM22" s="458"/>
      <c r="CN22" s="458"/>
      <c r="CO22" s="458"/>
      <c r="CP22" s="457">
        <v>80</v>
      </c>
      <c r="CQ22" s="457"/>
      <c r="CR22" s="457"/>
      <c r="CS22" s="457"/>
      <c r="CT22" s="457"/>
      <c r="CU22" s="457"/>
      <c r="CV22" s="457"/>
      <c r="CW22" s="256">
        <v>80</v>
      </c>
      <c r="CX22" s="256"/>
      <c r="CY22" s="256"/>
      <c r="CZ22" s="256"/>
      <c r="DA22" s="256"/>
      <c r="DB22" s="256"/>
      <c r="DC22" s="256"/>
      <c r="DD22" s="257">
        <f t="shared" si="13"/>
        <v>90</v>
      </c>
      <c r="DE22" s="257">
        <f t="shared" si="14"/>
        <v>86.666666666666671</v>
      </c>
      <c r="DF22" s="257">
        <f t="shared" si="15"/>
        <v>86.666666666666671</v>
      </c>
      <c r="DG22" s="257" t="str">
        <f t="shared" si="16"/>
        <v/>
      </c>
      <c r="DH22" s="257" t="str">
        <f t="shared" si="17"/>
        <v/>
      </c>
      <c r="DI22" s="257" t="str">
        <f t="shared" si="18"/>
        <v/>
      </c>
      <c r="DJ22" s="257" t="str">
        <f t="shared" si="19"/>
        <v/>
      </c>
      <c r="DK22" s="756">
        <f t="shared" si="7"/>
        <v>88</v>
      </c>
      <c r="DL22" s="291" t="str">
        <f t="shared" si="20"/>
        <v>B</v>
      </c>
      <c r="DM22" s="243" t="str">
        <f t="shared" si="21"/>
        <v>Ananda Tegar baik dalam menyajikan hasil identifikasi karakteristik geografis Indonesia sebagai negara kepulauan/maritim dan agraris serta pengaruhnya terhadap kehidupan ekonomi, sosial, budaya, komunikasi, serta transportasi., baik dalam menyajikan hasil analisis tentang peran ekonomi dalam upaya menyejahterakan kehidupan masyarakat di bidang sosial dan budaya untuk memperkuat kesatuan dan persatuan bangsa..</v>
      </c>
      <c r="DN22" s="39"/>
      <c r="DO22" s="39"/>
      <c r="DP22" s="257">
        <f t="shared" si="22"/>
        <v>90</v>
      </c>
      <c r="DQ22" s="257">
        <f t="shared" si="23"/>
        <v>85</v>
      </c>
      <c r="DR22" s="257">
        <f t="shared" si="24"/>
        <v>85</v>
      </c>
      <c r="DS22" s="257">
        <f t="shared" si="25"/>
        <v>0</v>
      </c>
      <c r="DT22" s="257">
        <f t="shared" si="26"/>
        <v>0</v>
      </c>
      <c r="DU22" s="257">
        <f t="shared" si="27"/>
        <v>0</v>
      </c>
      <c r="DV22" s="257">
        <f t="shared" si="28"/>
        <v>0</v>
      </c>
      <c r="DW22" s="257"/>
      <c r="DX22" s="257"/>
      <c r="DY22" s="257"/>
      <c r="DZ22" s="289">
        <f t="shared" si="29"/>
        <v>90</v>
      </c>
      <c r="EA22" s="257">
        <f t="shared" si="30"/>
        <v>90</v>
      </c>
      <c r="EB22" s="257">
        <f t="shared" si="31"/>
        <v>90</v>
      </c>
      <c r="EC22" s="257">
        <f t="shared" si="32"/>
        <v>85</v>
      </c>
      <c r="ED22" s="257">
        <f t="shared" si="33"/>
        <v>0</v>
      </c>
      <c r="EE22" s="257">
        <f t="shared" si="34"/>
        <v>0</v>
      </c>
      <c r="EF22" s="257">
        <f t="shared" si="35"/>
        <v>0</v>
      </c>
      <c r="EG22" s="257">
        <f t="shared" si="36"/>
        <v>0</v>
      </c>
      <c r="EH22" s="223"/>
      <c r="EI22" s="223"/>
      <c r="EJ22" s="223"/>
      <c r="EK22" s="289">
        <f t="shared" si="37"/>
        <v>90</v>
      </c>
      <c r="EL22" s="257">
        <f t="shared" si="38"/>
        <v>90</v>
      </c>
      <c r="EM22" s="257">
        <f t="shared" si="39"/>
        <v>85</v>
      </c>
      <c r="EN22" s="257">
        <f t="shared" si="40"/>
        <v>90</v>
      </c>
      <c r="EO22" s="257">
        <f t="shared" si="41"/>
        <v>0</v>
      </c>
      <c r="EP22" s="257">
        <f t="shared" si="42"/>
        <v>0</v>
      </c>
      <c r="EQ22" s="257">
        <f t="shared" si="43"/>
        <v>0</v>
      </c>
      <c r="ER22" s="257">
        <f t="shared" si="44"/>
        <v>0</v>
      </c>
      <c r="ES22" s="223"/>
      <c r="ET22" s="223"/>
      <c r="EU22" s="223"/>
      <c r="EV22" s="289">
        <f t="shared" si="45"/>
        <v>90</v>
      </c>
      <c r="EW22" s="257">
        <f t="shared" si="46"/>
        <v>90</v>
      </c>
      <c r="EX22" s="257">
        <f t="shared" si="47"/>
        <v>90</v>
      </c>
      <c r="EY22" s="257">
        <f t="shared" si="48"/>
        <v>90</v>
      </c>
      <c r="EZ22" s="575">
        <f t="shared" si="49"/>
        <v>0</v>
      </c>
      <c r="FA22" s="506">
        <f t="shared" si="50"/>
        <v>3</v>
      </c>
      <c r="FB22" s="39">
        <f t="shared" si="51"/>
        <v>90</v>
      </c>
      <c r="FC22" s="257">
        <f t="shared" si="52"/>
        <v>85</v>
      </c>
      <c r="FD22" s="257">
        <f t="shared" si="53"/>
        <v>90</v>
      </c>
      <c r="FE22" s="257">
        <f t="shared" si="54"/>
        <v>85</v>
      </c>
      <c r="FF22" s="575">
        <f t="shared" si="55"/>
        <v>0</v>
      </c>
      <c r="FG22" s="506">
        <f t="shared" si="56"/>
        <v>3</v>
      </c>
      <c r="FH22" s="39">
        <f t="shared" si="57"/>
        <v>86.666666666666671</v>
      </c>
      <c r="FI22" s="257">
        <f t="shared" si="58"/>
        <v>85</v>
      </c>
      <c r="FJ22" s="257">
        <f t="shared" si="59"/>
        <v>85</v>
      </c>
      <c r="FK22" s="257">
        <f t="shared" si="60"/>
        <v>90</v>
      </c>
      <c r="FL22" s="575">
        <f t="shared" si="61"/>
        <v>0</v>
      </c>
      <c r="FM22" s="506">
        <f t="shared" si="62"/>
        <v>3</v>
      </c>
      <c r="FN22" s="39">
        <f t="shared" si="63"/>
        <v>86.666666666666671</v>
      </c>
      <c r="FO22" s="257">
        <f t="shared" si="64"/>
        <v>0</v>
      </c>
      <c r="FP22" s="257">
        <f t="shared" si="65"/>
        <v>0</v>
      </c>
      <c r="FQ22" s="257">
        <f t="shared" si="66"/>
        <v>0</v>
      </c>
      <c r="FR22" s="575">
        <f t="shared" si="67"/>
        <v>3</v>
      </c>
      <c r="FS22" s="506">
        <f t="shared" si="68"/>
        <v>0</v>
      </c>
      <c r="FT22" s="39" t="str">
        <f t="shared" si="69"/>
        <v/>
      </c>
      <c r="FU22" s="257">
        <f t="shared" si="70"/>
        <v>0</v>
      </c>
      <c r="FV22" s="257">
        <f t="shared" si="71"/>
        <v>0</v>
      </c>
      <c r="FW22" s="257">
        <f t="shared" si="72"/>
        <v>0</v>
      </c>
      <c r="FX22" s="575">
        <f t="shared" si="73"/>
        <v>3</v>
      </c>
      <c r="FY22" s="506">
        <f t="shared" si="74"/>
        <v>0</v>
      </c>
      <c r="FZ22" s="39" t="str">
        <f t="shared" si="75"/>
        <v/>
      </c>
      <c r="GA22" s="257">
        <f t="shared" si="76"/>
        <v>0</v>
      </c>
      <c r="GB22" s="257">
        <f t="shared" si="77"/>
        <v>0</v>
      </c>
      <c r="GC22" s="257">
        <f t="shared" si="78"/>
        <v>0</v>
      </c>
      <c r="GD22" s="575">
        <f t="shared" si="79"/>
        <v>3</v>
      </c>
      <c r="GE22" s="506">
        <f t="shared" si="80"/>
        <v>0</v>
      </c>
      <c r="GF22" s="39" t="str">
        <f t="shared" si="81"/>
        <v/>
      </c>
      <c r="GG22" s="257">
        <f t="shared" si="82"/>
        <v>0</v>
      </c>
      <c r="GH22" s="257">
        <f t="shared" si="83"/>
        <v>0</v>
      </c>
      <c r="GI22" s="257">
        <f t="shared" si="84"/>
        <v>0</v>
      </c>
      <c r="GJ22" s="575">
        <f t="shared" si="85"/>
        <v>3</v>
      </c>
      <c r="GK22" s="506">
        <f t="shared" si="86"/>
        <v>0</v>
      </c>
      <c r="GL22" s="39" t="str">
        <f t="shared" si="87"/>
        <v/>
      </c>
      <c r="GM22" s="39"/>
      <c r="GN22" s="39">
        <f t="shared" si="88"/>
        <v>90</v>
      </c>
      <c r="GO22" s="39">
        <f t="shared" si="89"/>
        <v>86.666666666666671</v>
      </c>
      <c r="GP22" s="39">
        <f t="shared" si="90"/>
        <v>86.666666666666671</v>
      </c>
      <c r="GQ22" s="39" t="str">
        <f t="shared" si="91"/>
        <v/>
      </c>
      <c r="GR22" s="39" t="str">
        <f t="shared" si="92"/>
        <v/>
      </c>
      <c r="GS22" s="39" t="str">
        <f t="shared" si="93"/>
        <v/>
      </c>
      <c r="GT22" s="257" t="str">
        <f t="shared" si="94"/>
        <v/>
      </c>
      <c r="GU22" s="579">
        <f t="shared" si="95"/>
        <v>88</v>
      </c>
      <c r="GV22" s="289">
        <f t="shared" si="96"/>
        <v>90</v>
      </c>
      <c r="GW22" s="289">
        <f t="shared" si="97"/>
        <v>86.666666666666671</v>
      </c>
      <c r="GX22" s="223" t="str">
        <f>SISWA!E20</f>
        <v>Tegar</v>
      </c>
      <c r="GY22" s="223" t="str">
        <f t="shared" si="98"/>
        <v xml:space="preserve">Ananda Tegar </v>
      </c>
      <c r="GZ22" s="580">
        <f t="shared" si="99"/>
        <v>90</v>
      </c>
      <c r="HA22" s="580" t="str">
        <f t="shared" si="100"/>
        <v/>
      </c>
      <c r="HB22" s="580" t="str">
        <f t="shared" si="101"/>
        <v/>
      </c>
      <c r="HC22" s="580" t="str">
        <f t="shared" si="102"/>
        <v/>
      </c>
      <c r="HD22" s="580" t="str">
        <f t="shared" si="103"/>
        <v/>
      </c>
      <c r="HE22" s="580" t="str">
        <f t="shared" si="104"/>
        <v/>
      </c>
      <c r="HF22" s="580" t="str">
        <f t="shared" si="105"/>
        <v/>
      </c>
      <c r="HG22" s="580"/>
      <c r="HH22" s="580"/>
      <c r="HI22" s="580"/>
      <c r="HJ22" s="580"/>
      <c r="HK22" s="223">
        <f t="shared" si="106"/>
        <v>90</v>
      </c>
      <c r="HL22" s="289" t="str">
        <f t="shared" si="107"/>
        <v>menyajikan hasil identifikasi karakteristik geografis Indonesia sebagai negara kepulauan/maritim dan agraris serta pengaruhnya terhadap kehidupan ekonomi, sosial, budaya, komunikasi, serta transportasi.</v>
      </c>
      <c r="HM22" s="576" t="str">
        <f>IF(GV22&gt;100,"",IF(GV22&gt;DP$1,"sangat baik dalam "&amp;HL22,IF(GV22&gt;=DP$2,"baik dalam "&amp;HL22,IF(GV22&gt;=DP$3,"cukup dalam "&amp;HL22,IF(GV22&lt;DP$3,"dengan bimbingan dapat meningkatkan dalam "&amp;HL22,IF(GV22&lt;1," ",””))))))</f>
        <v>baik dalam menyajikan hasil identifikasi karakteristik geografis Indonesia sebagai negara kepulauan/maritim dan agraris serta pengaruhnya terhadap kehidupan ekonomi, sosial, budaya, komunikasi, serta transportasi.</v>
      </c>
      <c r="HN22" s="223"/>
      <c r="HO22" s="223" t="str">
        <f t="shared" si="108"/>
        <v/>
      </c>
      <c r="HP22" s="223">
        <f t="shared" si="109"/>
        <v>86.666666666666671</v>
      </c>
      <c r="HQ22" s="223">
        <f t="shared" si="110"/>
        <v>86.666666666666671</v>
      </c>
      <c r="HR22" s="223" t="str">
        <f t="shared" si="111"/>
        <v/>
      </c>
      <c r="HS22" s="223" t="str">
        <f t="shared" si="112"/>
        <v/>
      </c>
      <c r="HT22" s="223" t="str">
        <f t="shared" si="113"/>
        <v/>
      </c>
      <c r="HU22" s="223" t="str">
        <f t="shared" si="114"/>
        <v/>
      </c>
      <c r="HV22" s="223"/>
      <c r="HW22" s="223"/>
      <c r="HX22" s="223"/>
      <c r="HY22" s="223"/>
      <c r="HZ22" s="223" t="str">
        <f t="shared" si="115"/>
        <v>menyajikan hasil analisis tentang peran ekonomi dalam upaya menyejahterakan kehidupan masyarakat di bidang sosial dan budaya untuk memperkuat kesatuan dan persatuan bangsa.</v>
      </c>
      <c r="IA22" s="577" t="str">
        <f>IF(GW22&gt;100,"",IF(GW22&gt;=DP$1,"sangat baik dalam "&amp;HZ22,IF(GW22&gt;=DP$2,"baik dalam "&amp;HZ22,IF(GW22&gt;=DP$3,"cukup dalam "&amp;HZ22,IF(GW22&lt;DP$3,"dengan bimbingan dapat meningkatkan dalam "&amp;HZ22,IF(GW22&lt;1," ",””))))))</f>
        <v>baik dalam menyajikan hasil analisis tentang peran ekonomi dalam upaya menyejahterakan kehidupan masyarakat di bidang sosial dan budaya untuk memperkuat kesatuan dan persatuan bangsa.</v>
      </c>
      <c r="IB22" s="223" t="str">
        <f t="shared" si="116"/>
        <v>Ananda Tegar baik dalam menyajikan hasil identifikasi karakteristik geografis Indonesia sebagai negara kepulauan/maritim dan agraris serta pengaruhnya terhadap kehidupan ekonomi, sosial, budaya, komunikasi, serta transportasi., baik dalam menyajikan hasil analisis tentang peran ekonomi dalam upaya menyejahterakan kehidupan masyarakat di bidang sosial dan budaya untuk memperkuat kesatuan dan persatuan bangsa..</v>
      </c>
    </row>
    <row r="23" spans="1:236" ht="30" customHeight="1">
      <c r="A23" s="39">
        <v>16</v>
      </c>
      <c r="B23" s="223">
        <f>SISWA!B21</f>
        <v>0</v>
      </c>
      <c r="C23" s="123"/>
      <c r="D23" s="123"/>
      <c r="E23" s="123"/>
      <c r="F23" s="123"/>
      <c r="G23" s="123"/>
      <c r="H23" s="123"/>
      <c r="I23" s="123"/>
      <c r="J23" s="255"/>
      <c r="K23" s="255"/>
      <c r="L23" s="255"/>
      <c r="M23" s="255"/>
      <c r="N23" s="255"/>
      <c r="O23" s="255"/>
      <c r="P23" s="255"/>
      <c r="Q23" s="256"/>
      <c r="R23" s="256"/>
      <c r="S23" s="256"/>
      <c r="T23" s="256"/>
      <c r="U23" s="256"/>
      <c r="V23" s="256"/>
      <c r="W23" s="256"/>
      <c r="X23" s="123"/>
      <c r="Y23" s="123"/>
      <c r="Z23" s="123"/>
      <c r="AA23" s="123"/>
      <c r="AB23" s="123"/>
      <c r="AC23" s="123"/>
      <c r="AD23" s="123"/>
      <c r="AE23" s="255"/>
      <c r="AF23" s="255"/>
      <c r="AG23" s="255"/>
      <c r="AH23" s="255"/>
      <c r="AI23" s="255"/>
      <c r="AJ23" s="255"/>
      <c r="AK23" s="255"/>
      <c r="AL23" s="256"/>
      <c r="AM23" s="256"/>
      <c r="AN23" s="256"/>
      <c r="AO23" s="256"/>
      <c r="AP23" s="256"/>
      <c r="AQ23" s="256"/>
      <c r="AR23" s="256"/>
      <c r="AS23" s="123"/>
      <c r="AT23" s="123"/>
      <c r="AU23" s="123"/>
      <c r="AV23" s="123"/>
      <c r="AW23" s="123"/>
      <c r="AX23" s="123"/>
      <c r="AY23" s="123"/>
      <c r="AZ23" s="255"/>
      <c r="BA23" s="255"/>
      <c r="BB23" s="255"/>
      <c r="BC23" s="255"/>
      <c r="BD23" s="255"/>
      <c r="BE23" s="255"/>
      <c r="BF23" s="255"/>
      <c r="BG23" s="256"/>
      <c r="BH23" s="256"/>
      <c r="BI23" s="256"/>
      <c r="BJ23" s="256"/>
      <c r="BK23" s="256"/>
      <c r="BL23" s="256"/>
      <c r="BM23" s="256"/>
      <c r="BN23" s="123"/>
      <c r="BO23" s="123"/>
      <c r="BP23" s="123"/>
      <c r="BQ23" s="123"/>
      <c r="BR23" s="123"/>
      <c r="BS23" s="123"/>
      <c r="BT23" s="123"/>
      <c r="BU23" s="255"/>
      <c r="BV23" s="255"/>
      <c r="BW23" s="255"/>
      <c r="BX23" s="255"/>
      <c r="BY23" s="255"/>
      <c r="BZ23" s="255"/>
      <c r="CA23" s="255"/>
      <c r="CB23" s="256"/>
      <c r="CC23" s="256"/>
      <c r="CD23" s="256"/>
      <c r="CE23" s="256"/>
      <c r="CF23" s="256"/>
      <c r="CG23" s="256"/>
      <c r="CH23" s="256"/>
      <c r="CI23" s="458"/>
      <c r="CJ23" s="458"/>
      <c r="CK23" s="458"/>
      <c r="CL23" s="458"/>
      <c r="CM23" s="458"/>
      <c r="CN23" s="458"/>
      <c r="CO23" s="458"/>
      <c r="CP23" s="457"/>
      <c r="CQ23" s="457"/>
      <c r="CR23" s="457"/>
      <c r="CS23" s="457"/>
      <c r="CT23" s="457"/>
      <c r="CU23" s="457"/>
      <c r="CV23" s="457"/>
      <c r="CW23" s="256"/>
      <c r="CX23" s="256"/>
      <c r="CY23" s="256"/>
      <c r="CZ23" s="256"/>
      <c r="DA23" s="256"/>
      <c r="DB23" s="256"/>
      <c r="DC23" s="256"/>
      <c r="DD23" s="257" t="str">
        <f t="shared" si="13"/>
        <v/>
      </c>
      <c r="DE23" s="257" t="str">
        <f t="shared" si="14"/>
        <v/>
      </c>
      <c r="DF23" s="257" t="str">
        <f t="shared" si="15"/>
        <v/>
      </c>
      <c r="DG23" s="257" t="str">
        <f t="shared" si="16"/>
        <v/>
      </c>
      <c r="DH23" s="257" t="str">
        <f t="shared" si="17"/>
        <v/>
      </c>
      <c r="DI23" s="257" t="str">
        <f t="shared" si="18"/>
        <v/>
      </c>
      <c r="DJ23" s="257" t="str">
        <f t="shared" si="19"/>
        <v/>
      </c>
      <c r="DK23" s="756" t="str">
        <f t="shared" si="7"/>
        <v/>
      </c>
      <c r="DL23" s="291" t="str">
        <f t="shared" si="20"/>
        <v xml:space="preserve">  </v>
      </c>
      <c r="DM23" s="243" t="str">
        <f t="shared" si="21"/>
        <v xml:space="preserve"> </v>
      </c>
      <c r="DN23" s="39"/>
      <c r="DO23" s="39"/>
      <c r="DP23" s="257">
        <f t="shared" si="22"/>
        <v>0</v>
      </c>
      <c r="DQ23" s="257">
        <f t="shared" si="23"/>
        <v>0</v>
      </c>
      <c r="DR23" s="257">
        <f t="shared" si="24"/>
        <v>0</v>
      </c>
      <c r="DS23" s="257">
        <f t="shared" si="25"/>
        <v>0</v>
      </c>
      <c r="DT23" s="257">
        <f t="shared" si="26"/>
        <v>0</v>
      </c>
      <c r="DU23" s="257">
        <f t="shared" si="27"/>
        <v>0</v>
      </c>
      <c r="DV23" s="257">
        <f t="shared" si="28"/>
        <v>0</v>
      </c>
      <c r="DW23" s="257"/>
      <c r="DX23" s="257"/>
      <c r="DY23" s="257"/>
      <c r="DZ23" s="289">
        <f t="shared" si="29"/>
        <v>0</v>
      </c>
      <c r="EA23" s="257">
        <f t="shared" si="30"/>
        <v>0</v>
      </c>
      <c r="EB23" s="257">
        <f t="shared" si="31"/>
        <v>0</v>
      </c>
      <c r="EC23" s="257">
        <f t="shared" si="32"/>
        <v>0</v>
      </c>
      <c r="ED23" s="257">
        <f t="shared" si="33"/>
        <v>0</v>
      </c>
      <c r="EE23" s="257">
        <f t="shared" si="34"/>
        <v>0</v>
      </c>
      <c r="EF23" s="257">
        <f t="shared" si="35"/>
        <v>0</v>
      </c>
      <c r="EG23" s="257">
        <f t="shared" si="36"/>
        <v>0</v>
      </c>
      <c r="EH23" s="223"/>
      <c r="EI23" s="223"/>
      <c r="EJ23" s="223"/>
      <c r="EK23" s="289">
        <f t="shared" si="37"/>
        <v>0</v>
      </c>
      <c r="EL23" s="257">
        <f t="shared" si="38"/>
        <v>0</v>
      </c>
      <c r="EM23" s="257">
        <f t="shared" si="39"/>
        <v>0</v>
      </c>
      <c r="EN23" s="257">
        <f t="shared" si="40"/>
        <v>0</v>
      </c>
      <c r="EO23" s="257">
        <f t="shared" si="41"/>
        <v>0</v>
      </c>
      <c r="EP23" s="257">
        <f t="shared" si="42"/>
        <v>0</v>
      </c>
      <c r="EQ23" s="257">
        <f t="shared" si="43"/>
        <v>0</v>
      </c>
      <c r="ER23" s="257">
        <f t="shared" si="44"/>
        <v>0</v>
      </c>
      <c r="ES23" s="223"/>
      <c r="ET23" s="223"/>
      <c r="EU23" s="223"/>
      <c r="EV23" s="289">
        <f t="shared" si="45"/>
        <v>0</v>
      </c>
      <c r="EW23" s="257">
        <f t="shared" si="46"/>
        <v>0</v>
      </c>
      <c r="EX23" s="257">
        <f t="shared" si="47"/>
        <v>0</v>
      </c>
      <c r="EY23" s="257">
        <f t="shared" si="48"/>
        <v>0</v>
      </c>
      <c r="EZ23" s="575">
        <f t="shared" si="49"/>
        <v>3</v>
      </c>
      <c r="FA23" s="506">
        <f t="shared" si="50"/>
        <v>0</v>
      </c>
      <c r="FB23" s="39" t="str">
        <f t="shared" si="51"/>
        <v/>
      </c>
      <c r="FC23" s="257">
        <f t="shared" si="52"/>
        <v>0</v>
      </c>
      <c r="FD23" s="257">
        <f t="shared" si="53"/>
        <v>0</v>
      </c>
      <c r="FE23" s="257">
        <f t="shared" si="54"/>
        <v>0</v>
      </c>
      <c r="FF23" s="575">
        <f t="shared" si="55"/>
        <v>3</v>
      </c>
      <c r="FG23" s="506">
        <f t="shared" si="56"/>
        <v>0</v>
      </c>
      <c r="FH23" s="39" t="str">
        <f t="shared" si="57"/>
        <v/>
      </c>
      <c r="FI23" s="257">
        <f t="shared" si="58"/>
        <v>0</v>
      </c>
      <c r="FJ23" s="257">
        <f t="shared" si="59"/>
        <v>0</v>
      </c>
      <c r="FK23" s="257">
        <f t="shared" si="60"/>
        <v>0</v>
      </c>
      <c r="FL23" s="575">
        <f t="shared" si="61"/>
        <v>3</v>
      </c>
      <c r="FM23" s="506">
        <f t="shared" si="62"/>
        <v>0</v>
      </c>
      <c r="FN23" s="39" t="str">
        <f t="shared" si="63"/>
        <v/>
      </c>
      <c r="FO23" s="257">
        <f t="shared" si="64"/>
        <v>0</v>
      </c>
      <c r="FP23" s="257">
        <f t="shared" si="65"/>
        <v>0</v>
      </c>
      <c r="FQ23" s="257">
        <f t="shared" si="66"/>
        <v>0</v>
      </c>
      <c r="FR23" s="575">
        <f t="shared" si="67"/>
        <v>3</v>
      </c>
      <c r="FS23" s="506">
        <f t="shared" si="68"/>
        <v>0</v>
      </c>
      <c r="FT23" s="39" t="str">
        <f t="shared" si="69"/>
        <v/>
      </c>
      <c r="FU23" s="257">
        <f t="shared" si="70"/>
        <v>0</v>
      </c>
      <c r="FV23" s="257">
        <f t="shared" si="71"/>
        <v>0</v>
      </c>
      <c r="FW23" s="257">
        <f t="shared" si="72"/>
        <v>0</v>
      </c>
      <c r="FX23" s="575">
        <f t="shared" si="73"/>
        <v>3</v>
      </c>
      <c r="FY23" s="506">
        <f t="shared" si="74"/>
        <v>0</v>
      </c>
      <c r="FZ23" s="39" t="str">
        <f t="shared" si="75"/>
        <v/>
      </c>
      <c r="GA23" s="257">
        <f t="shared" si="76"/>
        <v>0</v>
      </c>
      <c r="GB23" s="257">
        <f t="shared" si="77"/>
        <v>0</v>
      </c>
      <c r="GC23" s="257">
        <f t="shared" si="78"/>
        <v>0</v>
      </c>
      <c r="GD23" s="575">
        <f t="shared" si="79"/>
        <v>3</v>
      </c>
      <c r="GE23" s="506">
        <f t="shared" si="80"/>
        <v>0</v>
      </c>
      <c r="GF23" s="39" t="str">
        <f t="shared" si="81"/>
        <v/>
      </c>
      <c r="GG23" s="257">
        <f t="shared" si="82"/>
        <v>0</v>
      </c>
      <c r="GH23" s="257">
        <f t="shared" si="83"/>
        <v>0</v>
      </c>
      <c r="GI23" s="257">
        <f t="shared" si="84"/>
        <v>0</v>
      </c>
      <c r="GJ23" s="575">
        <f t="shared" si="85"/>
        <v>3</v>
      </c>
      <c r="GK23" s="506">
        <f t="shared" si="86"/>
        <v>0</v>
      </c>
      <c r="GL23" s="39" t="str">
        <f t="shared" si="87"/>
        <v/>
      </c>
      <c r="GM23" s="39"/>
      <c r="GN23" s="39" t="str">
        <f t="shared" si="88"/>
        <v/>
      </c>
      <c r="GO23" s="39" t="str">
        <f t="shared" si="89"/>
        <v/>
      </c>
      <c r="GP23" s="39" t="str">
        <f t="shared" si="90"/>
        <v/>
      </c>
      <c r="GQ23" s="39" t="str">
        <f t="shared" si="91"/>
        <v/>
      </c>
      <c r="GR23" s="39" t="str">
        <f t="shared" si="92"/>
        <v/>
      </c>
      <c r="GS23" s="39" t="str">
        <f t="shared" si="93"/>
        <v/>
      </c>
      <c r="GT23" s="257" t="str">
        <f t="shared" si="94"/>
        <v/>
      </c>
      <c r="GU23" s="579" t="str">
        <f t="shared" si="95"/>
        <v/>
      </c>
      <c r="GV23" s="289">
        <f t="shared" si="96"/>
        <v>0</v>
      </c>
      <c r="GW23" s="289">
        <f t="shared" si="97"/>
        <v>0</v>
      </c>
      <c r="GX23" s="223">
        <f>SISWA!E21</f>
        <v>0</v>
      </c>
      <c r="GY23" s="223" t="str">
        <f t="shared" si="98"/>
        <v/>
      </c>
      <c r="GZ23" s="580" t="str">
        <f t="shared" si="99"/>
        <v/>
      </c>
      <c r="HA23" s="580" t="str">
        <f t="shared" si="100"/>
        <v/>
      </c>
      <c r="HB23" s="580" t="str">
        <f t="shared" si="101"/>
        <v/>
      </c>
      <c r="HC23" s="580" t="str">
        <f t="shared" si="102"/>
        <v/>
      </c>
      <c r="HD23" s="580" t="str">
        <f t="shared" si="103"/>
        <v/>
      </c>
      <c r="HE23" s="580" t="str">
        <f t="shared" si="104"/>
        <v/>
      </c>
      <c r="HF23" s="580" t="str">
        <f t="shared" si="105"/>
        <v/>
      </c>
      <c r="HG23" s="580"/>
      <c r="HH23" s="580"/>
      <c r="HI23" s="580"/>
      <c r="HJ23" s="580"/>
      <c r="HK23" s="223">
        <f t="shared" si="106"/>
        <v>0</v>
      </c>
      <c r="HL23" s="289" t="e">
        <f t="shared" si="107"/>
        <v>#N/A</v>
      </c>
      <c r="HM23" s="576" t="e">
        <f>IF(GV23&gt;100,"",IF(GV23&gt;DP$1,"sangat baik dalam "&amp;HL23,IF(GV23&gt;=DP$2,"baik dalam "&amp;HL23,IF(GV23&gt;=DP$3,"cukup dalam "&amp;HL23,IF(GV23&lt;DP$3,"dengan bimbingan dapat meningkatkan dalam "&amp;HL23,IF(GV23&lt;1," ",””))))))</f>
        <v>#N/A</v>
      </c>
      <c r="HN23" s="223"/>
      <c r="HO23" s="223" t="str">
        <f t="shared" si="108"/>
        <v/>
      </c>
      <c r="HP23" s="223" t="str">
        <f t="shared" si="109"/>
        <v/>
      </c>
      <c r="HQ23" s="223" t="str">
        <f t="shared" si="110"/>
        <v/>
      </c>
      <c r="HR23" s="223" t="str">
        <f t="shared" si="111"/>
        <v/>
      </c>
      <c r="HS23" s="223" t="str">
        <f t="shared" si="112"/>
        <v/>
      </c>
      <c r="HT23" s="223" t="str">
        <f t="shared" si="113"/>
        <v/>
      </c>
      <c r="HU23" s="223" t="str">
        <f t="shared" si="114"/>
        <v/>
      </c>
      <c r="HV23" s="223"/>
      <c r="HW23" s="223"/>
      <c r="HX23" s="223"/>
      <c r="HY23" s="223"/>
      <c r="HZ23" s="223" t="e">
        <f t="shared" si="115"/>
        <v>#N/A</v>
      </c>
      <c r="IA23" s="577" t="e">
        <f>IF(GW23&gt;100,"",IF(GW23&gt;=DP$1,"sangat baik dalam "&amp;HZ23,IF(GW23&gt;=DP$2,"baik dalam "&amp;HZ23,IF(GW23&gt;=DP$3,"cukup dalam "&amp;HZ23,IF(GW23&lt;DP$3,"dengan bimbingan dapat meningkatkan dalam "&amp;HZ23,IF(GW23&lt;1," ",””))))))</f>
        <v>#N/A</v>
      </c>
      <c r="IB23" s="223" t="e">
        <f t="shared" si="116"/>
        <v>#N/A</v>
      </c>
    </row>
    <row r="24" spans="1:236" ht="30" customHeight="1">
      <c r="A24" s="39">
        <v>17</v>
      </c>
      <c r="B24" s="223">
        <f>SISWA!B22</f>
        <v>0</v>
      </c>
      <c r="C24" s="123"/>
      <c r="D24" s="123"/>
      <c r="E24" s="123"/>
      <c r="F24" s="123"/>
      <c r="G24" s="123"/>
      <c r="H24" s="123"/>
      <c r="I24" s="123"/>
      <c r="J24" s="255"/>
      <c r="K24" s="255"/>
      <c r="L24" s="255"/>
      <c r="M24" s="255"/>
      <c r="N24" s="255"/>
      <c r="O24" s="255"/>
      <c r="P24" s="255"/>
      <c r="Q24" s="256"/>
      <c r="R24" s="256"/>
      <c r="S24" s="256"/>
      <c r="T24" s="256"/>
      <c r="U24" s="256"/>
      <c r="V24" s="256"/>
      <c r="W24" s="256"/>
      <c r="X24" s="123"/>
      <c r="Y24" s="123"/>
      <c r="Z24" s="123"/>
      <c r="AA24" s="123"/>
      <c r="AB24" s="123"/>
      <c r="AC24" s="123"/>
      <c r="AD24" s="123"/>
      <c r="AE24" s="255"/>
      <c r="AF24" s="255"/>
      <c r="AG24" s="255"/>
      <c r="AH24" s="255"/>
      <c r="AI24" s="255"/>
      <c r="AJ24" s="255"/>
      <c r="AK24" s="255"/>
      <c r="AL24" s="256"/>
      <c r="AM24" s="256"/>
      <c r="AN24" s="256"/>
      <c r="AO24" s="256"/>
      <c r="AP24" s="256"/>
      <c r="AQ24" s="256"/>
      <c r="AR24" s="256"/>
      <c r="AS24" s="123"/>
      <c r="AT24" s="123"/>
      <c r="AU24" s="123"/>
      <c r="AV24" s="123"/>
      <c r="AW24" s="123"/>
      <c r="AX24" s="123"/>
      <c r="AY24" s="123"/>
      <c r="AZ24" s="255"/>
      <c r="BA24" s="255"/>
      <c r="BB24" s="255"/>
      <c r="BC24" s="255"/>
      <c r="BD24" s="255"/>
      <c r="BE24" s="255"/>
      <c r="BF24" s="255"/>
      <c r="BG24" s="256"/>
      <c r="BH24" s="256"/>
      <c r="BI24" s="256"/>
      <c r="BJ24" s="256"/>
      <c r="BK24" s="256"/>
      <c r="BL24" s="256"/>
      <c r="BM24" s="256"/>
      <c r="BN24" s="123"/>
      <c r="BO24" s="123"/>
      <c r="BP24" s="123"/>
      <c r="BQ24" s="123"/>
      <c r="BR24" s="123"/>
      <c r="BS24" s="123"/>
      <c r="BT24" s="123"/>
      <c r="BU24" s="255"/>
      <c r="BV24" s="255"/>
      <c r="BW24" s="255"/>
      <c r="BX24" s="255"/>
      <c r="BY24" s="255"/>
      <c r="BZ24" s="255"/>
      <c r="CA24" s="255"/>
      <c r="CB24" s="256"/>
      <c r="CC24" s="256"/>
      <c r="CD24" s="256"/>
      <c r="CE24" s="256"/>
      <c r="CF24" s="256"/>
      <c r="CG24" s="256"/>
      <c r="CH24" s="256"/>
      <c r="CI24" s="458"/>
      <c r="CJ24" s="458"/>
      <c r="CK24" s="458"/>
      <c r="CL24" s="458"/>
      <c r="CM24" s="458"/>
      <c r="CN24" s="458"/>
      <c r="CO24" s="458"/>
      <c r="CP24" s="457"/>
      <c r="CQ24" s="457"/>
      <c r="CR24" s="457"/>
      <c r="CS24" s="457"/>
      <c r="CT24" s="457"/>
      <c r="CU24" s="457"/>
      <c r="CV24" s="457"/>
      <c r="CW24" s="256"/>
      <c r="CX24" s="256"/>
      <c r="CY24" s="256"/>
      <c r="CZ24" s="256"/>
      <c r="DA24" s="256"/>
      <c r="DB24" s="256"/>
      <c r="DC24" s="256"/>
      <c r="DD24" s="257" t="str">
        <f t="shared" si="13"/>
        <v/>
      </c>
      <c r="DE24" s="257" t="str">
        <f t="shared" si="14"/>
        <v/>
      </c>
      <c r="DF24" s="257" t="str">
        <f t="shared" si="15"/>
        <v/>
      </c>
      <c r="DG24" s="257" t="str">
        <f t="shared" si="16"/>
        <v/>
      </c>
      <c r="DH24" s="257" t="str">
        <f t="shared" si="17"/>
        <v/>
      </c>
      <c r="DI24" s="257" t="str">
        <f t="shared" si="18"/>
        <v/>
      </c>
      <c r="DJ24" s="257" t="str">
        <f t="shared" si="19"/>
        <v/>
      </c>
      <c r="DK24" s="756" t="str">
        <f t="shared" si="19"/>
        <v/>
      </c>
      <c r="DL24" s="291" t="str">
        <f t="shared" si="20"/>
        <v xml:space="preserve">  </v>
      </c>
      <c r="DM24" s="243" t="str">
        <f t="shared" si="21"/>
        <v xml:space="preserve"> </v>
      </c>
      <c r="DN24" s="39"/>
      <c r="DO24" s="39"/>
      <c r="DP24" s="257">
        <f t="shared" si="22"/>
        <v>0</v>
      </c>
      <c r="DQ24" s="257">
        <f t="shared" si="23"/>
        <v>0</v>
      </c>
      <c r="DR24" s="257">
        <f t="shared" si="24"/>
        <v>0</v>
      </c>
      <c r="DS24" s="257">
        <f t="shared" si="25"/>
        <v>0</v>
      </c>
      <c r="DT24" s="257">
        <f t="shared" si="26"/>
        <v>0</v>
      </c>
      <c r="DU24" s="257">
        <f t="shared" si="27"/>
        <v>0</v>
      </c>
      <c r="DV24" s="257">
        <f t="shared" si="28"/>
        <v>0</v>
      </c>
      <c r="DW24" s="257"/>
      <c r="DX24" s="257"/>
      <c r="DY24" s="257"/>
      <c r="DZ24" s="289">
        <f t="shared" si="29"/>
        <v>0</v>
      </c>
      <c r="EA24" s="257">
        <f t="shared" si="30"/>
        <v>0</v>
      </c>
      <c r="EB24" s="257">
        <f t="shared" si="31"/>
        <v>0</v>
      </c>
      <c r="EC24" s="257">
        <f t="shared" si="32"/>
        <v>0</v>
      </c>
      <c r="ED24" s="257">
        <f t="shared" si="33"/>
        <v>0</v>
      </c>
      <c r="EE24" s="257">
        <f t="shared" si="34"/>
        <v>0</v>
      </c>
      <c r="EF24" s="257">
        <f t="shared" si="35"/>
        <v>0</v>
      </c>
      <c r="EG24" s="257">
        <f t="shared" si="36"/>
        <v>0</v>
      </c>
      <c r="EH24" s="223"/>
      <c r="EI24" s="223"/>
      <c r="EJ24" s="223"/>
      <c r="EK24" s="289">
        <f t="shared" si="37"/>
        <v>0</v>
      </c>
      <c r="EL24" s="257">
        <f t="shared" si="38"/>
        <v>0</v>
      </c>
      <c r="EM24" s="257">
        <f t="shared" si="39"/>
        <v>0</v>
      </c>
      <c r="EN24" s="257">
        <f t="shared" si="40"/>
        <v>0</v>
      </c>
      <c r="EO24" s="257">
        <f t="shared" si="41"/>
        <v>0</v>
      </c>
      <c r="EP24" s="257">
        <f t="shared" si="42"/>
        <v>0</v>
      </c>
      <c r="EQ24" s="257">
        <f t="shared" si="43"/>
        <v>0</v>
      </c>
      <c r="ER24" s="257">
        <f t="shared" si="44"/>
        <v>0</v>
      </c>
      <c r="ES24" s="223"/>
      <c r="ET24" s="223"/>
      <c r="EU24" s="223"/>
      <c r="EV24" s="289">
        <f t="shared" si="45"/>
        <v>0</v>
      </c>
      <c r="EW24" s="257">
        <f t="shared" si="46"/>
        <v>0</v>
      </c>
      <c r="EX24" s="257">
        <f t="shared" si="47"/>
        <v>0</v>
      </c>
      <c r="EY24" s="257">
        <f t="shared" si="48"/>
        <v>0</v>
      </c>
      <c r="EZ24" s="575">
        <f t="shared" si="49"/>
        <v>3</v>
      </c>
      <c r="FA24" s="506">
        <f t="shared" si="50"/>
        <v>0</v>
      </c>
      <c r="FB24" s="39" t="str">
        <f t="shared" si="51"/>
        <v/>
      </c>
      <c r="FC24" s="257">
        <f t="shared" si="52"/>
        <v>0</v>
      </c>
      <c r="FD24" s="257">
        <f t="shared" si="53"/>
        <v>0</v>
      </c>
      <c r="FE24" s="257">
        <f t="shared" si="54"/>
        <v>0</v>
      </c>
      <c r="FF24" s="575">
        <f t="shared" si="55"/>
        <v>3</v>
      </c>
      <c r="FG24" s="506">
        <f t="shared" si="56"/>
        <v>0</v>
      </c>
      <c r="FH24" s="39" t="str">
        <f t="shared" si="57"/>
        <v/>
      </c>
      <c r="FI24" s="257">
        <f t="shared" si="58"/>
        <v>0</v>
      </c>
      <c r="FJ24" s="257">
        <f t="shared" si="59"/>
        <v>0</v>
      </c>
      <c r="FK24" s="257">
        <f t="shared" si="60"/>
        <v>0</v>
      </c>
      <c r="FL24" s="575">
        <f t="shared" si="61"/>
        <v>3</v>
      </c>
      <c r="FM24" s="506">
        <f t="shared" si="62"/>
        <v>0</v>
      </c>
      <c r="FN24" s="39" t="str">
        <f t="shared" si="63"/>
        <v/>
      </c>
      <c r="FO24" s="257">
        <f t="shared" si="64"/>
        <v>0</v>
      </c>
      <c r="FP24" s="257">
        <f t="shared" si="65"/>
        <v>0</v>
      </c>
      <c r="FQ24" s="257">
        <f t="shared" si="66"/>
        <v>0</v>
      </c>
      <c r="FR24" s="575">
        <f t="shared" si="67"/>
        <v>3</v>
      </c>
      <c r="FS24" s="506">
        <f t="shared" si="68"/>
        <v>0</v>
      </c>
      <c r="FT24" s="39" t="str">
        <f t="shared" si="69"/>
        <v/>
      </c>
      <c r="FU24" s="257">
        <f t="shared" si="70"/>
        <v>0</v>
      </c>
      <c r="FV24" s="257">
        <f t="shared" si="71"/>
        <v>0</v>
      </c>
      <c r="FW24" s="257">
        <f t="shared" si="72"/>
        <v>0</v>
      </c>
      <c r="FX24" s="575">
        <f t="shared" si="73"/>
        <v>3</v>
      </c>
      <c r="FY24" s="506">
        <f t="shared" si="74"/>
        <v>0</v>
      </c>
      <c r="FZ24" s="39" t="str">
        <f t="shared" si="75"/>
        <v/>
      </c>
      <c r="GA24" s="257">
        <f t="shared" si="76"/>
        <v>0</v>
      </c>
      <c r="GB24" s="257">
        <f t="shared" si="77"/>
        <v>0</v>
      </c>
      <c r="GC24" s="257">
        <f t="shared" si="78"/>
        <v>0</v>
      </c>
      <c r="GD24" s="575">
        <f t="shared" si="79"/>
        <v>3</v>
      </c>
      <c r="GE24" s="506">
        <f t="shared" si="80"/>
        <v>0</v>
      </c>
      <c r="GF24" s="39" t="str">
        <f t="shared" si="81"/>
        <v/>
      </c>
      <c r="GG24" s="257">
        <f t="shared" si="82"/>
        <v>0</v>
      </c>
      <c r="GH24" s="257">
        <f t="shared" si="83"/>
        <v>0</v>
      </c>
      <c r="GI24" s="257">
        <f t="shared" si="84"/>
        <v>0</v>
      </c>
      <c r="GJ24" s="575">
        <f t="shared" si="85"/>
        <v>3</v>
      </c>
      <c r="GK24" s="506">
        <f t="shared" si="86"/>
        <v>0</v>
      </c>
      <c r="GL24" s="39" t="str">
        <f t="shared" si="87"/>
        <v/>
      </c>
      <c r="GM24" s="39"/>
      <c r="GN24" s="39" t="str">
        <f t="shared" si="88"/>
        <v/>
      </c>
      <c r="GO24" s="39" t="str">
        <f t="shared" si="89"/>
        <v/>
      </c>
      <c r="GP24" s="39" t="str">
        <f t="shared" si="90"/>
        <v/>
      </c>
      <c r="GQ24" s="39" t="str">
        <f t="shared" si="91"/>
        <v/>
      </c>
      <c r="GR24" s="39" t="str">
        <f t="shared" si="92"/>
        <v/>
      </c>
      <c r="GS24" s="39" t="str">
        <f t="shared" si="93"/>
        <v/>
      </c>
      <c r="GT24" s="257" t="str">
        <f t="shared" si="94"/>
        <v/>
      </c>
      <c r="GU24" s="579" t="str">
        <f t="shared" si="95"/>
        <v/>
      </c>
      <c r="GV24" s="289">
        <f t="shared" si="96"/>
        <v>0</v>
      </c>
      <c r="GW24" s="289">
        <f t="shared" si="97"/>
        <v>0</v>
      </c>
      <c r="GX24" s="223">
        <f>SISWA!E22</f>
        <v>0</v>
      </c>
      <c r="GY24" s="223" t="str">
        <f t="shared" si="98"/>
        <v/>
      </c>
      <c r="GZ24" s="580" t="str">
        <f t="shared" si="99"/>
        <v/>
      </c>
      <c r="HA24" s="580" t="str">
        <f t="shared" si="100"/>
        <v/>
      </c>
      <c r="HB24" s="580" t="str">
        <f t="shared" si="101"/>
        <v/>
      </c>
      <c r="HC24" s="580" t="str">
        <f t="shared" si="102"/>
        <v/>
      </c>
      <c r="HD24" s="580" t="str">
        <f t="shared" si="103"/>
        <v/>
      </c>
      <c r="HE24" s="580" t="str">
        <f t="shared" si="104"/>
        <v/>
      </c>
      <c r="HF24" s="580" t="str">
        <f t="shared" si="105"/>
        <v/>
      </c>
      <c r="HG24" s="580"/>
      <c r="HH24" s="580"/>
      <c r="HI24" s="580"/>
      <c r="HJ24" s="580"/>
      <c r="HK24" s="223">
        <f t="shared" si="106"/>
        <v>0</v>
      </c>
      <c r="HL24" s="289" t="e">
        <f t="shared" si="107"/>
        <v>#N/A</v>
      </c>
      <c r="HM24" s="576" t="e">
        <f>IF(GV24&gt;100,"",IF(GV24&gt;DP$1,"sangat baik dalam "&amp;HL24,IF(GV24&gt;=DP$2,"baik dalam "&amp;HL24,IF(GV24&gt;=DP$3,"cukup dalam "&amp;HL24,IF(GV24&lt;DP$3,"dengan bimbingan dapat meningkatkan dalam "&amp;HL24,IF(GV24&lt;1," ",””))))))</f>
        <v>#N/A</v>
      </c>
      <c r="HN24" s="223"/>
      <c r="HO24" s="223" t="str">
        <f t="shared" si="108"/>
        <v/>
      </c>
      <c r="HP24" s="223" t="str">
        <f t="shared" si="109"/>
        <v/>
      </c>
      <c r="HQ24" s="223" t="str">
        <f t="shared" si="110"/>
        <v/>
      </c>
      <c r="HR24" s="223" t="str">
        <f t="shared" si="111"/>
        <v/>
      </c>
      <c r="HS24" s="223" t="str">
        <f t="shared" si="112"/>
        <v/>
      </c>
      <c r="HT24" s="223" t="str">
        <f t="shared" si="113"/>
        <v/>
      </c>
      <c r="HU24" s="223" t="str">
        <f t="shared" si="114"/>
        <v/>
      </c>
      <c r="HV24" s="223"/>
      <c r="HW24" s="223"/>
      <c r="HX24" s="223"/>
      <c r="HY24" s="223"/>
      <c r="HZ24" s="223" t="e">
        <f t="shared" si="115"/>
        <v>#N/A</v>
      </c>
      <c r="IA24" s="577" t="e">
        <f>IF(GW24&gt;100,"",IF(GW24&gt;=DP$1,"sangat baik dalam "&amp;HZ24,IF(GW24&gt;=DP$2,"baik dalam "&amp;HZ24,IF(GW24&gt;=DP$3,"cukup dalam "&amp;HZ24,IF(GW24&lt;DP$3,"dengan bimbingan dapat meningkatkan dalam "&amp;HZ24,IF(GW24&lt;1," ",””))))))</f>
        <v>#N/A</v>
      </c>
      <c r="IB24" s="223" t="e">
        <f t="shared" si="116"/>
        <v>#N/A</v>
      </c>
    </row>
    <row r="25" spans="1:236" ht="30" customHeight="1">
      <c r="A25" s="39">
        <v>18</v>
      </c>
      <c r="B25" s="223">
        <f>SISWA!B23</f>
        <v>0</v>
      </c>
      <c r="C25" s="123"/>
      <c r="D25" s="123"/>
      <c r="E25" s="123"/>
      <c r="F25" s="123"/>
      <c r="G25" s="123"/>
      <c r="H25" s="123"/>
      <c r="I25" s="123"/>
      <c r="J25" s="255"/>
      <c r="K25" s="255"/>
      <c r="L25" s="255"/>
      <c r="M25" s="255"/>
      <c r="N25" s="255"/>
      <c r="O25" s="255"/>
      <c r="P25" s="255"/>
      <c r="Q25" s="256"/>
      <c r="R25" s="256"/>
      <c r="S25" s="256"/>
      <c r="T25" s="256"/>
      <c r="U25" s="256"/>
      <c r="V25" s="256"/>
      <c r="W25" s="256"/>
      <c r="X25" s="123"/>
      <c r="Y25" s="123"/>
      <c r="Z25" s="123"/>
      <c r="AA25" s="123"/>
      <c r="AB25" s="123"/>
      <c r="AC25" s="123"/>
      <c r="AD25" s="123"/>
      <c r="AE25" s="255"/>
      <c r="AF25" s="255"/>
      <c r="AG25" s="255"/>
      <c r="AH25" s="255"/>
      <c r="AI25" s="255"/>
      <c r="AJ25" s="255"/>
      <c r="AK25" s="255"/>
      <c r="AL25" s="256"/>
      <c r="AM25" s="256"/>
      <c r="AN25" s="256"/>
      <c r="AO25" s="256"/>
      <c r="AP25" s="256"/>
      <c r="AQ25" s="256"/>
      <c r="AR25" s="256"/>
      <c r="AS25" s="123"/>
      <c r="AT25" s="123"/>
      <c r="AU25" s="123"/>
      <c r="AV25" s="123"/>
      <c r="AW25" s="123"/>
      <c r="AX25" s="123"/>
      <c r="AY25" s="123"/>
      <c r="AZ25" s="255"/>
      <c r="BA25" s="255"/>
      <c r="BB25" s="255"/>
      <c r="BC25" s="255"/>
      <c r="BD25" s="255"/>
      <c r="BE25" s="255"/>
      <c r="BF25" s="255"/>
      <c r="BG25" s="256"/>
      <c r="BH25" s="256"/>
      <c r="BI25" s="256"/>
      <c r="BJ25" s="256"/>
      <c r="BK25" s="256"/>
      <c r="BL25" s="256"/>
      <c r="BM25" s="256"/>
      <c r="BN25" s="123"/>
      <c r="BO25" s="123"/>
      <c r="BP25" s="123"/>
      <c r="BQ25" s="123"/>
      <c r="BR25" s="123"/>
      <c r="BS25" s="123"/>
      <c r="BT25" s="123"/>
      <c r="BU25" s="255"/>
      <c r="BV25" s="255"/>
      <c r="BW25" s="255"/>
      <c r="BX25" s="255"/>
      <c r="BY25" s="255"/>
      <c r="BZ25" s="255"/>
      <c r="CA25" s="255"/>
      <c r="CB25" s="256"/>
      <c r="CC25" s="256"/>
      <c r="CD25" s="256"/>
      <c r="CE25" s="256"/>
      <c r="CF25" s="256"/>
      <c r="CG25" s="256"/>
      <c r="CH25" s="256"/>
      <c r="CI25" s="458"/>
      <c r="CJ25" s="458"/>
      <c r="CK25" s="458"/>
      <c r="CL25" s="458"/>
      <c r="CM25" s="458"/>
      <c r="CN25" s="458"/>
      <c r="CO25" s="458"/>
      <c r="CP25" s="457"/>
      <c r="CQ25" s="457"/>
      <c r="CR25" s="457"/>
      <c r="CS25" s="457"/>
      <c r="CT25" s="457"/>
      <c r="CU25" s="457"/>
      <c r="CV25" s="457"/>
      <c r="CW25" s="256"/>
      <c r="CX25" s="256"/>
      <c r="CY25" s="256"/>
      <c r="CZ25" s="256"/>
      <c r="DA25" s="256"/>
      <c r="DB25" s="256"/>
      <c r="DC25" s="256"/>
      <c r="DD25" s="257" t="str">
        <f t="shared" si="13"/>
        <v/>
      </c>
      <c r="DE25" s="257" t="str">
        <f t="shared" si="14"/>
        <v/>
      </c>
      <c r="DF25" s="257" t="str">
        <f t="shared" si="15"/>
        <v/>
      </c>
      <c r="DG25" s="257" t="str">
        <f t="shared" si="16"/>
        <v/>
      </c>
      <c r="DH25" s="257" t="str">
        <f t="shared" si="17"/>
        <v/>
      </c>
      <c r="DI25" s="257" t="str">
        <f t="shared" si="18"/>
        <v/>
      </c>
      <c r="DJ25" s="257" t="str">
        <f t="shared" si="19"/>
        <v/>
      </c>
      <c r="DK25" s="756" t="str">
        <f t="shared" si="19"/>
        <v/>
      </c>
      <c r="DL25" s="291" t="str">
        <f t="shared" si="20"/>
        <v xml:space="preserve">  </v>
      </c>
      <c r="DM25" s="243" t="str">
        <f t="shared" si="21"/>
        <v xml:space="preserve"> </v>
      </c>
      <c r="DN25" s="39"/>
      <c r="DO25" s="39"/>
      <c r="DP25" s="257">
        <f t="shared" si="22"/>
        <v>0</v>
      </c>
      <c r="DQ25" s="257">
        <f t="shared" si="23"/>
        <v>0</v>
      </c>
      <c r="DR25" s="257">
        <f t="shared" si="24"/>
        <v>0</v>
      </c>
      <c r="DS25" s="257">
        <f t="shared" si="25"/>
        <v>0</v>
      </c>
      <c r="DT25" s="257">
        <f t="shared" si="26"/>
        <v>0</v>
      </c>
      <c r="DU25" s="257">
        <f t="shared" si="27"/>
        <v>0</v>
      </c>
      <c r="DV25" s="257">
        <f t="shared" si="28"/>
        <v>0</v>
      </c>
      <c r="DW25" s="257"/>
      <c r="DX25" s="257"/>
      <c r="DY25" s="257"/>
      <c r="DZ25" s="289">
        <f t="shared" si="29"/>
        <v>0</v>
      </c>
      <c r="EA25" s="257">
        <f t="shared" si="30"/>
        <v>0</v>
      </c>
      <c r="EB25" s="257">
        <f t="shared" si="31"/>
        <v>0</v>
      </c>
      <c r="EC25" s="257">
        <f t="shared" si="32"/>
        <v>0</v>
      </c>
      <c r="ED25" s="257">
        <f t="shared" si="33"/>
        <v>0</v>
      </c>
      <c r="EE25" s="257">
        <f t="shared" si="34"/>
        <v>0</v>
      </c>
      <c r="EF25" s="257">
        <f t="shared" si="35"/>
        <v>0</v>
      </c>
      <c r="EG25" s="257">
        <f t="shared" si="36"/>
        <v>0</v>
      </c>
      <c r="EH25" s="223"/>
      <c r="EI25" s="223"/>
      <c r="EJ25" s="223"/>
      <c r="EK25" s="289">
        <f t="shared" si="37"/>
        <v>0</v>
      </c>
      <c r="EL25" s="257">
        <f t="shared" si="38"/>
        <v>0</v>
      </c>
      <c r="EM25" s="257">
        <f t="shared" si="39"/>
        <v>0</v>
      </c>
      <c r="EN25" s="257">
        <f t="shared" si="40"/>
        <v>0</v>
      </c>
      <c r="EO25" s="257">
        <f t="shared" si="41"/>
        <v>0</v>
      </c>
      <c r="EP25" s="257">
        <f t="shared" si="42"/>
        <v>0</v>
      </c>
      <c r="EQ25" s="257">
        <f t="shared" si="43"/>
        <v>0</v>
      </c>
      <c r="ER25" s="257">
        <f t="shared" si="44"/>
        <v>0</v>
      </c>
      <c r="ES25" s="223"/>
      <c r="ET25" s="223"/>
      <c r="EU25" s="223"/>
      <c r="EV25" s="289">
        <f t="shared" si="45"/>
        <v>0</v>
      </c>
      <c r="EW25" s="257">
        <f t="shared" si="46"/>
        <v>0</v>
      </c>
      <c r="EX25" s="257">
        <f t="shared" si="47"/>
        <v>0</v>
      </c>
      <c r="EY25" s="257">
        <f t="shared" si="48"/>
        <v>0</v>
      </c>
      <c r="EZ25" s="575">
        <f t="shared" si="49"/>
        <v>3</v>
      </c>
      <c r="FA25" s="506">
        <f t="shared" si="50"/>
        <v>0</v>
      </c>
      <c r="FB25" s="39" t="str">
        <f t="shared" si="51"/>
        <v/>
      </c>
      <c r="FC25" s="257">
        <f t="shared" si="52"/>
        <v>0</v>
      </c>
      <c r="FD25" s="257">
        <f t="shared" si="53"/>
        <v>0</v>
      </c>
      <c r="FE25" s="257">
        <f t="shared" si="54"/>
        <v>0</v>
      </c>
      <c r="FF25" s="575">
        <f t="shared" si="55"/>
        <v>3</v>
      </c>
      <c r="FG25" s="506">
        <f t="shared" si="56"/>
        <v>0</v>
      </c>
      <c r="FH25" s="39" t="str">
        <f t="shared" si="57"/>
        <v/>
      </c>
      <c r="FI25" s="257">
        <f t="shared" si="58"/>
        <v>0</v>
      </c>
      <c r="FJ25" s="257">
        <f t="shared" si="59"/>
        <v>0</v>
      </c>
      <c r="FK25" s="257">
        <f t="shared" si="60"/>
        <v>0</v>
      </c>
      <c r="FL25" s="575">
        <f t="shared" si="61"/>
        <v>3</v>
      </c>
      <c r="FM25" s="506">
        <f t="shared" si="62"/>
        <v>0</v>
      </c>
      <c r="FN25" s="39" t="str">
        <f t="shared" si="63"/>
        <v/>
      </c>
      <c r="FO25" s="257">
        <f t="shared" si="64"/>
        <v>0</v>
      </c>
      <c r="FP25" s="257">
        <f t="shared" si="65"/>
        <v>0</v>
      </c>
      <c r="FQ25" s="257">
        <f t="shared" si="66"/>
        <v>0</v>
      </c>
      <c r="FR25" s="575">
        <f t="shared" si="67"/>
        <v>3</v>
      </c>
      <c r="FS25" s="506">
        <f t="shared" si="68"/>
        <v>0</v>
      </c>
      <c r="FT25" s="39" t="str">
        <f t="shared" si="69"/>
        <v/>
      </c>
      <c r="FU25" s="257">
        <f t="shared" si="70"/>
        <v>0</v>
      </c>
      <c r="FV25" s="257">
        <f t="shared" si="71"/>
        <v>0</v>
      </c>
      <c r="FW25" s="257">
        <f t="shared" si="72"/>
        <v>0</v>
      </c>
      <c r="FX25" s="575">
        <f t="shared" si="73"/>
        <v>3</v>
      </c>
      <c r="FY25" s="506">
        <f t="shared" si="74"/>
        <v>0</v>
      </c>
      <c r="FZ25" s="39" t="str">
        <f t="shared" si="75"/>
        <v/>
      </c>
      <c r="GA25" s="257">
        <f t="shared" si="76"/>
        <v>0</v>
      </c>
      <c r="GB25" s="257">
        <f t="shared" si="77"/>
        <v>0</v>
      </c>
      <c r="GC25" s="257">
        <f t="shared" si="78"/>
        <v>0</v>
      </c>
      <c r="GD25" s="575">
        <f t="shared" si="79"/>
        <v>3</v>
      </c>
      <c r="GE25" s="506">
        <f t="shared" si="80"/>
        <v>0</v>
      </c>
      <c r="GF25" s="39" t="str">
        <f t="shared" si="81"/>
        <v/>
      </c>
      <c r="GG25" s="257">
        <f t="shared" si="82"/>
        <v>0</v>
      </c>
      <c r="GH25" s="257">
        <f t="shared" si="83"/>
        <v>0</v>
      </c>
      <c r="GI25" s="257">
        <f t="shared" si="84"/>
        <v>0</v>
      </c>
      <c r="GJ25" s="575">
        <f t="shared" si="85"/>
        <v>3</v>
      </c>
      <c r="GK25" s="506">
        <f t="shared" si="86"/>
        <v>0</v>
      </c>
      <c r="GL25" s="39" t="str">
        <f t="shared" si="87"/>
        <v/>
      </c>
      <c r="GM25" s="39"/>
      <c r="GN25" s="39" t="str">
        <f t="shared" si="88"/>
        <v/>
      </c>
      <c r="GO25" s="39" t="str">
        <f t="shared" si="89"/>
        <v/>
      </c>
      <c r="GP25" s="39" t="str">
        <f t="shared" si="90"/>
        <v/>
      </c>
      <c r="GQ25" s="39" t="str">
        <f t="shared" si="91"/>
        <v/>
      </c>
      <c r="GR25" s="39" t="str">
        <f t="shared" si="92"/>
        <v/>
      </c>
      <c r="GS25" s="39" t="str">
        <f t="shared" si="93"/>
        <v/>
      </c>
      <c r="GT25" s="257" t="str">
        <f t="shared" si="94"/>
        <v/>
      </c>
      <c r="GU25" s="579" t="str">
        <f t="shared" si="95"/>
        <v/>
      </c>
      <c r="GV25" s="289">
        <f t="shared" si="96"/>
        <v>0</v>
      </c>
      <c r="GW25" s="289">
        <f t="shared" si="97"/>
        <v>0</v>
      </c>
      <c r="GX25" s="223">
        <f>SISWA!E23</f>
        <v>0</v>
      </c>
      <c r="GY25" s="223" t="str">
        <f t="shared" si="98"/>
        <v/>
      </c>
      <c r="GZ25" s="580" t="str">
        <f t="shared" si="99"/>
        <v/>
      </c>
      <c r="HA25" s="580" t="str">
        <f t="shared" si="100"/>
        <v/>
      </c>
      <c r="HB25" s="580" t="str">
        <f t="shared" si="101"/>
        <v/>
      </c>
      <c r="HC25" s="580" t="str">
        <f t="shared" si="102"/>
        <v/>
      </c>
      <c r="HD25" s="580" t="str">
        <f t="shared" si="103"/>
        <v/>
      </c>
      <c r="HE25" s="580" t="str">
        <f t="shared" si="104"/>
        <v/>
      </c>
      <c r="HF25" s="580" t="str">
        <f t="shared" si="105"/>
        <v/>
      </c>
      <c r="HG25" s="580"/>
      <c r="HH25" s="580"/>
      <c r="HI25" s="580"/>
      <c r="HJ25" s="580"/>
      <c r="HK25" s="223">
        <f t="shared" si="106"/>
        <v>0</v>
      </c>
      <c r="HL25" s="289" t="e">
        <f t="shared" si="107"/>
        <v>#N/A</v>
      </c>
      <c r="HM25" s="576" t="e">
        <f>IF(GV25&gt;100,"",IF(GV25&gt;DP$1,"sangat baik dalam "&amp;HL25,IF(GV25&gt;=DP$2,"baik dalam "&amp;HL25,IF(GV25&gt;=DP$3,"cukup dalam "&amp;HL25,IF(GV25&lt;DP$3,"dengan bimbingan dapat meningkatkan dalam "&amp;HL25,IF(GV25&lt;1," ",””))))))</f>
        <v>#N/A</v>
      </c>
      <c r="HN25" s="223"/>
      <c r="HO25" s="223" t="str">
        <f t="shared" si="108"/>
        <v/>
      </c>
      <c r="HP25" s="223" t="str">
        <f t="shared" si="109"/>
        <v/>
      </c>
      <c r="HQ25" s="223" t="str">
        <f t="shared" si="110"/>
        <v/>
      </c>
      <c r="HR25" s="223" t="str">
        <f t="shared" si="111"/>
        <v/>
      </c>
      <c r="HS25" s="223" t="str">
        <f t="shared" si="112"/>
        <v/>
      </c>
      <c r="HT25" s="223" t="str">
        <f t="shared" si="113"/>
        <v/>
      </c>
      <c r="HU25" s="223" t="str">
        <f t="shared" si="114"/>
        <v/>
      </c>
      <c r="HV25" s="223"/>
      <c r="HW25" s="223"/>
      <c r="HX25" s="223"/>
      <c r="HY25" s="223"/>
      <c r="HZ25" s="223" t="e">
        <f t="shared" si="115"/>
        <v>#N/A</v>
      </c>
      <c r="IA25" s="577" t="e">
        <f>IF(GW25&gt;100,"",IF(GW25&gt;=DP$1,"sangat baik dalam "&amp;HZ25,IF(GW25&gt;=DP$2,"baik dalam "&amp;HZ25,IF(GW25&gt;=DP$3,"cukup dalam "&amp;HZ25,IF(GW25&lt;DP$3,"dengan bimbingan dapat meningkatkan dalam "&amp;HZ25,IF(GW25&lt;1," ",””))))))</f>
        <v>#N/A</v>
      </c>
      <c r="IB25" s="223" t="e">
        <f t="shared" si="116"/>
        <v>#N/A</v>
      </c>
    </row>
    <row r="26" spans="1:236" ht="30" customHeight="1">
      <c r="A26" s="39">
        <v>19</v>
      </c>
      <c r="B26" s="223">
        <f>SISWA!B24</f>
        <v>0</v>
      </c>
      <c r="C26" s="123"/>
      <c r="D26" s="123"/>
      <c r="E26" s="123"/>
      <c r="F26" s="123"/>
      <c r="G26" s="123"/>
      <c r="H26" s="123"/>
      <c r="I26" s="123"/>
      <c r="J26" s="255"/>
      <c r="K26" s="255"/>
      <c r="L26" s="255"/>
      <c r="M26" s="255"/>
      <c r="N26" s="255"/>
      <c r="O26" s="255"/>
      <c r="P26" s="255"/>
      <c r="Q26" s="256"/>
      <c r="R26" s="256"/>
      <c r="S26" s="256"/>
      <c r="T26" s="256"/>
      <c r="U26" s="256"/>
      <c r="V26" s="256"/>
      <c r="W26" s="256"/>
      <c r="X26" s="123"/>
      <c r="Y26" s="123"/>
      <c r="Z26" s="123"/>
      <c r="AA26" s="123"/>
      <c r="AB26" s="123"/>
      <c r="AC26" s="123"/>
      <c r="AD26" s="123"/>
      <c r="AE26" s="255"/>
      <c r="AF26" s="255"/>
      <c r="AG26" s="255"/>
      <c r="AH26" s="255"/>
      <c r="AI26" s="255"/>
      <c r="AJ26" s="255"/>
      <c r="AK26" s="255"/>
      <c r="AL26" s="256"/>
      <c r="AM26" s="256"/>
      <c r="AN26" s="256"/>
      <c r="AO26" s="256"/>
      <c r="AP26" s="256"/>
      <c r="AQ26" s="256"/>
      <c r="AR26" s="256"/>
      <c r="AS26" s="123"/>
      <c r="AT26" s="123"/>
      <c r="AU26" s="123"/>
      <c r="AV26" s="123"/>
      <c r="AW26" s="123"/>
      <c r="AX26" s="123"/>
      <c r="AY26" s="123"/>
      <c r="AZ26" s="255"/>
      <c r="BA26" s="255"/>
      <c r="BB26" s="255"/>
      <c r="BC26" s="255"/>
      <c r="BD26" s="255"/>
      <c r="BE26" s="255"/>
      <c r="BF26" s="255"/>
      <c r="BG26" s="256"/>
      <c r="BH26" s="256"/>
      <c r="BI26" s="256"/>
      <c r="BJ26" s="256"/>
      <c r="BK26" s="256"/>
      <c r="BL26" s="256"/>
      <c r="BM26" s="256"/>
      <c r="BN26" s="123"/>
      <c r="BO26" s="123"/>
      <c r="BP26" s="123"/>
      <c r="BQ26" s="123"/>
      <c r="BR26" s="123"/>
      <c r="BS26" s="123"/>
      <c r="BT26" s="123"/>
      <c r="BU26" s="255"/>
      <c r="BV26" s="255"/>
      <c r="BW26" s="255"/>
      <c r="BX26" s="255"/>
      <c r="BY26" s="255"/>
      <c r="BZ26" s="255"/>
      <c r="CA26" s="255"/>
      <c r="CB26" s="256"/>
      <c r="CC26" s="256"/>
      <c r="CD26" s="256"/>
      <c r="CE26" s="256"/>
      <c r="CF26" s="256"/>
      <c r="CG26" s="256"/>
      <c r="CH26" s="256"/>
      <c r="CI26" s="458"/>
      <c r="CJ26" s="458"/>
      <c r="CK26" s="458"/>
      <c r="CL26" s="458"/>
      <c r="CM26" s="458"/>
      <c r="CN26" s="458"/>
      <c r="CO26" s="458"/>
      <c r="CP26" s="457"/>
      <c r="CQ26" s="457"/>
      <c r="CR26" s="457"/>
      <c r="CS26" s="457"/>
      <c r="CT26" s="457"/>
      <c r="CU26" s="457"/>
      <c r="CV26" s="457"/>
      <c r="CW26" s="256"/>
      <c r="CX26" s="256"/>
      <c r="CY26" s="256"/>
      <c r="CZ26" s="256"/>
      <c r="DA26" s="256"/>
      <c r="DB26" s="256"/>
      <c r="DC26" s="256"/>
      <c r="DD26" s="257" t="str">
        <f t="shared" si="13"/>
        <v/>
      </c>
      <c r="DE26" s="257" t="str">
        <f t="shared" si="14"/>
        <v/>
      </c>
      <c r="DF26" s="257" t="str">
        <f t="shared" si="15"/>
        <v/>
      </c>
      <c r="DG26" s="257" t="str">
        <f t="shared" si="16"/>
        <v/>
      </c>
      <c r="DH26" s="257" t="str">
        <f t="shared" si="17"/>
        <v/>
      </c>
      <c r="DI26" s="257" t="str">
        <f t="shared" si="18"/>
        <v/>
      </c>
      <c r="DJ26" s="257" t="str">
        <f t="shared" si="19"/>
        <v/>
      </c>
      <c r="DK26" s="756" t="str">
        <f t="shared" si="19"/>
        <v/>
      </c>
      <c r="DL26" s="291" t="str">
        <f t="shared" si="20"/>
        <v xml:space="preserve">  </v>
      </c>
      <c r="DM26" s="243" t="str">
        <f t="shared" si="21"/>
        <v xml:space="preserve"> </v>
      </c>
      <c r="DN26" s="39"/>
      <c r="DO26" s="39"/>
      <c r="DP26" s="257">
        <f t="shared" si="22"/>
        <v>0</v>
      </c>
      <c r="DQ26" s="257">
        <f t="shared" si="23"/>
        <v>0</v>
      </c>
      <c r="DR26" s="257">
        <f t="shared" si="24"/>
        <v>0</v>
      </c>
      <c r="DS26" s="257">
        <f t="shared" si="25"/>
        <v>0</v>
      </c>
      <c r="DT26" s="257">
        <f t="shared" si="26"/>
        <v>0</v>
      </c>
      <c r="DU26" s="257">
        <f t="shared" si="27"/>
        <v>0</v>
      </c>
      <c r="DV26" s="257">
        <f t="shared" si="28"/>
        <v>0</v>
      </c>
      <c r="DW26" s="257"/>
      <c r="DX26" s="257"/>
      <c r="DY26" s="257"/>
      <c r="DZ26" s="289">
        <f t="shared" si="29"/>
        <v>0</v>
      </c>
      <c r="EA26" s="257">
        <f t="shared" si="30"/>
        <v>0</v>
      </c>
      <c r="EB26" s="257">
        <f t="shared" si="31"/>
        <v>0</v>
      </c>
      <c r="EC26" s="257">
        <f t="shared" si="32"/>
        <v>0</v>
      </c>
      <c r="ED26" s="257">
        <f t="shared" si="33"/>
        <v>0</v>
      </c>
      <c r="EE26" s="257">
        <f t="shared" si="34"/>
        <v>0</v>
      </c>
      <c r="EF26" s="257">
        <f t="shared" si="35"/>
        <v>0</v>
      </c>
      <c r="EG26" s="257">
        <f t="shared" si="36"/>
        <v>0</v>
      </c>
      <c r="EH26" s="223"/>
      <c r="EI26" s="223"/>
      <c r="EJ26" s="223"/>
      <c r="EK26" s="289">
        <f t="shared" si="37"/>
        <v>0</v>
      </c>
      <c r="EL26" s="257">
        <f t="shared" si="38"/>
        <v>0</v>
      </c>
      <c r="EM26" s="257">
        <f t="shared" si="39"/>
        <v>0</v>
      </c>
      <c r="EN26" s="257">
        <f t="shared" si="40"/>
        <v>0</v>
      </c>
      <c r="EO26" s="257">
        <f t="shared" si="41"/>
        <v>0</v>
      </c>
      <c r="EP26" s="257">
        <f t="shared" si="42"/>
        <v>0</v>
      </c>
      <c r="EQ26" s="257">
        <f t="shared" si="43"/>
        <v>0</v>
      </c>
      <c r="ER26" s="257">
        <f t="shared" si="44"/>
        <v>0</v>
      </c>
      <c r="ES26" s="223"/>
      <c r="ET26" s="223"/>
      <c r="EU26" s="223"/>
      <c r="EV26" s="289">
        <f t="shared" si="45"/>
        <v>0</v>
      </c>
      <c r="EW26" s="257">
        <f t="shared" si="46"/>
        <v>0</v>
      </c>
      <c r="EX26" s="257">
        <f t="shared" si="47"/>
        <v>0</v>
      </c>
      <c r="EY26" s="257">
        <f t="shared" si="48"/>
        <v>0</v>
      </c>
      <c r="EZ26" s="575">
        <f t="shared" si="49"/>
        <v>3</v>
      </c>
      <c r="FA26" s="506">
        <f t="shared" si="50"/>
        <v>0</v>
      </c>
      <c r="FB26" s="39" t="str">
        <f t="shared" si="51"/>
        <v/>
      </c>
      <c r="FC26" s="257">
        <f t="shared" si="52"/>
        <v>0</v>
      </c>
      <c r="FD26" s="257">
        <f t="shared" si="53"/>
        <v>0</v>
      </c>
      <c r="FE26" s="257">
        <f t="shared" si="54"/>
        <v>0</v>
      </c>
      <c r="FF26" s="575">
        <f t="shared" si="55"/>
        <v>3</v>
      </c>
      <c r="FG26" s="506">
        <f t="shared" si="56"/>
        <v>0</v>
      </c>
      <c r="FH26" s="39" t="str">
        <f t="shared" si="57"/>
        <v/>
      </c>
      <c r="FI26" s="257">
        <f t="shared" si="58"/>
        <v>0</v>
      </c>
      <c r="FJ26" s="257">
        <f t="shared" si="59"/>
        <v>0</v>
      </c>
      <c r="FK26" s="257">
        <f t="shared" si="60"/>
        <v>0</v>
      </c>
      <c r="FL26" s="575">
        <f t="shared" si="61"/>
        <v>3</v>
      </c>
      <c r="FM26" s="506">
        <f t="shared" si="62"/>
        <v>0</v>
      </c>
      <c r="FN26" s="39" t="str">
        <f t="shared" si="63"/>
        <v/>
      </c>
      <c r="FO26" s="257">
        <f t="shared" si="64"/>
        <v>0</v>
      </c>
      <c r="FP26" s="257">
        <f t="shared" si="65"/>
        <v>0</v>
      </c>
      <c r="FQ26" s="257">
        <f t="shared" si="66"/>
        <v>0</v>
      </c>
      <c r="FR26" s="575">
        <f t="shared" si="67"/>
        <v>3</v>
      </c>
      <c r="FS26" s="506">
        <f t="shared" si="68"/>
        <v>0</v>
      </c>
      <c r="FT26" s="39" t="str">
        <f t="shared" si="69"/>
        <v/>
      </c>
      <c r="FU26" s="257">
        <f t="shared" si="70"/>
        <v>0</v>
      </c>
      <c r="FV26" s="257">
        <f t="shared" si="71"/>
        <v>0</v>
      </c>
      <c r="FW26" s="257">
        <f t="shared" si="72"/>
        <v>0</v>
      </c>
      <c r="FX26" s="575">
        <f t="shared" si="73"/>
        <v>3</v>
      </c>
      <c r="FY26" s="506">
        <f t="shared" si="74"/>
        <v>0</v>
      </c>
      <c r="FZ26" s="39" t="str">
        <f t="shared" si="75"/>
        <v/>
      </c>
      <c r="GA26" s="257">
        <f t="shared" si="76"/>
        <v>0</v>
      </c>
      <c r="GB26" s="257">
        <f t="shared" si="77"/>
        <v>0</v>
      </c>
      <c r="GC26" s="257">
        <f t="shared" si="78"/>
        <v>0</v>
      </c>
      <c r="GD26" s="575">
        <f t="shared" si="79"/>
        <v>3</v>
      </c>
      <c r="GE26" s="506">
        <f t="shared" si="80"/>
        <v>0</v>
      </c>
      <c r="GF26" s="39" t="str">
        <f t="shared" si="81"/>
        <v/>
      </c>
      <c r="GG26" s="257">
        <f t="shared" si="82"/>
        <v>0</v>
      </c>
      <c r="GH26" s="257">
        <f t="shared" si="83"/>
        <v>0</v>
      </c>
      <c r="GI26" s="257">
        <f t="shared" si="84"/>
        <v>0</v>
      </c>
      <c r="GJ26" s="575">
        <f t="shared" si="85"/>
        <v>3</v>
      </c>
      <c r="GK26" s="506">
        <f t="shared" si="86"/>
        <v>0</v>
      </c>
      <c r="GL26" s="39" t="str">
        <f t="shared" si="87"/>
        <v/>
      </c>
      <c r="GM26" s="39"/>
      <c r="GN26" s="39" t="str">
        <f t="shared" si="88"/>
        <v/>
      </c>
      <c r="GO26" s="39" t="str">
        <f t="shared" si="89"/>
        <v/>
      </c>
      <c r="GP26" s="39" t="str">
        <f t="shared" si="90"/>
        <v/>
      </c>
      <c r="GQ26" s="39" t="str">
        <f t="shared" si="91"/>
        <v/>
      </c>
      <c r="GR26" s="39" t="str">
        <f t="shared" si="92"/>
        <v/>
      </c>
      <c r="GS26" s="39" t="str">
        <f t="shared" si="93"/>
        <v/>
      </c>
      <c r="GT26" s="257" t="str">
        <f t="shared" si="94"/>
        <v/>
      </c>
      <c r="GU26" s="579" t="str">
        <f t="shared" si="95"/>
        <v/>
      </c>
      <c r="GV26" s="289">
        <f t="shared" si="96"/>
        <v>0</v>
      </c>
      <c r="GW26" s="289">
        <f t="shared" si="97"/>
        <v>0</v>
      </c>
      <c r="GX26" s="223">
        <f>SISWA!E24</f>
        <v>0</v>
      </c>
      <c r="GY26" s="223" t="str">
        <f t="shared" si="98"/>
        <v/>
      </c>
      <c r="GZ26" s="580" t="str">
        <f t="shared" si="99"/>
        <v/>
      </c>
      <c r="HA26" s="580" t="str">
        <f t="shared" si="100"/>
        <v/>
      </c>
      <c r="HB26" s="580" t="str">
        <f t="shared" si="101"/>
        <v/>
      </c>
      <c r="HC26" s="580" t="str">
        <f t="shared" si="102"/>
        <v/>
      </c>
      <c r="HD26" s="580" t="str">
        <f t="shared" si="103"/>
        <v/>
      </c>
      <c r="HE26" s="580" t="str">
        <f t="shared" si="104"/>
        <v/>
      </c>
      <c r="HF26" s="580" t="str">
        <f t="shared" si="105"/>
        <v/>
      </c>
      <c r="HG26" s="580"/>
      <c r="HH26" s="580"/>
      <c r="HI26" s="580"/>
      <c r="HJ26" s="580"/>
      <c r="HK26" s="223">
        <f t="shared" si="106"/>
        <v>0</v>
      </c>
      <c r="HL26" s="289" t="e">
        <f t="shared" si="107"/>
        <v>#N/A</v>
      </c>
      <c r="HM26" s="576" t="e">
        <f>IF(GV26&gt;100,"",IF(GV26&gt;DP$1,"sangat baik dalam "&amp;HL26,IF(GV26&gt;=DP$2,"baik dalam "&amp;HL26,IF(GV26&gt;=DP$3,"cukup dalam "&amp;HL26,IF(GV26&lt;DP$3,"dengan bimbingan dapat meningkatkan dalam "&amp;HL26,IF(GV26&lt;1," ",””))))))</f>
        <v>#N/A</v>
      </c>
      <c r="HN26" s="223"/>
      <c r="HO26" s="223" t="str">
        <f t="shared" si="108"/>
        <v/>
      </c>
      <c r="HP26" s="223" t="str">
        <f t="shared" si="109"/>
        <v/>
      </c>
      <c r="HQ26" s="223" t="str">
        <f t="shared" si="110"/>
        <v/>
      </c>
      <c r="HR26" s="223" t="str">
        <f t="shared" si="111"/>
        <v/>
      </c>
      <c r="HS26" s="223" t="str">
        <f t="shared" si="112"/>
        <v/>
      </c>
      <c r="HT26" s="223" t="str">
        <f t="shared" si="113"/>
        <v/>
      </c>
      <c r="HU26" s="223" t="str">
        <f t="shared" si="114"/>
        <v/>
      </c>
      <c r="HV26" s="223"/>
      <c r="HW26" s="223"/>
      <c r="HX26" s="223"/>
      <c r="HY26" s="223"/>
      <c r="HZ26" s="223" t="e">
        <f t="shared" si="115"/>
        <v>#N/A</v>
      </c>
      <c r="IA26" s="577" t="e">
        <f>IF(GW26&gt;100,"",IF(GW26&gt;=DP$1,"sangat baik dalam "&amp;HZ26,IF(GW26&gt;=DP$2,"baik dalam "&amp;HZ26,IF(GW26&gt;=DP$3,"cukup dalam "&amp;HZ26,IF(GW26&lt;DP$3,"dengan bimbingan dapat meningkatkan dalam "&amp;HZ26,IF(GW26&lt;1," ",””))))))</f>
        <v>#N/A</v>
      </c>
      <c r="IB26" s="223" t="e">
        <f t="shared" si="116"/>
        <v>#N/A</v>
      </c>
    </row>
    <row r="27" spans="1:236" ht="30" customHeight="1">
      <c r="A27" s="39">
        <v>20</v>
      </c>
      <c r="B27" s="223">
        <f>SISWA!B25</f>
        <v>0</v>
      </c>
      <c r="C27" s="123"/>
      <c r="D27" s="123"/>
      <c r="E27" s="123"/>
      <c r="F27" s="123"/>
      <c r="G27" s="123"/>
      <c r="H27" s="123"/>
      <c r="I27" s="123"/>
      <c r="J27" s="255"/>
      <c r="K27" s="255"/>
      <c r="L27" s="255"/>
      <c r="M27" s="255"/>
      <c r="N27" s="255"/>
      <c r="O27" s="255"/>
      <c r="P27" s="255"/>
      <c r="Q27" s="256"/>
      <c r="R27" s="256"/>
      <c r="S27" s="256"/>
      <c r="T27" s="256"/>
      <c r="U27" s="256"/>
      <c r="V27" s="256"/>
      <c r="W27" s="256"/>
      <c r="X27" s="123"/>
      <c r="Y27" s="123"/>
      <c r="Z27" s="123"/>
      <c r="AA27" s="123"/>
      <c r="AB27" s="123"/>
      <c r="AC27" s="123"/>
      <c r="AD27" s="123"/>
      <c r="AE27" s="255"/>
      <c r="AF27" s="255"/>
      <c r="AG27" s="255"/>
      <c r="AH27" s="255"/>
      <c r="AI27" s="255"/>
      <c r="AJ27" s="255"/>
      <c r="AK27" s="255"/>
      <c r="AL27" s="256"/>
      <c r="AM27" s="256"/>
      <c r="AN27" s="256"/>
      <c r="AO27" s="256"/>
      <c r="AP27" s="256"/>
      <c r="AQ27" s="256"/>
      <c r="AR27" s="256"/>
      <c r="AS27" s="123"/>
      <c r="AT27" s="123"/>
      <c r="AU27" s="123"/>
      <c r="AV27" s="123"/>
      <c r="AW27" s="123"/>
      <c r="AX27" s="123"/>
      <c r="AY27" s="123"/>
      <c r="AZ27" s="255"/>
      <c r="BA27" s="255"/>
      <c r="BB27" s="255"/>
      <c r="BC27" s="255"/>
      <c r="BD27" s="255"/>
      <c r="BE27" s="255"/>
      <c r="BF27" s="255"/>
      <c r="BG27" s="256"/>
      <c r="BH27" s="256"/>
      <c r="BI27" s="256"/>
      <c r="BJ27" s="256"/>
      <c r="BK27" s="256"/>
      <c r="BL27" s="256"/>
      <c r="BM27" s="256"/>
      <c r="BN27" s="123"/>
      <c r="BO27" s="123"/>
      <c r="BP27" s="123"/>
      <c r="BQ27" s="123"/>
      <c r="BR27" s="123"/>
      <c r="BS27" s="123"/>
      <c r="BT27" s="123"/>
      <c r="BU27" s="255"/>
      <c r="BV27" s="255"/>
      <c r="BW27" s="255"/>
      <c r="BX27" s="255"/>
      <c r="BY27" s="255"/>
      <c r="BZ27" s="255"/>
      <c r="CA27" s="255"/>
      <c r="CB27" s="256"/>
      <c r="CC27" s="256"/>
      <c r="CD27" s="256"/>
      <c r="CE27" s="256"/>
      <c r="CF27" s="256"/>
      <c r="CG27" s="256"/>
      <c r="CH27" s="256"/>
      <c r="CI27" s="458"/>
      <c r="CJ27" s="458"/>
      <c r="CK27" s="458"/>
      <c r="CL27" s="458"/>
      <c r="CM27" s="458"/>
      <c r="CN27" s="458"/>
      <c r="CO27" s="458"/>
      <c r="CP27" s="457"/>
      <c r="CQ27" s="457"/>
      <c r="CR27" s="457"/>
      <c r="CS27" s="457"/>
      <c r="CT27" s="457"/>
      <c r="CU27" s="457"/>
      <c r="CV27" s="457"/>
      <c r="CW27" s="256"/>
      <c r="CX27" s="256"/>
      <c r="CY27" s="256"/>
      <c r="CZ27" s="256"/>
      <c r="DA27" s="256"/>
      <c r="DB27" s="256"/>
      <c r="DC27" s="256"/>
      <c r="DD27" s="257" t="str">
        <f t="shared" si="13"/>
        <v/>
      </c>
      <c r="DE27" s="257" t="str">
        <f t="shared" si="14"/>
        <v/>
      </c>
      <c r="DF27" s="257" t="str">
        <f t="shared" si="15"/>
        <v/>
      </c>
      <c r="DG27" s="257" t="str">
        <f t="shared" si="16"/>
        <v/>
      </c>
      <c r="DH27" s="257" t="str">
        <f t="shared" si="17"/>
        <v/>
      </c>
      <c r="DI27" s="257" t="str">
        <f t="shared" si="18"/>
        <v/>
      </c>
      <c r="DJ27" s="257" t="str">
        <f t="shared" si="19"/>
        <v/>
      </c>
      <c r="DK27" s="756" t="str">
        <f t="shared" si="19"/>
        <v/>
      </c>
      <c r="DL27" s="291" t="str">
        <f t="shared" si="20"/>
        <v xml:space="preserve">  </v>
      </c>
      <c r="DM27" s="243" t="str">
        <f t="shared" si="21"/>
        <v xml:space="preserve"> </v>
      </c>
      <c r="DN27" s="39"/>
      <c r="DO27" s="39"/>
      <c r="DP27" s="257">
        <f t="shared" si="22"/>
        <v>0</v>
      </c>
      <c r="DQ27" s="257">
        <f t="shared" si="23"/>
        <v>0</v>
      </c>
      <c r="DR27" s="257">
        <f t="shared" si="24"/>
        <v>0</v>
      </c>
      <c r="DS27" s="257">
        <f t="shared" si="25"/>
        <v>0</v>
      </c>
      <c r="DT27" s="257">
        <f t="shared" si="26"/>
        <v>0</v>
      </c>
      <c r="DU27" s="257">
        <f t="shared" si="27"/>
        <v>0</v>
      </c>
      <c r="DV27" s="257">
        <f t="shared" si="28"/>
        <v>0</v>
      </c>
      <c r="DW27" s="257"/>
      <c r="DX27" s="257"/>
      <c r="DY27" s="257"/>
      <c r="DZ27" s="289">
        <f t="shared" si="29"/>
        <v>0</v>
      </c>
      <c r="EA27" s="257">
        <f t="shared" si="30"/>
        <v>0</v>
      </c>
      <c r="EB27" s="257">
        <f t="shared" si="31"/>
        <v>0</v>
      </c>
      <c r="EC27" s="257">
        <f t="shared" si="32"/>
        <v>0</v>
      </c>
      <c r="ED27" s="257">
        <f t="shared" si="33"/>
        <v>0</v>
      </c>
      <c r="EE27" s="257">
        <f t="shared" si="34"/>
        <v>0</v>
      </c>
      <c r="EF27" s="257">
        <f t="shared" si="35"/>
        <v>0</v>
      </c>
      <c r="EG27" s="257">
        <f t="shared" si="36"/>
        <v>0</v>
      </c>
      <c r="EH27" s="223"/>
      <c r="EI27" s="223"/>
      <c r="EJ27" s="223"/>
      <c r="EK27" s="289">
        <f t="shared" si="37"/>
        <v>0</v>
      </c>
      <c r="EL27" s="257">
        <f t="shared" si="38"/>
        <v>0</v>
      </c>
      <c r="EM27" s="257">
        <f t="shared" si="39"/>
        <v>0</v>
      </c>
      <c r="EN27" s="257">
        <f t="shared" si="40"/>
        <v>0</v>
      </c>
      <c r="EO27" s="257">
        <f t="shared" si="41"/>
        <v>0</v>
      </c>
      <c r="EP27" s="257">
        <f t="shared" si="42"/>
        <v>0</v>
      </c>
      <c r="EQ27" s="257">
        <f t="shared" si="43"/>
        <v>0</v>
      </c>
      <c r="ER27" s="257">
        <f t="shared" si="44"/>
        <v>0</v>
      </c>
      <c r="ES27" s="223"/>
      <c r="ET27" s="223"/>
      <c r="EU27" s="223"/>
      <c r="EV27" s="289">
        <f t="shared" si="45"/>
        <v>0</v>
      </c>
      <c r="EW27" s="257">
        <f t="shared" si="46"/>
        <v>0</v>
      </c>
      <c r="EX27" s="257">
        <f t="shared" si="47"/>
        <v>0</v>
      </c>
      <c r="EY27" s="257">
        <f t="shared" si="48"/>
        <v>0</v>
      </c>
      <c r="EZ27" s="575">
        <f t="shared" si="49"/>
        <v>3</v>
      </c>
      <c r="FA27" s="506">
        <f t="shared" si="50"/>
        <v>0</v>
      </c>
      <c r="FB27" s="39" t="str">
        <f t="shared" si="51"/>
        <v/>
      </c>
      <c r="FC27" s="257">
        <f t="shared" si="52"/>
        <v>0</v>
      </c>
      <c r="FD27" s="257">
        <f t="shared" si="53"/>
        <v>0</v>
      </c>
      <c r="FE27" s="257">
        <f t="shared" si="54"/>
        <v>0</v>
      </c>
      <c r="FF27" s="575">
        <f t="shared" si="55"/>
        <v>3</v>
      </c>
      <c r="FG27" s="506">
        <f t="shared" si="56"/>
        <v>0</v>
      </c>
      <c r="FH27" s="39" t="str">
        <f t="shared" si="57"/>
        <v/>
      </c>
      <c r="FI27" s="257">
        <f t="shared" si="58"/>
        <v>0</v>
      </c>
      <c r="FJ27" s="257">
        <f t="shared" si="59"/>
        <v>0</v>
      </c>
      <c r="FK27" s="257">
        <f t="shared" si="60"/>
        <v>0</v>
      </c>
      <c r="FL27" s="575">
        <f t="shared" si="61"/>
        <v>3</v>
      </c>
      <c r="FM27" s="506">
        <f t="shared" si="62"/>
        <v>0</v>
      </c>
      <c r="FN27" s="39" t="str">
        <f t="shared" si="63"/>
        <v/>
      </c>
      <c r="FO27" s="257">
        <f t="shared" si="64"/>
        <v>0</v>
      </c>
      <c r="FP27" s="257">
        <f t="shared" si="65"/>
        <v>0</v>
      </c>
      <c r="FQ27" s="257">
        <f t="shared" si="66"/>
        <v>0</v>
      </c>
      <c r="FR27" s="575">
        <f t="shared" si="67"/>
        <v>3</v>
      </c>
      <c r="FS27" s="506">
        <f t="shared" si="68"/>
        <v>0</v>
      </c>
      <c r="FT27" s="39" t="str">
        <f t="shared" si="69"/>
        <v/>
      </c>
      <c r="FU27" s="257">
        <f t="shared" si="70"/>
        <v>0</v>
      </c>
      <c r="FV27" s="257">
        <f t="shared" si="71"/>
        <v>0</v>
      </c>
      <c r="FW27" s="257">
        <f t="shared" si="72"/>
        <v>0</v>
      </c>
      <c r="FX27" s="575">
        <f t="shared" si="73"/>
        <v>3</v>
      </c>
      <c r="FY27" s="506">
        <f t="shared" si="74"/>
        <v>0</v>
      </c>
      <c r="FZ27" s="39" t="str">
        <f t="shared" si="75"/>
        <v/>
      </c>
      <c r="GA27" s="257">
        <f t="shared" si="76"/>
        <v>0</v>
      </c>
      <c r="GB27" s="257">
        <f t="shared" si="77"/>
        <v>0</v>
      </c>
      <c r="GC27" s="257">
        <f t="shared" si="78"/>
        <v>0</v>
      </c>
      <c r="GD27" s="575">
        <f t="shared" si="79"/>
        <v>3</v>
      </c>
      <c r="GE27" s="506">
        <f t="shared" si="80"/>
        <v>0</v>
      </c>
      <c r="GF27" s="39" t="str">
        <f t="shared" si="81"/>
        <v/>
      </c>
      <c r="GG27" s="257">
        <f t="shared" si="82"/>
        <v>0</v>
      </c>
      <c r="GH27" s="257">
        <f t="shared" si="83"/>
        <v>0</v>
      </c>
      <c r="GI27" s="257">
        <f t="shared" si="84"/>
        <v>0</v>
      </c>
      <c r="GJ27" s="575">
        <f t="shared" si="85"/>
        <v>3</v>
      </c>
      <c r="GK27" s="506">
        <f t="shared" si="86"/>
        <v>0</v>
      </c>
      <c r="GL27" s="39" t="str">
        <f t="shared" si="87"/>
        <v/>
      </c>
      <c r="GM27" s="39"/>
      <c r="GN27" s="39" t="str">
        <f t="shared" si="88"/>
        <v/>
      </c>
      <c r="GO27" s="39" t="str">
        <f t="shared" si="89"/>
        <v/>
      </c>
      <c r="GP27" s="39" t="str">
        <f t="shared" si="90"/>
        <v/>
      </c>
      <c r="GQ27" s="39" t="str">
        <f t="shared" si="91"/>
        <v/>
      </c>
      <c r="GR27" s="39" t="str">
        <f t="shared" si="92"/>
        <v/>
      </c>
      <c r="GS27" s="39" t="str">
        <f t="shared" si="93"/>
        <v/>
      </c>
      <c r="GT27" s="257" t="str">
        <f t="shared" si="94"/>
        <v/>
      </c>
      <c r="GU27" s="579" t="str">
        <f t="shared" si="95"/>
        <v/>
      </c>
      <c r="GV27" s="289">
        <f t="shared" si="96"/>
        <v>0</v>
      </c>
      <c r="GW27" s="289">
        <f t="shared" si="97"/>
        <v>0</v>
      </c>
      <c r="GX27" s="223">
        <f>SISWA!E25</f>
        <v>0</v>
      </c>
      <c r="GY27" s="223" t="str">
        <f t="shared" si="98"/>
        <v/>
      </c>
      <c r="GZ27" s="580" t="str">
        <f t="shared" si="99"/>
        <v/>
      </c>
      <c r="HA27" s="580" t="str">
        <f t="shared" si="100"/>
        <v/>
      </c>
      <c r="HB27" s="580" t="str">
        <f t="shared" si="101"/>
        <v/>
      </c>
      <c r="HC27" s="580" t="str">
        <f t="shared" si="102"/>
        <v/>
      </c>
      <c r="HD27" s="580" t="str">
        <f t="shared" si="103"/>
        <v/>
      </c>
      <c r="HE27" s="580" t="str">
        <f t="shared" si="104"/>
        <v/>
      </c>
      <c r="HF27" s="580" t="str">
        <f t="shared" si="105"/>
        <v/>
      </c>
      <c r="HG27" s="580"/>
      <c r="HH27" s="580"/>
      <c r="HI27" s="580"/>
      <c r="HJ27" s="580"/>
      <c r="HK27" s="223">
        <f t="shared" si="106"/>
        <v>0</v>
      </c>
      <c r="HL27" s="289" t="e">
        <f t="shared" si="107"/>
        <v>#N/A</v>
      </c>
      <c r="HM27" s="576" t="e">
        <f>IF(GV27&gt;100,"",IF(GV27&gt;DP$1,"sangat baik dalam "&amp;HL27,IF(GV27&gt;=DP$2,"baik dalam "&amp;HL27,IF(GV27&gt;=DP$3,"cukup dalam "&amp;HL27,IF(GV27&lt;DP$3,"dengan bimbingan dapat meningkatkan dalam "&amp;HL27,IF(GV27&lt;1," ",””))))))</f>
        <v>#N/A</v>
      </c>
      <c r="HN27" s="223"/>
      <c r="HO27" s="223" t="str">
        <f t="shared" si="108"/>
        <v/>
      </c>
      <c r="HP27" s="223" t="str">
        <f t="shared" si="109"/>
        <v/>
      </c>
      <c r="HQ27" s="223" t="str">
        <f t="shared" si="110"/>
        <v/>
      </c>
      <c r="HR27" s="223" t="str">
        <f t="shared" si="111"/>
        <v/>
      </c>
      <c r="HS27" s="223" t="str">
        <f t="shared" si="112"/>
        <v/>
      </c>
      <c r="HT27" s="223" t="str">
        <f t="shared" si="113"/>
        <v/>
      </c>
      <c r="HU27" s="223" t="str">
        <f t="shared" si="114"/>
        <v/>
      </c>
      <c r="HV27" s="223"/>
      <c r="HW27" s="223"/>
      <c r="HX27" s="223"/>
      <c r="HY27" s="223"/>
      <c r="HZ27" s="223" t="e">
        <f t="shared" si="115"/>
        <v>#N/A</v>
      </c>
      <c r="IA27" s="577" t="e">
        <f>IF(GW27&gt;100,"",IF(GW27&gt;=DP$1,"sangat baik dalam "&amp;HZ27,IF(GW27&gt;=DP$2,"baik dalam "&amp;HZ27,IF(GW27&gt;=DP$3,"cukup dalam "&amp;HZ27,IF(GW27&lt;DP$3,"dengan bimbingan dapat meningkatkan dalam "&amp;HZ27,IF(GW27&lt;1," ",””))))))</f>
        <v>#N/A</v>
      </c>
      <c r="IB27" s="223" t="e">
        <f t="shared" si="116"/>
        <v>#N/A</v>
      </c>
    </row>
    <row r="28" spans="1:236" ht="30" customHeight="1">
      <c r="A28" s="39">
        <v>21</v>
      </c>
      <c r="B28" s="223">
        <f>SISWA!B26</f>
        <v>0</v>
      </c>
      <c r="C28" s="123"/>
      <c r="D28" s="123"/>
      <c r="E28" s="123"/>
      <c r="F28" s="123"/>
      <c r="G28" s="123"/>
      <c r="H28" s="123"/>
      <c r="I28" s="123"/>
      <c r="J28" s="255"/>
      <c r="K28" s="255"/>
      <c r="L28" s="255"/>
      <c r="M28" s="255"/>
      <c r="N28" s="255"/>
      <c r="O28" s="255"/>
      <c r="P28" s="255"/>
      <c r="Q28" s="256"/>
      <c r="R28" s="256"/>
      <c r="S28" s="256"/>
      <c r="T28" s="256"/>
      <c r="U28" s="256"/>
      <c r="V28" s="256"/>
      <c r="W28" s="256"/>
      <c r="X28" s="123"/>
      <c r="Y28" s="123"/>
      <c r="Z28" s="123"/>
      <c r="AA28" s="123"/>
      <c r="AB28" s="123"/>
      <c r="AC28" s="123"/>
      <c r="AD28" s="123"/>
      <c r="AE28" s="255"/>
      <c r="AF28" s="255"/>
      <c r="AG28" s="255"/>
      <c r="AH28" s="255"/>
      <c r="AI28" s="255"/>
      <c r="AJ28" s="255"/>
      <c r="AK28" s="255"/>
      <c r="AL28" s="256"/>
      <c r="AM28" s="256"/>
      <c r="AN28" s="256"/>
      <c r="AO28" s="256"/>
      <c r="AP28" s="256"/>
      <c r="AQ28" s="256"/>
      <c r="AR28" s="256"/>
      <c r="AS28" s="123"/>
      <c r="AT28" s="123"/>
      <c r="AU28" s="123"/>
      <c r="AV28" s="123"/>
      <c r="AW28" s="123"/>
      <c r="AX28" s="123"/>
      <c r="AY28" s="123"/>
      <c r="AZ28" s="255"/>
      <c r="BA28" s="255"/>
      <c r="BB28" s="255"/>
      <c r="BC28" s="255"/>
      <c r="BD28" s="255"/>
      <c r="BE28" s="255"/>
      <c r="BF28" s="255"/>
      <c r="BG28" s="256"/>
      <c r="BH28" s="256"/>
      <c r="BI28" s="256"/>
      <c r="BJ28" s="256"/>
      <c r="BK28" s="256"/>
      <c r="BL28" s="256"/>
      <c r="BM28" s="256"/>
      <c r="BN28" s="123"/>
      <c r="BO28" s="123"/>
      <c r="BP28" s="123"/>
      <c r="BQ28" s="123"/>
      <c r="BR28" s="123"/>
      <c r="BS28" s="123"/>
      <c r="BT28" s="123"/>
      <c r="BU28" s="255"/>
      <c r="BV28" s="255"/>
      <c r="BW28" s="255"/>
      <c r="BX28" s="255"/>
      <c r="BY28" s="255"/>
      <c r="BZ28" s="255"/>
      <c r="CA28" s="255"/>
      <c r="CB28" s="256"/>
      <c r="CC28" s="256"/>
      <c r="CD28" s="256"/>
      <c r="CE28" s="256"/>
      <c r="CF28" s="256"/>
      <c r="CG28" s="256"/>
      <c r="CH28" s="256"/>
      <c r="CI28" s="458"/>
      <c r="CJ28" s="458"/>
      <c r="CK28" s="458"/>
      <c r="CL28" s="458"/>
      <c r="CM28" s="458"/>
      <c r="CN28" s="458"/>
      <c r="CO28" s="458"/>
      <c r="CP28" s="457"/>
      <c r="CQ28" s="457"/>
      <c r="CR28" s="457"/>
      <c r="CS28" s="457"/>
      <c r="CT28" s="457"/>
      <c r="CU28" s="457"/>
      <c r="CV28" s="457"/>
      <c r="CW28" s="256"/>
      <c r="CX28" s="256"/>
      <c r="CY28" s="256"/>
      <c r="CZ28" s="256"/>
      <c r="DA28" s="256"/>
      <c r="DB28" s="256"/>
      <c r="DC28" s="256"/>
      <c r="DD28" s="257" t="str">
        <f t="shared" si="13"/>
        <v/>
      </c>
      <c r="DE28" s="257" t="str">
        <f t="shared" si="14"/>
        <v/>
      </c>
      <c r="DF28" s="257" t="str">
        <f t="shared" si="15"/>
        <v/>
      </c>
      <c r="DG28" s="257" t="str">
        <f t="shared" si="16"/>
        <v/>
      </c>
      <c r="DH28" s="257" t="str">
        <f t="shared" si="17"/>
        <v/>
      </c>
      <c r="DI28" s="257" t="str">
        <f t="shared" si="18"/>
        <v/>
      </c>
      <c r="DJ28" s="257" t="str">
        <f t="shared" si="19"/>
        <v/>
      </c>
      <c r="DK28" s="756" t="str">
        <f t="shared" si="19"/>
        <v/>
      </c>
      <c r="DL28" s="291" t="str">
        <f t="shared" si="20"/>
        <v xml:space="preserve">  </v>
      </c>
      <c r="DM28" s="243" t="str">
        <f t="shared" si="21"/>
        <v xml:space="preserve"> </v>
      </c>
      <c r="DN28" s="39"/>
      <c r="DO28" s="39"/>
      <c r="DP28" s="257">
        <f t="shared" si="22"/>
        <v>0</v>
      </c>
      <c r="DQ28" s="257">
        <f t="shared" si="23"/>
        <v>0</v>
      </c>
      <c r="DR28" s="257">
        <f t="shared" si="24"/>
        <v>0</v>
      </c>
      <c r="DS28" s="257">
        <f t="shared" si="25"/>
        <v>0</v>
      </c>
      <c r="DT28" s="257">
        <f t="shared" si="26"/>
        <v>0</v>
      </c>
      <c r="DU28" s="257">
        <f t="shared" si="27"/>
        <v>0</v>
      </c>
      <c r="DV28" s="257">
        <f t="shared" si="28"/>
        <v>0</v>
      </c>
      <c r="DW28" s="257"/>
      <c r="DX28" s="257"/>
      <c r="DY28" s="257"/>
      <c r="DZ28" s="289">
        <f t="shared" si="29"/>
        <v>0</v>
      </c>
      <c r="EA28" s="257">
        <f t="shared" si="30"/>
        <v>0</v>
      </c>
      <c r="EB28" s="257">
        <f t="shared" si="31"/>
        <v>0</v>
      </c>
      <c r="EC28" s="257">
        <f t="shared" si="32"/>
        <v>0</v>
      </c>
      <c r="ED28" s="257">
        <f t="shared" si="33"/>
        <v>0</v>
      </c>
      <c r="EE28" s="257">
        <f t="shared" si="34"/>
        <v>0</v>
      </c>
      <c r="EF28" s="257">
        <f t="shared" si="35"/>
        <v>0</v>
      </c>
      <c r="EG28" s="257">
        <f t="shared" si="36"/>
        <v>0</v>
      </c>
      <c r="EH28" s="223"/>
      <c r="EI28" s="223"/>
      <c r="EJ28" s="223"/>
      <c r="EK28" s="289">
        <f t="shared" si="37"/>
        <v>0</v>
      </c>
      <c r="EL28" s="257">
        <f t="shared" si="38"/>
        <v>0</v>
      </c>
      <c r="EM28" s="257">
        <f t="shared" si="39"/>
        <v>0</v>
      </c>
      <c r="EN28" s="257">
        <f t="shared" si="40"/>
        <v>0</v>
      </c>
      <c r="EO28" s="257">
        <f t="shared" si="41"/>
        <v>0</v>
      </c>
      <c r="EP28" s="257">
        <f t="shared" si="42"/>
        <v>0</v>
      </c>
      <c r="EQ28" s="257">
        <f t="shared" si="43"/>
        <v>0</v>
      </c>
      <c r="ER28" s="257">
        <f t="shared" si="44"/>
        <v>0</v>
      </c>
      <c r="ES28" s="223"/>
      <c r="ET28" s="223"/>
      <c r="EU28" s="223"/>
      <c r="EV28" s="289">
        <f t="shared" si="45"/>
        <v>0</v>
      </c>
      <c r="EW28" s="257">
        <f t="shared" si="46"/>
        <v>0</v>
      </c>
      <c r="EX28" s="257">
        <f t="shared" si="47"/>
        <v>0</v>
      </c>
      <c r="EY28" s="257">
        <f t="shared" si="48"/>
        <v>0</v>
      </c>
      <c r="EZ28" s="575">
        <f t="shared" si="49"/>
        <v>3</v>
      </c>
      <c r="FA28" s="506">
        <f t="shared" si="50"/>
        <v>0</v>
      </c>
      <c r="FB28" s="39" t="str">
        <f t="shared" si="51"/>
        <v/>
      </c>
      <c r="FC28" s="257">
        <f t="shared" si="52"/>
        <v>0</v>
      </c>
      <c r="FD28" s="257">
        <f t="shared" si="53"/>
        <v>0</v>
      </c>
      <c r="FE28" s="257">
        <f t="shared" si="54"/>
        <v>0</v>
      </c>
      <c r="FF28" s="575">
        <f t="shared" si="55"/>
        <v>3</v>
      </c>
      <c r="FG28" s="506">
        <f t="shared" si="56"/>
        <v>0</v>
      </c>
      <c r="FH28" s="39" t="str">
        <f t="shared" si="57"/>
        <v/>
      </c>
      <c r="FI28" s="257">
        <f t="shared" si="58"/>
        <v>0</v>
      </c>
      <c r="FJ28" s="257">
        <f t="shared" si="59"/>
        <v>0</v>
      </c>
      <c r="FK28" s="257">
        <f t="shared" si="60"/>
        <v>0</v>
      </c>
      <c r="FL28" s="575">
        <f t="shared" si="61"/>
        <v>3</v>
      </c>
      <c r="FM28" s="506">
        <f t="shared" si="62"/>
        <v>0</v>
      </c>
      <c r="FN28" s="39" t="str">
        <f t="shared" si="63"/>
        <v/>
      </c>
      <c r="FO28" s="257">
        <f t="shared" si="64"/>
        <v>0</v>
      </c>
      <c r="FP28" s="257">
        <f t="shared" si="65"/>
        <v>0</v>
      </c>
      <c r="FQ28" s="257">
        <f t="shared" si="66"/>
        <v>0</v>
      </c>
      <c r="FR28" s="575">
        <f t="shared" si="67"/>
        <v>3</v>
      </c>
      <c r="FS28" s="506">
        <f t="shared" si="68"/>
        <v>0</v>
      </c>
      <c r="FT28" s="39" t="str">
        <f t="shared" si="69"/>
        <v/>
      </c>
      <c r="FU28" s="257">
        <f t="shared" si="70"/>
        <v>0</v>
      </c>
      <c r="FV28" s="257">
        <f t="shared" si="71"/>
        <v>0</v>
      </c>
      <c r="FW28" s="257">
        <f t="shared" si="72"/>
        <v>0</v>
      </c>
      <c r="FX28" s="575">
        <f t="shared" si="73"/>
        <v>3</v>
      </c>
      <c r="FY28" s="506">
        <f t="shared" si="74"/>
        <v>0</v>
      </c>
      <c r="FZ28" s="39" t="str">
        <f t="shared" si="75"/>
        <v/>
      </c>
      <c r="GA28" s="257">
        <f t="shared" si="76"/>
        <v>0</v>
      </c>
      <c r="GB28" s="257">
        <f t="shared" si="77"/>
        <v>0</v>
      </c>
      <c r="GC28" s="257">
        <f t="shared" si="78"/>
        <v>0</v>
      </c>
      <c r="GD28" s="575">
        <f t="shared" si="79"/>
        <v>3</v>
      </c>
      <c r="GE28" s="506">
        <f t="shared" si="80"/>
        <v>0</v>
      </c>
      <c r="GF28" s="39" t="str">
        <f t="shared" si="81"/>
        <v/>
      </c>
      <c r="GG28" s="257">
        <f t="shared" si="82"/>
        <v>0</v>
      </c>
      <c r="GH28" s="257">
        <f t="shared" si="83"/>
        <v>0</v>
      </c>
      <c r="GI28" s="257">
        <f t="shared" si="84"/>
        <v>0</v>
      </c>
      <c r="GJ28" s="575">
        <f t="shared" si="85"/>
        <v>3</v>
      </c>
      <c r="GK28" s="506">
        <f t="shared" si="86"/>
        <v>0</v>
      </c>
      <c r="GL28" s="39" t="str">
        <f t="shared" si="87"/>
        <v/>
      </c>
      <c r="GM28" s="39"/>
      <c r="GN28" s="39" t="str">
        <f t="shared" si="88"/>
        <v/>
      </c>
      <c r="GO28" s="39" t="str">
        <f t="shared" si="89"/>
        <v/>
      </c>
      <c r="GP28" s="39" t="str">
        <f t="shared" si="90"/>
        <v/>
      </c>
      <c r="GQ28" s="39" t="str">
        <f t="shared" si="91"/>
        <v/>
      </c>
      <c r="GR28" s="39" t="str">
        <f t="shared" si="92"/>
        <v/>
      </c>
      <c r="GS28" s="39" t="str">
        <f t="shared" si="93"/>
        <v/>
      </c>
      <c r="GT28" s="257" t="str">
        <f t="shared" si="94"/>
        <v/>
      </c>
      <c r="GU28" s="579" t="str">
        <f t="shared" si="95"/>
        <v/>
      </c>
      <c r="GV28" s="289">
        <f t="shared" si="96"/>
        <v>0</v>
      </c>
      <c r="GW28" s="289">
        <f t="shared" si="97"/>
        <v>0</v>
      </c>
      <c r="GX28" s="223">
        <f>SISWA!E26</f>
        <v>0</v>
      </c>
      <c r="GY28" s="223" t="str">
        <f t="shared" si="98"/>
        <v/>
      </c>
      <c r="GZ28" s="580" t="str">
        <f t="shared" si="99"/>
        <v/>
      </c>
      <c r="HA28" s="580" t="str">
        <f t="shared" si="100"/>
        <v/>
      </c>
      <c r="HB28" s="580" t="str">
        <f t="shared" si="101"/>
        <v/>
      </c>
      <c r="HC28" s="580" t="str">
        <f t="shared" si="102"/>
        <v/>
      </c>
      <c r="HD28" s="580" t="str">
        <f t="shared" si="103"/>
        <v/>
      </c>
      <c r="HE28" s="580" t="str">
        <f t="shared" si="104"/>
        <v/>
      </c>
      <c r="HF28" s="580" t="str">
        <f t="shared" si="105"/>
        <v/>
      </c>
      <c r="HG28" s="580"/>
      <c r="HH28" s="580"/>
      <c r="HI28" s="580"/>
      <c r="HJ28" s="580"/>
      <c r="HK28" s="223">
        <f t="shared" si="106"/>
        <v>0</v>
      </c>
      <c r="HL28" s="289" t="e">
        <f t="shared" si="107"/>
        <v>#N/A</v>
      </c>
      <c r="HM28" s="576" t="e">
        <f>IF(GV28&gt;100,"",IF(GV28&gt;DP$1,"sangat baik dalam "&amp;HL28,IF(GV28&gt;=DP$2,"baik dalam "&amp;HL28,IF(GV28&gt;=DP$3,"cukup dalam "&amp;HL28,IF(GV28&lt;DP$3,"dengan bimbingan dapat meningkatkan dalam "&amp;HL28,IF(GV28&lt;1," ",””))))))</f>
        <v>#N/A</v>
      </c>
      <c r="HN28" s="223"/>
      <c r="HO28" s="223" t="str">
        <f t="shared" si="108"/>
        <v/>
      </c>
      <c r="HP28" s="223" t="str">
        <f t="shared" si="109"/>
        <v/>
      </c>
      <c r="HQ28" s="223" t="str">
        <f t="shared" si="110"/>
        <v/>
      </c>
      <c r="HR28" s="223" t="str">
        <f t="shared" si="111"/>
        <v/>
      </c>
      <c r="HS28" s="223" t="str">
        <f t="shared" si="112"/>
        <v/>
      </c>
      <c r="HT28" s="223" t="str">
        <f t="shared" si="113"/>
        <v/>
      </c>
      <c r="HU28" s="223" t="str">
        <f t="shared" si="114"/>
        <v/>
      </c>
      <c r="HV28" s="223"/>
      <c r="HW28" s="223"/>
      <c r="HX28" s="223"/>
      <c r="HY28" s="223"/>
      <c r="HZ28" s="223" t="e">
        <f t="shared" si="115"/>
        <v>#N/A</v>
      </c>
      <c r="IA28" s="577" t="e">
        <f>IF(GW28&gt;100,"",IF(GW28&gt;=DP$1,"sangat baik dalam "&amp;HZ28,IF(GW28&gt;=DP$2,"baik dalam "&amp;HZ28,IF(GW28&gt;=DP$3,"cukup dalam "&amp;HZ28,IF(GW28&lt;DP$3,"dengan bimbingan dapat meningkatkan dalam "&amp;HZ28,IF(GW28&lt;1," ",””))))))</f>
        <v>#N/A</v>
      </c>
      <c r="IB28" s="223" t="e">
        <f t="shared" si="116"/>
        <v>#N/A</v>
      </c>
    </row>
    <row r="29" spans="1:236" ht="30" customHeight="1">
      <c r="A29" s="39">
        <v>22</v>
      </c>
      <c r="B29" s="223">
        <f>SISWA!B27</f>
        <v>0</v>
      </c>
      <c r="C29" s="123"/>
      <c r="D29" s="123"/>
      <c r="E29" s="123"/>
      <c r="F29" s="123"/>
      <c r="G29" s="123"/>
      <c r="H29" s="123"/>
      <c r="I29" s="123"/>
      <c r="J29" s="255"/>
      <c r="K29" s="255"/>
      <c r="L29" s="255"/>
      <c r="M29" s="255"/>
      <c r="N29" s="255"/>
      <c r="O29" s="255"/>
      <c r="P29" s="255"/>
      <c r="Q29" s="256"/>
      <c r="R29" s="256"/>
      <c r="S29" s="256"/>
      <c r="T29" s="256"/>
      <c r="U29" s="256"/>
      <c r="V29" s="256"/>
      <c r="W29" s="256"/>
      <c r="X29" s="123"/>
      <c r="Y29" s="123"/>
      <c r="Z29" s="123"/>
      <c r="AA29" s="123"/>
      <c r="AB29" s="123"/>
      <c r="AC29" s="123"/>
      <c r="AD29" s="123"/>
      <c r="AE29" s="255"/>
      <c r="AF29" s="255"/>
      <c r="AG29" s="255"/>
      <c r="AH29" s="255"/>
      <c r="AI29" s="255"/>
      <c r="AJ29" s="255"/>
      <c r="AK29" s="255"/>
      <c r="AL29" s="256"/>
      <c r="AM29" s="256"/>
      <c r="AN29" s="256"/>
      <c r="AO29" s="256"/>
      <c r="AP29" s="256"/>
      <c r="AQ29" s="256"/>
      <c r="AR29" s="256"/>
      <c r="AS29" s="123"/>
      <c r="AT29" s="123"/>
      <c r="AU29" s="123"/>
      <c r="AV29" s="123"/>
      <c r="AW29" s="123"/>
      <c r="AX29" s="123"/>
      <c r="AY29" s="123"/>
      <c r="AZ29" s="255"/>
      <c r="BA29" s="255"/>
      <c r="BB29" s="255"/>
      <c r="BC29" s="255"/>
      <c r="BD29" s="255"/>
      <c r="BE29" s="255"/>
      <c r="BF29" s="255"/>
      <c r="BG29" s="256"/>
      <c r="BH29" s="256"/>
      <c r="BI29" s="256"/>
      <c r="BJ29" s="256"/>
      <c r="BK29" s="256"/>
      <c r="BL29" s="256"/>
      <c r="BM29" s="256"/>
      <c r="BN29" s="123"/>
      <c r="BO29" s="123"/>
      <c r="BP29" s="123"/>
      <c r="BQ29" s="123"/>
      <c r="BR29" s="123"/>
      <c r="BS29" s="123"/>
      <c r="BT29" s="123"/>
      <c r="BU29" s="255"/>
      <c r="BV29" s="255"/>
      <c r="BW29" s="255"/>
      <c r="BX29" s="255"/>
      <c r="BY29" s="255"/>
      <c r="BZ29" s="255"/>
      <c r="CA29" s="255"/>
      <c r="CB29" s="256"/>
      <c r="CC29" s="256"/>
      <c r="CD29" s="256"/>
      <c r="CE29" s="256"/>
      <c r="CF29" s="256"/>
      <c r="CG29" s="256"/>
      <c r="CH29" s="256"/>
      <c r="CI29" s="458"/>
      <c r="CJ29" s="458"/>
      <c r="CK29" s="458"/>
      <c r="CL29" s="458"/>
      <c r="CM29" s="458"/>
      <c r="CN29" s="458"/>
      <c r="CO29" s="458"/>
      <c r="CP29" s="457"/>
      <c r="CQ29" s="457"/>
      <c r="CR29" s="457"/>
      <c r="CS29" s="457"/>
      <c r="CT29" s="457"/>
      <c r="CU29" s="457"/>
      <c r="CV29" s="457"/>
      <c r="CW29" s="256"/>
      <c r="CX29" s="256"/>
      <c r="CY29" s="256"/>
      <c r="CZ29" s="256"/>
      <c r="DA29" s="256"/>
      <c r="DB29" s="256"/>
      <c r="DC29" s="256"/>
      <c r="DD29" s="257" t="str">
        <f t="shared" si="13"/>
        <v/>
      </c>
      <c r="DE29" s="257" t="str">
        <f t="shared" si="14"/>
        <v/>
      </c>
      <c r="DF29" s="257" t="str">
        <f t="shared" si="15"/>
        <v/>
      </c>
      <c r="DG29" s="257" t="str">
        <f t="shared" si="16"/>
        <v/>
      </c>
      <c r="DH29" s="257" t="str">
        <f t="shared" si="17"/>
        <v/>
      </c>
      <c r="DI29" s="257" t="str">
        <f t="shared" si="18"/>
        <v/>
      </c>
      <c r="DJ29" s="257" t="str">
        <f t="shared" si="19"/>
        <v/>
      </c>
      <c r="DK29" s="756" t="str">
        <f t="shared" si="19"/>
        <v/>
      </c>
      <c r="DL29" s="291" t="str">
        <f t="shared" si="20"/>
        <v xml:space="preserve">  </v>
      </c>
      <c r="DM29" s="243" t="str">
        <f t="shared" si="21"/>
        <v xml:space="preserve"> </v>
      </c>
      <c r="DN29" s="39"/>
      <c r="DO29" s="39"/>
      <c r="DP29" s="257">
        <f t="shared" si="22"/>
        <v>0</v>
      </c>
      <c r="DQ29" s="257">
        <f t="shared" si="23"/>
        <v>0</v>
      </c>
      <c r="DR29" s="257">
        <f t="shared" si="24"/>
        <v>0</v>
      </c>
      <c r="DS29" s="257">
        <f t="shared" si="25"/>
        <v>0</v>
      </c>
      <c r="DT29" s="257">
        <f t="shared" si="26"/>
        <v>0</v>
      </c>
      <c r="DU29" s="257">
        <f t="shared" si="27"/>
        <v>0</v>
      </c>
      <c r="DV29" s="257">
        <f t="shared" si="28"/>
        <v>0</v>
      </c>
      <c r="DW29" s="257"/>
      <c r="DX29" s="257"/>
      <c r="DY29" s="257"/>
      <c r="DZ29" s="289">
        <f t="shared" si="29"/>
        <v>0</v>
      </c>
      <c r="EA29" s="257">
        <f t="shared" si="30"/>
        <v>0</v>
      </c>
      <c r="EB29" s="257">
        <f t="shared" si="31"/>
        <v>0</v>
      </c>
      <c r="EC29" s="257">
        <f t="shared" si="32"/>
        <v>0</v>
      </c>
      <c r="ED29" s="257">
        <f t="shared" si="33"/>
        <v>0</v>
      </c>
      <c r="EE29" s="257">
        <f t="shared" si="34"/>
        <v>0</v>
      </c>
      <c r="EF29" s="257">
        <f t="shared" si="35"/>
        <v>0</v>
      </c>
      <c r="EG29" s="257">
        <f t="shared" si="36"/>
        <v>0</v>
      </c>
      <c r="EH29" s="223"/>
      <c r="EI29" s="223"/>
      <c r="EJ29" s="223"/>
      <c r="EK29" s="289">
        <f t="shared" si="37"/>
        <v>0</v>
      </c>
      <c r="EL29" s="257">
        <f t="shared" si="38"/>
        <v>0</v>
      </c>
      <c r="EM29" s="257">
        <f t="shared" si="39"/>
        <v>0</v>
      </c>
      <c r="EN29" s="257">
        <f t="shared" si="40"/>
        <v>0</v>
      </c>
      <c r="EO29" s="257">
        <f t="shared" si="41"/>
        <v>0</v>
      </c>
      <c r="EP29" s="257">
        <f t="shared" si="42"/>
        <v>0</v>
      </c>
      <c r="EQ29" s="257">
        <f t="shared" si="43"/>
        <v>0</v>
      </c>
      <c r="ER29" s="257">
        <f t="shared" si="44"/>
        <v>0</v>
      </c>
      <c r="ES29" s="223"/>
      <c r="ET29" s="223"/>
      <c r="EU29" s="223"/>
      <c r="EV29" s="289">
        <f t="shared" si="45"/>
        <v>0</v>
      </c>
      <c r="EW29" s="257">
        <f t="shared" si="46"/>
        <v>0</v>
      </c>
      <c r="EX29" s="257">
        <f t="shared" si="47"/>
        <v>0</v>
      </c>
      <c r="EY29" s="257">
        <f t="shared" si="48"/>
        <v>0</v>
      </c>
      <c r="EZ29" s="575">
        <f t="shared" si="49"/>
        <v>3</v>
      </c>
      <c r="FA29" s="506">
        <f t="shared" si="50"/>
        <v>0</v>
      </c>
      <c r="FB29" s="39" t="str">
        <f t="shared" si="51"/>
        <v/>
      </c>
      <c r="FC29" s="257">
        <f t="shared" si="52"/>
        <v>0</v>
      </c>
      <c r="FD29" s="257">
        <f t="shared" si="53"/>
        <v>0</v>
      </c>
      <c r="FE29" s="257">
        <f t="shared" si="54"/>
        <v>0</v>
      </c>
      <c r="FF29" s="575">
        <f t="shared" si="55"/>
        <v>3</v>
      </c>
      <c r="FG29" s="506">
        <f t="shared" si="56"/>
        <v>0</v>
      </c>
      <c r="FH29" s="39" t="str">
        <f t="shared" si="57"/>
        <v/>
      </c>
      <c r="FI29" s="257">
        <f t="shared" si="58"/>
        <v>0</v>
      </c>
      <c r="FJ29" s="257">
        <f t="shared" si="59"/>
        <v>0</v>
      </c>
      <c r="FK29" s="257">
        <f t="shared" si="60"/>
        <v>0</v>
      </c>
      <c r="FL29" s="575">
        <f t="shared" si="61"/>
        <v>3</v>
      </c>
      <c r="FM29" s="506">
        <f t="shared" si="62"/>
        <v>0</v>
      </c>
      <c r="FN29" s="39" t="str">
        <f t="shared" si="63"/>
        <v/>
      </c>
      <c r="FO29" s="257">
        <f t="shared" si="64"/>
        <v>0</v>
      </c>
      <c r="FP29" s="257">
        <f t="shared" si="65"/>
        <v>0</v>
      </c>
      <c r="FQ29" s="257">
        <f t="shared" si="66"/>
        <v>0</v>
      </c>
      <c r="FR29" s="575">
        <f t="shared" si="67"/>
        <v>3</v>
      </c>
      <c r="FS29" s="506">
        <f t="shared" si="68"/>
        <v>0</v>
      </c>
      <c r="FT29" s="39" t="str">
        <f t="shared" si="69"/>
        <v/>
      </c>
      <c r="FU29" s="257">
        <f t="shared" si="70"/>
        <v>0</v>
      </c>
      <c r="FV29" s="257">
        <f t="shared" si="71"/>
        <v>0</v>
      </c>
      <c r="FW29" s="257">
        <f t="shared" si="72"/>
        <v>0</v>
      </c>
      <c r="FX29" s="575">
        <f t="shared" si="73"/>
        <v>3</v>
      </c>
      <c r="FY29" s="506">
        <f t="shared" si="74"/>
        <v>0</v>
      </c>
      <c r="FZ29" s="39" t="str">
        <f t="shared" si="75"/>
        <v/>
      </c>
      <c r="GA29" s="257">
        <f t="shared" si="76"/>
        <v>0</v>
      </c>
      <c r="GB29" s="257">
        <f t="shared" si="77"/>
        <v>0</v>
      </c>
      <c r="GC29" s="257">
        <f t="shared" si="78"/>
        <v>0</v>
      </c>
      <c r="GD29" s="575">
        <f t="shared" si="79"/>
        <v>3</v>
      </c>
      <c r="GE29" s="506">
        <f t="shared" si="80"/>
        <v>0</v>
      </c>
      <c r="GF29" s="39" t="str">
        <f t="shared" si="81"/>
        <v/>
      </c>
      <c r="GG29" s="257">
        <f t="shared" si="82"/>
        <v>0</v>
      </c>
      <c r="GH29" s="257">
        <f t="shared" si="83"/>
        <v>0</v>
      </c>
      <c r="GI29" s="257">
        <f t="shared" si="84"/>
        <v>0</v>
      </c>
      <c r="GJ29" s="575">
        <f t="shared" si="85"/>
        <v>3</v>
      </c>
      <c r="GK29" s="506">
        <f t="shared" si="86"/>
        <v>0</v>
      </c>
      <c r="GL29" s="39" t="str">
        <f t="shared" si="87"/>
        <v/>
      </c>
      <c r="GM29" s="39"/>
      <c r="GN29" s="39" t="str">
        <f t="shared" si="88"/>
        <v/>
      </c>
      <c r="GO29" s="39" t="str">
        <f t="shared" si="89"/>
        <v/>
      </c>
      <c r="GP29" s="39" t="str">
        <f t="shared" si="90"/>
        <v/>
      </c>
      <c r="GQ29" s="39" t="str">
        <f t="shared" si="91"/>
        <v/>
      </c>
      <c r="GR29" s="39" t="str">
        <f t="shared" si="92"/>
        <v/>
      </c>
      <c r="GS29" s="39" t="str">
        <f t="shared" si="93"/>
        <v/>
      </c>
      <c r="GT29" s="257" t="str">
        <f t="shared" si="94"/>
        <v/>
      </c>
      <c r="GU29" s="579" t="str">
        <f t="shared" si="95"/>
        <v/>
      </c>
      <c r="GV29" s="289">
        <f t="shared" si="96"/>
        <v>0</v>
      </c>
      <c r="GW29" s="289">
        <f t="shared" si="97"/>
        <v>0</v>
      </c>
      <c r="GX29" s="223">
        <f>SISWA!E27</f>
        <v>0</v>
      </c>
      <c r="GY29" s="223" t="str">
        <f t="shared" si="98"/>
        <v/>
      </c>
      <c r="GZ29" s="580" t="str">
        <f t="shared" si="99"/>
        <v/>
      </c>
      <c r="HA29" s="580" t="str">
        <f t="shared" si="100"/>
        <v/>
      </c>
      <c r="HB29" s="580" t="str">
        <f t="shared" si="101"/>
        <v/>
      </c>
      <c r="HC29" s="580" t="str">
        <f t="shared" si="102"/>
        <v/>
      </c>
      <c r="HD29" s="580" t="str">
        <f t="shared" si="103"/>
        <v/>
      </c>
      <c r="HE29" s="580" t="str">
        <f t="shared" si="104"/>
        <v/>
      </c>
      <c r="HF29" s="580" t="str">
        <f t="shared" si="105"/>
        <v/>
      </c>
      <c r="HG29" s="580"/>
      <c r="HH29" s="580"/>
      <c r="HI29" s="580"/>
      <c r="HJ29" s="580"/>
      <c r="HK29" s="223">
        <f t="shared" si="106"/>
        <v>0</v>
      </c>
      <c r="HL29" s="289" t="e">
        <f t="shared" si="107"/>
        <v>#N/A</v>
      </c>
      <c r="HM29" s="576" t="e">
        <f>IF(GV29&gt;100,"",IF(GV29&gt;DP$1,"sangat baik dalam "&amp;HL29,IF(GV29&gt;=DP$2,"baik dalam "&amp;HL29,IF(GV29&gt;=DP$3,"cukup dalam "&amp;HL29,IF(GV29&lt;DP$3,"dengan bimbingan dapat meningkatkan dalam "&amp;HL29,IF(GV29&lt;1," ",””))))))</f>
        <v>#N/A</v>
      </c>
      <c r="HN29" s="223"/>
      <c r="HO29" s="223" t="str">
        <f t="shared" si="108"/>
        <v/>
      </c>
      <c r="HP29" s="223" t="str">
        <f t="shared" si="109"/>
        <v/>
      </c>
      <c r="HQ29" s="223" t="str">
        <f t="shared" si="110"/>
        <v/>
      </c>
      <c r="HR29" s="223" t="str">
        <f t="shared" si="111"/>
        <v/>
      </c>
      <c r="HS29" s="223" t="str">
        <f t="shared" si="112"/>
        <v/>
      </c>
      <c r="HT29" s="223" t="str">
        <f t="shared" si="113"/>
        <v/>
      </c>
      <c r="HU29" s="223" t="str">
        <f t="shared" si="114"/>
        <v/>
      </c>
      <c r="HV29" s="223"/>
      <c r="HW29" s="223"/>
      <c r="HX29" s="223"/>
      <c r="HY29" s="223"/>
      <c r="HZ29" s="223" t="e">
        <f t="shared" si="115"/>
        <v>#N/A</v>
      </c>
      <c r="IA29" s="577" t="e">
        <f>IF(GW29&gt;100,"",IF(GW29&gt;=DP$1,"sangat baik dalam "&amp;HZ29,IF(GW29&gt;=DP$2,"baik dalam "&amp;HZ29,IF(GW29&gt;=DP$3,"cukup dalam "&amp;HZ29,IF(GW29&lt;DP$3,"dengan bimbingan dapat meningkatkan dalam "&amp;HZ29,IF(GW29&lt;1," ",””))))))</f>
        <v>#N/A</v>
      </c>
      <c r="IB29" s="223" t="e">
        <f t="shared" si="116"/>
        <v>#N/A</v>
      </c>
    </row>
    <row r="30" spans="1:236" ht="30" customHeight="1">
      <c r="A30" s="39">
        <v>23</v>
      </c>
      <c r="B30" s="223">
        <f>SISWA!B28</f>
        <v>0</v>
      </c>
      <c r="C30" s="123"/>
      <c r="D30" s="123"/>
      <c r="E30" s="123"/>
      <c r="F30" s="123"/>
      <c r="G30" s="123"/>
      <c r="H30" s="123"/>
      <c r="I30" s="123"/>
      <c r="J30" s="255"/>
      <c r="K30" s="255"/>
      <c r="L30" s="255"/>
      <c r="M30" s="255"/>
      <c r="N30" s="255"/>
      <c r="O30" s="255"/>
      <c r="P30" s="255"/>
      <c r="Q30" s="256"/>
      <c r="R30" s="256"/>
      <c r="S30" s="256"/>
      <c r="T30" s="256"/>
      <c r="U30" s="256"/>
      <c r="V30" s="256"/>
      <c r="W30" s="256"/>
      <c r="X30" s="123"/>
      <c r="Y30" s="123"/>
      <c r="Z30" s="123"/>
      <c r="AA30" s="123"/>
      <c r="AB30" s="123"/>
      <c r="AC30" s="123"/>
      <c r="AD30" s="123"/>
      <c r="AE30" s="255"/>
      <c r="AF30" s="255"/>
      <c r="AG30" s="255"/>
      <c r="AH30" s="255"/>
      <c r="AI30" s="255"/>
      <c r="AJ30" s="255"/>
      <c r="AK30" s="255"/>
      <c r="AL30" s="256"/>
      <c r="AM30" s="256"/>
      <c r="AN30" s="256"/>
      <c r="AO30" s="256"/>
      <c r="AP30" s="256"/>
      <c r="AQ30" s="256"/>
      <c r="AR30" s="256"/>
      <c r="AS30" s="123"/>
      <c r="AT30" s="123"/>
      <c r="AU30" s="123"/>
      <c r="AV30" s="123"/>
      <c r="AW30" s="123"/>
      <c r="AX30" s="123"/>
      <c r="AY30" s="123"/>
      <c r="AZ30" s="255"/>
      <c r="BA30" s="255"/>
      <c r="BB30" s="255"/>
      <c r="BC30" s="255"/>
      <c r="BD30" s="255"/>
      <c r="BE30" s="255"/>
      <c r="BF30" s="255"/>
      <c r="BG30" s="256"/>
      <c r="BH30" s="256"/>
      <c r="BI30" s="256"/>
      <c r="BJ30" s="256"/>
      <c r="BK30" s="256"/>
      <c r="BL30" s="256"/>
      <c r="BM30" s="256"/>
      <c r="BN30" s="123"/>
      <c r="BO30" s="123"/>
      <c r="BP30" s="123"/>
      <c r="BQ30" s="123"/>
      <c r="BR30" s="123"/>
      <c r="BS30" s="123"/>
      <c r="BT30" s="123"/>
      <c r="BU30" s="255"/>
      <c r="BV30" s="255"/>
      <c r="BW30" s="255"/>
      <c r="BX30" s="255"/>
      <c r="BY30" s="255"/>
      <c r="BZ30" s="255"/>
      <c r="CA30" s="255"/>
      <c r="CB30" s="256"/>
      <c r="CC30" s="256"/>
      <c r="CD30" s="256"/>
      <c r="CE30" s="256"/>
      <c r="CF30" s="256"/>
      <c r="CG30" s="256"/>
      <c r="CH30" s="256"/>
      <c r="CI30" s="458"/>
      <c r="CJ30" s="458"/>
      <c r="CK30" s="458"/>
      <c r="CL30" s="458"/>
      <c r="CM30" s="458"/>
      <c r="CN30" s="458"/>
      <c r="CO30" s="458"/>
      <c r="CP30" s="457"/>
      <c r="CQ30" s="457"/>
      <c r="CR30" s="457"/>
      <c r="CS30" s="457"/>
      <c r="CT30" s="457"/>
      <c r="CU30" s="457"/>
      <c r="CV30" s="457"/>
      <c r="CW30" s="256"/>
      <c r="CX30" s="256"/>
      <c r="CY30" s="256"/>
      <c r="CZ30" s="256"/>
      <c r="DA30" s="256"/>
      <c r="DB30" s="256"/>
      <c r="DC30" s="256"/>
      <c r="DD30" s="257" t="str">
        <f t="shared" si="13"/>
        <v/>
      </c>
      <c r="DE30" s="257" t="str">
        <f t="shared" si="14"/>
        <v/>
      </c>
      <c r="DF30" s="257" t="str">
        <f t="shared" si="15"/>
        <v/>
      </c>
      <c r="DG30" s="257" t="str">
        <f t="shared" si="16"/>
        <v/>
      </c>
      <c r="DH30" s="257" t="str">
        <f t="shared" si="17"/>
        <v/>
      </c>
      <c r="DI30" s="257" t="str">
        <f t="shared" si="18"/>
        <v/>
      </c>
      <c r="DJ30" s="257" t="str">
        <f t="shared" si="19"/>
        <v/>
      </c>
      <c r="DK30" s="756" t="str">
        <f t="shared" si="19"/>
        <v/>
      </c>
      <c r="DL30" s="291" t="str">
        <f t="shared" si="20"/>
        <v xml:space="preserve">  </v>
      </c>
      <c r="DM30" s="243" t="str">
        <f t="shared" si="21"/>
        <v xml:space="preserve"> </v>
      </c>
      <c r="DN30" s="39"/>
      <c r="DO30" s="39"/>
      <c r="DP30" s="257">
        <f t="shared" si="22"/>
        <v>0</v>
      </c>
      <c r="DQ30" s="257">
        <f t="shared" si="23"/>
        <v>0</v>
      </c>
      <c r="DR30" s="257">
        <f t="shared" si="24"/>
        <v>0</v>
      </c>
      <c r="DS30" s="257">
        <f t="shared" si="25"/>
        <v>0</v>
      </c>
      <c r="DT30" s="257">
        <f t="shared" si="26"/>
        <v>0</v>
      </c>
      <c r="DU30" s="257">
        <f t="shared" si="27"/>
        <v>0</v>
      </c>
      <c r="DV30" s="257">
        <f t="shared" si="28"/>
        <v>0</v>
      </c>
      <c r="DW30" s="257"/>
      <c r="DX30" s="257"/>
      <c r="DY30" s="257"/>
      <c r="DZ30" s="289">
        <f t="shared" si="29"/>
        <v>0</v>
      </c>
      <c r="EA30" s="257">
        <f t="shared" si="30"/>
        <v>0</v>
      </c>
      <c r="EB30" s="257">
        <f t="shared" si="31"/>
        <v>0</v>
      </c>
      <c r="EC30" s="257">
        <f t="shared" si="32"/>
        <v>0</v>
      </c>
      <c r="ED30" s="257">
        <f t="shared" si="33"/>
        <v>0</v>
      </c>
      <c r="EE30" s="257">
        <f t="shared" si="34"/>
        <v>0</v>
      </c>
      <c r="EF30" s="257">
        <f t="shared" si="35"/>
        <v>0</v>
      </c>
      <c r="EG30" s="257">
        <f t="shared" si="36"/>
        <v>0</v>
      </c>
      <c r="EH30" s="223"/>
      <c r="EI30" s="223"/>
      <c r="EJ30" s="223"/>
      <c r="EK30" s="289">
        <f t="shared" si="37"/>
        <v>0</v>
      </c>
      <c r="EL30" s="257">
        <f t="shared" si="38"/>
        <v>0</v>
      </c>
      <c r="EM30" s="257">
        <f t="shared" si="39"/>
        <v>0</v>
      </c>
      <c r="EN30" s="257">
        <f t="shared" si="40"/>
        <v>0</v>
      </c>
      <c r="EO30" s="257">
        <f t="shared" si="41"/>
        <v>0</v>
      </c>
      <c r="EP30" s="257">
        <f t="shared" si="42"/>
        <v>0</v>
      </c>
      <c r="EQ30" s="257">
        <f t="shared" si="43"/>
        <v>0</v>
      </c>
      <c r="ER30" s="257">
        <f t="shared" si="44"/>
        <v>0</v>
      </c>
      <c r="ES30" s="223"/>
      <c r="ET30" s="223"/>
      <c r="EU30" s="223"/>
      <c r="EV30" s="289">
        <f t="shared" si="45"/>
        <v>0</v>
      </c>
      <c r="EW30" s="257">
        <f t="shared" si="46"/>
        <v>0</v>
      </c>
      <c r="EX30" s="257">
        <f t="shared" si="47"/>
        <v>0</v>
      </c>
      <c r="EY30" s="257">
        <f t="shared" si="48"/>
        <v>0</v>
      </c>
      <c r="EZ30" s="575">
        <f t="shared" si="49"/>
        <v>3</v>
      </c>
      <c r="FA30" s="506">
        <f t="shared" si="50"/>
        <v>0</v>
      </c>
      <c r="FB30" s="39" t="str">
        <f t="shared" si="51"/>
        <v/>
      </c>
      <c r="FC30" s="257">
        <f t="shared" si="52"/>
        <v>0</v>
      </c>
      <c r="FD30" s="257">
        <f t="shared" si="53"/>
        <v>0</v>
      </c>
      <c r="FE30" s="257">
        <f t="shared" si="54"/>
        <v>0</v>
      </c>
      <c r="FF30" s="575">
        <f t="shared" si="55"/>
        <v>3</v>
      </c>
      <c r="FG30" s="506">
        <f t="shared" si="56"/>
        <v>0</v>
      </c>
      <c r="FH30" s="39" t="str">
        <f t="shared" si="57"/>
        <v/>
      </c>
      <c r="FI30" s="257">
        <f t="shared" si="58"/>
        <v>0</v>
      </c>
      <c r="FJ30" s="257">
        <f t="shared" si="59"/>
        <v>0</v>
      </c>
      <c r="FK30" s="257">
        <f t="shared" si="60"/>
        <v>0</v>
      </c>
      <c r="FL30" s="575">
        <f t="shared" si="61"/>
        <v>3</v>
      </c>
      <c r="FM30" s="506">
        <f t="shared" si="62"/>
        <v>0</v>
      </c>
      <c r="FN30" s="39" t="str">
        <f t="shared" si="63"/>
        <v/>
      </c>
      <c r="FO30" s="257">
        <f t="shared" si="64"/>
        <v>0</v>
      </c>
      <c r="FP30" s="257">
        <f t="shared" si="65"/>
        <v>0</v>
      </c>
      <c r="FQ30" s="257">
        <f t="shared" si="66"/>
        <v>0</v>
      </c>
      <c r="FR30" s="575">
        <f t="shared" si="67"/>
        <v>3</v>
      </c>
      <c r="FS30" s="506">
        <f t="shared" si="68"/>
        <v>0</v>
      </c>
      <c r="FT30" s="39" t="str">
        <f t="shared" si="69"/>
        <v/>
      </c>
      <c r="FU30" s="257">
        <f t="shared" si="70"/>
        <v>0</v>
      </c>
      <c r="FV30" s="257">
        <f t="shared" si="71"/>
        <v>0</v>
      </c>
      <c r="FW30" s="257">
        <f t="shared" si="72"/>
        <v>0</v>
      </c>
      <c r="FX30" s="575">
        <f t="shared" si="73"/>
        <v>3</v>
      </c>
      <c r="FY30" s="506">
        <f t="shared" si="74"/>
        <v>0</v>
      </c>
      <c r="FZ30" s="39" t="str">
        <f t="shared" si="75"/>
        <v/>
      </c>
      <c r="GA30" s="257">
        <f t="shared" si="76"/>
        <v>0</v>
      </c>
      <c r="GB30" s="257">
        <f t="shared" si="77"/>
        <v>0</v>
      </c>
      <c r="GC30" s="257">
        <f t="shared" si="78"/>
        <v>0</v>
      </c>
      <c r="GD30" s="575">
        <f t="shared" si="79"/>
        <v>3</v>
      </c>
      <c r="GE30" s="506">
        <f t="shared" si="80"/>
        <v>0</v>
      </c>
      <c r="GF30" s="39" t="str">
        <f t="shared" si="81"/>
        <v/>
      </c>
      <c r="GG30" s="257">
        <f t="shared" si="82"/>
        <v>0</v>
      </c>
      <c r="GH30" s="257">
        <f t="shared" si="83"/>
        <v>0</v>
      </c>
      <c r="GI30" s="257">
        <f t="shared" si="84"/>
        <v>0</v>
      </c>
      <c r="GJ30" s="575">
        <f t="shared" si="85"/>
        <v>3</v>
      </c>
      <c r="GK30" s="506">
        <f t="shared" si="86"/>
        <v>0</v>
      </c>
      <c r="GL30" s="39" t="str">
        <f t="shared" si="87"/>
        <v/>
      </c>
      <c r="GM30" s="39"/>
      <c r="GN30" s="39" t="str">
        <f t="shared" si="88"/>
        <v/>
      </c>
      <c r="GO30" s="39" t="str">
        <f t="shared" si="89"/>
        <v/>
      </c>
      <c r="GP30" s="39" t="str">
        <f t="shared" si="90"/>
        <v/>
      </c>
      <c r="GQ30" s="39" t="str">
        <f t="shared" si="91"/>
        <v/>
      </c>
      <c r="GR30" s="39" t="str">
        <f t="shared" si="92"/>
        <v/>
      </c>
      <c r="GS30" s="39" t="str">
        <f t="shared" si="93"/>
        <v/>
      </c>
      <c r="GT30" s="257" t="str">
        <f t="shared" si="94"/>
        <v/>
      </c>
      <c r="GU30" s="579" t="str">
        <f t="shared" si="95"/>
        <v/>
      </c>
      <c r="GV30" s="289">
        <f t="shared" si="96"/>
        <v>0</v>
      </c>
      <c r="GW30" s="289">
        <f t="shared" si="97"/>
        <v>0</v>
      </c>
      <c r="GX30" s="223">
        <f>SISWA!E28</f>
        <v>0</v>
      </c>
      <c r="GY30" s="223" t="str">
        <f t="shared" si="98"/>
        <v/>
      </c>
      <c r="GZ30" s="580" t="str">
        <f t="shared" si="99"/>
        <v/>
      </c>
      <c r="HA30" s="580" t="str">
        <f t="shared" si="100"/>
        <v/>
      </c>
      <c r="HB30" s="580" t="str">
        <f t="shared" si="101"/>
        <v/>
      </c>
      <c r="HC30" s="580" t="str">
        <f t="shared" si="102"/>
        <v/>
      </c>
      <c r="HD30" s="580" t="str">
        <f t="shared" si="103"/>
        <v/>
      </c>
      <c r="HE30" s="580" t="str">
        <f t="shared" si="104"/>
        <v/>
      </c>
      <c r="HF30" s="580" t="str">
        <f t="shared" si="105"/>
        <v/>
      </c>
      <c r="HG30" s="580"/>
      <c r="HH30" s="580"/>
      <c r="HI30" s="580"/>
      <c r="HJ30" s="580"/>
      <c r="HK30" s="223">
        <f t="shared" si="106"/>
        <v>0</v>
      </c>
      <c r="HL30" s="289" t="e">
        <f t="shared" si="107"/>
        <v>#N/A</v>
      </c>
      <c r="HM30" s="576" t="e">
        <f>IF(GV30&gt;100,"",IF(GV30&gt;DP$1,"sangat baik dalam "&amp;HL30,IF(GV30&gt;=DP$2,"baik dalam "&amp;HL30,IF(GV30&gt;=DP$3,"cukup dalam "&amp;HL30,IF(GV30&lt;DP$3,"dengan bimbingan dapat meningkatkan dalam "&amp;HL30,IF(GV30&lt;1," ",””))))))</f>
        <v>#N/A</v>
      </c>
      <c r="HN30" s="223"/>
      <c r="HO30" s="223" t="str">
        <f t="shared" si="108"/>
        <v/>
      </c>
      <c r="HP30" s="223" t="str">
        <f t="shared" si="109"/>
        <v/>
      </c>
      <c r="HQ30" s="223" t="str">
        <f t="shared" si="110"/>
        <v/>
      </c>
      <c r="HR30" s="223" t="str">
        <f t="shared" si="111"/>
        <v/>
      </c>
      <c r="HS30" s="223" t="str">
        <f t="shared" si="112"/>
        <v/>
      </c>
      <c r="HT30" s="223" t="str">
        <f t="shared" si="113"/>
        <v/>
      </c>
      <c r="HU30" s="223" t="str">
        <f t="shared" si="114"/>
        <v/>
      </c>
      <c r="HV30" s="223"/>
      <c r="HW30" s="223"/>
      <c r="HX30" s="223"/>
      <c r="HY30" s="223"/>
      <c r="HZ30" s="223" t="e">
        <f t="shared" si="115"/>
        <v>#N/A</v>
      </c>
      <c r="IA30" s="577" t="e">
        <f>IF(GW30&gt;100,"",IF(GW30&gt;=DP$1,"sangat baik dalam "&amp;HZ30,IF(GW30&gt;=DP$2,"baik dalam "&amp;HZ30,IF(GW30&gt;=DP$3,"cukup dalam "&amp;HZ30,IF(GW30&lt;DP$3,"dengan bimbingan dapat meningkatkan dalam "&amp;HZ30,IF(GW30&lt;1," ",””))))))</f>
        <v>#N/A</v>
      </c>
      <c r="IB30" s="223" t="e">
        <f t="shared" si="116"/>
        <v>#N/A</v>
      </c>
    </row>
    <row r="31" spans="1:236" ht="30" customHeight="1">
      <c r="A31" s="39">
        <v>24</v>
      </c>
      <c r="B31" s="223">
        <f>SISWA!B29</f>
        <v>0</v>
      </c>
      <c r="C31" s="123"/>
      <c r="D31" s="123"/>
      <c r="E31" s="123"/>
      <c r="F31" s="123"/>
      <c r="G31" s="123"/>
      <c r="H31" s="123"/>
      <c r="I31" s="123"/>
      <c r="J31" s="255"/>
      <c r="K31" s="255"/>
      <c r="L31" s="255"/>
      <c r="M31" s="255"/>
      <c r="N31" s="255"/>
      <c r="O31" s="255"/>
      <c r="P31" s="255"/>
      <c r="Q31" s="256"/>
      <c r="R31" s="256"/>
      <c r="S31" s="256"/>
      <c r="T31" s="256"/>
      <c r="U31" s="256"/>
      <c r="V31" s="256"/>
      <c r="W31" s="256"/>
      <c r="X31" s="123"/>
      <c r="Y31" s="123"/>
      <c r="Z31" s="123"/>
      <c r="AA31" s="123"/>
      <c r="AB31" s="123"/>
      <c r="AC31" s="123"/>
      <c r="AD31" s="123"/>
      <c r="AE31" s="255"/>
      <c r="AF31" s="255"/>
      <c r="AG31" s="255"/>
      <c r="AH31" s="255"/>
      <c r="AI31" s="255"/>
      <c r="AJ31" s="255"/>
      <c r="AK31" s="255"/>
      <c r="AL31" s="256"/>
      <c r="AM31" s="256"/>
      <c r="AN31" s="256"/>
      <c r="AO31" s="256"/>
      <c r="AP31" s="256"/>
      <c r="AQ31" s="256"/>
      <c r="AR31" s="256"/>
      <c r="AS31" s="123"/>
      <c r="AT31" s="123"/>
      <c r="AU31" s="123"/>
      <c r="AV31" s="123"/>
      <c r="AW31" s="123"/>
      <c r="AX31" s="123"/>
      <c r="AY31" s="123"/>
      <c r="AZ31" s="255"/>
      <c r="BA31" s="255"/>
      <c r="BB31" s="255"/>
      <c r="BC31" s="255"/>
      <c r="BD31" s="255"/>
      <c r="BE31" s="255"/>
      <c r="BF31" s="255"/>
      <c r="BG31" s="256"/>
      <c r="BH31" s="256"/>
      <c r="BI31" s="256"/>
      <c r="BJ31" s="256"/>
      <c r="BK31" s="256"/>
      <c r="BL31" s="256"/>
      <c r="BM31" s="256"/>
      <c r="BN31" s="123"/>
      <c r="BO31" s="123"/>
      <c r="BP31" s="123"/>
      <c r="BQ31" s="123"/>
      <c r="BR31" s="123"/>
      <c r="BS31" s="123"/>
      <c r="BT31" s="123"/>
      <c r="BU31" s="255"/>
      <c r="BV31" s="255"/>
      <c r="BW31" s="255"/>
      <c r="BX31" s="255"/>
      <c r="BY31" s="255"/>
      <c r="BZ31" s="255"/>
      <c r="CA31" s="255"/>
      <c r="CB31" s="256"/>
      <c r="CC31" s="256"/>
      <c r="CD31" s="256"/>
      <c r="CE31" s="256"/>
      <c r="CF31" s="256"/>
      <c r="CG31" s="256"/>
      <c r="CH31" s="256"/>
      <c r="CI31" s="458"/>
      <c r="CJ31" s="458"/>
      <c r="CK31" s="458"/>
      <c r="CL31" s="458"/>
      <c r="CM31" s="458"/>
      <c r="CN31" s="458"/>
      <c r="CO31" s="458"/>
      <c r="CP31" s="457"/>
      <c r="CQ31" s="457"/>
      <c r="CR31" s="457"/>
      <c r="CS31" s="457"/>
      <c r="CT31" s="457"/>
      <c r="CU31" s="457"/>
      <c r="CV31" s="457"/>
      <c r="CW31" s="256"/>
      <c r="CX31" s="256"/>
      <c r="CY31" s="256"/>
      <c r="CZ31" s="256"/>
      <c r="DA31" s="256"/>
      <c r="DB31" s="256"/>
      <c r="DC31" s="256"/>
      <c r="DD31" s="257" t="str">
        <f t="shared" si="13"/>
        <v/>
      </c>
      <c r="DE31" s="257" t="str">
        <f t="shared" si="14"/>
        <v/>
      </c>
      <c r="DF31" s="257" t="str">
        <f t="shared" si="15"/>
        <v/>
      </c>
      <c r="DG31" s="257" t="str">
        <f t="shared" si="16"/>
        <v/>
      </c>
      <c r="DH31" s="257" t="str">
        <f t="shared" si="17"/>
        <v/>
      </c>
      <c r="DI31" s="257" t="str">
        <f t="shared" si="18"/>
        <v/>
      </c>
      <c r="DJ31" s="257" t="str">
        <f t="shared" si="19"/>
        <v/>
      </c>
      <c r="DK31" s="756" t="str">
        <f t="shared" si="19"/>
        <v/>
      </c>
      <c r="DL31" s="291" t="str">
        <f t="shared" si="20"/>
        <v xml:space="preserve">  </v>
      </c>
      <c r="DM31" s="243" t="str">
        <f t="shared" si="21"/>
        <v xml:space="preserve"> </v>
      </c>
      <c r="DN31" s="39"/>
      <c r="DO31" s="39"/>
      <c r="DP31" s="257">
        <f t="shared" si="22"/>
        <v>0</v>
      </c>
      <c r="DQ31" s="257">
        <f t="shared" si="23"/>
        <v>0</v>
      </c>
      <c r="DR31" s="257">
        <f t="shared" si="24"/>
        <v>0</v>
      </c>
      <c r="DS31" s="257">
        <f t="shared" si="25"/>
        <v>0</v>
      </c>
      <c r="DT31" s="257">
        <f t="shared" si="26"/>
        <v>0</v>
      </c>
      <c r="DU31" s="257">
        <f t="shared" si="27"/>
        <v>0</v>
      </c>
      <c r="DV31" s="257">
        <f t="shared" si="28"/>
        <v>0</v>
      </c>
      <c r="DW31" s="257"/>
      <c r="DX31" s="257"/>
      <c r="DY31" s="257"/>
      <c r="DZ31" s="289">
        <f t="shared" si="29"/>
        <v>0</v>
      </c>
      <c r="EA31" s="257">
        <f t="shared" si="30"/>
        <v>0</v>
      </c>
      <c r="EB31" s="257">
        <f t="shared" si="31"/>
        <v>0</v>
      </c>
      <c r="EC31" s="257">
        <f t="shared" si="32"/>
        <v>0</v>
      </c>
      <c r="ED31" s="257">
        <f t="shared" si="33"/>
        <v>0</v>
      </c>
      <c r="EE31" s="257">
        <f t="shared" si="34"/>
        <v>0</v>
      </c>
      <c r="EF31" s="257">
        <f t="shared" si="35"/>
        <v>0</v>
      </c>
      <c r="EG31" s="257">
        <f t="shared" si="36"/>
        <v>0</v>
      </c>
      <c r="EH31" s="223"/>
      <c r="EI31" s="223"/>
      <c r="EJ31" s="223"/>
      <c r="EK31" s="289">
        <f t="shared" si="37"/>
        <v>0</v>
      </c>
      <c r="EL31" s="257">
        <f t="shared" si="38"/>
        <v>0</v>
      </c>
      <c r="EM31" s="257">
        <f t="shared" si="39"/>
        <v>0</v>
      </c>
      <c r="EN31" s="257">
        <f t="shared" si="40"/>
        <v>0</v>
      </c>
      <c r="EO31" s="257">
        <f t="shared" si="41"/>
        <v>0</v>
      </c>
      <c r="EP31" s="257">
        <f t="shared" si="42"/>
        <v>0</v>
      </c>
      <c r="EQ31" s="257">
        <f t="shared" si="43"/>
        <v>0</v>
      </c>
      <c r="ER31" s="257">
        <f t="shared" si="44"/>
        <v>0</v>
      </c>
      <c r="ES31" s="223"/>
      <c r="ET31" s="223"/>
      <c r="EU31" s="223"/>
      <c r="EV31" s="289">
        <f t="shared" si="45"/>
        <v>0</v>
      </c>
      <c r="EW31" s="257">
        <f t="shared" si="46"/>
        <v>0</v>
      </c>
      <c r="EX31" s="257">
        <f t="shared" si="47"/>
        <v>0</v>
      </c>
      <c r="EY31" s="257">
        <f t="shared" si="48"/>
        <v>0</v>
      </c>
      <c r="EZ31" s="575">
        <f t="shared" si="49"/>
        <v>3</v>
      </c>
      <c r="FA31" s="506">
        <f t="shared" si="50"/>
        <v>0</v>
      </c>
      <c r="FB31" s="39" t="str">
        <f t="shared" si="51"/>
        <v/>
      </c>
      <c r="FC31" s="257">
        <f t="shared" si="52"/>
        <v>0</v>
      </c>
      <c r="FD31" s="257">
        <f t="shared" si="53"/>
        <v>0</v>
      </c>
      <c r="FE31" s="257">
        <f t="shared" si="54"/>
        <v>0</v>
      </c>
      <c r="FF31" s="575">
        <f t="shared" si="55"/>
        <v>3</v>
      </c>
      <c r="FG31" s="506">
        <f t="shared" si="56"/>
        <v>0</v>
      </c>
      <c r="FH31" s="39" t="str">
        <f t="shared" si="57"/>
        <v/>
      </c>
      <c r="FI31" s="257">
        <f t="shared" si="58"/>
        <v>0</v>
      </c>
      <c r="FJ31" s="257">
        <f t="shared" si="59"/>
        <v>0</v>
      </c>
      <c r="FK31" s="257">
        <f t="shared" si="60"/>
        <v>0</v>
      </c>
      <c r="FL31" s="575">
        <f t="shared" si="61"/>
        <v>3</v>
      </c>
      <c r="FM31" s="506">
        <f t="shared" si="62"/>
        <v>0</v>
      </c>
      <c r="FN31" s="39" t="str">
        <f t="shared" si="63"/>
        <v/>
      </c>
      <c r="FO31" s="257">
        <f t="shared" si="64"/>
        <v>0</v>
      </c>
      <c r="FP31" s="257">
        <f t="shared" si="65"/>
        <v>0</v>
      </c>
      <c r="FQ31" s="257">
        <f t="shared" si="66"/>
        <v>0</v>
      </c>
      <c r="FR31" s="575">
        <f t="shared" si="67"/>
        <v>3</v>
      </c>
      <c r="FS31" s="506">
        <f t="shared" si="68"/>
        <v>0</v>
      </c>
      <c r="FT31" s="39" t="str">
        <f t="shared" si="69"/>
        <v/>
      </c>
      <c r="FU31" s="257">
        <f t="shared" si="70"/>
        <v>0</v>
      </c>
      <c r="FV31" s="257">
        <f t="shared" si="71"/>
        <v>0</v>
      </c>
      <c r="FW31" s="257">
        <f t="shared" si="72"/>
        <v>0</v>
      </c>
      <c r="FX31" s="575">
        <f t="shared" si="73"/>
        <v>3</v>
      </c>
      <c r="FY31" s="506">
        <f t="shared" si="74"/>
        <v>0</v>
      </c>
      <c r="FZ31" s="39" t="str">
        <f t="shared" si="75"/>
        <v/>
      </c>
      <c r="GA31" s="257">
        <f t="shared" si="76"/>
        <v>0</v>
      </c>
      <c r="GB31" s="257">
        <f t="shared" si="77"/>
        <v>0</v>
      </c>
      <c r="GC31" s="257">
        <f t="shared" si="78"/>
        <v>0</v>
      </c>
      <c r="GD31" s="575">
        <f t="shared" si="79"/>
        <v>3</v>
      </c>
      <c r="GE31" s="506">
        <f t="shared" si="80"/>
        <v>0</v>
      </c>
      <c r="GF31" s="39" t="str">
        <f t="shared" si="81"/>
        <v/>
      </c>
      <c r="GG31" s="257">
        <f t="shared" si="82"/>
        <v>0</v>
      </c>
      <c r="GH31" s="257">
        <f t="shared" si="83"/>
        <v>0</v>
      </c>
      <c r="GI31" s="257">
        <f t="shared" si="84"/>
        <v>0</v>
      </c>
      <c r="GJ31" s="575">
        <f t="shared" si="85"/>
        <v>3</v>
      </c>
      <c r="GK31" s="506">
        <f t="shared" si="86"/>
        <v>0</v>
      </c>
      <c r="GL31" s="39" t="str">
        <f t="shared" si="87"/>
        <v/>
      </c>
      <c r="GM31" s="39"/>
      <c r="GN31" s="39" t="str">
        <f t="shared" si="88"/>
        <v/>
      </c>
      <c r="GO31" s="39" t="str">
        <f t="shared" si="89"/>
        <v/>
      </c>
      <c r="GP31" s="39" t="str">
        <f t="shared" si="90"/>
        <v/>
      </c>
      <c r="GQ31" s="39" t="str">
        <f t="shared" si="91"/>
        <v/>
      </c>
      <c r="GR31" s="39" t="str">
        <f t="shared" si="92"/>
        <v/>
      </c>
      <c r="GS31" s="39" t="str">
        <f t="shared" si="93"/>
        <v/>
      </c>
      <c r="GT31" s="257" t="str">
        <f t="shared" si="94"/>
        <v/>
      </c>
      <c r="GU31" s="579" t="str">
        <f t="shared" si="95"/>
        <v/>
      </c>
      <c r="GV31" s="289">
        <f t="shared" si="96"/>
        <v>0</v>
      </c>
      <c r="GW31" s="289">
        <f t="shared" si="97"/>
        <v>0</v>
      </c>
      <c r="GX31" s="223">
        <f>SISWA!E29</f>
        <v>0</v>
      </c>
      <c r="GY31" s="223" t="str">
        <f t="shared" si="98"/>
        <v/>
      </c>
      <c r="GZ31" s="580" t="str">
        <f t="shared" si="99"/>
        <v/>
      </c>
      <c r="HA31" s="580" t="str">
        <f t="shared" si="100"/>
        <v/>
      </c>
      <c r="HB31" s="580" t="str">
        <f t="shared" si="101"/>
        <v/>
      </c>
      <c r="HC31" s="580" t="str">
        <f t="shared" si="102"/>
        <v/>
      </c>
      <c r="HD31" s="580" t="str">
        <f t="shared" si="103"/>
        <v/>
      </c>
      <c r="HE31" s="580" t="str">
        <f t="shared" si="104"/>
        <v/>
      </c>
      <c r="HF31" s="580" t="str">
        <f t="shared" si="105"/>
        <v/>
      </c>
      <c r="HG31" s="580"/>
      <c r="HH31" s="580"/>
      <c r="HI31" s="580"/>
      <c r="HJ31" s="580"/>
      <c r="HK31" s="223">
        <f t="shared" si="106"/>
        <v>0</v>
      </c>
      <c r="HL31" s="289" t="e">
        <f t="shared" si="107"/>
        <v>#N/A</v>
      </c>
      <c r="HM31" s="576" t="e">
        <f>IF(GV31&gt;100,"",IF(GV31&gt;DP$1,"sangat baik dalam "&amp;HL31,IF(GV31&gt;=DP$2,"baik dalam "&amp;HL31,IF(GV31&gt;=DP$3,"cukup dalam "&amp;HL31,IF(GV31&lt;DP$3,"dengan bimbingan dapat meningkatkan dalam "&amp;HL31,IF(GV31&lt;1," ",””))))))</f>
        <v>#N/A</v>
      </c>
      <c r="HN31" s="223"/>
      <c r="HO31" s="223" t="str">
        <f t="shared" si="108"/>
        <v/>
      </c>
      <c r="HP31" s="223" t="str">
        <f t="shared" si="109"/>
        <v/>
      </c>
      <c r="HQ31" s="223" t="str">
        <f t="shared" si="110"/>
        <v/>
      </c>
      <c r="HR31" s="223" t="str">
        <f t="shared" si="111"/>
        <v/>
      </c>
      <c r="HS31" s="223" t="str">
        <f t="shared" si="112"/>
        <v/>
      </c>
      <c r="HT31" s="223" t="str">
        <f t="shared" si="113"/>
        <v/>
      </c>
      <c r="HU31" s="223" t="str">
        <f t="shared" si="114"/>
        <v/>
      </c>
      <c r="HV31" s="223"/>
      <c r="HW31" s="223"/>
      <c r="HX31" s="223"/>
      <c r="HY31" s="223"/>
      <c r="HZ31" s="223" t="e">
        <f t="shared" si="115"/>
        <v>#N/A</v>
      </c>
      <c r="IA31" s="577" t="e">
        <f>IF(GW31&gt;100,"",IF(GW31&gt;=DP$1,"sangat baik dalam "&amp;HZ31,IF(GW31&gt;=DP$2,"baik dalam "&amp;HZ31,IF(GW31&gt;=DP$3,"cukup dalam "&amp;HZ31,IF(GW31&lt;DP$3,"dengan bimbingan dapat meningkatkan dalam "&amp;HZ31,IF(GW31&lt;1," ",””))))))</f>
        <v>#N/A</v>
      </c>
      <c r="IB31" s="223" t="e">
        <f t="shared" si="116"/>
        <v>#N/A</v>
      </c>
    </row>
    <row r="32" spans="1:236" ht="30" customHeight="1">
      <c r="A32" s="39">
        <v>25</v>
      </c>
      <c r="B32" s="223">
        <f>SISWA!B30</f>
        <v>0</v>
      </c>
      <c r="C32" s="123"/>
      <c r="D32" s="123"/>
      <c r="E32" s="123"/>
      <c r="F32" s="123"/>
      <c r="G32" s="123"/>
      <c r="H32" s="123"/>
      <c r="I32" s="123"/>
      <c r="J32" s="255"/>
      <c r="K32" s="255"/>
      <c r="L32" s="255"/>
      <c r="M32" s="255"/>
      <c r="N32" s="255"/>
      <c r="O32" s="255"/>
      <c r="P32" s="255"/>
      <c r="Q32" s="256"/>
      <c r="R32" s="256"/>
      <c r="S32" s="256"/>
      <c r="T32" s="256"/>
      <c r="U32" s="256"/>
      <c r="V32" s="256"/>
      <c r="W32" s="256"/>
      <c r="X32" s="123"/>
      <c r="Y32" s="123"/>
      <c r="Z32" s="123"/>
      <c r="AA32" s="123"/>
      <c r="AB32" s="123"/>
      <c r="AC32" s="123"/>
      <c r="AD32" s="123"/>
      <c r="AE32" s="255"/>
      <c r="AF32" s="255"/>
      <c r="AG32" s="255"/>
      <c r="AH32" s="255"/>
      <c r="AI32" s="255"/>
      <c r="AJ32" s="255"/>
      <c r="AK32" s="255"/>
      <c r="AL32" s="256"/>
      <c r="AM32" s="256"/>
      <c r="AN32" s="256"/>
      <c r="AO32" s="256"/>
      <c r="AP32" s="256"/>
      <c r="AQ32" s="256"/>
      <c r="AR32" s="256"/>
      <c r="AS32" s="123"/>
      <c r="AT32" s="123"/>
      <c r="AU32" s="123"/>
      <c r="AV32" s="123"/>
      <c r="AW32" s="123"/>
      <c r="AX32" s="123"/>
      <c r="AY32" s="123"/>
      <c r="AZ32" s="255"/>
      <c r="BA32" s="255"/>
      <c r="BB32" s="255"/>
      <c r="BC32" s="255"/>
      <c r="BD32" s="255"/>
      <c r="BE32" s="255"/>
      <c r="BF32" s="255"/>
      <c r="BG32" s="256"/>
      <c r="BH32" s="256"/>
      <c r="BI32" s="256"/>
      <c r="BJ32" s="256"/>
      <c r="BK32" s="256"/>
      <c r="BL32" s="256"/>
      <c r="BM32" s="256"/>
      <c r="BN32" s="123"/>
      <c r="BO32" s="123"/>
      <c r="BP32" s="123"/>
      <c r="BQ32" s="123"/>
      <c r="BR32" s="123"/>
      <c r="BS32" s="123"/>
      <c r="BT32" s="123"/>
      <c r="BU32" s="255"/>
      <c r="BV32" s="255"/>
      <c r="BW32" s="255"/>
      <c r="BX32" s="255"/>
      <c r="BY32" s="255"/>
      <c r="BZ32" s="255"/>
      <c r="CA32" s="255"/>
      <c r="CB32" s="256"/>
      <c r="CC32" s="256"/>
      <c r="CD32" s="256"/>
      <c r="CE32" s="256"/>
      <c r="CF32" s="256"/>
      <c r="CG32" s="256"/>
      <c r="CH32" s="256"/>
      <c r="CI32" s="458"/>
      <c r="CJ32" s="458"/>
      <c r="CK32" s="458"/>
      <c r="CL32" s="458"/>
      <c r="CM32" s="458"/>
      <c r="CN32" s="458"/>
      <c r="CO32" s="458"/>
      <c r="CP32" s="457"/>
      <c r="CQ32" s="457"/>
      <c r="CR32" s="457"/>
      <c r="CS32" s="457"/>
      <c r="CT32" s="457"/>
      <c r="CU32" s="457"/>
      <c r="CV32" s="457"/>
      <c r="CW32" s="256"/>
      <c r="CX32" s="256"/>
      <c r="CY32" s="256"/>
      <c r="CZ32" s="256"/>
      <c r="DA32" s="256"/>
      <c r="DB32" s="256"/>
      <c r="DC32" s="256"/>
      <c r="DD32" s="257" t="str">
        <f t="shared" si="13"/>
        <v/>
      </c>
      <c r="DE32" s="257" t="str">
        <f t="shared" si="14"/>
        <v/>
      </c>
      <c r="DF32" s="257" t="str">
        <f t="shared" si="15"/>
        <v/>
      </c>
      <c r="DG32" s="257" t="str">
        <f t="shared" si="16"/>
        <v/>
      </c>
      <c r="DH32" s="257" t="str">
        <f t="shared" si="17"/>
        <v/>
      </c>
      <c r="DI32" s="257" t="str">
        <f t="shared" si="18"/>
        <v/>
      </c>
      <c r="DJ32" s="257" t="str">
        <f t="shared" si="19"/>
        <v/>
      </c>
      <c r="DK32" s="756" t="str">
        <f t="shared" si="19"/>
        <v/>
      </c>
      <c r="DL32" s="291" t="str">
        <f t="shared" si="20"/>
        <v xml:space="preserve">  </v>
      </c>
      <c r="DM32" s="243" t="str">
        <f t="shared" si="21"/>
        <v xml:space="preserve"> </v>
      </c>
      <c r="DN32" s="39"/>
      <c r="DO32" s="39"/>
      <c r="DP32" s="257">
        <f t="shared" si="22"/>
        <v>0</v>
      </c>
      <c r="DQ32" s="257">
        <f t="shared" si="23"/>
        <v>0</v>
      </c>
      <c r="DR32" s="257">
        <f t="shared" si="24"/>
        <v>0</v>
      </c>
      <c r="DS32" s="257">
        <f t="shared" si="25"/>
        <v>0</v>
      </c>
      <c r="DT32" s="257">
        <f t="shared" si="26"/>
        <v>0</v>
      </c>
      <c r="DU32" s="257">
        <f t="shared" si="27"/>
        <v>0</v>
      </c>
      <c r="DV32" s="257">
        <f t="shared" si="28"/>
        <v>0</v>
      </c>
      <c r="DW32" s="257"/>
      <c r="DX32" s="257"/>
      <c r="DY32" s="257"/>
      <c r="DZ32" s="289">
        <f t="shared" si="29"/>
        <v>0</v>
      </c>
      <c r="EA32" s="257">
        <f t="shared" si="30"/>
        <v>0</v>
      </c>
      <c r="EB32" s="257">
        <f t="shared" si="31"/>
        <v>0</v>
      </c>
      <c r="EC32" s="257">
        <f t="shared" si="32"/>
        <v>0</v>
      </c>
      <c r="ED32" s="257">
        <f t="shared" si="33"/>
        <v>0</v>
      </c>
      <c r="EE32" s="257">
        <f t="shared" si="34"/>
        <v>0</v>
      </c>
      <c r="EF32" s="257">
        <f t="shared" si="35"/>
        <v>0</v>
      </c>
      <c r="EG32" s="257">
        <f t="shared" si="36"/>
        <v>0</v>
      </c>
      <c r="EH32" s="223"/>
      <c r="EI32" s="223"/>
      <c r="EJ32" s="223"/>
      <c r="EK32" s="289">
        <f t="shared" si="37"/>
        <v>0</v>
      </c>
      <c r="EL32" s="257">
        <f t="shared" si="38"/>
        <v>0</v>
      </c>
      <c r="EM32" s="257">
        <f t="shared" si="39"/>
        <v>0</v>
      </c>
      <c r="EN32" s="257">
        <f t="shared" si="40"/>
        <v>0</v>
      </c>
      <c r="EO32" s="257">
        <f t="shared" si="41"/>
        <v>0</v>
      </c>
      <c r="EP32" s="257">
        <f t="shared" si="42"/>
        <v>0</v>
      </c>
      <c r="EQ32" s="257">
        <f t="shared" si="43"/>
        <v>0</v>
      </c>
      <c r="ER32" s="257">
        <f t="shared" si="44"/>
        <v>0</v>
      </c>
      <c r="ES32" s="223"/>
      <c r="ET32" s="223"/>
      <c r="EU32" s="223"/>
      <c r="EV32" s="289">
        <f t="shared" si="45"/>
        <v>0</v>
      </c>
      <c r="EW32" s="257">
        <f t="shared" si="46"/>
        <v>0</v>
      </c>
      <c r="EX32" s="257">
        <f t="shared" si="47"/>
        <v>0</v>
      </c>
      <c r="EY32" s="257">
        <f t="shared" si="48"/>
        <v>0</v>
      </c>
      <c r="EZ32" s="575">
        <f t="shared" si="49"/>
        <v>3</v>
      </c>
      <c r="FA32" s="506">
        <f t="shared" si="50"/>
        <v>0</v>
      </c>
      <c r="FB32" s="39" t="str">
        <f t="shared" si="51"/>
        <v/>
      </c>
      <c r="FC32" s="257">
        <f t="shared" si="52"/>
        <v>0</v>
      </c>
      <c r="FD32" s="257">
        <f t="shared" si="53"/>
        <v>0</v>
      </c>
      <c r="FE32" s="257">
        <f t="shared" si="54"/>
        <v>0</v>
      </c>
      <c r="FF32" s="575">
        <f t="shared" si="55"/>
        <v>3</v>
      </c>
      <c r="FG32" s="506">
        <f t="shared" si="56"/>
        <v>0</v>
      </c>
      <c r="FH32" s="39" t="str">
        <f t="shared" si="57"/>
        <v/>
      </c>
      <c r="FI32" s="257">
        <f t="shared" si="58"/>
        <v>0</v>
      </c>
      <c r="FJ32" s="257">
        <f t="shared" si="59"/>
        <v>0</v>
      </c>
      <c r="FK32" s="257">
        <f t="shared" si="60"/>
        <v>0</v>
      </c>
      <c r="FL32" s="575">
        <f t="shared" si="61"/>
        <v>3</v>
      </c>
      <c r="FM32" s="506">
        <f t="shared" si="62"/>
        <v>0</v>
      </c>
      <c r="FN32" s="39" t="str">
        <f t="shared" si="63"/>
        <v/>
      </c>
      <c r="FO32" s="257">
        <f t="shared" si="64"/>
        <v>0</v>
      </c>
      <c r="FP32" s="257">
        <f t="shared" si="65"/>
        <v>0</v>
      </c>
      <c r="FQ32" s="257">
        <f t="shared" si="66"/>
        <v>0</v>
      </c>
      <c r="FR32" s="575">
        <f t="shared" si="67"/>
        <v>3</v>
      </c>
      <c r="FS32" s="506">
        <f t="shared" si="68"/>
        <v>0</v>
      </c>
      <c r="FT32" s="39" t="str">
        <f t="shared" si="69"/>
        <v/>
      </c>
      <c r="FU32" s="257">
        <f t="shared" si="70"/>
        <v>0</v>
      </c>
      <c r="FV32" s="257">
        <f t="shared" si="71"/>
        <v>0</v>
      </c>
      <c r="FW32" s="257">
        <f t="shared" si="72"/>
        <v>0</v>
      </c>
      <c r="FX32" s="575">
        <f t="shared" si="73"/>
        <v>3</v>
      </c>
      <c r="FY32" s="506">
        <f t="shared" si="74"/>
        <v>0</v>
      </c>
      <c r="FZ32" s="39" t="str">
        <f t="shared" si="75"/>
        <v/>
      </c>
      <c r="GA32" s="257">
        <f t="shared" si="76"/>
        <v>0</v>
      </c>
      <c r="GB32" s="257">
        <f t="shared" si="77"/>
        <v>0</v>
      </c>
      <c r="GC32" s="257">
        <f t="shared" si="78"/>
        <v>0</v>
      </c>
      <c r="GD32" s="575">
        <f t="shared" si="79"/>
        <v>3</v>
      </c>
      <c r="GE32" s="506">
        <f t="shared" si="80"/>
        <v>0</v>
      </c>
      <c r="GF32" s="39" t="str">
        <f t="shared" si="81"/>
        <v/>
      </c>
      <c r="GG32" s="257">
        <f t="shared" si="82"/>
        <v>0</v>
      </c>
      <c r="GH32" s="257">
        <f t="shared" si="83"/>
        <v>0</v>
      </c>
      <c r="GI32" s="257">
        <f t="shared" si="84"/>
        <v>0</v>
      </c>
      <c r="GJ32" s="575">
        <f t="shared" si="85"/>
        <v>3</v>
      </c>
      <c r="GK32" s="506">
        <f t="shared" si="86"/>
        <v>0</v>
      </c>
      <c r="GL32" s="39" t="str">
        <f t="shared" si="87"/>
        <v/>
      </c>
      <c r="GM32" s="39"/>
      <c r="GN32" s="39" t="str">
        <f t="shared" si="88"/>
        <v/>
      </c>
      <c r="GO32" s="39" t="str">
        <f t="shared" si="89"/>
        <v/>
      </c>
      <c r="GP32" s="39" t="str">
        <f t="shared" si="90"/>
        <v/>
      </c>
      <c r="GQ32" s="39" t="str">
        <f t="shared" si="91"/>
        <v/>
      </c>
      <c r="GR32" s="39" t="str">
        <f t="shared" si="92"/>
        <v/>
      </c>
      <c r="GS32" s="39" t="str">
        <f t="shared" si="93"/>
        <v/>
      </c>
      <c r="GT32" s="257" t="str">
        <f t="shared" si="94"/>
        <v/>
      </c>
      <c r="GU32" s="579" t="str">
        <f t="shared" si="95"/>
        <v/>
      </c>
      <c r="GV32" s="289">
        <f t="shared" si="96"/>
        <v>0</v>
      </c>
      <c r="GW32" s="289">
        <f t="shared" si="97"/>
        <v>0</v>
      </c>
      <c r="GX32" s="223">
        <f>SISWA!E30</f>
        <v>0</v>
      </c>
      <c r="GY32" s="223" t="str">
        <f t="shared" si="98"/>
        <v/>
      </c>
      <c r="GZ32" s="580" t="str">
        <f t="shared" si="99"/>
        <v/>
      </c>
      <c r="HA32" s="580" t="str">
        <f t="shared" si="100"/>
        <v/>
      </c>
      <c r="HB32" s="580" t="str">
        <f t="shared" si="101"/>
        <v/>
      </c>
      <c r="HC32" s="580" t="str">
        <f t="shared" si="102"/>
        <v/>
      </c>
      <c r="HD32" s="580" t="str">
        <f t="shared" si="103"/>
        <v/>
      </c>
      <c r="HE32" s="580" t="str">
        <f t="shared" si="104"/>
        <v/>
      </c>
      <c r="HF32" s="580" t="str">
        <f t="shared" si="105"/>
        <v/>
      </c>
      <c r="HG32" s="580"/>
      <c r="HH32" s="580"/>
      <c r="HI32" s="580"/>
      <c r="HJ32" s="580"/>
      <c r="HK32" s="223">
        <f t="shared" si="106"/>
        <v>0</v>
      </c>
      <c r="HL32" s="289" t="e">
        <f t="shared" si="107"/>
        <v>#N/A</v>
      </c>
      <c r="HM32" s="576" t="e">
        <f>IF(GV32&gt;100,"",IF(GV32&gt;DP$1,"sangat baik dalam "&amp;HL32,IF(GV32&gt;=DP$2,"baik dalam "&amp;HL32,IF(GV32&gt;=DP$3,"cukup dalam "&amp;HL32,IF(GV32&lt;DP$3,"dengan bimbingan dapat meningkatkan dalam "&amp;HL32,IF(GV32&lt;1," ",””))))))</f>
        <v>#N/A</v>
      </c>
      <c r="HN32" s="223"/>
      <c r="HO32" s="223" t="str">
        <f t="shared" si="108"/>
        <v/>
      </c>
      <c r="HP32" s="223" t="str">
        <f t="shared" si="109"/>
        <v/>
      </c>
      <c r="HQ32" s="223" t="str">
        <f t="shared" si="110"/>
        <v/>
      </c>
      <c r="HR32" s="223" t="str">
        <f t="shared" si="111"/>
        <v/>
      </c>
      <c r="HS32" s="223" t="str">
        <f t="shared" si="112"/>
        <v/>
      </c>
      <c r="HT32" s="223" t="str">
        <f t="shared" si="113"/>
        <v/>
      </c>
      <c r="HU32" s="223" t="str">
        <f t="shared" si="114"/>
        <v/>
      </c>
      <c r="HV32" s="223"/>
      <c r="HW32" s="223"/>
      <c r="HX32" s="223"/>
      <c r="HY32" s="223"/>
      <c r="HZ32" s="223" t="e">
        <f t="shared" si="115"/>
        <v>#N/A</v>
      </c>
      <c r="IA32" s="577" t="e">
        <f>IF(GW32&gt;100,"",IF(GW32&gt;=DP$1,"sangat baik dalam "&amp;HZ32,IF(GW32&gt;=DP$2,"baik dalam "&amp;HZ32,IF(GW32&gt;=DP$3,"cukup dalam "&amp;HZ32,IF(GW32&lt;DP$3,"dengan bimbingan dapat meningkatkan dalam "&amp;HZ32,IF(GW32&lt;1," ",””))))))</f>
        <v>#N/A</v>
      </c>
      <c r="IB32" s="223" t="e">
        <f t="shared" si="116"/>
        <v>#N/A</v>
      </c>
    </row>
    <row r="33" spans="1:236" ht="30" customHeight="1">
      <c r="A33" s="39">
        <v>26</v>
      </c>
      <c r="B33" s="223">
        <f>SISWA!B31</f>
        <v>0</v>
      </c>
      <c r="C33" s="123"/>
      <c r="D33" s="123"/>
      <c r="E33" s="123"/>
      <c r="F33" s="123"/>
      <c r="G33" s="123"/>
      <c r="H33" s="123"/>
      <c r="I33" s="123"/>
      <c r="J33" s="255"/>
      <c r="K33" s="255"/>
      <c r="L33" s="255"/>
      <c r="M33" s="255"/>
      <c r="N33" s="255"/>
      <c r="O33" s="255"/>
      <c r="P33" s="255"/>
      <c r="Q33" s="256"/>
      <c r="R33" s="256"/>
      <c r="S33" s="256"/>
      <c r="T33" s="256"/>
      <c r="U33" s="256"/>
      <c r="V33" s="256"/>
      <c r="W33" s="256"/>
      <c r="X33" s="123"/>
      <c r="Y33" s="123"/>
      <c r="Z33" s="123"/>
      <c r="AA33" s="123"/>
      <c r="AB33" s="123"/>
      <c r="AC33" s="123"/>
      <c r="AD33" s="123"/>
      <c r="AE33" s="255"/>
      <c r="AF33" s="255"/>
      <c r="AG33" s="255"/>
      <c r="AH33" s="255"/>
      <c r="AI33" s="255"/>
      <c r="AJ33" s="255"/>
      <c r="AK33" s="255"/>
      <c r="AL33" s="256"/>
      <c r="AM33" s="256"/>
      <c r="AN33" s="256"/>
      <c r="AO33" s="256"/>
      <c r="AP33" s="256"/>
      <c r="AQ33" s="256"/>
      <c r="AR33" s="256"/>
      <c r="AS33" s="123"/>
      <c r="AT33" s="123"/>
      <c r="AU33" s="123"/>
      <c r="AV33" s="123"/>
      <c r="AW33" s="123"/>
      <c r="AX33" s="123"/>
      <c r="AY33" s="123"/>
      <c r="AZ33" s="255"/>
      <c r="BA33" s="255"/>
      <c r="BB33" s="255"/>
      <c r="BC33" s="255"/>
      <c r="BD33" s="255"/>
      <c r="BE33" s="255"/>
      <c r="BF33" s="255"/>
      <c r="BG33" s="256"/>
      <c r="BH33" s="256"/>
      <c r="BI33" s="256"/>
      <c r="BJ33" s="256"/>
      <c r="BK33" s="256"/>
      <c r="BL33" s="256"/>
      <c r="BM33" s="256"/>
      <c r="BN33" s="123"/>
      <c r="BO33" s="123"/>
      <c r="BP33" s="123"/>
      <c r="BQ33" s="123"/>
      <c r="BR33" s="123"/>
      <c r="BS33" s="123"/>
      <c r="BT33" s="123"/>
      <c r="BU33" s="255"/>
      <c r="BV33" s="255"/>
      <c r="BW33" s="255"/>
      <c r="BX33" s="255"/>
      <c r="BY33" s="255"/>
      <c r="BZ33" s="255"/>
      <c r="CA33" s="255"/>
      <c r="CB33" s="256"/>
      <c r="CC33" s="256"/>
      <c r="CD33" s="256"/>
      <c r="CE33" s="256"/>
      <c r="CF33" s="256"/>
      <c r="CG33" s="256"/>
      <c r="CH33" s="256"/>
      <c r="CI33" s="458"/>
      <c r="CJ33" s="458"/>
      <c r="CK33" s="458"/>
      <c r="CL33" s="458"/>
      <c r="CM33" s="458"/>
      <c r="CN33" s="458"/>
      <c r="CO33" s="458"/>
      <c r="CP33" s="457"/>
      <c r="CQ33" s="457"/>
      <c r="CR33" s="457"/>
      <c r="CS33" s="457"/>
      <c r="CT33" s="457"/>
      <c r="CU33" s="457"/>
      <c r="CV33" s="457"/>
      <c r="CW33" s="256"/>
      <c r="CX33" s="256"/>
      <c r="CY33" s="256"/>
      <c r="CZ33" s="256"/>
      <c r="DA33" s="256"/>
      <c r="DB33" s="256"/>
      <c r="DC33" s="256"/>
      <c r="DD33" s="257" t="str">
        <f t="shared" si="13"/>
        <v/>
      </c>
      <c r="DE33" s="257" t="str">
        <f t="shared" si="14"/>
        <v/>
      </c>
      <c r="DF33" s="257" t="str">
        <f t="shared" si="15"/>
        <v/>
      </c>
      <c r="DG33" s="257" t="str">
        <f t="shared" si="16"/>
        <v/>
      </c>
      <c r="DH33" s="257" t="str">
        <f t="shared" si="17"/>
        <v/>
      </c>
      <c r="DI33" s="257" t="str">
        <f t="shared" si="18"/>
        <v/>
      </c>
      <c r="DJ33" s="257" t="str">
        <f t="shared" si="19"/>
        <v/>
      </c>
      <c r="DK33" s="756" t="str">
        <f t="shared" si="19"/>
        <v/>
      </c>
      <c r="DL33" s="291" t="str">
        <f t="shared" si="20"/>
        <v xml:space="preserve">  </v>
      </c>
      <c r="DM33" s="243" t="str">
        <f t="shared" si="21"/>
        <v xml:space="preserve"> </v>
      </c>
      <c r="DN33" s="39"/>
      <c r="DO33" s="39"/>
      <c r="DP33" s="257">
        <f t="shared" si="22"/>
        <v>0</v>
      </c>
      <c r="DQ33" s="257">
        <f t="shared" si="23"/>
        <v>0</v>
      </c>
      <c r="DR33" s="257">
        <f t="shared" si="24"/>
        <v>0</v>
      </c>
      <c r="DS33" s="257">
        <f t="shared" si="25"/>
        <v>0</v>
      </c>
      <c r="DT33" s="257">
        <f t="shared" si="26"/>
        <v>0</v>
      </c>
      <c r="DU33" s="257">
        <f t="shared" si="27"/>
        <v>0</v>
      </c>
      <c r="DV33" s="257">
        <f t="shared" si="28"/>
        <v>0</v>
      </c>
      <c r="DW33" s="257"/>
      <c r="DX33" s="257"/>
      <c r="DY33" s="257"/>
      <c r="DZ33" s="289">
        <f t="shared" si="29"/>
        <v>0</v>
      </c>
      <c r="EA33" s="257">
        <f t="shared" si="30"/>
        <v>0</v>
      </c>
      <c r="EB33" s="257">
        <f t="shared" si="31"/>
        <v>0</v>
      </c>
      <c r="EC33" s="257">
        <f t="shared" si="32"/>
        <v>0</v>
      </c>
      <c r="ED33" s="257">
        <f t="shared" si="33"/>
        <v>0</v>
      </c>
      <c r="EE33" s="257">
        <f t="shared" si="34"/>
        <v>0</v>
      </c>
      <c r="EF33" s="257">
        <f t="shared" si="35"/>
        <v>0</v>
      </c>
      <c r="EG33" s="257">
        <f t="shared" si="36"/>
        <v>0</v>
      </c>
      <c r="EH33" s="223"/>
      <c r="EI33" s="223"/>
      <c r="EJ33" s="223"/>
      <c r="EK33" s="289">
        <f t="shared" si="37"/>
        <v>0</v>
      </c>
      <c r="EL33" s="257">
        <f t="shared" si="38"/>
        <v>0</v>
      </c>
      <c r="EM33" s="257">
        <f t="shared" si="39"/>
        <v>0</v>
      </c>
      <c r="EN33" s="257">
        <f t="shared" si="40"/>
        <v>0</v>
      </c>
      <c r="EO33" s="257">
        <f t="shared" si="41"/>
        <v>0</v>
      </c>
      <c r="EP33" s="257">
        <f t="shared" si="42"/>
        <v>0</v>
      </c>
      <c r="EQ33" s="257">
        <f t="shared" si="43"/>
        <v>0</v>
      </c>
      <c r="ER33" s="257">
        <f t="shared" si="44"/>
        <v>0</v>
      </c>
      <c r="ES33" s="223"/>
      <c r="ET33" s="223"/>
      <c r="EU33" s="223"/>
      <c r="EV33" s="289">
        <f t="shared" si="45"/>
        <v>0</v>
      </c>
      <c r="EW33" s="257">
        <f t="shared" si="46"/>
        <v>0</v>
      </c>
      <c r="EX33" s="257">
        <f t="shared" si="47"/>
        <v>0</v>
      </c>
      <c r="EY33" s="257">
        <f t="shared" si="48"/>
        <v>0</v>
      </c>
      <c r="EZ33" s="575">
        <f t="shared" si="49"/>
        <v>3</v>
      </c>
      <c r="FA33" s="506">
        <f t="shared" si="50"/>
        <v>0</v>
      </c>
      <c r="FB33" s="39" t="str">
        <f t="shared" si="51"/>
        <v/>
      </c>
      <c r="FC33" s="257">
        <f t="shared" si="52"/>
        <v>0</v>
      </c>
      <c r="FD33" s="257">
        <f t="shared" si="53"/>
        <v>0</v>
      </c>
      <c r="FE33" s="257">
        <f t="shared" si="54"/>
        <v>0</v>
      </c>
      <c r="FF33" s="575">
        <f t="shared" si="55"/>
        <v>3</v>
      </c>
      <c r="FG33" s="506">
        <f t="shared" si="56"/>
        <v>0</v>
      </c>
      <c r="FH33" s="39" t="str">
        <f t="shared" si="57"/>
        <v/>
      </c>
      <c r="FI33" s="257">
        <f t="shared" si="58"/>
        <v>0</v>
      </c>
      <c r="FJ33" s="257">
        <f t="shared" si="59"/>
        <v>0</v>
      </c>
      <c r="FK33" s="257">
        <f t="shared" si="60"/>
        <v>0</v>
      </c>
      <c r="FL33" s="575">
        <f t="shared" si="61"/>
        <v>3</v>
      </c>
      <c r="FM33" s="506">
        <f t="shared" si="62"/>
        <v>0</v>
      </c>
      <c r="FN33" s="39" t="str">
        <f t="shared" si="63"/>
        <v/>
      </c>
      <c r="FO33" s="257">
        <f t="shared" si="64"/>
        <v>0</v>
      </c>
      <c r="FP33" s="257">
        <f t="shared" si="65"/>
        <v>0</v>
      </c>
      <c r="FQ33" s="257">
        <f t="shared" si="66"/>
        <v>0</v>
      </c>
      <c r="FR33" s="575">
        <f t="shared" si="67"/>
        <v>3</v>
      </c>
      <c r="FS33" s="506">
        <f t="shared" si="68"/>
        <v>0</v>
      </c>
      <c r="FT33" s="39" t="str">
        <f t="shared" si="69"/>
        <v/>
      </c>
      <c r="FU33" s="257">
        <f t="shared" si="70"/>
        <v>0</v>
      </c>
      <c r="FV33" s="257">
        <f t="shared" si="71"/>
        <v>0</v>
      </c>
      <c r="FW33" s="257">
        <f t="shared" si="72"/>
        <v>0</v>
      </c>
      <c r="FX33" s="575">
        <f t="shared" si="73"/>
        <v>3</v>
      </c>
      <c r="FY33" s="506">
        <f t="shared" si="74"/>
        <v>0</v>
      </c>
      <c r="FZ33" s="39" t="str">
        <f t="shared" si="75"/>
        <v/>
      </c>
      <c r="GA33" s="257">
        <f t="shared" si="76"/>
        <v>0</v>
      </c>
      <c r="GB33" s="257">
        <f t="shared" si="77"/>
        <v>0</v>
      </c>
      <c r="GC33" s="257">
        <f t="shared" si="78"/>
        <v>0</v>
      </c>
      <c r="GD33" s="575">
        <f t="shared" si="79"/>
        <v>3</v>
      </c>
      <c r="GE33" s="506">
        <f t="shared" si="80"/>
        <v>0</v>
      </c>
      <c r="GF33" s="39" t="str">
        <f t="shared" si="81"/>
        <v/>
      </c>
      <c r="GG33" s="257">
        <f t="shared" si="82"/>
        <v>0</v>
      </c>
      <c r="GH33" s="257">
        <f t="shared" si="83"/>
        <v>0</v>
      </c>
      <c r="GI33" s="257">
        <f t="shared" si="84"/>
        <v>0</v>
      </c>
      <c r="GJ33" s="575">
        <f t="shared" si="85"/>
        <v>3</v>
      </c>
      <c r="GK33" s="506">
        <f t="shared" si="86"/>
        <v>0</v>
      </c>
      <c r="GL33" s="39" t="str">
        <f t="shared" si="87"/>
        <v/>
      </c>
      <c r="GM33" s="39"/>
      <c r="GN33" s="39" t="str">
        <f t="shared" si="88"/>
        <v/>
      </c>
      <c r="GO33" s="39" t="str">
        <f t="shared" si="89"/>
        <v/>
      </c>
      <c r="GP33" s="39" t="str">
        <f t="shared" si="90"/>
        <v/>
      </c>
      <c r="GQ33" s="39" t="str">
        <f t="shared" si="91"/>
        <v/>
      </c>
      <c r="GR33" s="39" t="str">
        <f t="shared" si="92"/>
        <v/>
      </c>
      <c r="GS33" s="39" t="str">
        <f t="shared" si="93"/>
        <v/>
      </c>
      <c r="GT33" s="257" t="str">
        <f t="shared" si="94"/>
        <v/>
      </c>
      <c r="GU33" s="579" t="str">
        <f t="shared" si="95"/>
        <v/>
      </c>
      <c r="GV33" s="289">
        <f t="shared" si="96"/>
        <v>0</v>
      </c>
      <c r="GW33" s="289">
        <f t="shared" si="97"/>
        <v>0</v>
      </c>
      <c r="GX33" s="223">
        <f>SISWA!E31</f>
        <v>0</v>
      </c>
      <c r="GY33" s="223" t="str">
        <f t="shared" si="98"/>
        <v/>
      </c>
      <c r="GZ33" s="580" t="str">
        <f t="shared" si="99"/>
        <v/>
      </c>
      <c r="HA33" s="580" t="str">
        <f t="shared" si="100"/>
        <v/>
      </c>
      <c r="HB33" s="580" t="str">
        <f t="shared" si="101"/>
        <v/>
      </c>
      <c r="HC33" s="580" t="str">
        <f t="shared" si="102"/>
        <v/>
      </c>
      <c r="HD33" s="580" t="str">
        <f t="shared" si="103"/>
        <v/>
      </c>
      <c r="HE33" s="580" t="str">
        <f t="shared" si="104"/>
        <v/>
      </c>
      <c r="HF33" s="580" t="str">
        <f t="shared" si="105"/>
        <v/>
      </c>
      <c r="HG33" s="580"/>
      <c r="HH33" s="580"/>
      <c r="HI33" s="580"/>
      <c r="HJ33" s="580"/>
      <c r="HK33" s="223">
        <f t="shared" si="106"/>
        <v>0</v>
      </c>
      <c r="HL33" s="289" t="e">
        <f t="shared" si="107"/>
        <v>#N/A</v>
      </c>
      <c r="HM33" s="576" t="e">
        <f>IF(GV33&gt;100,"",IF(GV33&gt;DP$1,"sangat baik dalam "&amp;HL33,IF(GV33&gt;=DP$2,"baik dalam "&amp;HL33,IF(GV33&gt;=DP$3,"cukup dalam "&amp;HL33,IF(GV33&lt;DP$3,"dengan bimbingan dapat meningkatkan dalam "&amp;HL33,IF(GV33&lt;1," ",””))))))</f>
        <v>#N/A</v>
      </c>
      <c r="HN33" s="223"/>
      <c r="HO33" s="223" t="str">
        <f t="shared" si="108"/>
        <v/>
      </c>
      <c r="HP33" s="223" t="str">
        <f t="shared" si="109"/>
        <v/>
      </c>
      <c r="HQ33" s="223" t="str">
        <f t="shared" si="110"/>
        <v/>
      </c>
      <c r="HR33" s="223" t="str">
        <f t="shared" si="111"/>
        <v/>
      </c>
      <c r="HS33" s="223" t="str">
        <f t="shared" si="112"/>
        <v/>
      </c>
      <c r="HT33" s="223" t="str">
        <f t="shared" si="113"/>
        <v/>
      </c>
      <c r="HU33" s="223" t="str">
        <f t="shared" si="114"/>
        <v/>
      </c>
      <c r="HV33" s="223"/>
      <c r="HW33" s="223"/>
      <c r="HX33" s="223"/>
      <c r="HY33" s="223"/>
      <c r="HZ33" s="223" t="e">
        <f t="shared" si="115"/>
        <v>#N/A</v>
      </c>
      <c r="IA33" s="577" t="e">
        <f>IF(GW33&gt;100,"",IF(GW33&gt;=DP$1,"sangat baik dalam "&amp;HZ33,IF(GW33&gt;=DP$2,"baik dalam "&amp;HZ33,IF(GW33&gt;=DP$3,"cukup dalam "&amp;HZ33,IF(GW33&lt;DP$3,"dengan bimbingan dapat meningkatkan dalam "&amp;HZ33,IF(GW33&lt;1," ",””))))))</f>
        <v>#N/A</v>
      </c>
      <c r="IB33" s="223" t="e">
        <f t="shared" si="116"/>
        <v>#N/A</v>
      </c>
    </row>
    <row r="34" spans="1:236" ht="30" customHeight="1">
      <c r="A34" s="39">
        <v>27</v>
      </c>
      <c r="B34" s="223">
        <f>SISWA!B32</f>
        <v>0</v>
      </c>
      <c r="C34" s="123"/>
      <c r="D34" s="123"/>
      <c r="E34" s="123"/>
      <c r="F34" s="123"/>
      <c r="G34" s="123"/>
      <c r="H34" s="123"/>
      <c r="I34" s="123"/>
      <c r="J34" s="255"/>
      <c r="K34" s="255"/>
      <c r="L34" s="255"/>
      <c r="M34" s="255"/>
      <c r="N34" s="255"/>
      <c r="O34" s="255"/>
      <c r="P34" s="255"/>
      <c r="Q34" s="256"/>
      <c r="R34" s="256"/>
      <c r="S34" s="256"/>
      <c r="T34" s="256"/>
      <c r="U34" s="256"/>
      <c r="V34" s="256"/>
      <c r="W34" s="256"/>
      <c r="X34" s="123"/>
      <c r="Y34" s="123"/>
      <c r="Z34" s="123"/>
      <c r="AA34" s="123"/>
      <c r="AB34" s="123"/>
      <c r="AC34" s="123"/>
      <c r="AD34" s="123"/>
      <c r="AE34" s="255"/>
      <c r="AF34" s="255"/>
      <c r="AG34" s="255"/>
      <c r="AH34" s="255"/>
      <c r="AI34" s="255"/>
      <c r="AJ34" s="255"/>
      <c r="AK34" s="255"/>
      <c r="AL34" s="256"/>
      <c r="AM34" s="256"/>
      <c r="AN34" s="256"/>
      <c r="AO34" s="256"/>
      <c r="AP34" s="256"/>
      <c r="AQ34" s="256"/>
      <c r="AR34" s="256"/>
      <c r="AS34" s="123"/>
      <c r="AT34" s="123"/>
      <c r="AU34" s="123"/>
      <c r="AV34" s="123"/>
      <c r="AW34" s="123"/>
      <c r="AX34" s="123"/>
      <c r="AY34" s="123"/>
      <c r="AZ34" s="255"/>
      <c r="BA34" s="255"/>
      <c r="BB34" s="255"/>
      <c r="BC34" s="255"/>
      <c r="BD34" s="255"/>
      <c r="BE34" s="255"/>
      <c r="BF34" s="255"/>
      <c r="BG34" s="256"/>
      <c r="BH34" s="256"/>
      <c r="BI34" s="256"/>
      <c r="BJ34" s="256"/>
      <c r="BK34" s="256"/>
      <c r="BL34" s="256"/>
      <c r="BM34" s="256"/>
      <c r="BN34" s="123"/>
      <c r="BO34" s="123"/>
      <c r="BP34" s="123"/>
      <c r="BQ34" s="123"/>
      <c r="BR34" s="123"/>
      <c r="BS34" s="123"/>
      <c r="BT34" s="123"/>
      <c r="BU34" s="255"/>
      <c r="BV34" s="255"/>
      <c r="BW34" s="255"/>
      <c r="BX34" s="255"/>
      <c r="BY34" s="255"/>
      <c r="BZ34" s="255"/>
      <c r="CA34" s="255"/>
      <c r="CB34" s="256"/>
      <c r="CC34" s="256"/>
      <c r="CD34" s="256"/>
      <c r="CE34" s="256"/>
      <c r="CF34" s="256"/>
      <c r="CG34" s="256"/>
      <c r="CH34" s="256"/>
      <c r="CI34" s="458"/>
      <c r="CJ34" s="458"/>
      <c r="CK34" s="458"/>
      <c r="CL34" s="458"/>
      <c r="CM34" s="458"/>
      <c r="CN34" s="458"/>
      <c r="CO34" s="458"/>
      <c r="CP34" s="457"/>
      <c r="CQ34" s="457"/>
      <c r="CR34" s="457"/>
      <c r="CS34" s="457"/>
      <c r="CT34" s="457"/>
      <c r="CU34" s="457"/>
      <c r="CV34" s="457"/>
      <c r="CW34" s="256"/>
      <c r="CX34" s="256"/>
      <c r="CY34" s="256"/>
      <c r="CZ34" s="256"/>
      <c r="DA34" s="256"/>
      <c r="DB34" s="256"/>
      <c r="DC34" s="256"/>
      <c r="DD34" s="257" t="str">
        <f t="shared" si="13"/>
        <v/>
      </c>
      <c r="DE34" s="257" t="str">
        <f t="shared" si="14"/>
        <v/>
      </c>
      <c r="DF34" s="257" t="str">
        <f t="shared" si="15"/>
        <v/>
      </c>
      <c r="DG34" s="257" t="str">
        <f t="shared" si="16"/>
        <v/>
      </c>
      <c r="DH34" s="257" t="str">
        <f t="shared" si="17"/>
        <v/>
      </c>
      <c r="DI34" s="257" t="str">
        <f t="shared" si="18"/>
        <v/>
      </c>
      <c r="DJ34" s="257" t="str">
        <f t="shared" si="19"/>
        <v/>
      </c>
      <c r="DK34" s="756" t="str">
        <f t="shared" si="19"/>
        <v/>
      </c>
      <c r="DL34" s="291" t="str">
        <f t="shared" si="20"/>
        <v xml:space="preserve">  </v>
      </c>
      <c r="DM34" s="243" t="str">
        <f t="shared" si="21"/>
        <v xml:space="preserve"> </v>
      </c>
      <c r="DN34" s="39"/>
      <c r="DO34" s="39"/>
      <c r="DP34" s="257">
        <f t="shared" si="22"/>
        <v>0</v>
      </c>
      <c r="DQ34" s="257">
        <f t="shared" si="23"/>
        <v>0</v>
      </c>
      <c r="DR34" s="257">
        <f t="shared" si="24"/>
        <v>0</v>
      </c>
      <c r="DS34" s="257">
        <f t="shared" si="25"/>
        <v>0</v>
      </c>
      <c r="DT34" s="257">
        <f t="shared" si="26"/>
        <v>0</v>
      </c>
      <c r="DU34" s="257">
        <f t="shared" si="27"/>
        <v>0</v>
      </c>
      <c r="DV34" s="257">
        <f t="shared" si="28"/>
        <v>0</v>
      </c>
      <c r="DW34" s="257"/>
      <c r="DX34" s="257"/>
      <c r="DY34" s="257"/>
      <c r="DZ34" s="289">
        <f t="shared" si="29"/>
        <v>0</v>
      </c>
      <c r="EA34" s="257">
        <f t="shared" si="30"/>
        <v>0</v>
      </c>
      <c r="EB34" s="257">
        <f t="shared" si="31"/>
        <v>0</v>
      </c>
      <c r="EC34" s="257">
        <f t="shared" si="32"/>
        <v>0</v>
      </c>
      <c r="ED34" s="257">
        <f t="shared" si="33"/>
        <v>0</v>
      </c>
      <c r="EE34" s="257">
        <f t="shared" si="34"/>
        <v>0</v>
      </c>
      <c r="EF34" s="257">
        <f t="shared" si="35"/>
        <v>0</v>
      </c>
      <c r="EG34" s="257">
        <f t="shared" si="36"/>
        <v>0</v>
      </c>
      <c r="EH34" s="223"/>
      <c r="EI34" s="223"/>
      <c r="EJ34" s="223"/>
      <c r="EK34" s="289">
        <f t="shared" si="37"/>
        <v>0</v>
      </c>
      <c r="EL34" s="257">
        <f t="shared" si="38"/>
        <v>0</v>
      </c>
      <c r="EM34" s="257">
        <f t="shared" si="39"/>
        <v>0</v>
      </c>
      <c r="EN34" s="257">
        <f t="shared" si="40"/>
        <v>0</v>
      </c>
      <c r="EO34" s="257">
        <f t="shared" si="41"/>
        <v>0</v>
      </c>
      <c r="EP34" s="257">
        <f t="shared" si="42"/>
        <v>0</v>
      </c>
      <c r="EQ34" s="257">
        <f t="shared" si="43"/>
        <v>0</v>
      </c>
      <c r="ER34" s="257">
        <f t="shared" si="44"/>
        <v>0</v>
      </c>
      <c r="ES34" s="223"/>
      <c r="ET34" s="223"/>
      <c r="EU34" s="223"/>
      <c r="EV34" s="289">
        <f t="shared" si="45"/>
        <v>0</v>
      </c>
      <c r="EW34" s="257">
        <f t="shared" si="46"/>
        <v>0</v>
      </c>
      <c r="EX34" s="257">
        <f t="shared" si="47"/>
        <v>0</v>
      </c>
      <c r="EY34" s="257">
        <f t="shared" si="48"/>
        <v>0</v>
      </c>
      <c r="EZ34" s="575">
        <f t="shared" si="49"/>
        <v>3</v>
      </c>
      <c r="FA34" s="506">
        <f t="shared" si="50"/>
        <v>0</v>
      </c>
      <c r="FB34" s="39" t="str">
        <f t="shared" si="51"/>
        <v/>
      </c>
      <c r="FC34" s="257">
        <f t="shared" si="52"/>
        <v>0</v>
      </c>
      <c r="FD34" s="257">
        <f t="shared" si="53"/>
        <v>0</v>
      </c>
      <c r="FE34" s="257">
        <f t="shared" si="54"/>
        <v>0</v>
      </c>
      <c r="FF34" s="575">
        <f t="shared" si="55"/>
        <v>3</v>
      </c>
      <c r="FG34" s="506">
        <f t="shared" si="56"/>
        <v>0</v>
      </c>
      <c r="FH34" s="39" t="str">
        <f t="shared" si="57"/>
        <v/>
      </c>
      <c r="FI34" s="257">
        <f t="shared" si="58"/>
        <v>0</v>
      </c>
      <c r="FJ34" s="257">
        <f t="shared" si="59"/>
        <v>0</v>
      </c>
      <c r="FK34" s="257">
        <f t="shared" si="60"/>
        <v>0</v>
      </c>
      <c r="FL34" s="575">
        <f t="shared" si="61"/>
        <v>3</v>
      </c>
      <c r="FM34" s="506">
        <f t="shared" si="62"/>
        <v>0</v>
      </c>
      <c r="FN34" s="39" t="str">
        <f t="shared" si="63"/>
        <v/>
      </c>
      <c r="FO34" s="257">
        <f t="shared" si="64"/>
        <v>0</v>
      </c>
      <c r="FP34" s="257">
        <f t="shared" si="65"/>
        <v>0</v>
      </c>
      <c r="FQ34" s="257">
        <f t="shared" si="66"/>
        <v>0</v>
      </c>
      <c r="FR34" s="575">
        <f t="shared" si="67"/>
        <v>3</v>
      </c>
      <c r="FS34" s="506">
        <f t="shared" si="68"/>
        <v>0</v>
      </c>
      <c r="FT34" s="39" t="str">
        <f t="shared" si="69"/>
        <v/>
      </c>
      <c r="FU34" s="257">
        <f t="shared" si="70"/>
        <v>0</v>
      </c>
      <c r="FV34" s="257">
        <f t="shared" si="71"/>
        <v>0</v>
      </c>
      <c r="FW34" s="257">
        <f t="shared" si="72"/>
        <v>0</v>
      </c>
      <c r="FX34" s="575">
        <f t="shared" si="73"/>
        <v>3</v>
      </c>
      <c r="FY34" s="506">
        <f t="shared" si="74"/>
        <v>0</v>
      </c>
      <c r="FZ34" s="39" t="str">
        <f t="shared" si="75"/>
        <v/>
      </c>
      <c r="GA34" s="257">
        <f t="shared" si="76"/>
        <v>0</v>
      </c>
      <c r="GB34" s="257">
        <f t="shared" si="77"/>
        <v>0</v>
      </c>
      <c r="GC34" s="257">
        <f t="shared" si="78"/>
        <v>0</v>
      </c>
      <c r="GD34" s="575">
        <f t="shared" si="79"/>
        <v>3</v>
      </c>
      <c r="GE34" s="506">
        <f t="shared" si="80"/>
        <v>0</v>
      </c>
      <c r="GF34" s="39" t="str">
        <f t="shared" si="81"/>
        <v/>
      </c>
      <c r="GG34" s="257">
        <f t="shared" si="82"/>
        <v>0</v>
      </c>
      <c r="GH34" s="257">
        <f t="shared" si="83"/>
        <v>0</v>
      </c>
      <c r="GI34" s="257">
        <f t="shared" si="84"/>
        <v>0</v>
      </c>
      <c r="GJ34" s="575">
        <f t="shared" si="85"/>
        <v>3</v>
      </c>
      <c r="GK34" s="506">
        <f t="shared" si="86"/>
        <v>0</v>
      </c>
      <c r="GL34" s="39" t="str">
        <f t="shared" si="87"/>
        <v/>
      </c>
      <c r="GM34" s="39"/>
      <c r="GN34" s="39" t="str">
        <f t="shared" si="88"/>
        <v/>
      </c>
      <c r="GO34" s="39" t="str">
        <f t="shared" si="89"/>
        <v/>
      </c>
      <c r="GP34" s="39" t="str">
        <f t="shared" si="90"/>
        <v/>
      </c>
      <c r="GQ34" s="39" t="str">
        <f t="shared" si="91"/>
        <v/>
      </c>
      <c r="GR34" s="39" t="str">
        <f t="shared" si="92"/>
        <v/>
      </c>
      <c r="GS34" s="39" t="str">
        <f t="shared" si="93"/>
        <v/>
      </c>
      <c r="GT34" s="257" t="str">
        <f t="shared" si="94"/>
        <v/>
      </c>
      <c r="GU34" s="579" t="str">
        <f t="shared" si="95"/>
        <v/>
      </c>
      <c r="GV34" s="289">
        <f t="shared" si="96"/>
        <v>0</v>
      </c>
      <c r="GW34" s="289">
        <f t="shared" si="97"/>
        <v>0</v>
      </c>
      <c r="GX34" s="223">
        <f>SISWA!E32</f>
        <v>0</v>
      </c>
      <c r="GY34" s="223" t="str">
        <f t="shared" si="98"/>
        <v/>
      </c>
      <c r="GZ34" s="580" t="str">
        <f t="shared" si="99"/>
        <v/>
      </c>
      <c r="HA34" s="580" t="str">
        <f t="shared" si="100"/>
        <v/>
      </c>
      <c r="HB34" s="580" t="str">
        <f t="shared" si="101"/>
        <v/>
      </c>
      <c r="HC34" s="580" t="str">
        <f t="shared" si="102"/>
        <v/>
      </c>
      <c r="HD34" s="580" t="str">
        <f t="shared" si="103"/>
        <v/>
      </c>
      <c r="HE34" s="580" t="str">
        <f t="shared" si="104"/>
        <v/>
      </c>
      <c r="HF34" s="580" t="str">
        <f t="shared" si="105"/>
        <v/>
      </c>
      <c r="HG34" s="580"/>
      <c r="HH34" s="580"/>
      <c r="HI34" s="580"/>
      <c r="HJ34" s="580"/>
      <c r="HK34" s="223">
        <f t="shared" si="106"/>
        <v>0</v>
      </c>
      <c r="HL34" s="289" t="e">
        <f t="shared" si="107"/>
        <v>#N/A</v>
      </c>
      <c r="HM34" s="576" t="e">
        <f>IF(GV34&gt;100,"",IF(GV34&gt;DP$1,"sangat baik dalam "&amp;HL34,IF(GV34&gt;=DP$2,"baik dalam "&amp;HL34,IF(GV34&gt;=DP$3,"cukup dalam "&amp;HL34,IF(GV34&lt;DP$3,"dengan bimbingan dapat meningkatkan dalam "&amp;HL34,IF(GV34&lt;1," ",””))))))</f>
        <v>#N/A</v>
      </c>
      <c r="HN34" s="223"/>
      <c r="HO34" s="223" t="str">
        <f t="shared" si="108"/>
        <v/>
      </c>
      <c r="HP34" s="223" t="str">
        <f t="shared" si="109"/>
        <v/>
      </c>
      <c r="HQ34" s="223" t="str">
        <f t="shared" si="110"/>
        <v/>
      </c>
      <c r="HR34" s="223" t="str">
        <f t="shared" si="111"/>
        <v/>
      </c>
      <c r="HS34" s="223" t="str">
        <f t="shared" si="112"/>
        <v/>
      </c>
      <c r="HT34" s="223" t="str">
        <f t="shared" si="113"/>
        <v/>
      </c>
      <c r="HU34" s="223" t="str">
        <f t="shared" si="114"/>
        <v/>
      </c>
      <c r="HV34" s="223"/>
      <c r="HW34" s="223"/>
      <c r="HX34" s="223"/>
      <c r="HY34" s="223"/>
      <c r="HZ34" s="223" t="e">
        <f t="shared" si="115"/>
        <v>#N/A</v>
      </c>
      <c r="IA34" s="577" t="e">
        <f>IF(GW34&gt;100,"",IF(GW34&gt;=DP$1,"sangat baik dalam "&amp;HZ34,IF(GW34&gt;=DP$2,"baik dalam "&amp;HZ34,IF(GW34&gt;=DP$3,"cukup dalam "&amp;HZ34,IF(GW34&lt;DP$3,"dengan bimbingan dapat meningkatkan dalam "&amp;HZ34,IF(GW34&lt;1," ",””))))))</f>
        <v>#N/A</v>
      </c>
      <c r="IB34" s="223" t="e">
        <f t="shared" si="116"/>
        <v>#N/A</v>
      </c>
    </row>
    <row r="35" spans="1:236" ht="30" customHeight="1">
      <c r="A35" s="39">
        <v>28</v>
      </c>
      <c r="B35" s="223">
        <f>SISWA!B33</f>
        <v>0</v>
      </c>
      <c r="C35" s="123"/>
      <c r="D35" s="123"/>
      <c r="E35" s="123"/>
      <c r="F35" s="123"/>
      <c r="G35" s="123"/>
      <c r="H35" s="123"/>
      <c r="I35" s="123"/>
      <c r="J35" s="255"/>
      <c r="K35" s="255"/>
      <c r="L35" s="255"/>
      <c r="M35" s="255"/>
      <c r="N35" s="255"/>
      <c r="O35" s="255"/>
      <c r="P35" s="255"/>
      <c r="Q35" s="256"/>
      <c r="R35" s="256"/>
      <c r="S35" s="256"/>
      <c r="T35" s="256"/>
      <c r="U35" s="256"/>
      <c r="V35" s="256"/>
      <c r="W35" s="256"/>
      <c r="X35" s="123"/>
      <c r="Y35" s="123"/>
      <c r="Z35" s="123"/>
      <c r="AA35" s="123"/>
      <c r="AB35" s="123"/>
      <c r="AC35" s="123"/>
      <c r="AD35" s="123"/>
      <c r="AE35" s="255"/>
      <c r="AF35" s="255"/>
      <c r="AG35" s="255"/>
      <c r="AH35" s="255"/>
      <c r="AI35" s="255"/>
      <c r="AJ35" s="255"/>
      <c r="AK35" s="255"/>
      <c r="AL35" s="256"/>
      <c r="AM35" s="256"/>
      <c r="AN35" s="256"/>
      <c r="AO35" s="256"/>
      <c r="AP35" s="256"/>
      <c r="AQ35" s="256"/>
      <c r="AR35" s="256"/>
      <c r="AS35" s="123"/>
      <c r="AT35" s="123"/>
      <c r="AU35" s="123"/>
      <c r="AV35" s="123"/>
      <c r="AW35" s="123"/>
      <c r="AX35" s="123"/>
      <c r="AY35" s="123"/>
      <c r="AZ35" s="255"/>
      <c r="BA35" s="255"/>
      <c r="BB35" s="255"/>
      <c r="BC35" s="255"/>
      <c r="BD35" s="255"/>
      <c r="BE35" s="255"/>
      <c r="BF35" s="255"/>
      <c r="BG35" s="256"/>
      <c r="BH35" s="256"/>
      <c r="BI35" s="256"/>
      <c r="BJ35" s="256"/>
      <c r="BK35" s="256"/>
      <c r="BL35" s="256"/>
      <c r="BM35" s="256"/>
      <c r="BN35" s="123"/>
      <c r="BO35" s="123"/>
      <c r="BP35" s="123"/>
      <c r="BQ35" s="123"/>
      <c r="BR35" s="123"/>
      <c r="BS35" s="123"/>
      <c r="BT35" s="123"/>
      <c r="BU35" s="255"/>
      <c r="BV35" s="255"/>
      <c r="BW35" s="255"/>
      <c r="BX35" s="255"/>
      <c r="BY35" s="255"/>
      <c r="BZ35" s="255"/>
      <c r="CA35" s="255"/>
      <c r="CB35" s="256"/>
      <c r="CC35" s="256"/>
      <c r="CD35" s="256"/>
      <c r="CE35" s="256"/>
      <c r="CF35" s="256"/>
      <c r="CG35" s="256"/>
      <c r="CH35" s="256"/>
      <c r="CI35" s="458"/>
      <c r="CJ35" s="458"/>
      <c r="CK35" s="458"/>
      <c r="CL35" s="458"/>
      <c r="CM35" s="458"/>
      <c r="CN35" s="458"/>
      <c r="CO35" s="458"/>
      <c r="CP35" s="457"/>
      <c r="CQ35" s="457"/>
      <c r="CR35" s="457"/>
      <c r="CS35" s="457"/>
      <c r="CT35" s="457"/>
      <c r="CU35" s="457"/>
      <c r="CV35" s="457"/>
      <c r="CW35" s="256"/>
      <c r="CX35" s="256"/>
      <c r="CY35" s="256"/>
      <c r="CZ35" s="256"/>
      <c r="DA35" s="256"/>
      <c r="DB35" s="256"/>
      <c r="DC35" s="256"/>
      <c r="DD35" s="257" t="str">
        <f t="shared" si="13"/>
        <v/>
      </c>
      <c r="DE35" s="257" t="str">
        <f t="shared" si="14"/>
        <v/>
      </c>
      <c r="DF35" s="257" t="str">
        <f t="shared" si="15"/>
        <v/>
      </c>
      <c r="DG35" s="257" t="str">
        <f t="shared" si="16"/>
        <v/>
      </c>
      <c r="DH35" s="257" t="str">
        <f t="shared" si="17"/>
        <v/>
      </c>
      <c r="DI35" s="257" t="str">
        <f t="shared" si="18"/>
        <v/>
      </c>
      <c r="DJ35" s="257" t="str">
        <f t="shared" si="19"/>
        <v/>
      </c>
      <c r="DK35" s="756" t="str">
        <f t="shared" si="19"/>
        <v/>
      </c>
      <c r="DL35" s="291" t="str">
        <f t="shared" si="20"/>
        <v xml:space="preserve">  </v>
      </c>
      <c r="DM35" s="243" t="str">
        <f t="shared" si="21"/>
        <v xml:space="preserve"> </v>
      </c>
      <c r="DN35" s="39"/>
      <c r="DO35" s="39"/>
      <c r="DP35" s="257">
        <f t="shared" si="22"/>
        <v>0</v>
      </c>
      <c r="DQ35" s="257">
        <f t="shared" si="23"/>
        <v>0</v>
      </c>
      <c r="DR35" s="257">
        <f t="shared" si="24"/>
        <v>0</v>
      </c>
      <c r="DS35" s="257">
        <f t="shared" si="25"/>
        <v>0</v>
      </c>
      <c r="DT35" s="257">
        <f t="shared" si="26"/>
        <v>0</v>
      </c>
      <c r="DU35" s="257">
        <f t="shared" si="27"/>
        <v>0</v>
      </c>
      <c r="DV35" s="257">
        <f t="shared" si="28"/>
        <v>0</v>
      </c>
      <c r="DW35" s="257"/>
      <c r="DX35" s="257"/>
      <c r="DY35" s="257"/>
      <c r="DZ35" s="289">
        <f t="shared" si="29"/>
        <v>0</v>
      </c>
      <c r="EA35" s="257">
        <f t="shared" si="30"/>
        <v>0</v>
      </c>
      <c r="EB35" s="257">
        <f t="shared" si="31"/>
        <v>0</v>
      </c>
      <c r="EC35" s="257">
        <f t="shared" si="32"/>
        <v>0</v>
      </c>
      <c r="ED35" s="257">
        <f t="shared" si="33"/>
        <v>0</v>
      </c>
      <c r="EE35" s="257">
        <f t="shared" si="34"/>
        <v>0</v>
      </c>
      <c r="EF35" s="257">
        <f t="shared" si="35"/>
        <v>0</v>
      </c>
      <c r="EG35" s="257">
        <f t="shared" si="36"/>
        <v>0</v>
      </c>
      <c r="EH35" s="223"/>
      <c r="EI35" s="223"/>
      <c r="EJ35" s="223"/>
      <c r="EK35" s="289">
        <f t="shared" si="37"/>
        <v>0</v>
      </c>
      <c r="EL35" s="257">
        <f t="shared" si="38"/>
        <v>0</v>
      </c>
      <c r="EM35" s="257">
        <f t="shared" si="39"/>
        <v>0</v>
      </c>
      <c r="EN35" s="257">
        <f t="shared" si="40"/>
        <v>0</v>
      </c>
      <c r="EO35" s="257">
        <f t="shared" si="41"/>
        <v>0</v>
      </c>
      <c r="EP35" s="257">
        <f t="shared" si="42"/>
        <v>0</v>
      </c>
      <c r="EQ35" s="257">
        <f t="shared" si="43"/>
        <v>0</v>
      </c>
      <c r="ER35" s="257">
        <f t="shared" si="44"/>
        <v>0</v>
      </c>
      <c r="ES35" s="223"/>
      <c r="ET35" s="223"/>
      <c r="EU35" s="223"/>
      <c r="EV35" s="289">
        <f t="shared" si="45"/>
        <v>0</v>
      </c>
      <c r="EW35" s="257">
        <f t="shared" si="46"/>
        <v>0</v>
      </c>
      <c r="EX35" s="257">
        <f t="shared" si="47"/>
        <v>0</v>
      </c>
      <c r="EY35" s="257">
        <f t="shared" si="48"/>
        <v>0</v>
      </c>
      <c r="EZ35" s="575">
        <f t="shared" si="49"/>
        <v>3</v>
      </c>
      <c r="FA35" s="506">
        <f t="shared" si="50"/>
        <v>0</v>
      </c>
      <c r="FB35" s="39" t="str">
        <f t="shared" si="51"/>
        <v/>
      </c>
      <c r="FC35" s="257">
        <f t="shared" si="52"/>
        <v>0</v>
      </c>
      <c r="FD35" s="257">
        <f t="shared" si="53"/>
        <v>0</v>
      </c>
      <c r="FE35" s="257">
        <f t="shared" si="54"/>
        <v>0</v>
      </c>
      <c r="FF35" s="575">
        <f t="shared" si="55"/>
        <v>3</v>
      </c>
      <c r="FG35" s="506">
        <f t="shared" si="56"/>
        <v>0</v>
      </c>
      <c r="FH35" s="39" t="str">
        <f t="shared" si="57"/>
        <v/>
      </c>
      <c r="FI35" s="257">
        <f t="shared" si="58"/>
        <v>0</v>
      </c>
      <c r="FJ35" s="257">
        <f t="shared" si="59"/>
        <v>0</v>
      </c>
      <c r="FK35" s="257">
        <f t="shared" si="60"/>
        <v>0</v>
      </c>
      <c r="FL35" s="575">
        <f t="shared" si="61"/>
        <v>3</v>
      </c>
      <c r="FM35" s="506">
        <f t="shared" si="62"/>
        <v>0</v>
      </c>
      <c r="FN35" s="39" t="str">
        <f t="shared" si="63"/>
        <v/>
      </c>
      <c r="FO35" s="257">
        <f t="shared" si="64"/>
        <v>0</v>
      </c>
      <c r="FP35" s="257">
        <f t="shared" si="65"/>
        <v>0</v>
      </c>
      <c r="FQ35" s="257">
        <f t="shared" si="66"/>
        <v>0</v>
      </c>
      <c r="FR35" s="575">
        <f t="shared" si="67"/>
        <v>3</v>
      </c>
      <c r="FS35" s="506">
        <f t="shared" si="68"/>
        <v>0</v>
      </c>
      <c r="FT35" s="39" t="str">
        <f t="shared" si="69"/>
        <v/>
      </c>
      <c r="FU35" s="257">
        <f t="shared" si="70"/>
        <v>0</v>
      </c>
      <c r="FV35" s="257">
        <f t="shared" si="71"/>
        <v>0</v>
      </c>
      <c r="FW35" s="257">
        <f t="shared" si="72"/>
        <v>0</v>
      </c>
      <c r="FX35" s="575">
        <f t="shared" si="73"/>
        <v>3</v>
      </c>
      <c r="FY35" s="506">
        <f t="shared" si="74"/>
        <v>0</v>
      </c>
      <c r="FZ35" s="39" t="str">
        <f t="shared" si="75"/>
        <v/>
      </c>
      <c r="GA35" s="257">
        <f t="shared" si="76"/>
        <v>0</v>
      </c>
      <c r="GB35" s="257">
        <f t="shared" si="77"/>
        <v>0</v>
      </c>
      <c r="GC35" s="257">
        <f t="shared" si="78"/>
        <v>0</v>
      </c>
      <c r="GD35" s="575">
        <f t="shared" si="79"/>
        <v>3</v>
      </c>
      <c r="GE35" s="506">
        <f t="shared" si="80"/>
        <v>0</v>
      </c>
      <c r="GF35" s="39" t="str">
        <f t="shared" si="81"/>
        <v/>
      </c>
      <c r="GG35" s="257">
        <f t="shared" si="82"/>
        <v>0</v>
      </c>
      <c r="GH35" s="257">
        <f t="shared" si="83"/>
        <v>0</v>
      </c>
      <c r="GI35" s="257">
        <f t="shared" si="84"/>
        <v>0</v>
      </c>
      <c r="GJ35" s="575">
        <f t="shared" si="85"/>
        <v>3</v>
      </c>
      <c r="GK35" s="506">
        <f t="shared" si="86"/>
        <v>0</v>
      </c>
      <c r="GL35" s="39" t="str">
        <f t="shared" si="87"/>
        <v/>
      </c>
      <c r="GM35" s="39"/>
      <c r="GN35" s="39" t="str">
        <f t="shared" si="88"/>
        <v/>
      </c>
      <c r="GO35" s="39" t="str">
        <f t="shared" si="89"/>
        <v/>
      </c>
      <c r="GP35" s="39" t="str">
        <f t="shared" si="90"/>
        <v/>
      </c>
      <c r="GQ35" s="39" t="str">
        <f t="shared" si="91"/>
        <v/>
      </c>
      <c r="GR35" s="39" t="str">
        <f t="shared" si="92"/>
        <v/>
      </c>
      <c r="GS35" s="39" t="str">
        <f t="shared" si="93"/>
        <v/>
      </c>
      <c r="GT35" s="257" t="str">
        <f t="shared" si="94"/>
        <v/>
      </c>
      <c r="GU35" s="579" t="str">
        <f t="shared" si="95"/>
        <v/>
      </c>
      <c r="GV35" s="289">
        <f t="shared" si="96"/>
        <v>0</v>
      </c>
      <c r="GW35" s="289">
        <f t="shared" si="97"/>
        <v>0</v>
      </c>
      <c r="GX35" s="223">
        <f>SISWA!E33</f>
        <v>0</v>
      </c>
      <c r="GY35" s="223" t="str">
        <f t="shared" si="98"/>
        <v/>
      </c>
      <c r="GZ35" s="580" t="str">
        <f t="shared" si="99"/>
        <v/>
      </c>
      <c r="HA35" s="580" t="str">
        <f t="shared" si="100"/>
        <v/>
      </c>
      <c r="HB35" s="580" t="str">
        <f t="shared" si="101"/>
        <v/>
      </c>
      <c r="HC35" s="580" t="str">
        <f t="shared" si="102"/>
        <v/>
      </c>
      <c r="HD35" s="580" t="str">
        <f t="shared" si="103"/>
        <v/>
      </c>
      <c r="HE35" s="580" t="str">
        <f t="shared" si="104"/>
        <v/>
      </c>
      <c r="HF35" s="580" t="str">
        <f t="shared" si="105"/>
        <v/>
      </c>
      <c r="HG35" s="580"/>
      <c r="HH35" s="580"/>
      <c r="HI35" s="580"/>
      <c r="HJ35" s="580"/>
      <c r="HK35" s="223">
        <f t="shared" si="106"/>
        <v>0</v>
      </c>
      <c r="HL35" s="289" t="e">
        <f t="shared" si="107"/>
        <v>#N/A</v>
      </c>
      <c r="HM35" s="576" t="e">
        <f>IF(GV35&gt;100,"",IF(GV35&gt;DP$1,"sangat baik dalam "&amp;HL35,IF(GV35&gt;=DP$2,"baik dalam "&amp;HL35,IF(GV35&gt;=DP$3,"cukup dalam "&amp;HL35,IF(GV35&lt;DP$3,"dengan bimbingan dapat meningkatkan dalam "&amp;HL35,IF(GV35&lt;1," ",””))))))</f>
        <v>#N/A</v>
      </c>
      <c r="HN35" s="223"/>
      <c r="HO35" s="223" t="str">
        <f t="shared" si="108"/>
        <v/>
      </c>
      <c r="HP35" s="223" t="str">
        <f t="shared" si="109"/>
        <v/>
      </c>
      <c r="HQ35" s="223" t="str">
        <f t="shared" si="110"/>
        <v/>
      </c>
      <c r="HR35" s="223" t="str">
        <f t="shared" si="111"/>
        <v/>
      </c>
      <c r="HS35" s="223" t="str">
        <f t="shared" si="112"/>
        <v/>
      </c>
      <c r="HT35" s="223" t="str">
        <f t="shared" si="113"/>
        <v/>
      </c>
      <c r="HU35" s="223" t="str">
        <f t="shared" si="114"/>
        <v/>
      </c>
      <c r="HV35" s="223"/>
      <c r="HW35" s="223"/>
      <c r="HX35" s="223"/>
      <c r="HY35" s="223"/>
      <c r="HZ35" s="223" t="e">
        <f t="shared" si="115"/>
        <v>#N/A</v>
      </c>
      <c r="IA35" s="577" t="e">
        <f>IF(GW35&gt;100,"",IF(GW35&gt;=DP$1,"sangat baik dalam "&amp;HZ35,IF(GW35&gt;=DP$2,"baik dalam "&amp;HZ35,IF(GW35&gt;=DP$3,"cukup dalam "&amp;HZ35,IF(GW35&lt;DP$3,"dengan bimbingan dapat meningkatkan dalam "&amp;HZ35,IF(GW35&lt;1," ",””))))))</f>
        <v>#N/A</v>
      </c>
      <c r="IB35" s="223" t="e">
        <f t="shared" si="116"/>
        <v>#N/A</v>
      </c>
    </row>
    <row r="36" spans="1:236" ht="30" customHeight="1">
      <c r="A36" s="39">
        <v>29</v>
      </c>
      <c r="B36" s="223">
        <f>SISWA!B34</f>
        <v>0</v>
      </c>
      <c r="C36" s="123"/>
      <c r="D36" s="123"/>
      <c r="E36" s="123"/>
      <c r="F36" s="123"/>
      <c r="G36" s="123"/>
      <c r="H36" s="123"/>
      <c r="I36" s="123"/>
      <c r="J36" s="255"/>
      <c r="K36" s="255"/>
      <c r="L36" s="255"/>
      <c r="M36" s="255"/>
      <c r="N36" s="255"/>
      <c r="O36" s="255"/>
      <c r="P36" s="255"/>
      <c r="Q36" s="256"/>
      <c r="R36" s="256"/>
      <c r="S36" s="256"/>
      <c r="T36" s="256"/>
      <c r="U36" s="256"/>
      <c r="V36" s="256"/>
      <c r="W36" s="256"/>
      <c r="X36" s="123"/>
      <c r="Y36" s="123"/>
      <c r="Z36" s="123"/>
      <c r="AA36" s="123"/>
      <c r="AB36" s="123"/>
      <c r="AC36" s="123"/>
      <c r="AD36" s="123"/>
      <c r="AE36" s="255"/>
      <c r="AF36" s="255"/>
      <c r="AG36" s="255"/>
      <c r="AH36" s="255"/>
      <c r="AI36" s="255"/>
      <c r="AJ36" s="255"/>
      <c r="AK36" s="255"/>
      <c r="AL36" s="256"/>
      <c r="AM36" s="256"/>
      <c r="AN36" s="256"/>
      <c r="AO36" s="256"/>
      <c r="AP36" s="256"/>
      <c r="AQ36" s="256"/>
      <c r="AR36" s="256"/>
      <c r="AS36" s="123"/>
      <c r="AT36" s="123"/>
      <c r="AU36" s="123"/>
      <c r="AV36" s="123"/>
      <c r="AW36" s="123"/>
      <c r="AX36" s="123"/>
      <c r="AY36" s="123"/>
      <c r="AZ36" s="255"/>
      <c r="BA36" s="255"/>
      <c r="BB36" s="255"/>
      <c r="BC36" s="255"/>
      <c r="BD36" s="255"/>
      <c r="BE36" s="255"/>
      <c r="BF36" s="255"/>
      <c r="BG36" s="256"/>
      <c r="BH36" s="256"/>
      <c r="BI36" s="256"/>
      <c r="BJ36" s="256"/>
      <c r="BK36" s="256"/>
      <c r="BL36" s="256"/>
      <c r="BM36" s="256"/>
      <c r="BN36" s="123"/>
      <c r="BO36" s="123"/>
      <c r="BP36" s="123"/>
      <c r="BQ36" s="123"/>
      <c r="BR36" s="123"/>
      <c r="BS36" s="123"/>
      <c r="BT36" s="123"/>
      <c r="BU36" s="255"/>
      <c r="BV36" s="255"/>
      <c r="BW36" s="255"/>
      <c r="BX36" s="255"/>
      <c r="BY36" s="255"/>
      <c r="BZ36" s="255"/>
      <c r="CA36" s="255"/>
      <c r="CB36" s="256"/>
      <c r="CC36" s="256"/>
      <c r="CD36" s="256"/>
      <c r="CE36" s="256"/>
      <c r="CF36" s="256"/>
      <c r="CG36" s="256"/>
      <c r="CH36" s="256"/>
      <c r="CI36" s="458"/>
      <c r="CJ36" s="458"/>
      <c r="CK36" s="458"/>
      <c r="CL36" s="458"/>
      <c r="CM36" s="458"/>
      <c r="CN36" s="458"/>
      <c r="CO36" s="458"/>
      <c r="CP36" s="457"/>
      <c r="CQ36" s="457"/>
      <c r="CR36" s="457"/>
      <c r="CS36" s="457"/>
      <c r="CT36" s="457"/>
      <c r="CU36" s="457"/>
      <c r="CV36" s="457"/>
      <c r="CW36" s="256"/>
      <c r="CX36" s="256"/>
      <c r="CY36" s="256"/>
      <c r="CZ36" s="256"/>
      <c r="DA36" s="256"/>
      <c r="DB36" s="256"/>
      <c r="DC36" s="256"/>
      <c r="DD36" s="257" t="str">
        <f t="shared" si="13"/>
        <v/>
      </c>
      <c r="DE36" s="257" t="str">
        <f t="shared" si="14"/>
        <v/>
      </c>
      <c r="DF36" s="257" t="str">
        <f t="shared" si="15"/>
        <v/>
      </c>
      <c r="DG36" s="257" t="str">
        <f t="shared" si="16"/>
        <v/>
      </c>
      <c r="DH36" s="257" t="str">
        <f t="shared" si="17"/>
        <v/>
      </c>
      <c r="DI36" s="257" t="str">
        <f t="shared" si="18"/>
        <v/>
      </c>
      <c r="DJ36" s="257" t="str">
        <f t="shared" si="19"/>
        <v/>
      </c>
      <c r="DK36" s="756" t="str">
        <f t="shared" si="19"/>
        <v/>
      </c>
      <c r="DL36" s="291" t="str">
        <f t="shared" si="20"/>
        <v xml:space="preserve">  </v>
      </c>
      <c r="DM36" s="243" t="str">
        <f t="shared" si="21"/>
        <v xml:space="preserve"> </v>
      </c>
      <c r="DN36" s="39"/>
      <c r="DO36" s="39"/>
      <c r="DP36" s="257">
        <f t="shared" si="22"/>
        <v>0</v>
      </c>
      <c r="DQ36" s="257">
        <f t="shared" si="23"/>
        <v>0</v>
      </c>
      <c r="DR36" s="257">
        <f t="shared" si="24"/>
        <v>0</v>
      </c>
      <c r="DS36" s="257">
        <f t="shared" si="25"/>
        <v>0</v>
      </c>
      <c r="DT36" s="257">
        <f t="shared" si="26"/>
        <v>0</v>
      </c>
      <c r="DU36" s="257">
        <f t="shared" si="27"/>
        <v>0</v>
      </c>
      <c r="DV36" s="257">
        <f t="shared" si="28"/>
        <v>0</v>
      </c>
      <c r="DW36" s="257"/>
      <c r="DX36" s="257"/>
      <c r="DY36" s="257"/>
      <c r="DZ36" s="289">
        <f t="shared" si="29"/>
        <v>0</v>
      </c>
      <c r="EA36" s="257">
        <f t="shared" si="30"/>
        <v>0</v>
      </c>
      <c r="EB36" s="257">
        <f t="shared" si="31"/>
        <v>0</v>
      </c>
      <c r="EC36" s="257">
        <f t="shared" si="32"/>
        <v>0</v>
      </c>
      <c r="ED36" s="257">
        <f t="shared" si="33"/>
        <v>0</v>
      </c>
      <c r="EE36" s="257">
        <f t="shared" si="34"/>
        <v>0</v>
      </c>
      <c r="EF36" s="257">
        <f t="shared" si="35"/>
        <v>0</v>
      </c>
      <c r="EG36" s="257">
        <f t="shared" si="36"/>
        <v>0</v>
      </c>
      <c r="EH36" s="223"/>
      <c r="EI36" s="223"/>
      <c r="EJ36" s="223"/>
      <c r="EK36" s="289">
        <f t="shared" si="37"/>
        <v>0</v>
      </c>
      <c r="EL36" s="257">
        <f t="shared" si="38"/>
        <v>0</v>
      </c>
      <c r="EM36" s="257">
        <f t="shared" si="39"/>
        <v>0</v>
      </c>
      <c r="EN36" s="257">
        <f t="shared" si="40"/>
        <v>0</v>
      </c>
      <c r="EO36" s="257">
        <f t="shared" si="41"/>
        <v>0</v>
      </c>
      <c r="EP36" s="257">
        <f t="shared" si="42"/>
        <v>0</v>
      </c>
      <c r="EQ36" s="257">
        <f t="shared" si="43"/>
        <v>0</v>
      </c>
      <c r="ER36" s="257">
        <f t="shared" si="44"/>
        <v>0</v>
      </c>
      <c r="ES36" s="223"/>
      <c r="ET36" s="223"/>
      <c r="EU36" s="223"/>
      <c r="EV36" s="289">
        <f t="shared" si="45"/>
        <v>0</v>
      </c>
      <c r="EW36" s="257">
        <f t="shared" si="46"/>
        <v>0</v>
      </c>
      <c r="EX36" s="257">
        <f t="shared" si="47"/>
        <v>0</v>
      </c>
      <c r="EY36" s="257">
        <f t="shared" si="48"/>
        <v>0</v>
      </c>
      <c r="EZ36" s="575">
        <f t="shared" si="49"/>
        <v>3</v>
      </c>
      <c r="FA36" s="506">
        <f t="shared" si="50"/>
        <v>0</v>
      </c>
      <c r="FB36" s="39" t="str">
        <f t="shared" si="51"/>
        <v/>
      </c>
      <c r="FC36" s="257">
        <f t="shared" si="52"/>
        <v>0</v>
      </c>
      <c r="FD36" s="257">
        <f t="shared" si="53"/>
        <v>0</v>
      </c>
      <c r="FE36" s="257">
        <f t="shared" si="54"/>
        <v>0</v>
      </c>
      <c r="FF36" s="575">
        <f t="shared" si="55"/>
        <v>3</v>
      </c>
      <c r="FG36" s="506">
        <f t="shared" si="56"/>
        <v>0</v>
      </c>
      <c r="FH36" s="39" t="str">
        <f t="shared" si="57"/>
        <v/>
      </c>
      <c r="FI36" s="257">
        <f t="shared" si="58"/>
        <v>0</v>
      </c>
      <c r="FJ36" s="257">
        <f t="shared" si="59"/>
        <v>0</v>
      </c>
      <c r="FK36" s="257">
        <f t="shared" si="60"/>
        <v>0</v>
      </c>
      <c r="FL36" s="575">
        <f t="shared" si="61"/>
        <v>3</v>
      </c>
      <c r="FM36" s="506">
        <f t="shared" si="62"/>
        <v>0</v>
      </c>
      <c r="FN36" s="39" t="str">
        <f t="shared" si="63"/>
        <v/>
      </c>
      <c r="FO36" s="257">
        <f t="shared" si="64"/>
        <v>0</v>
      </c>
      <c r="FP36" s="257">
        <f t="shared" si="65"/>
        <v>0</v>
      </c>
      <c r="FQ36" s="257">
        <f t="shared" si="66"/>
        <v>0</v>
      </c>
      <c r="FR36" s="575">
        <f t="shared" si="67"/>
        <v>3</v>
      </c>
      <c r="FS36" s="506">
        <f t="shared" si="68"/>
        <v>0</v>
      </c>
      <c r="FT36" s="39" t="str">
        <f t="shared" si="69"/>
        <v/>
      </c>
      <c r="FU36" s="257">
        <f t="shared" si="70"/>
        <v>0</v>
      </c>
      <c r="FV36" s="257">
        <f t="shared" si="71"/>
        <v>0</v>
      </c>
      <c r="FW36" s="257">
        <f t="shared" si="72"/>
        <v>0</v>
      </c>
      <c r="FX36" s="575">
        <f t="shared" si="73"/>
        <v>3</v>
      </c>
      <c r="FY36" s="506">
        <f t="shared" si="74"/>
        <v>0</v>
      </c>
      <c r="FZ36" s="39" t="str">
        <f t="shared" si="75"/>
        <v/>
      </c>
      <c r="GA36" s="257">
        <f t="shared" si="76"/>
        <v>0</v>
      </c>
      <c r="GB36" s="257">
        <f t="shared" si="77"/>
        <v>0</v>
      </c>
      <c r="GC36" s="257">
        <f t="shared" si="78"/>
        <v>0</v>
      </c>
      <c r="GD36" s="575">
        <f t="shared" si="79"/>
        <v>3</v>
      </c>
      <c r="GE36" s="506">
        <f t="shared" si="80"/>
        <v>0</v>
      </c>
      <c r="GF36" s="39" t="str">
        <f t="shared" si="81"/>
        <v/>
      </c>
      <c r="GG36" s="257">
        <f t="shared" si="82"/>
        <v>0</v>
      </c>
      <c r="GH36" s="257">
        <f t="shared" si="83"/>
        <v>0</v>
      </c>
      <c r="GI36" s="257">
        <f t="shared" si="84"/>
        <v>0</v>
      </c>
      <c r="GJ36" s="575">
        <f t="shared" si="85"/>
        <v>3</v>
      </c>
      <c r="GK36" s="506">
        <f t="shared" si="86"/>
        <v>0</v>
      </c>
      <c r="GL36" s="39" t="str">
        <f t="shared" si="87"/>
        <v/>
      </c>
      <c r="GM36" s="39"/>
      <c r="GN36" s="39" t="str">
        <f t="shared" si="88"/>
        <v/>
      </c>
      <c r="GO36" s="39" t="str">
        <f t="shared" si="89"/>
        <v/>
      </c>
      <c r="GP36" s="39" t="str">
        <f t="shared" si="90"/>
        <v/>
      </c>
      <c r="GQ36" s="39" t="str">
        <f t="shared" si="91"/>
        <v/>
      </c>
      <c r="GR36" s="39" t="str">
        <f t="shared" si="92"/>
        <v/>
      </c>
      <c r="GS36" s="39" t="str">
        <f t="shared" si="93"/>
        <v/>
      </c>
      <c r="GT36" s="257" t="str">
        <f t="shared" si="94"/>
        <v/>
      </c>
      <c r="GU36" s="579" t="str">
        <f t="shared" si="95"/>
        <v/>
      </c>
      <c r="GV36" s="289">
        <f t="shared" si="96"/>
        <v>0</v>
      </c>
      <c r="GW36" s="289">
        <f t="shared" si="97"/>
        <v>0</v>
      </c>
      <c r="GX36" s="223">
        <f>SISWA!E34</f>
        <v>0</v>
      </c>
      <c r="GY36" s="223" t="str">
        <f t="shared" si="98"/>
        <v/>
      </c>
      <c r="GZ36" s="580" t="str">
        <f t="shared" si="99"/>
        <v/>
      </c>
      <c r="HA36" s="580" t="str">
        <f t="shared" si="100"/>
        <v/>
      </c>
      <c r="HB36" s="580" t="str">
        <f t="shared" si="101"/>
        <v/>
      </c>
      <c r="HC36" s="580" t="str">
        <f t="shared" si="102"/>
        <v/>
      </c>
      <c r="HD36" s="580" t="str">
        <f t="shared" si="103"/>
        <v/>
      </c>
      <c r="HE36" s="580" t="str">
        <f t="shared" si="104"/>
        <v/>
      </c>
      <c r="HF36" s="580" t="str">
        <f t="shared" si="105"/>
        <v/>
      </c>
      <c r="HG36" s="580"/>
      <c r="HH36" s="580"/>
      <c r="HI36" s="580"/>
      <c r="HJ36" s="580"/>
      <c r="HK36" s="223">
        <f t="shared" si="106"/>
        <v>0</v>
      </c>
      <c r="HL36" s="289" t="e">
        <f t="shared" si="107"/>
        <v>#N/A</v>
      </c>
      <c r="HM36" s="576" t="e">
        <f>IF(GV36&gt;100,"",IF(GV36&gt;DP$1,"sangat baik dalam "&amp;HL36,IF(GV36&gt;=DP$2,"baik dalam "&amp;HL36,IF(GV36&gt;=DP$3,"cukup dalam "&amp;HL36,IF(GV36&lt;DP$3,"dengan bimbingan dapat meningkatkan dalam "&amp;HL36,IF(GV36&lt;1," ",””))))))</f>
        <v>#N/A</v>
      </c>
      <c r="HN36" s="223"/>
      <c r="HO36" s="223" t="str">
        <f t="shared" si="108"/>
        <v/>
      </c>
      <c r="HP36" s="223" t="str">
        <f t="shared" si="109"/>
        <v/>
      </c>
      <c r="HQ36" s="223" t="str">
        <f t="shared" si="110"/>
        <v/>
      </c>
      <c r="HR36" s="223" t="str">
        <f t="shared" si="111"/>
        <v/>
      </c>
      <c r="HS36" s="223" t="str">
        <f t="shared" si="112"/>
        <v/>
      </c>
      <c r="HT36" s="223" t="str">
        <f t="shared" si="113"/>
        <v/>
      </c>
      <c r="HU36" s="223" t="str">
        <f t="shared" si="114"/>
        <v/>
      </c>
      <c r="HV36" s="223"/>
      <c r="HW36" s="223"/>
      <c r="HX36" s="223"/>
      <c r="HY36" s="223"/>
      <c r="HZ36" s="223" t="e">
        <f t="shared" si="115"/>
        <v>#N/A</v>
      </c>
      <c r="IA36" s="577" t="e">
        <f>IF(GW36&gt;100,"",IF(GW36&gt;=DP$1,"sangat baik dalam "&amp;HZ36,IF(GW36&gt;=DP$2,"baik dalam "&amp;HZ36,IF(GW36&gt;=DP$3,"cukup dalam "&amp;HZ36,IF(GW36&lt;DP$3,"dengan bimbingan dapat meningkatkan dalam "&amp;HZ36,IF(GW36&lt;1," ",””))))))</f>
        <v>#N/A</v>
      </c>
      <c r="IB36" s="223" t="e">
        <f t="shared" si="116"/>
        <v>#N/A</v>
      </c>
    </row>
    <row r="37" spans="1:236" ht="30" customHeight="1">
      <c r="A37" s="39">
        <v>30</v>
      </c>
      <c r="B37" s="223">
        <f>SISWA!B35</f>
        <v>0</v>
      </c>
      <c r="C37" s="123"/>
      <c r="D37" s="123"/>
      <c r="E37" s="123"/>
      <c r="F37" s="123"/>
      <c r="G37" s="123"/>
      <c r="H37" s="123"/>
      <c r="I37" s="123"/>
      <c r="J37" s="255"/>
      <c r="K37" s="255"/>
      <c r="L37" s="255"/>
      <c r="M37" s="255"/>
      <c r="N37" s="255"/>
      <c r="O37" s="255"/>
      <c r="P37" s="255"/>
      <c r="Q37" s="256"/>
      <c r="R37" s="256"/>
      <c r="S37" s="256"/>
      <c r="T37" s="256"/>
      <c r="U37" s="256"/>
      <c r="V37" s="256"/>
      <c r="W37" s="256"/>
      <c r="X37" s="123"/>
      <c r="Y37" s="123"/>
      <c r="Z37" s="123"/>
      <c r="AA37" s="123"/>
      <c r="AB37" s="123"/>
      <c r="AC37" s="123"/>
      <c r="AD37" s="123"/>
      <c r="AE37" s="255"/>
      <c r="AF37" s="255"/>
      <c r="AG37" s="255"/>
      <c r="AH37" s="255"/>
      <c r="AI37" s="255"/>
      <c r="AJ37" s="255"/>
      <c r="AK37" s="255"/>
      <c r="AL37" s="256"/>
      <c r="AM37" s="256"/>
      <c r="AN37" s="256"/>
      <c r="AO37" s="256"/>
      <c r="AP37" s="256"/>
      <c r="AQ37" s="256"/>
      <c r="AR37" s="256"/>
      <c r="AS37" s="123"/>
      <c r="AT37" s="123"/>
      <c r="AU37" s="123"/>
      <c r="AV37" s="123"/>
      <c r="AW37" s="123"/>
      <c r="AX37" s="123"/>
      <c r="AY37" s="123"/>
      <c r="AZ37" s="255"/>
      <c r="BA37" s="255"/>
      <c r="BB37" s="255"/>
      <c r="BC37" s="255"/>
      <c r="BD37" s="255"/>
      <c r="BE37" s="255"/>
      <c r="BF37" s="255"/>
      <c r="BG37" s="256"/>
      <c r="BH37" s="256"/>
      <c r="BI37" s="256"/>
      <c r="BJ37" s="256"/>
      <c r="BK37" s="256"/>
      <c r="BL37" s="256"/>
      <c r="BM37" s="256"/>
      <c r="BN37" s="123"/>
      <c r="BO37" s="123"/>
      <c r="BP37" s="123"/>
      <c r="BQ37" s="123"/>
      <c r="BR37" s="123"/>
      <c r="BS37" s="123"/>
      <c r="BT37" s="123"/>
      <c r="BU37" s="255"/>
      <c r="BV37" s="255"/>
      <c r="BW37" s="255"/>
      <c r="BX37" s="255"/>
      <c r="BY37" s="255"/>
      <c r="BZ37" s="255"/>
      <c r="CA37" s="255"/>
      <c r="CB37" s="256"/>
      <c r="CC37" s="256"/>
      <c r="CD37" s="256"/>
      <c r="CE37" s="256"/>
      <c r="CF37" s="256"/>
      <c r="CG37" s="256"/>
      <c r="CH37" s="256"/>
      <c r="CI37" s="458"/>
      <c r="CJ37" s="458"/>
      <c r="CK37" s="458"/>
      <c r="CL37" s="458"/>
      <c r="CM37" s="458"/>
      <c r="CN37" s="458"/>
      <c r="CO37" s="458"/>
      <c r="CP37" s="457"/>
      <c r="CQ37" s="457"/>
      <c r="CR37" s="457"/>
      <c r="CS37" s="457"/>
      <c r="CT37" s="457"/>
      <c r="CU37" s="457"/>
      <c r="CV37" s="457"/>
      <c r="CW37" s="256"/>
      <c r="CX37" s="256"/>
      <c r="CY37" s="256"/>
      <c r="CZ37" s="256"/>
      <c r="DA37" s="256"/>
      <c r="DB37" s="256"/>
      <c r="DC37" s="256"/>
      <c r="DD37" s="257" t="str">
        <f t="shared" si="13"/>
        <v/>
      </c>
      <c r="DE37" s="257" t="str">
        <f t="shared" si="14"/>
        <v/>
      </c>
      <c r="DF37" s="257" t="str">
        <f t="shared" si="15"/>
        <v/>
      </c>
      <c r="DG37" s="257" t="str">
        <f t="shared" si="16"/>
        <v/>
      </c>
      <c r="DH37" s="257" t="str">
        <f t="shared" si="17"/>
        <v/>
      </c>
      <c r="DI37" s="257" t="str">
        <f t="shared" si="18"/>
        <v/>
      </c>
      <c r="DJ37" s="257" t="str">
        <f t="shared" si="19"/>
        <v/>
      </c>
      <c r="DK37" s="756" t="str">
        <f t="shared" si="19"/>
        <v/>
      </c>
      <c r="DL37" s="291" t="str">
        <f t="shared" si="20"/>
        <v xml:space="preserve">  </v>
      </c>
      <c r="DM37" s="243" t="str">
        <f t="shared" si="21"/>
        <v xml:space="preserve"> </v>
      </c>
      <c r="DN37" s="39"/>
      <c r="DO37" s="39"/>
      <c r="DP37" s="257">
        <f t="shared" si="22"/>
        <v>0</v>
      </c>
      <c r="DQ37" s="257">
        <f t="shared" si="23"/>
        <v>0</v>
      </c>
      <c r="DR37" s="257">
        <f t="shared" si="24"/>
        <v>0</v>
      </c>
      <c r="DS37" s="257">
        <f t="shared" si="25"/>
        <v>0</v>
      </c>
      <c r="DT37" s="257">
        <f t="shared" si="26"/>
        <v>0</v>
      </c>
      <c r="DU37" s="257">
        <f t="shared" si="27"/>
        <v>0</v>
      </c>
      <c r="DV37" s="257">
        <f t="shared" si="28"/>
        <v>0</v>
      </c>
      <c r="DW37" s="257"/>
      <c r="DX37" s="257"/>
      <c r="DY37" s="257"/>
      <c r="DZ37" s="289">
        <f t="shared" si="29"/>
        <v>0</v>
      </c>
      <c r="EA37" s="257">
        <f t="shared" si="30"/>
        <v>0</v>
      </c>
      <c r="EB37" s="257">
        <f t="shared" si="31"/>
        <v>0</v>
      </c>
      <c r="EC37" s="257">
        <f t="shared" si="32"/>
        <v>0</v>
      </c>
      <c r="ED37" s="257">
        <f t="shared" si="33"/>
        <v>0</v>
      </c>
      <c r="EE37" s="257">
        <f t="shared" si="34"/>
        <v>0</v>
      </c>
      <c r="EF37" s="257">
        <f t="shared" si="35"/>
        <v>0</v>
      </c>
      <c r="EG37" s="257">
        <f t="shared" si="36"/>
        <v>0</v>
      </c>
      <c r="EH37" s="223"/>
      <c r="EI37" s="223"/>
      <c r="EJ37" s="223"/>
      <c r="EK37" s="289">
        <f t="shared" si="37"/>
        <v>0</v>
      </c>
      <c r="EL37" s="257">
        <f t="shared" si="38"/>
        <v>0</v>
      </c>
      <c r="EM37" s="257">
        <f t="shared" si="39"/>
        <v>0</v>
      </c>
      <c r="EN37" s="257">
        <f t="shared" si="40"/>
        <v>0</v>
      </c>
      <c r="EO37" s="257">
        <f t="shared" si="41"/>
        <v>0</v>
      </c>
      <c r="EP37" s="257">
        <f t="shared" si="42"/>
        <v>0</v>
      </c>
      <c r="EQ37" s="257">
        <f t="shared" si="43"/>
        <v>0</v>
      </c>
      <c r="ER37" s="257">
        <f t="shared" si="44"/>
        <v>0</v>
      </c>
      <c r="ES37" s="223"/>
      <c r="ET37" s="223"/>
      <c r="EU37" s="223"/>
      <c r="EV37" s="289">
        <f t="shared" si="45"/>
        <v>0</v>
      </c>
      <c r="EW37" s="257">
        <f t="shared" si="46"/>
        <v>0</v>
      </c>
      <c r="EX37" s="257">
        <f t="shared" si="47"/>
        <v>0</v>
      </c>
      <c r="EY37" s="257">
        <f t="shared" si="48"/>
        <v>0</v>
      </c>
      <c r="EZ37" s="575">
        <f t="shared" si="49"/>
        <v>3</v>
      </c>
      <c r="FA37" s="506">
        <f t="shared" si="50"/>
        <v>0</v>
      </c>
      <c r="FB37" s="39" t="str">
        <f t="shared" si="51"/>
        <v/>
      </c>
      <c r="FC37" s="257">
        <f t="shared" si="52"/>
        <v>0</v>
      </c>
      <c r="FD37" s="257">
        <f t="shared" si="53"/>
        <v>0</v>
      </c>
      <c r="FE37" s="257">
        <f t="shared" si="54"/>
        <v>0</v>
      </c>
      <c r="FF37" s="575">
        <f t="shared" si="55"/>
        <v>3</v>
      </c>
      <c r="FG37" s="506">
        <f t="shared" si="56"/>
        <v>0</v>
      </c>
      <c r="FH37" s="39" t="str">
        <f t="shared" si="57"/>
        <v/>
      </c>
      <c r="FI37" s="257">
        <f t="shared" si="58"/>
        <v>0</v>
      </c>
      <c r="FJ37" s="257">
        <f t="shared" si="59"/>
        <v>0</v>
      </c>
      <c r="FK37" s="257">
        <f t="shared" si="60"/>
        <v>0</v>
      </c>
      <c r="FL37" s="575">
        <f t="shared" si="61"/>
        <v>3</v>
      </c>
      <c r="FM37" s="506">
        <f t="shared" si="62"/>
        <v>0</v>
      </c>
      <c r="FN37" s="39" t="str">
        <f t="shared" si="63"/>
        <v/>
      </c>
      <c r="FO37" s="257">
        <f t="shared" si="64"/>
        <v>0</v>
      </c>
      <c r="FP37" s="257">
        <f t="shared" si="65"/>
        <v>0</v>
      </c>
      <c r="FQ37" s="257">
        <f t="shared" si="66"/>
        <v>0</v>
      </c>
      <c r="FR37" s="575">
        <f t="shared" si="67"/>
        <v>3</v>
      </c>
      <c r="FS37" s="506">
        <f t="shared" si="68"/>
        <v>0</v>
      </c>
      <c r="FT37" s="39" t="str">
        <f t="shared" si="69"/>
        <v/>
      </c>
      <c r="FU37" s="257">
        <f t="shared" si="70"/>
        <v>0</v>
      </c>
      <c r="FV37" s="257">
        <f t="shared" si="71"/>
        <v>0</v>
      </c>
      <c r="FW37" s="257">
        <f t="shared" si="72"/>
        <v>0</v>
      </c>
      <c r="FX37" s="575">
        <f t="shared" si="73"/>
        <v>3</v>
      </c>
      <c r="FY37" s="506">
        <f t="shared" si="74"/>
        <v>0</v>
      </c>
      <c r="FZ37" s="39" t="str">
        <f t="shared" si="75"/>
        <v/>
      </c>
      <c r="GA37" s="257">
        <f t="shared" si="76"/>
        <v>0</v>
      </c>
      <c r="GB37" s="257">
        <f t="shared" si="77"/>
        <v>0</v>
      </c>
      <c r="GC37" s="257">
        <f t="shared" si="78"/>
        <v>0</v>
      </c>
      <c r="GD37" s="575">
        <f t="shared" si="79"/>
        <v>3</v>
      </c>
      <c r="GE37" s="506">
        <f t="shared" si="80"/>
        <v>0</v>
      </c>
      <c r="GF37" s="39" t="str">
        <f t="shared" si="81"/>
        <v/>
      </c>
      <c r="GG37" s="257">
        <f t="shared" si="82"/>
        <v>0</v>
      </c>
      <c r="GH37" s="257">
        <f t="shared" si="83"/>
        <v>0</v>
      </c>
      <c r="GI37" s="257">
        <f t="shared" si="84"/>
        <v>0</v>
      </c>
      <c r="GJ37" s="575">
        <f t="shared" si="85"/>
        <v>3</v>
      </c>
      <c r="GK37" s="506">
        <f t="shared" si="86"/>
        <v>0</v>
      </c>
      <c r="GL37" s="39" t="str">
        <f t="shared" si="87"/>
        <v/>
      </c>
      <c r="GM37" s="39"/>
      <c r="GN37" s="39" t="str">
        <f t="shared" si="88"/>
        <v/>
      </c>
      <c r="GO37" s="39" t="str">
        <f t="shared" si="89"/>
        <v/>
      </c>
      <c r="GP37" s="39" t="str">
        <f t="shared" si="90"/>
        <v/>
      </c>
      <c r="GQ37" s="39" t="str">
        <f t="shared" si="91"/>
        <v/>
      </c>
      <c r="GR37" s="39" t="str">
        <f t="shared" si="92"/>
        <v/>
      </c>
      <c r="GS37" s="39" t="str">
        <f t="shared" si="93"/>
        <v/>
      </c>
      <c r="GT37" s="257" t="str">
        <f t="shared" si="94"/>
        <v/>
      </c>
      <c r="GU37" s="579" t="str">
        <f t="shared" si="95"/>
        <v/>
      </c>
      <c r="GV37" s="289">
        <f t="shared" si="96"/>
        <v>0</v>
      </c>
      <c r="GW37" s="289">
        <f t="shared" si="97"/>
        <v>0</v>
      </c>
      <c r="GX37" s="223">
        <f>SISWA!E35</f>
        <v>0</v>
      </c>
      <c r="GY37" s="223" t="str">
        <f t="shared" si="98"/>
        <v/>
      </c>
      <c r="GZ37" s="580" t="str">
        <f t="shared" si="99"/>
        <v/>
      </c>
      <c r="HA37" s="580" t="str">
        <f t="shared" si="100"/>
        <v/>
      </c>
      <c r="HB37" s="580" t="str">
        <f t="shared" si="101"/>
        <v/>
      </c>
      <c r="HC37" s="580" t="str">
        <f t="shared" si="102"/>
        <v/>
      </c>
      <c r="HD37" s="580" t="str">
        <f t="shared" si="103"/>
        <v/>
      </c>
      <c r="HE37" s="580" t="str">
        <f t="shared" si="104"/>
        <v/>
      </c>
      <c r="HF37" s="580" t="str">
        <f t="shared" si="105"/>
        <v/>
      </c>
      <c r="HG37" s="580"/>
      <c r="HH37" s="580"/>
      <c r="HI37" s="580"/>
      <c r="HJ37" s="580"/>
      <c r="HK37" s="223">
        <f t="shared" si="106"/>
        <v>0</v>
      </c>
      <c r="HL37" s="289" t="e">
        <f t="shared" si="107"/>
        <v>#N/A</v>
      </c>
      <c r="HM37" s="576" t="e">
        <f>IF(GV37&gt;100,"",IF(GV37&gt;DP$1,"sangat baik dalam "&amp;HL37,IF(GV37&gt;=DP$2,"baik dalam "&amp;HL37,IF(GV37&gt;=DP$3,"cukup dalam "&amp;HL37,IF(GV37&lt;DP$3,"dengan bimbingan dapat meningkatkan dalam "&amp;HL37,IF(GV37&lt;1," ",””))))))</f>
        <v>#N/A</v>
      </c>
      <c r="HN37" s="223"/>
      <c r="HO37" s="223" t="str">
        <f t="shared" si="108"/>
        <v/>
      </c>
      <c r="HP37" s="223" t="str">
        <f t="shared" si="109"/>
        <v/>
      </c>
      <c r="HQ37" s="223" t="str">
        <f t="shared" si="110"/>
        <v/>
      </c>
      <c r="HR37" s="223" t="str">
        <f t="shared" si="111"/>
        <v/>
      </c>
      <c r="HS37" s="223" t="str">
        <f t="shared" si="112"/>
        <v/>
      </c>
      <c r="HT37" s="223" t="str">
        <f t="shared" si="113"/>
        <v/>
      </c>
      <c r="HU37" s="223" t="str">
        <f t="shared" si="114"/>
        <v/>
      </c>
      <c r="HV37" s="223"/>
      <c r="HW37" s="223"/>
      <c r="HX37" s="223"/>
      <c r="HY37" s="223"/>
      <c r="HZ37" s="223" t="e">
        <f t="shared" si="115"/>
        <v>#N/A</v>
      </c>
      <c r="IA37" s="577" t="e">
        <f>IF(GW37&gt;100,"",IF(GW37&gt;=DP$1,"sangat baik dalam "&amp;HZ37,IF(GW37&gt;=DP$2,"baik dalam "&amp;HZ37,IF(GW37&gt;=DP$3,"cukup dalam "&amp;HZ37,IF(GW37&lt;DP$3,"dengan bimbingan dapat meningkatkan dalam "&amp;HZ37,IF(GW37&lt;1," ",””))))))</f>
        <v>#N/A</v>
      </c>
      <c r="IB37" s="223" t="e">
        <f t="shared" si="116"/>
        <v>#N/A</v>
      </c>
    </row>
    <row r="38" spans="1:236">
      <c r="A38" s="39">
        <v>31</v>
      </c>
      <c r="B38" s="223">
        <f>SISWA!B36</f>
        <v>0</v>
      </c>
      <c r="C38" s="123"/>
      <c r="D38" s="123"/>
      <c r="E38" s="123"/>
      <c r="F38" s="123"/>
      <c r="G38" s="123"/>
      <c r="H38" s="123"/>
      <c r="I38" s="123"/>
      <c r="J38" s="255"/>
      <c r="K38" s="255"/>
      <c r="L38" s="255"/>
      <c r="M38" s="255"/>
      <c r="N38" s="255"/>
      <c r="O38" s="255"/>
      <c r="P38" s="255"/>
      <c r="Q38" s="256"/>
      <c r="R38" s="256"/>
      <c r="S38" s="256"/>
      <c r="T38" s="256"/>
      <c r="U38" s="256"/>
      <c r="V38" s="256"/>
      <c r="W38" s="256"/>
      <c r="X38" s="123"/>
      <c r="Y38" s="123"/>
      <c r="Z38" s="123"/>
      <c r="AA38" s="123"/>
      <c r="AB38" s="123"/>
      <c r="AC38" s="123"/>
      <c r="AD38" s="123"/>
      <c r="AE38" s="255"/>
      <c r="AF38" s="255"/>
      <c r="AG38" s="255"/>
      <c r="AH38" s="255"/>
      <c r="AI38" s="255"/>
      <c r="AJ38" s="255"/>
      <c r="AK38" s="255"/>
      <c r="AL38" s="256"/>
      <c r="AM38" s="256"/>
      <c r="AN38" s="256"/>
      <c r="AO38" s="256"/>
      <c r="AP38" s="256"/>
      <c r="AQ38" s="256"/>
      <c r="AR38" s="256"/>
      <c r="AS38" s="123"/>
      <c r="AT38" s="123"/>
      <c r="AU38" s="123"/>
      <c r="AV38" s="123"/>
      <c r="AW38" s="123"/>
      <c r="AX38" s="123"/>
      <c r="AY38" s="123"/>
      <c r="AZ38" s="255"/>
      <c r="BA38" s="255"/>
      <c r="BB38" s="255"/>
      <c r="BC38" s="255"/>
      <c r="BD38" s="255"/>
      <c r="BE38" s="255"/>
      <c r="BF38" s="255"/>
      <c r="BG38" s="256"/>
      <c r="BH38" s="256"/>
      <c r="BI38" s="256"/>
      <c r="BJ38" s="256"/>
      <c r="BK38" s="256"/>
      <c r="BL38" s="256"/>
      <c r="BM38" s="256"/>
      <c r="BN38" s="123"/>
      <c r="BO38" s="123"/>
      <c r="BP38" s="123"/>
      <c r="BQ38" s="123"/>
      <c r="BR38" s="123"/>
      <c r="BS38" s="123"/>
      <c r="BT38" s="123"/>
      <c r="BU38" s="255"/>
      <c r="BV38" s="255"/>
      <c r="BW38" s="255"/>
      <c r="BX38" s="255"/>
      <c r="BY38" s="255"/>
      <c r="BZ38" s="255"/>
      <c r="CA38" s="255"/>
      <c r="CB38" s="256"/>
      <c r="CC38" s="256"/>
      <c r="CD38" s="256"/>
      <c r="CE38" s="256"/>
      <c r="CF38" s="256"/>
      <c r="CG38" s="256"/>
      <c r="CH38" s="256"/>
      <c r="CI38" s="458"/>
      <c r="CJ38" s="458"/>
      <c r="CK38" s="458"/>
      <c r="CL38" s="458"/>
      <c r="CM38" s="458"/>
      <c r="CN38" s="458"/>
      <c r="CO38" s="458"/>
      <c r="CP38" s="457"/>
      <c r="CQ38" s="457"/>
      <c r="CR38" s="457"/>
      <c r="CS38" s="457"/>
      <c r="CT38" s="457"/>
      <c r="CU38" s="457"/>
      <c r="CV38" s="457"/>
      <c r="CW38" s="256"/>
      <c r="CX38" s="256"/>
      <c r="CY38" s="256"/>
      <c r="CZ38" s="256"/>
      <c r="DA38" s="256"/>
      <c r="DB38" s="256"/>
      <c r="DC38" s="256"/>
      <c r="DD38" s="257" t="str">
        <f t="shared" si="13"/>
        <v/>
      </c>
      <c r="DE38" s="257" t="str">
        <f t="shared" si="14"/>
        <v/>
      </c>
      <c r="DF38" s="257" t="str">
        <f t="shared" si="15"/>
        <v/>
      </c>
      <c r="DG38" s="257" t="str">
        <f t="shared" si="16"/>
        <v/>
      </c>
      <c r="DH38" s="257" t="str">
        <f t="shared" si="17"/>
        <v/>
      </c>
      <c r="DI38" s="257" t="str">
        <f t="shared" si="18"/>
        <v/>
      </c>
      <c r="DJ38" s="257" t="str">
        <f t="shared" si="19"/>
        <v/>
      </c>
      <c r="DK38" s="756" t="str">
        <f t="shared" si="19"/>
        <v/>
      </c>
      <c r="DL38" s="291" t="str">
        <f t="shared" si="20"/>
        <v xml:space="preserve">  </v>
      </c>
      <c r="DM38" s="243" t="str">
        <f t="shared" si="21"/>
        <v xml:space="preserve"> </v>
      </c>
      <c r="DN38" s="39"/>
      <c r="DO38" s="39"/>
      <c r="DP38" s="257">
        <f t="shared" si="22"/>
        <v>0</v>
      </c>
      <c r="DQ38" s="257">
        <f t="shared" si="23"/>
        <v>0</v>
      </c>
      <c r="DR38" s="257">
        <f t="shared" si="24"/>
        <v>0</v>
      </c>
      <c r="DS38" s="257">
        <f t="shared" si="25"/>
        <v>0</v>
      </c>
      <c r="DT38" s="257">
        <f t="shared" si="26"/>
        <v>0</v>
      </c>
      <c r="DU38" s="257">
        <f t="shared" si="27"/>
        <v>0</v>
      </c>
      <c r="DV38" s="257">
        <f t="shared" si="28"/>
        <v>0</v>
      </c>
      <c r="DW38" s="257"/>
      <c r="DX38" s="257"/>
      <c r="DY38" s="257"/>
      <c r="DZ38" s="289">
        <f t="shared" si="29"/>
        <v>0</v>
      </c>
      <c r="EA38" s="257">
        <f t="shared" si="30"/>
        <v>0</v>
      </c>
      <c r="EB38" s="257">
        <f t="shared" si="31"/>
        <v>0</v>
      </c>
      <c r="EC38" s="257">
        <f t="shared" si="32"/>
        <v>0</v>
      </c>
      <c r="ED38" s="257">
        <f t="shared" si="33"/>
        <v>0</v>
      </c>
      <c r="EE38" s="257">
        <f t="shared" si="34"/>
        <v>0</v>
      </c>
      <c r="EF38" s="257">
        <f t="shared" si="35"/>
        <v>0</v>
      </c>
      <c r="EG38" s="257">
        <f t="shared" si="36"/>
        <v>0</v>
      </c>
      <c r="EH38" s="223"/>
      <c r="EI38" s="223"/>
      <c r="EJ38" s="223"/>
      <c r="EK38" s="289">
        <f t="shared" si="37"/>
        <v>0</v>
      </c>
      <c r="EL38" s="257">
        <f t="shared" si="38"/>
        <v>0</v>
      </c>
      <c r="EM38" s="257">
        <f t="shared" si="39"/>
        <v>0</v>
      </c>
      <c r="EN38" s="257">
        <f t="shared" si="40"/>
        <v>0</v>
      </c>
      <c r="EO38" s="257">
        <f t="shared" si="41"/>
        <v>0</v>
      </c>
      <c r="EP38" s="257">
        <f t="shared" si="42"/>
        <v>0</v>
      </c>
      <c r="EQ38" s="257">
        <f t="shared" si="43"/>
        <v>0</v>
      </c>
      <c r="ER38" s="257">
        <f t="shared" si="44"/>
        <v>0</v>
      </c>
      <c r="ES38" s="223"/>
      <c r="ET38" s="223"/>
      <c r="EU38" s="223"/>
      <c r="EV38" s="289">
        <f t="shared" si="45"/>
        <v>0</v>
      </c>
      <c r="EW38" s="257">
        <f t="shared" si="46"/>
        <v>0</v>
      </c>
      <c r="EX38" s="257">
        <f t="shared" si="47"/>
        <v>0</v>
      </c>
      <c r="EY38" s="257">
        <f t="shared" si="48"/>
        <v>0</v>
      </c>
      <c r="EZ38" s="575">
        <f t="shared" si="49"/>
        <v>3</v>
      </c>
      <c r="FA38" s="506">
        <f t="shared" si="50"/>
        <v>0</v>
      </c>
      <c r="FB38" s="39" t="str">
        <f t="shared" si="51"/>
        <v/>
      </c>
      <c r="FC38" s="257">
        <f t="shared" si="52"/>
        <v>0</v>
      </c>
      <c r="FD38" s="257">
        <f t="shared" si="53"/>
        <v>0</v>
      </c>
      <c r="FE38" s="257">
        <f t="shared" si="54"/>
        <v>0</v>
      </c>
      <c r="FF38" s="575">
        <f t="shared" si="55"/>
        <v>3</v>
      </c>
      <c r="FG38" s="506">
        <f t="shared" si="56"/>
        <v>0</v>
      </c>
      <c r="FH38" s="39" t="str">
        <f t="shared" si="57"/>
        <v/>
      </c>
      <c r="FI38" s="257">
        <f t="shared" si="58"/>
        <v>0</v>
      </c>
      <c r="FJ38" s="257">
        <f t="shared" si="59"/>
        <v>0</v>
      </c>
      <c r="FK38" s="257">
        <f t="shared" si="60"/>
        <v>0</v>
      </c>
      <c r="FL38" s="575">
        <f t="shared" si="61"/>
        <v>3</v>
      </c>
      <c r="FM38" s="506">
        <f t="shared" si="62"/>
        <v>0</v>
      </c>
      <c r="FN38" s="39" t="str">
        <f t="shared" si="63"/>
        <v/>
      </c>
      <c r="FO38" s="257">
        <f t="shared" si="64"/>
        <v>0</v>
      </c>
      <c r="FP38" s="257">
        <f t="shared" si="65"/>
        <v>0</v>
      </c>
      <c r="FQ38" s="257">
        <f t="shared" si="66"/>
        <v>0</v>
      </c>
      <c r="FR38" s="575">
        <f t="shared" si="67"/>
        <v>3</v>
      </c>
      <c r="FS38" s="506">
        <f t="shared" si="68"/>
        <v>0</v>
      </c>
      <c r="FT38" s="39" t="str">
        <f t="shared" si="69"/>
        <v/>
      </c>
      <c r="FU38" s="257">
        <f t="shared" si="70"/>
        <v>0</v>
      </c>
      <c r="FV38" s="257">
        <f t="shared" si="71"/>
        <v>0</v>
      </c>
      <c r="FW38" s="257">
        <f t="shared" si="72"/>
        <v>0</v>
      </c>
      <c r="FX38" s="575">
        <f t="shared" si="73"/>
        <v>3</v>
      </c>
      <c r="FY38" s="506">
        <f t="shared" si="74"/>
        <v>0</v>
      </c>
      <c r="FZ38" s="39" t="str">
        <f t="shared" si="75"/>
        <v/>
      </c>
      <c r="GA38" s="257">
        <f t="shared" si="76"/>
        <v>0</v>
      </c>
      <c r="GB38" s="257">
        <f t="shared" si="77"/>
        <v>0</v>
      </c>
      <c r="GC38" s="257">
        <f t="shared" si="78"/>
        <v>0</v>
      </c>
      <c r="GD38" s="575">
        <f t="shared" si="79"/>
        <v>3</v>
      </c>
      <c r="GE38" s="506">
        <f t="shared" si="80"/>
        <v>0</v>
      </c>
      <c r="GF38" s="39" t="str">
        <f t="shared" si="81"/>
        <v/>
      </c>
      <c r="GG38" s="257">
        <f t="shared" si="82"/>
        <v>0</v>
      </c>
      <c r="GH38" s="257">
        <f t="shared" si="83"/>
        <v>0</v>
      </c>
      <c r="GI38" s="257">
        <f t="shared" si="84"/>
        <v>0</v>
      </c>
      <c r="GJ38" s="575">
        <f t="shared" si="85"/>
        <v>3</v>
      </c>
      <c r="GK38" s="506">
        <f t="shared" si="86"/>
        <v>0</v>
      </c>
      <c r="GL38" s="39" t="str">
        <f t="shared" si="87"/>
        <v/>
      </c>
      <c r="GM38" s="39"/>
      <c r="GN38" s="39" t="str">
        <f t="shared" si="88"/>
        <v/>
      </c>
      <c r="GO38" s="39" t="str">
        <f t="shared" si="89"/>
        <v/>
      </c>
      <c r="GP38" s="39" t="str">
        <f t="shared" si="90"/>
        <v/>
      </c>
      <c r="GQ38" s="39" t="str">
        <f t="shared" si="91"/>
        <v/>
      </c>
      <c r="GR38" s="39" t="str">
        <f t="shared" si="92"/>
        <v/>
      </c>
      <c r="GS38" s="39" t="str">
        <f t="shared" si="93"/>
        <v/>
      </c>
      <c r="GT38" s="257" t="str">
        <f t="shared" si="94"/>
        <v/>
      </c>
      <c r="GU38" s="579" t="str">
        <f t="shared" si="95"/>
        <v/>
      </c>
      <c r="GV38" s="289">
        <f t="shared" si="96"/>
        <v>0</v>
      </c>
      <c r="GW38" s="289">
        <f t="shared" si="97"/>
        <v>0</v>
      </c>
      <c r="GX38" s="223">
        <f>SISWA!E36</f>
        <v>0</v>
      </c>
      <c r="GY38" s="223" t="str">
        <f t="shared" si="98"/>
        <v/>
      </c>
      <c r="GZ38" s="580" t="str">
        <f t="shared" si="99"/>
        <v/>
      </c>
      <c r="HA38" s="580" t="str">
        <f t="shared" si="100"/>
        <v/>
      </c>
      <c r="HB38" s="580" t="str">
        <f t="shared" si="101"/>
        <v/>
      </c>
      <c r="HC38" s="580" t="str">
        <f t="shared" si="102"/>
        <v/>
      </c>
      <c r="HD38" s="580" t="str">
        <f t="shared" si="103"/>
        <v/>
      </c>
      <c r="HE38" s="580" t="str">
        <f t="shared" si="104"/>
        <v/>
      </c>
      <c r="HF38" s="580" t="str">
        <f t="shared" si="105"/>
        <v/>
      </c>
      <c r="HG38" s="580"/>
      <c r="HH38" s="580"/>
      <c r="HI38" s="580"/>
      <c r="HJ38" s="580"/>
      <c r="HK38" s="223">
        <f t="shared" si="106"/>
        <v>0</v>
      </c>
      <c r="HL38" s="289" t="e">
        <f t="shared" si="107"/>
        <v>#N/A</v>
      </c>
      <c r="HM38" s="576" t="e">
        <f>IF(GV38&gt;100,"",IF(GV38&gt;DP$1,"sangat baik dalam "&amp;HL38,IF(GV38&gt;=DP$2,"baik dalam "&amp;HL38,IF(GV38&gt;=DP$3,"cukup dalam "&amp;HL38,IF(GV38&lt;DP$3,"dengan bimbingan dapat meningkatkan dalam "&amp;HL38,IF(GV38&lt;1," ",””))))))</f>
        <v>#N/A</v>
      </c>
      <c r="HN38" s="223"/>
      <c r="HO38" s="223" t="str">
        <f t="shared" si="108"/>
        <v/>
      </c>
      <c r="HP38" s="223" t="str">
        <f t="shared" si="109"/>
        <v/>
      </c>
      <c r="HQ38" s="223" t="str">
        <f t="shared" si="110"/>
        <v/>
      </c>
      <c r="HR38" s="223" t="str">
        <f t="shared" si="111"/>
        <v/>
      </c>
      <c r="HS38" s="223" t="str">
        <f t="shared" si="112"/>
        <v/>
      </c>
      <c r="HT38" s="223" t="str">
        <f t="shared" si="113"/>
        <v/>
      </c>
      <c r="HU38" s="223" t="str">
        <f t="shared" si="114"/>
        <v/>
      </c>
      <c r="HV38" s="223"/>
      <c r="HW38" s="223"/>
      <c r="HX38" s="223"/>
      <c r="HY38" s="223"/>
      <c r="HZ38" s="223" t="e">
        <f t="shared" si="115"/>
        <v>#N/A</v>
      </c>
      <c r="IA38" s="577" t="e">
        <f>IF(GW38&gt;100,"",IF(GW38&gt;=DP$1,"sangat baik dalam "&amp;HZ38,IF(GW38&gt;=DP$2,"baik dalam "&amp;HZ38,IF(GW38&gt;=DP$3,"cukup dalam "&amp;HZ38,IF(GW38&lt;DP$3,"dengan bimbingan dapat meningkatkan dalam "&amp;HZ38,IF(GW38&lt;1," ",””))))))</f>
        <v>#N/A</v>
      </c>
      <c r="IB38" s="223" t="e">
        <f t="shared" si="116"/>
        <v>#N/A</v>
      </c>
    </row>
    <row r="39" spans="1:236">
      <c r="A39" s="39">
        <v>32</v>
      </c>
      <c r="B39" s="223">
        <f>SISWA!B37</f>
        <v>0</v>
      </c>
      <c r="C39" s="123"/>
      <c r="D39" s="123"/>
      <c r="E39" s="123"/>
      <c r="F39" s="123"/>
      <c r="G39" s="123"/>
      <c r="H39" s="123"/>
      <c r="I39" s="123"/>
      <c r="J39" s="255"/>
      <c r="K39" s="255"/>
      <c r="L39" s="255"/>
      <c r="M39" s="255"/>
      <c r="N39" s="255"/>
      <c r="O39" s="255"/>
      <c r="P39" s="255"/>
      <c r="Q39" s="256"/>
      <c r="R39" s="256"/>
      <c r="S39" s="256"/>
      <c r="T39" s="256"/>
      <c r="U39" s="256"/>
      <c r="V39" s="256"/>
      <c r="W39" s="256"/>
      <c r="X39" s="123"/>
      <c r="Y39" s="123"/>
      <c r="Z39" s="123"/>
      <c r="AA39" s="123"/>
      <c r="AB39" s="123"/>
      <c r="AC39" s="123"/>
      <c r="AD39" s="123"/>
      <c r="AE39" s="255"/>
      <c r="AF39" s="255"/>
      <c r="AG39" s="255"/>
      <c r="AH39" s="255"/>
      <c r="AI39" s="255"/>
      <c r="AJ39" s="255"/>
      <c r="AK39" s="255"/>
      <c r="AL39" s="256"/>
      <c r="AM39" s="256"/>
      <c r="AN39" s="256"/>
      <c r="AO39" s="256"/>
      <c r="AP39" s="256"/>
      <c r="AQ39" s="256"/>
      <c r="AR39" s="256"/>
      <c r="AS39" s="123"/>
      <c r="AT39" s="123"/>
      <c r="AU39" s="123"/>
      <c r="AV39" s="123"/>
      <c r="AW39" s="123"/>
      <c r="AX39" s="123"/>
      <c r="AY39" s="123"/>
      <c r="AZ39" s="255"/>
      <c r="BA39" s="255"/>
      <c r="BB39" s="255"/>
      <c r="BC39" s="255"/>
      <c r="BD39" s="255"/>
      <c r="BE39" s="255"/>
      <c r="BF39" s="255"/>
      <c r="BG39" s="256"/>
      <c r="BH39" s="256"/>
      <c r="BI39" s="256"/>
      <c r="BJ39" s="256"/>
      <c r="BK39" s="256"/>
      <c r="BL39" s="256"/>
      <c r="BM39" s="256"/>
      <c r="BN39" s="123"/>
      <c r="BO39" s="123"/>
      <c r="BP39" s="123"/>
      <c r="BQ39" s="123"/>
      <c r="BR39" s="123"/>
      <c r="BS39" s="123"/>
      <c r="BT39" s="123"/>
      <c r="BU39" s="255"/>
      <c r="BV39" s="255"/>
      <c r="BW39" s="255"/>
      <c r="BX39" s="255"/>
      <c r="BY39" s="255"/>
      <c r="BZ39" s="255"/>
      <c r="CA39" s="255"/>
      <c r="CB39" s="256"/>
      <c r="CC39" s="256"/>
      <c r="CD39" s="256"/>
      <c r="CE39" s="256"/>
      <c r="CF39" s="256"/>
      <c r="CG39" s="256"/>
      <c r="CH39" s="256"/>
      <c r="CI39" s="458"/>
      <c r="CJ39" s="458"/>
      <c r="CK39" s="458"/>
      <c r="CL39" s="458"/>
      <c r="CM39" s="458"/>
      <c r="CN39" s="458"/>
      <c r="CO39" s="458"/>
      <c r="CP39" s="457"/>
      <c r="CQ39" s="457"/>
      <c r="CR39" s="457"/>
      <c r="CS39" s="457"/>
      <c r="CT39" s="457"/>
      <c r="CU39" s="457"/>
      <c r="CV39" s="457"/>
      <c r="CW39" s="256"/>
      <c r="CX39" s="256"/>
      <c r="CY39" s="256"/>
      <c r="CZ39" s="256"/>
      <c r="DA39" s="256"/>
      <c r="DB39" s="256"/>
      <c r="DC39" s="256"/>
      <c r="DD39" s="257" t="str">
        <f t="shared" si="13"/>
        <v/>
      </c>
      <c r="DE39" s="257" t="str">
        <f t="shared" si="14"/>
        <v/>
      </c>
      <c r="DF39" s="257" t="str">
        <f t="shared" si="15"/>
        <v/>
      </c>
      <c r="DG39" s="257" t="str">
        <f t="shared" si="16"/>
        <v/>
      </c>
      <c r="DH39" s="257" t="str">
        <f t="shared" si="17"/>
        <v/>
      </c>
      <c r="DI39" s="257" t="str">
        <f t="shared" si="18"/>
        <v/>
      </c>
      <c r="DJ39" s="257" t="str">
        <f t="shared" si="19"/>
        <v/>
      </c>
      <c r="DK39" s="756" t="str">
        <f t="shared" si="19"/>
        <v/>
      </c>
      <c r="DL39" s="291" t="str">
        <f t="shared" si="20"/>
        <v xml:space="preserve">  </v>
      </c>
      <c r="DM39" s="243" t="str">
        <f t="shared" si="21"/>
        <v xml:space="preserve"> </v>
      </c>
      <c r="DN39" s="39"/>
      <c r="DO39" s="39"/>
      <c r="DP39" s="257">
        <f t="shared" si="22"/>
        <v>0</v>
      </c>
      <c r="DQ39" s="257">
        <f t="shared" si="23"/>
        <v>0</v>
      </c>
      <c r="DR39" s="257">
        <f t="shared" si="24"/>
        <v>0</v>
      </c>
      <c r="DS39" s="257">
        <f t="shared" si="25"/>
        <v>0</v>
      </c>
      <c r="DT39" s="257">
        <f t="shared" si="26"/>
        <v>0</v>
      </c>
      <c r="DU39" s="257">
        <f t="shared" si="27"/>
        <v>0</v>
      </c>
      <c r="DV39" s="257">
        <f t="shared" si="28"/>
        <v>0</v>
      </c>
      <c r="DW39" s="257"/>
      <c r="DX39" s="257"/>
      <c r="DY39" s="257"/>
      <c r="DZ39" s="289">
        <f t="shared" si="29"/>
        <v>0</v>
      </c>
      <c r="EA39" s="257">
        <f t="shared" si="30"/>
        <v>0</v>
      </c>
      <c r="EB39" s="257">
        <f t="shared" si="31"/>
        <v>0</v>
      </c>
      <c r="EC39" s="257">
        <f t="shared" si="32"/>
        <v>0</v>
      </c>
      <c r="ED39" s="257">
        <f t="shared" si="33"/>
        <v>0</v>
      </c>
      <c r="EE39" s="257">
        <f t="shared" si="34"/>
        <v>0</v>
      </c>
      <c r="EF39" s="257">
        <f t="shared" si="35"/>
        <v>0</v>
      </c>
      <c r="EG39" s="257">
        <f t="shared" si="36"/>
        <v>0</v>
      </c>
      <c r="EH39" s="223"/>
      <c r="EI39" s="223"/>
      <c r="EJ39" s="223"/>
      <c r="EK39" s="289">
        <f t="shared" si="37"/>
        <v>0</v>
      </c>
      <c r="EL39" s="257">
        <f t="shared" si="38"/>
        <v>0</v>
      </c>
      <c r="EM39" s="257">
        <f t="shared" si="39"/>
        <v>0</v>
      </c>
      <c r="EN39" s="257">
        <f t="shared" si="40"/>
        <v>0</v>
      </c>
      <c r="EO39" s="257">
        <f t="shared" si="41"/>
        <v>0</v>
      </c>
      <c r="EP39" s="257">
        <f t="shared" si="42"/>
        <v>0</v>
      </c>
      <c r="EQ39" s="257">
        <f t="shared" si="43"/>
        <v>0</v>
      </c>
      <c r="ER39" s="257">
        <f t="shared" si="44"/>
        <v>0</v>
      </c>
      <c r="ES39" s="223"/>
      <c r="ET39" s="223"/>
      <c r="EU39" s="223"/>
      <c r="EV39" s="289">
        <f t="shared" si="45"/>
        <v>0</v>
      </c>
      <c r="EW39" s="257">
        <f t="shared" si="46"/>
        <v>0</v>
      </c>
      <c r="EX39" s="257">
        <f t="shared" si="47"/>
        <v>0</v>
      </c>
      <c r="EY39" s="257">
        <f t="shared" si="48"/>
        <v>0</v>
      </c>
      <c r="EZ39" s="575">
        <f t="shared" si="49"/>
        <v>3</v>
      </c>
      <c r="FA39" s="506">
        <f t="shared" si="50"/>
        <v>0</v>
      </c>
      <c r="FB39" s="39" t="str">
        <f t="shared" si="51"/>
        <v/>
      </c>
      <c r="FC39" s="257">
        <f t="shared" si="52"/>
        <v>0</v>
      </c>
      <c r="FD39" s="257">
        <f t="shared" si="53"/>
        <v>0</v>
      </c>
      <c r="FE39" s="257">
        <f t="shared" si="54"/>
        <v>0</v>
      </c>
      <c r="FF39" s="575">
        <f t="shared" si="55"/>
        <v>3</v>
      </c>
      <c r="FG39" s="506">
        <f t="shared" si="56"/>
        <v>0</v>
      </c>
      <c r="FH39" s="39" t="str">
        <f t="shared" si="57"/>
        <v/>
      </c>
      <c r="FI39" s="257">
        <f t="shared" si="58"/>
        <v>0</v>
      </c>
      <c r="FJ39" s="257">
        <f t="shared" si="59"/>
        <v>0</v>
      </c>
      <c r="FK39" s="257">
        <f t="shared" si="60"/>
        <v>0</v>
      </c>
      <c r="FL39" s="575">
        <f t="shared" si="61"/>
        <v>3</v>
      </c>
      <c r="FM39" s="506">
        <f t="shared" si="62"/>
        <v>0</v>
      </c>
      <c r="FN39" s="39" t="str">
        <f t="shared" si="63"/>
        <v/>
      </c>
      <c r="FO39" s="257">
        <f t="shared" si="64"/>
        <v>0</v>
      </c>
      <c r="FP39" s="257">
        <f t="shared" si="65"/>
        <v>0</v>
      </c>
      <c r="FQ39" s="257">
        <f t="shared" si="66"/>
        <v>0</v>
      </c>
      <c r="FR39" s="575">
        <f t="shared" si="67"/>
        <v>3</v>
      </c>
      <c r="FS39" s="506">
        <f t="shared" si="68"/>
        <v>0</v>
      </c>
      <c r="FT39" s="39" t="str">
        <f t="shared" si="69"/>
        <v/>
      </c>
      <c r="FU39" s="257">
        <f t="shared" si="70"/>
        <v>0</v>
      </c>
      <c r="FV39" s="257">
        <f t="shared" si="71"/>
        <v>0</v>
      </c>
      <c r="FW39" s="257">
        <f t="shared" si="72"/>
        <v>0</v>
      </c>
      <c r="FX39" s="575">
        <f t="shared" si="73"/>
        <v>3</v>
      </c>
      <c r="FY39" s="506">
        <f t="shared" si="74"/>
        <v>0</v>
      </c>
      <c r="FZ39" s="39" t="str">
        <f t="shared" si="75"/>
        <v/>
      </c>
      <c r="GA39" s="257">
        <f t="shared" si="76"/>
        <v>0</v>
      </c>
      <c r="GB39" s="257">
        <f t="shared" si="77"/>
        <v>0</v>
      </c>
      <c r="GC39" s="257">
        <f t="shared" si="78"/>
        <v>0</v>
      </c>
      <c r="GD39" s="575">
        <f t="shared" si="79"/>
        <v>3</v>
      </c>
      <c r="GE39" s="506">
        <f t="shared" si="80"/>
        <v>0</v>
      </c>
      <c r="GF39" s="39" t="str">
        <f t="shared" si="81"/>
        <v/>
      </c>
      <c r="GG39" s="257">
        <f t="shared" si="82"/>
        <v>0</v>
      </c>
      <c r="GH39" s="257">
        <f t="shared" si="83"/>
        <v>0</v>
      </c>
      <c r="GI39" s="257">
        <f t="shared" si="84"/>
        <v>0</v>
      </c>
      <c r="GJ39" s="575">
        <f t="shared" si="85"/>
        <v>3</v>
      </c>
      <c r="GK39" s="506">
        <f t="shared" si="86"/>
        <v>0</v>
      </c>
      <c r="GL39" s="39" t="str">
        <f t="shared" si="87"/>
        <v/>
      </c>
      <c r="GM39" s="39"/>
      <c r="GN39" s="39" t="str">
        <f t="shared" si="88"/>
        <v/>
      </c>
      <c r="GO39" s="39" t="str">
        <f t="shared" si="89"/>
        <v/>
      </c>
      <c r="GP39" s="39" t="str">
        <f t="shared" si="90"/>
        <v/>
      </c>
      <c r="GQ39" s="39" t="str">
        <f t="shared" si="91"/>
        <v/>
      </c>
      <c r="GR39" s="39" t="str">
        <f t="shared" si="92"/>
        <v/>
      </c>
      <c r="GS39" s="39" t="str">
        <f t="shared" si="93"/>
        <v/>
      </c>
      <c r="GT39" s="257" t="str">
        <f t="shared" si="94"/>
        <v/>
      </c>
      <c r="GU39" s="579" t="str">
        <f t="shared" si="95"/>
        <v/>
      </c>
      <c r="GV39" s="289">
        <f t="shared" si="96"/>
        <v>0</v>
      </c>
      <c r="GW39" s="289">
        <f t="shared" si="97"/>
        <v>0</v>
      </c>
      <c r="GX39" s="223">
        <f>SISWA!E37</f>
        <v>0</v>
      </c>
      <c r="GY39" s="223" t="str">
        <f t="shared" si="98"/>
        <v/>
      </c>
      <c r="GZ39" s="580" t="str">
        <f t="shared" si="99"/>
        <v/>
      </c>
      <c r="HA39" s="580" t="str">
        <f t="shared" si="100"/>
        <v/>
      </c>
      <c r="HB39" s="580" t="str">
        <f t="shared" si="101"/>
        <v/>
      </c>
      <c r="HC39" s="580" t="str">
        <f t="shared" si="102"/>
        <v/>
      </c>
      <c r="HD39" s="580" t="str">
        <f t="shared" si="103"/>
        <v/>
      </c>
      <c r="HE39" s="580" t="str">
        <f t="shared" si="104"/>
        <v/>
      </c>
      <c r="HF39" s="580" t="str">
        <f t="shared" si="105"/>
        <v/>
      </c>
      <c r="HG39" s="580"/>
      <c r="HH39" s="580"/>
      <c r="HI39" s="580"/>
      <c r="HJ39" s="580"/>
      <c r="HK39" s="223">
        <f t="shared" si="106"/>
        <v>0</v>
      </c>
      <c r="HL39" s="289" t="e">
        <f t="shared" si="107"/>
        <v>#N/A</v>
      </c>
      <c r="HM39" s="576" t="e">
        <f>IF(GV39&gt;100,"",IF(GV39&gt;DP$1,"sangat baik dalam "&amp;HL39,IF(GV39&gt;=DP$2,"baik dalam "&amp;HL39,IF(GV39&gt;=DP$3,"cukup dalam "&amp;HL39,IF(GV39&lt;DP$3,"dengan bimbingan dapat meningkatkan dalam "&amp;HL39,IF(GV39&lt;1," ",””))))))</f>
        <v>#N/A</v>
      </c>
      <c r="HN39" s="223"/>
      <c r="HO39" s="223" t="str">
        <f t="shared" si="108"/>
        <v/>
      </c>
      <c r="HP39" s="223" t="str">
        <f t="shared" si="109"/>
        <v/>
      </c>
      <c r="HQ39" s="223" t="str">
        <f t="shared" si="110"/>
        <v/>
      </c>
      <c r="HR39" s="223" t="str">
        <f t="shared" si="111"/>
        <v/>
      </c>
      <c r="HS39" s="223" t="str">
        <f t="shared" si="112"/>
        <v/>
      </c>
      <c r="HT39" s="223" t="str">
        <f t="shared" si="113"/>
        <v/>
      </c>
      <c r="HU39" s="223" t="str">
        <f t="shared" si="114"/>
        <v/>
      </c>
      <c r="HV39" s="223"/>
      <c r="HW39" s="223"/>
      <c r="HX39" s="223"/>
      <c r="HY39" s="223"/>
      <c r="HZ39" s="223" t="e">
        <f t="shared" si="115"/>
        <v>#N/A</v>
      </c>
      <c r="IA39" s="577" t="e">
        <f>IF(GW39&gt;100,"",IF(GW39&gt;=DP$1,"sangat baik dalam "&amp;HZ39,IF(GW39&gt;=DP$2,"baik dalam "&amp;HZ39,IF(GW39&gt;=DP$3,"cukup dalam "&amp;HZ39,IF(GW39&lt;DP$3,"dengan bimbingan dapat meningkatkan dalam "&amp;HZ39,IF(GW39&lt;1," ",””))))))</f>
        <v>#N/A</v>
      </c>
      <c r="IB39" s="223" t="e">
        <f t="shared" si="116"/>
        <v>#N/A</v>
      </c>
    </row>
    <row r="40" spans="1:236">
      <c r="A40" s="39">
        <v>33</v>
      </c>
      <c r="B40" s="223">
        <f>SISWA!B38</f>
        <v>0</v>
      </c>
      <c r="C40" s="123"/>
      <c r="D40" s="123"/>
      <c r="E40" s="123"/>
      <c r="F40" s="123"/>
      <c r="G40" s="123"/>
      <c r="H40" s="123"/>
      <c r="I40" s="123"/>
      <c r="J40" s="255"/>
      <c r="K40" s="255"/>
      <c r="L40" s="255"/>
      <c r="M40" s="255"/>
      <c r="N40" s="255"/>
      <c r="O40" s="255"/>
      <c r="P40" s="255"/>
      <c r="Q40" s="256"/>
      <c r="R40" s="256"/>
      <c r="S40" s="256"/>
      <c r="T40" s="256"/>
      <c r="U40" s="256"/>
      <c r="V40" s="256"/>
      <c r="W40" s="256"/>
      <c r="X40" s="123"/>
      <c r="Y40" s="123"/>
      <c r="Z40" s="123"/>
      <c r="AA40" s="123"/>
      <c r="AB40" s="123"/>
      <c r="AC40" s="123"/>
      <c r="AD40" s="123"/>
      <c r="AE40" s="255"/>
      <c r="AF40" s="255"/>
      <c r="AG40" s="255"/>
      <c r="AH40" s="255"/>
      <c r="AI40" s="255"/>
      <c r="AJ40" s="255"/>
      <c r="AK40" s="255"/>
      <c r="AL40" s="256"/>
      <c r="AM40" s="256"/>
      <c r="AN40" s="256"/>
      <c r="AO40" s="256"/>
      <c r="AP40" s="256"/>
      <c r="AQ40" s="256"/>
      <c r="AR40" s="256"/>
      <c r="AS40" s="123"/>
      <c r="AT40" s="123"/>
      <c r="AU40" s="123"/>
      <c r="AV40" s="123"/>
      <c r="AW40" s="123"/>
      <c r="AX40" s="123"/>
      <c r="AY40" s="123"/>
      <c r="AZ40" s="255"/>
      <c r="BA40" s="255"/>
      <c r="BB40" s="255"/>
      <c r="BC40" s="255"/>
      <c r="BD40" s="255"/>
      <c r="BE40" s="255"/>
      <c r="BF40" s="255"/>
      <c r="BG40" s="256"/>
      <c r="BH40" s="256"/>
      <c r="BI40" s="256"/>
      <c r="BJ40" s="256"/>
      <c r="BK40" s="256"/>
      <c r="BL40" s="256"/>
      <c r="BM40" s="256"/>
      <c r="BN40" s="123"/>
      <c r="BO40" s="123"/>
      <c r="BP40" s="123"/>
      <c r="BQ40" s="123"/>
      <c r="BR40" s="123"/>
      <c r="BS40" s="123"/>
      <c r="BT40" s="123"/>
      <c r="BU40" s="255"/>
      <c r="BV40" s="255"/>
      <c r="BW40" s="255"/>
      <c r="BX40" s="255"/>
      <c r="BY40" s="255"/>
      <c r="BZ40" s="255"/>
      <c r="CA40" s="255"/>
      <c r="CB40" s="256"/>
      <c r="CC40" s="256"/>
      <c r="CD40" s="256"/>
      <c r="CE40" s="256"/>
      <c r="CF40" s="256"/>
      <c r="CG40" s="256"/>
      <c r="CH40" s="256"/>
      <c r="CI40" s="458"/>
      <c r="CJ40" s="458"/>
      <c r="CK40" s="458"/>
      <c r="CL40" s="458"/>
      <c r="CM40" s="458"/>
      <c r="CN40" s="458"/>
      <c r="CO40" s="458"/>
      <c r="CP40" s="457"/>
      <c r="CQ40" s="457"/>
      <c r="CR40" s="457"/>
      <c r="CS40" s="457"/>
      <c r="CT40" s="457"/>
      <c r="CU40" s="457"/>
      <c r="CV40" s="457"/>
      <c r="CW40" s="256"/>
      <c r="CX40" s="256"/>
      <c r="CY40" s="256"/>
      <c r="CZ40" s="256"/>
      <c r="DA40" s="256"/>
      <c r="DB40" s="256"/>
      <c r="DC40" s="256"/>
      <c r="DD40" s="257" t="str">
        <f t="shared" si="13"/>
        <v/>
      </c>
      <c r="DE40" s="257" t="str">
        <f t="shared" si="14"/>
        <v/>
      </c>
      <c r="DF40" s="257" t="str">
        <f t="shared" si="15"/>
        <v/>
      </c>
      <c r="DG40" s="257" t="str">
        <f t="shared" si="16"/>
        <v/>
      </c>
      <c r="DH40" s="257" t="str">
        <f t="shared" si="17"/>
        <v/>
      </c>
      <c r="DI40" s="257" t="str">
        <f t="shared" si="18"/>
        <v/>
      </c>
      <c r="DJ40" s="257" t="str">
        <f t="shared" si="19"/>
        <v/>
      </c>
      <c r="DK40" s="756" t="str">
        <f t="shared" si="19"/>
        <v/>
      </c>
      <c r="DL40" s="291" t="str">
        <f t="shared" si="20"/>
        <v xml:space="preserve">  </v>
      </c>
      <c r="DM40" s="243" t="str">
        <f t="shared" si="21"/>
        <v xml:space="preserve"> </v>
      </c>
      <c r="DN40" s="39"/>
      <c r="DO40" s="39"/>
      <c r="DP40" s="257">
        <f t="shared" si="22"/>
        <v>0</v>
      </c>
      <c r="DQ40" s="257">
        <f t="shared" si="23"/>
        <v>0</v>
      </c>
      <c r="DR40" s="257">
        <f t="shared" si="24"/>
        <v>0</v>
      </c>
      <c r="DS40" s="257">
        <f t="shared" si="25"/>
        <v>0</v>
      </c>
      <c r="DT40" s="257">
        <f t="shared" si="26"/>
        <v>0</v>
      </c>
      <c r="DU40" s="257">
        <f t="shared" si="27"/>
        <v>0</v>
      </c>
      <c r="DV40" s="257">
        <f t="shared" si="28"/>
        <v>0</v>
      </c>
      <c r="DW40" s="257"/>
      <c r="DX40" s="257"/>
      <c r="DY40" s="257"/>
      <c r="DZ40" s="289">
        <f t="shared" si="29"/>
        <v>0</v>
      </c>
      <c r="EA40" s="257">
        <f t="shared" si="30"/>
        <v>0</v>
      </c>
      <c r="EB40" s="257">
        <f t="shared" si="31"/>
        <v>0</v>
      </c>
      <c r="EC40" s="257">
        <f t="shared" si="32"/>
        <v>0</v>
      </c>
      <c r="ED40" s="257">
        <f t="shared" si="33"/>
        <v>0</v>
      </c>
      <c r="EE40" s="257">
        <f t="shared" si="34"/>
        <v>0</v>
      </c>
      <c r="EF40" s="257">
        <f t="shared" si="35"/>
        <v>0</v>
      </c>
      <c r="EG40" s="257">
        <f t="shared" si="36"/>
        <v>0</v>
      </c>
      <c r="EH40" s="223"/>
      <c r="EI40" s="223"/>
      <c r="EJ40" s="223"/>
      <c r="EK40" s="289">
        <f t="shared" si="37"/>
        <v>0</v>
      </c>
      <c r="EL40" s="257">
        <f t="shared" si="38"/>
        <v>0</v>
      </c>
      <c r="EM40" s="257">
        <f t="shared" si="39"/>
        <v>0</v>
      </c>
      <c r="EN40" s="257">
        <f t="shared" si="40"/>
        <v>0</v>
      </c>
      <c r="EO40" s="257">
        <f t="shared" si="41"/>
        <v>0</v>
      </c>
      <c r="EP40" s="257">
        <f t="shared" si="42"/>
        <v>0</v>
      </c>
      <c r="EQ40" s="257">
        <f t="shared" si="43"/>
        <v>0</v>
      </c>
      <c r="ER40" s="257">
        <f t="shared" si="44"/>
        <v>0</v>
      </c>
      <c r="ES40" s="223"/>
      <c r="ET40" s="223"/>
      <c r="EU40" s="223"/>
      <c r="EV40" s="289">
        <f t="shared" si="45"/>
        <v>0</v>
      </c>
      <c r="EW40" s="257">
        <f t="shared" si="46"/>
        <v>0</v>
      </c>
      <c r="EX40" s="257">
        <f t="shared" si="47"/>
        <v>0</v>
      </c>
      <c r="EY40" s="257">
        <f t="shared" si="48"/>
        <v>0</v>
      </c>
      <c r="EZ40" s="575">
        <f t="shared" si="49"/>
        <v>3</v>
      </c>
      <c r="FA40" s="506">
        <f t="shared" si="50"/>
        <v>0</v>
      </c>
      <c r="FB40" s="39" t="str">
        <f t="shared" si="51"/>
        <v/>
      </c>
      <c r="FC40" s="257">
        <f t="shared" si="52"/>
        <v>0</v>
      </c>
      <c r="FD40" s="257">
        <f t="shared" si="53"/>
        <v>0</v>
      </c>
      <c r="FE40" s="257">
        <f t="shared" si="54"/>
        <v>0</v>
      </c>
      <c r="FF40" s="575">
        <f t="shared" si="55"/>
        <v>3</v>
      </c>
      <c r="FG40" s="506">
        <f t="shared" si="56"/>
        <v>0</v>
      </c>
      <c r="FH40" s="39" t="str">
        <f t="shared" si="57"/>
        <v/>
      </c>
      <c r="FI40" s="257">
        <f t="shared" si="58"/>
        <v>0</v>
      </c>
      <c r="FJ40" s="257">
        <f t="shared" si="59"/>
        <v>0</v>
      </c>
      <c r="FK40" s="257">
        <f t="shared" si="60"/>
        <v>0</v>
      </c>
      <c r="FL40" s="575">
        <f t="shared" si="61"/>
        <v>3</v>
      </c>
      <c r="FM40" s="506">
        <f t="shared" si="62"/>
        <v>0</v>
      </c>
      <c r="FN40" s="39" t="str">
        <f t="shared" si="63"/>
        <v/>
      </c>
      <c r="FO40" s="257">
        <f t="shared" si="64"/>
        <v>0</v>
      </c>
      <c r="FP40" s="257">
        <f t="shared" si="65"/>
        <v>0</v>
      </c>
      <c r="FQ40" s="257">
        <f t="shared" si="66"/>
        <v>0</v>
      </c>
      <c r="FR40" s="575">
        <f t="shared" si="67"/>
        <v>3</v>
      </c>
      <c r="FS40" s="506">
        <f t="shared" si="68"/>
        <v>0</v>
      </c>
      <c r="FT40" s="39" t="str">
        <f t="shared" si="69"/>
        <v/>
      </c>
      <c r="FU40" s="257">
        <f t="shared" si="70"/>
        <v>0</v>
      </c>
      <c r="FV40" s="257">
        <f t="shared" si="71"/>
        <v>0</v>
      </c>
      <c r="FW40" s="257">
        <f t="shared" si="72"/>
        <v>0</v>
      </c>
      <c r="FX40" s="575">
        <f t="shared" si="73"/>
        <v>3</v>
      </c>
      <c r="FY40" s="506">
        <f t="shared" si="74"/>
        <v>0</v>
      </c>
      <c r="FZ40" s="39" t="str">
        <f t="shared" si="75"/>
        <v/>
      </c>
      <c r="GA40" s="257">
        <f t="shared" si="76"/>
        <v>0</v>
      </c>
      <c r="GB40" s="257">
        <f t="shared" si="77"/>
        <v>0</v>
      </c>
      <c r="GC40" s="257">
        <f t="shared" si="78"/>
        <v>0</v>
      </c>
      <c r="GD40" s="575">
        <f t="shared" si="79"/>
        <v>3</v>
      </c>
      <c r="GE40" s="506">
        <f t="shared" si="80"/>
        <v>0</v>
      </c>
      <c r="GF40" s="39" t="str">
        <f t="shared" si="81"/>
        <v/>
      </c>
      <c r="GG40" s="257">
        <f t="shared" si="82"/>
        <v>0</v>
      </c>
      <c r="GH40" s="257">
        <f t="shared" si="83"/>
        <v>0</v>
      </c>
      <c r="GI40" s="257">
        <f t="shared" si="84"/>
        <v>0</v>
      </c>
      <c r="GJ40" s="575">
        <f t="shared" si="85"/>
        <v>3</v>
      </c>
      <c r="GK40" s="506">
        <f t="shared" si="86"/>
        <v>0</v>
      </c>
      <c r="GL40" s="39" t="str">
        <f t="shared" si="87"/>
        <v/>
      </c>
      <c r="GM40" s="39"/>
      <c r="GN40" s="39" t="str">
        <f t="shared" si="88"/>
        <v/>
      </c>
      <c r="GO40" s="39" t="str">
        <f t="shared" si="89"/>
        <v/>
      </c>
      <c r="GP40" s="39" t="str">
        <f t="shared" si="90"/>
        <v/>
      </c>
      <c r="GQ40" s="39" t="str">
        <f t="shared" si="91"/>
        <v/>
      </c>
      <c r="GR40" s="39" t="str">
        <f t="shared" si="92"/>
        <v/>
      </c>
      <c r="GS40" s="39" t="str">
        <f t="shared" si="93"/>
        <v/>
      </c>
      <c r="GT40" s="257" t="str">
        <f t="shared" si="94"/>
        <v/>
      </c>
      <c r="GU40" s="579" t="str">
        <f t="shared" si="95"/>
        <v/>
      </c>
      <c r="GV40" s="289">
        <f t="shared" si="96"/>
        <v>0</v>
      </c>
      <c r="GW40" s="289">
        <f t="shared" si="97"/>
        <v>0</v>
      </c>
      <c r="GX40" s="223">
        <f>SISWA!E38</f>
        <v>0</v>
      </c>
      <c r="GY40" s="223" t="str">
        <f t="shared" si="98"/>
        <v/>
      </c>
      <c r="GZ40" s="580" t="str">
        <f t="shared" si="99"/>
        <v/>
      </c>
      <c r="HA40" s="580" t="str">
        <f t="shared" si="100"/>
        <v/>
      </c>
      <c r="HB40" s="580" t="str">
        <f t="shared" si="101"/>
        <v/>
      </c>
      <c r="HC40" s="580" t="str">
        <f t="shared" si="102"/>
        <v/>
      </c>
      <c r="HD40" s="580" t="str">
        <f t="shared" si="103"/>
        <v/>
      </c>
      <c r="HE40" s="580" t="str">
        <f t="shared" si="104"/>
        <v/>
      </c>
      <c r="HF40" s="580" t="str">
        <f t="shared" si="105"/>
        <v/>
      </c>
      <c r="HG40" s="580"/>
      <c r="HH40" s="580"/>
      <c r="HI40" s="580"/>
      <c r="HJ40" s="580"/>
      <c r="HK40" s="223">
        <f t="shared" si="106"/>
        <v>0</v>
      </c>
      <c r="HL40" s="289" t="e">
        <f t="shared" si="107"/>
        <v>#N/A</v>
      </c>
      <c r="HM40" s="576" t="e">
        <f>IF(GV40&gt;100,"",IF(GV40&gt;DP$1,"sangat baik dalam "&amp;HL40,IF(GV40&gt;=DP$2,"baik dalam "&amp;HL40,IF(GV40&gt;=DP$3,"cukup dalam "&amp;HL40,IF(GV40&lt;DP$3,"dengan bimbingan dapat meningkatkan dalam "&amp;HL40,IF(GV40&lt;1," ",””))))))</f>
        <v>#N/A</v>
      </c>
      <c r="HN40" s="223"/>
      <c r="HO40" s="223" t="str">
        <f t="shared" si="108"/>
        <v/>
      </c>
      <c r="HP40" s="223" t="str">
        <f t="shared" si="109"/>
        <v/>
      </c>
      <c r="HQ40" s="223" t="str">
        <f t="shared" si="110"/>
        <v/>
      </c>
      <c r="HR40" s="223" t="str">
        <f t="shared" si="111"/>
        <v/>
      </c>
      <c r="HS40" s="223" t="str">
        <f t="shared" si="112"/>
        <v/>
      </c>
      <c r="HT40" s="223" t="str">
        <f t="shared" si="113"/>
        <v/>
      </c>
      <c r="HU40" s="223" t="str">
        <f t="shared" si="114"/>
        <v/>
      </c>
      <c r="HV40" s="223"/>
      <c r="HW40" s="223"/>
      <c r="HX40" s="223"/>
      <c r="HY40" s="223"/>
      <c r="HZ40" s="223" t="e">
        <f t="shared" si="115"/>
        <v>#N/A</v>
      </c>
      <c r="IA40" s="577" t="e">
        <f>IF(GW40&gt;100,"",IF(GW40&gt;=DP$1,"sangat baik dalam "&amp;HZ40,IF(GW40&gt;=DP$2,"baik dalam "&amp;HZ40,IF(GW40&gt;=DP$3,"cukup dalam "&amp;HZ40,IF(GW40&lt;DP$3,"dengan bimbingan dapat meningkatkan dalam "&amp;HZ40,IF(GW40&lt;1," ",””))))))</f>
        <v>#N/A</v>
      </c>
      <c r="IB40" s="223" t="e">
        <f t="shared" si="116"/>
        <v>#N/A</v>
      </c>
    </row>
    <row r="41" spans="1:236">
      <c r="A41" s="39">
        <v>34</v>
      </c>
      <c r="B41" s="223">
        <f>SISWA!B39</f>
        <v>0</v>
      </c>
      <c r="C41" s="123"/>
      <c r="D41" s="123"/>
      <c r="E41" s="123"/>
      <c r="F41" s="123"/>
      <c r="G41" s="123"/>
      <c r="H41" s="123"/>
      <c r="I41" s="123"/>
      <c r="J41" s="255"/>
      <c r="K41" s="255"/>
      <c r="L41" s="255"/>
      <c r="M41" s="255"/>
      <c r="N41" s="255"/>
      <c r="O41" s="255"/>
      <c r="P41" s="255"/>
      <c r="Q41" s="256"/>
      <c r="R41" s="256"/>
      <c r="S41" s="256"/>
      <c r="T41" s="256"/>
      <c r="U41" s="256"/>
      <c r="V41" s="256"/>
      <c r="W41" s="256"/>
      <c r="X41" s="123"/>
      <c r="Y41" s="123"/>
      <c r="Z41" s="123"/>
      <c r="AA41" s="123"/>
      <c r="AB41" s="123"/>
      <c r="AC41" s="123"/>
      <c r="AD41" s="123"/>
      <c r="AE41" s="255"/>
      <c r="AF41" s="255"/>
      <c r="AG41" s="255"/>
      <c r="AH41" s="255"/>
      <c r="AI41" s="255"/>
      <c r="AJ41" s="255"/>
      <c r="AK41" s="255"/>
      <c r="AL41" s="256"/>
      <c r="AM41" s="256"/>
      <c r="AN41" s="256"/>
      <c r="AO41" s="256"/>
      <c r="AP41" s="256"/>
      <c r="AQ41" s="256"/>
      <c r="AR41" s="256"/>
      <c r="AS41" s="123"/>
      <c r="AT41" s="123"/>
      <c r="AU41" s="123"/>
      <c r="AV41" s="123"/>
      <c r="AW41" s="123"/>
      <c r="AX41" s="123"/>
      <c r="AY41" s="123"/>
      <c r="AZ41" s="255"/>
      <c r="BA41" s="255"/>
      <c r="BB41" s="255"/>
      <c r="BC41" s="255"/>
      <c r="BD41" s="255"/>
      <c r="BE41" s="255"/>
      <c r="BF41" s="255"/>
      <c r="BG41" s="256"/>
      <c r="BH41" s="256"/>
      <c r="BI41" s="256"/>
      <c r="BJ41" s="256"/>
      <c r="BK41" s="256"/>
      <c r="BL41" s="256"/>
      <c r="BM41" s="256"/>
      <c r="BN41" s="123"/>
      <c r="BO41" s="123"/>
      <c r="BP41" s="123"/>
      <c r="BQ41" s="123"/>
      <c r="BR41" s="123"/>
      <c r="BS41" s="123"/>
      <c r="BT41" s="123"/>
      <c r="BU41" s="255"/>
      <c r="BV41" s="255"/>
      <c r="BW41" s="255"/>
      <c r="BX41" s="255"/>
      <c r="BY41" s="255"/>
      <c r="BZ41" s="255"/>
      <c r="CA41" s="255"/>
      <c r="CB41" s="256"/>
      <c r="CC41" s="256"/>
      <c r="CD41" s="256"/>
      <c r="CE41" s="256"/>
      <c r="CF41" s="256"/>
      <c r="CG41" s="256"/>
      <c r="CH41" s="256"/>
      <c r="CI41" s="458"/>
      <c r="CJ41" s="458"/>
      <c r="CK41" s="458"/>
      <c r="CL41" s="458"/>
      <c r="CM41" s="458"/>
      <c r="CN41" s="458"/>
      <c r="CO41" s="458"/>
      <c r="CP41" s="457"/>
      <c r="CQ41" s="457"/>
      <c r="CR41" s="457"/>
      <c r="CS41" s="457"/>
      <c r="CT41" s="457"/>
      <c r="CU41" s="457"/>
      <c r="CV41" s="457"/>
      <c r="CW41" s="256"/>
      <c r="CX41" s="256"/>
      <c r="CY41" s="256"/>
      <c r="CZ41" s="256"/>
      <c r="DA41" s="256"/>
      <c r="DB41" s="256"/>
      <c r="DC41" s="256"/>
      <c r="DD41" s="257" t="str">
        <f t="shared" si="13"/>
        <v/>
      </c>
      <c r="DE41" s="257" t="str">
        <f t="shared" si="14"/>
        <v/>
      </c>
      <c r="DF41" s="257" t="str">
        <f t="shared" si="15"/>
        <v/>
      </c>
      <c r="DG41" s="257" t="str">
        <f t="shared" si="16"/>
        <v/>
      </c>
      <c r="DH41" s="257" t="str">
        <f t="shared" si="17"/>
        <v/>
      </c>
      <c r="DI41" s="257" t="str">
        <f t="shared" si="18"/>
        <v/>
      </c>
      <c r="DJ41" s="257" t="str">
        <f t="shared" si="19"/>
        <v/>
      </c>
      <c r="DK41" s="756" t="str">
        <f t="shared" si="19"/>
        <v/>
      </c>
      <c r="DL41" s="291" t="str">
        <f t="shared" si="20"/>
        <v xml:space="preserve">  </v>
      </c>
      <c r="DM41" s="243" t="str">
        <f t="shared" si="21"/>
        <v xml:space="preserve"> </v>
      </c>
      <c r="DN41" s="39"/>
      <c r="DO41" s="39"/>
      <c r="DP41" s="257">
        <f t="shared" si="22"/>
        <v>0</v>
      </c>
      <c r="DQ41" s="257">
        <f t="shared" si="23"/>
        <v>0</v>
      </c>
      <c r="DR41" s="257">
        <f t="shared" si="24"/>
        <v>0</v>
      </c>
      <c r="DS41" s="257">
        <f t="shared" si="25"/>
        <v>0</v>
      </c>
      <c r="DT41" s="257">
        <f t="shared" si="26"/>
        <v>0</v>
      </c>
      <c r="DU41" s="257">
        <f t="shared" si="27"/>
        <v>0</v>
      </c>
      <c r="DV41" s="257">
        <f t="shared" si="28"/>
        <v>0</v>
      </c>
      <c r="DW41" s="257"/>
      <c r="DX41" s="257"/>
      <c r="DY41" s="257"/>
      <c r="DZ41" s="289">
        <f t="shared" si="29"/>
        <v>0</v>
      </c>
      <c r="EA41" s="257">
        <f t="shared" si="30"/>
        <v>0</v>
      </c>
      <c r="EB41" s="257">
        <f t="shared" si="31"/>
        <v>0</v>
      </c>
      <c r="EC41" s="257">
        <f t="shared" si="32"/>
        <v>0</v>
      </c>
      <c r="ED41" s="257">
        <f t="shared" si="33"/>
        <v>0</v>
      </c>
      <c r="EE41" s="257">
        <f t="shared" si="34"/>
        <v>0</v>
      </c>
      <c r="EF41" s="257">
        <f t="shared" si="35"/>
        <v>0</v>
      </c>
      <c r="EG41" s="257">
        <f t="shared" si="36"/>
        <v>0</v>
      </c>
      <c r="EH41" s="223"/>
      <c r="EI41" s="223"/>
      <c r="EJ41" s="223"/>
      <c r="EK41" s="289">
        <f t="shared" si="37"/>
        <v>0</v>
      </c>
      <c r="EL41" s="257">
        <f t="shared" si="38"/>
        <v>0</v>
      </c>
      <c r="EM41" s="257">
        <f t="shared" si="39"/>
        <v>0</v>
      </c>
      <c r="EN41" s="257">
        <f t="shared" si="40"/>
        <v>0</v>
      </c>
      <c r="EO41" s="257">
        <f t="shared" si="41"/>
        <v>0</v>
      </c>
      <c r="EP41" s="257">
        <f t="shared" si="42"/>
        <v>0</v>
      </c>
      <c r="EQ41" s="257">
        <f t="shared" si="43"/>
        <v>0</v>
      </c>
      <c r="ER41" s="257">
        <f t="shared" si="44"/>
        <v>0</v>
      </c>
      <c r="ES41" s="223"/>
      <c r="ET41" s="223"/>
      <c r="EU41" s="223"/>
      <c r="EV41" s="289">
        <f t="shared" si="45"/>
        <v>0</v>
      </c>
      <c r="EW41" s="257">
        <f t="shared" si="46"/>
        <v>0</v>
      </c>
      <c r="EX41" s="257">
        <f t="shared" si="47"/>
        <v>0</v>
      </c>
      <c r="EY41" s="257">
        <f t="shared" si="48"/>
        <v>0</v>
      </c>
      <c r="EZ41" s="575">
        <f t="shared" si="49"/>
        <v>3</v>
      </c>
      <c r="FA41" s="506">
        <f t="shared" si="50"/>
        <v>0</v>
      </c>
      <c r="FB41" s="39" t="str">
        <f t="shared" si="51"/>
        <v/>
      </c>
      <c r="FC41" s="257">
        <f t="shared" si="52"/>
        <v>0</v>
      </c>
      <c r="FD41" s="257">
        <f t="shared" si="53"/>
        <v>0</v>
      </c>
      <c r="FE41" s="257">
        <f t="shared" si="54"/>
        <v>0</v>
      </c>
      <c r="FF41" s="575">
        <f t="shared" si="55"/>
        <v>3</v>
      </c>
      <c r="FG41" s="506">
        <f t="shared" si="56"/>
        <v>0</v>
      </c>
      <c r="FH41" s="39" t="str">
        <f t="shared" si="57"/>
        <v/>
      </c>
      <c r="FI41" s="257">
        <f t="shared" si="58"/>
        <v>0</v>
      </c>
      <c r="FJ41" s="257">
        <f t="shared" si="59"/>
        <v>0</v>
      </c>
      <c r="FK41" s="257">
        <f t="shared" si="60"/>
        <v>0</v>
      </c>
      <c r="FL41" s="575">
        <f t="shared" si="61"/>
        <v>3</v>
      </c>
      <c r="FM41" s="506">
        <f t="shared" si="62"/>
        <v>0</v>
      </c>
      <c r="FN41" s="39" t="str">
        <f t="shared" si="63"/>
        <v/>
      </c>
      <c r="FO41" s="257">
        <f t="shared" si="64"/>
        <v>0</v>
      </c>
      <c r="FP41" s="257">
        <f t="shared" si="65"/>
        <v>0</v>
      </c>
      <c r="FQ41" s="257">
        <f t="shared" si="66"/>
        <v>0</v>
      </c>
      <c r="FR41" s="575">
        <f t="shared" si="67"/>
        <v>3</v>
      </c>
      <c r="FS41" s="506">
        <f t="shared" si="68"/>
        <v>0</v>
      </c>
      <c r="FT41" s="39" t="str">
        <f t="shared" si="69"/>
        <v/>
      </c>
      <c r="FU41" s="257">
        <f t="shared" si="70"/>
        <v>0</v>
      </c>
      <c r="FV41" s="257">
        <f t="shared" si="71"/>
        <v>0</v>
      </c>
      <c r="FW41" s="257">
        <f t="shared" si="72"/>
        <v>0</v>
      </c>
      <c r="FX41" s="575">
        <f t="shared" si="73"/>
        <v>3</v>
      </c>
      <c r="FY41" s="506">
        <f t="shared" si="74"/>
        <v>0</v>
      </c>
      <c r="FZ41" s="39" t="str">
        <f t="shared" si="75"/>
        <v/>
      </c>
      <c r="GA41" s="257">
        <f t="shared" si="76"/>
        <v>0</v>
      </c>
      <c r="GB41" s="257">
        <f t="shared" si="77"/>
        <v>0</v>
      </c>
      <c r="GC41" s="257">
        <f t="shared" si="78"/>
        <v>0</v>
      </c>
      <c r="GD41" s="575">
        <f t="shared" si="79"/>
        <v>3</v>
      </c>
      <c r="GE41" s="506">
        <f t="shared" si="80"/>
        <v>0</v>
      </c>
      <c r="GF41" s="39" t="str">
        <f t="shared" si="81"/>
        <v/>
      </c>
      <c r="GG41" s="257">
        <f t="shared" si="82"/>
        <v>0</v>
      </c>
      <c r="GH41" s="257">
        <f t="shared" si="83"/>
        <v>0</v>
      </c>
      <c r="GI41" s="257">
        <f t="shared" si="84"/>
        <v>0</v>
      </c>
      <c r="GJ41" s="575">
        <f t="shared" si="85"/>
        <v>3</v>
      </c>
      <c r="GK41" s="506">
        <f t="shared" si="86"/>
        <v>0</v>
      </c>
      <c r="GL41" s="39" t="str">
        <f t="shared" si="87"/>
        <v/>
      </c>
      <c r="GM41" s="39"/>
      <c r="GN41" s="39" t="str">
        <f t="shared" si="88"/>
        <v/>
      </c>
      <c r="GO41" s="39" t="str">
        <f t="shared" si="89"/>
        <v/>
      </c>
      <c r="GP41" s="39" t="str">
        <f t="shared" si="90"/>
        <v/>
      </c>
      <c r="GQ41" s="39" t="str">
        <f t="shared" si="91"/>
        <v/>
      </c>
      <c r="GR41" s="39" t="str">
        <f t="shared" si="92"/>
        <v/>
      </c>
      <c r="GS41" s="39" t="str">
        <f t="shared" si="93"/>
        <v/>
      </c>
      <c r="GT41" s="257" t="str">
        <f t="shared" si="94"/>
        <v/>
      </c>
      <c r="GU41" s="579" t="str">
        <f t="shared" si="95"/>
        <v/>
      </c>
      <c r="GV41" s="289">
        <f t="shared" si="96"/>
        <v>0</v>
      </c>
      <c r="GW41" s="289">
        <f t="shared" si="97"/>
        <v>0</v>
      </c>
      <c r="GX41" s="223">
        <f>SISWA!E39</f>
        <v>0</v>
      </c>
      <c r="GY41" s="223" t="str">
        <f t="shared" si="98"/>
        <v/>
      </c>
      <c r="GZ41" s="580" t="str">
        <f t="shared" si="99"/>
        <v/>
      </c>
      <c r="HA41" s="580" t="str">
        <f t="shared" si="100"/>
        <v/>
      </c>
      <c r="HB41" s="580" t="str">
        <f t="shared" si="101"/>
        <v/>
      </c>
      <c r="HC41" s="580" t="str">
        <f t="shared" si="102"/>
        <v/>
      </c>
      <c r="HD41" s="580" t="str">
        <f t="shared" si="103"/>
        <v/>
      </c>
      <c r="HE41" s="580" t="str">
        <f t="shared" si="104"/>
        <v/>
      </c>
      <c r="HF41" s="580" t="str">
        <f t="shared" si="105"/>
        <v/>
      </c>
      <c r="HG41" s="580"/>
      <c r="HH41" s="580"/>
      <c r="HI41" s="580"/>
      <c r="HJ41" s="580"/>
      <c r="HK41" s="223">
        <f t="shared" si="106"/>
        <v>0</v>
      </c>
      <c r="HL41" s="289" t="e">
        <f t="shared" si="107"/>
        <v>#N/A</v>
      </c>
      <c r="HM41" s="576" t="e">
        <f>IF(GV41&gt;100,"",IF(GV41&gt;DP$1,"sangat baik dalam "&amp;HL41,IF(GV41&gt;=DP$2,"baik dalam "&amp;HL41,IF(GV41&gt;=DP$3,"cukup dalam "&amp;HL41,IF(GV41&lt;DP$3,"dengan bimbingan dapat meningkatkan dalam "&amp;HL41,IF(GV41&lt;1," ",””))))))</f>
        <v>#N/A</v>
      </c>
      <c r="HN41" s="223"/>
      <c r="HO41" s="223" t="str">
        <f t="shared" si="108"/>
        <v/>
      </c>
      <c r="HP41" s="223" t="str">
        <f t="shared" si="109"/>
        <v/>
      </c>
      <c r="HQ41" s="223" t="str">
        <f t="shared" si="110"/>
        <v/>
      </c>
      <c r="HR41" s="223" t="str">
        <f t="shared" si="111"/>
        <v/>
      </c>
      <c r="HS41" s="223" t="str">
        <f t="shared" si="112"/>
        <v/>
      </c>
      <c r="HT41" s="223" t="str">
        <f t="shared" si="113"/>
        <v/>
      </c>
      <c r="HU41" s="223" t="str">
        <f t="shared" si="114"/>
        <v/>
      </c>
      <c r="HV41" s="223"/>
      <c r="HW41" s="223"/>
      <c r="HX41" s="223"/>
      <c r="HY41" s="223"/>
      <c r="HZ41" s="223" t="e">
        <f t="shared" si="115"/>
        <v>#N/A</v>
      </c>
      <c r="IA41" s="577" t="e">
        <f>IF(GW41&gt;100,"",IF(GW41&gt;=DP$1,"sangat baik dalam "&amp;HZ41,IF(GW41&gt;=DP$2,"baik dalam "&amp;HZ41,IF(GW41&gt;=DP$3,"cukup dalam "&amp;HZ41,IF(GW41&lt;DP$3,"dengan bimbingan dapat meningkatkan dalam "&amp;HZ41,IF(GW41&lt;1," ",””))))))</f>
        <v>#N/A</v>
      </c>
      <c r="IB41" s="223" t="e">
        <f t="shared" si="116"/>
        <v>#N/A</v>
      </c>
    </row>
    <row r="42" spans="1:236">
      <c r="A42" s="39">
        <v>35</v>
      </c>
      <c r="B42" s="223">
        <f>SISWA!B40</f>
        <v>0</v>
      </c>
      <c r="C42" s="123"/>
      <c r="D42" s="123"/>
      <c r="E42" s="123"/>
      <c r="F42" s="123"/>
      <c r="G42" s="123"/>
      <c r="H42" s="123"/>
      <c r="I42" s="123"/>
      <c r="J42" s="255"/>
      <c r="K42" s="255"/>
      <c r="L42" s="255"/>
      <c r="M42" s="255"/>
      <c r="N42" s="255"/>
      <c r="O42" s="255"/>
      <c r="P42" s="255"/>
      <c r="Q42" s="256"/>
      <c r="R42" s="256"/>
      <c r="S42" s="256"/>
      <c r="T42" s="256"/>
      <c r="U42" s="256"/>
      <c r="V42" s="256"/>
      <c r="W42" s="256"/>
      <c r="X42" s="123"/>
      <c r="Y42" s="123"/>
      <c r="Z42" s="123"/>
      <c r="AA42" s="123"/>
      <c r="AB42" s="123"/>
      <c r="AC42" s="123"/>
      <c r="AD42" s="123"/>
      <c r="AE42" s="255"/>
      <c r="AF42" s="255"/>
      <c r="AG42" s="255"/>
      <c r="AH42" s="255"/>
      <c r="AI42" s="255"/>
      <c r="AJ42" s="255"/>
      <c r="AK42" s="255"/>
      <c r="AL42" s="256"/>
      <c r="AM42" s="256"/>
      <c r="AN42" s="256"/>
      <c r="AO42" s="256"/>
      <c r="AP42" s="256"/>
      <c r="AQ42" s="256"/>
      <c r="AR42" s="256"/>
      <c r="AS42" s="123"/>
      <c r="AT42" s="123"/>
      <c r="AU42" s="123"/>
      <c r="AV42" s="123"/>
      <c r="AW42" s="123"/>
      <c r="AX42" s="123"/>
      <c r="AY42" s="123"/>
      <c r="AZ42" s="255"/>
      <c r="BA42" s="255"/>
      <c r="BB42" s="255"/>
      <c r="BC42" s="255"/>
      <c r="BD42" s="255"/>
      <c r="BE42" s="255"/>
      <c r="BF42" s="255"/>
      <c r="BG42" s="256"/>
      <c r="BH42" s="256"/>
      <c r="BI42" s="256"/>
      <c r="BJ42" s="256"/>
      <c r="BK42" s="256"/>
      <c r="BL42" s="256"/>
      <c r="BM42" s="256"/>
      <c r="BN42" s="123"/>
      <c r="BO42" s="123"/>
      <c r="BP42" s="123"/>
      <c r="BQ42" s="123"/>
      <c r="BR42" s="123"/>
      <c r="BS42" s="123"/>
      <c r="BT42" s="123"/>
      <c r="BU42" s="255"/>
      <c r="BV42" s="255"/>
      <c r="BW42" s="255"/>
      <c r="BX42" s="255"/>
      <c r="BY42" s="255"/>
      <c r="BZ42" s="255"/>
      <c r="CA42" s="255"/>
      <c r="CB42" s="256"/>
      <c r="CC42" s="256"/>
      <c r="CD42" s="256"/>
      <c r="CE42" s="256"/>
      <c r="CF42" s="256"/>
      <c r="CG42" s="256"/>
      <c r="CH42" s="256"/>
      <c r="CI42" s="458"/>
      <c r="CJ42" s="458"/>
      <c r="CK42" s="458"/>
      <c r="CL42" s="458"/>
      <c r="CM42" s="458"/>
      <c r="CN42" s="458"/>
      <c r="CO42" s="458"/>
      <c r="CP42" s="457"/>
      <c r="CQ42" s="457"/>
      <c r="CR42" s="457"/>
      <c r="CS42" s="457"/>
      <c r="CT42" s="457"/>
      <c r="CU42" s="457"/>
      <c r="CV42" s="457"/>
      <c r="CW42" s="256"/>
      <c r="CX42" s="256"/>
      <c r="CY42" s="256"/>
      <c r="CZ42" s="256"/>
      <c r="DA42" s="256"/>
      <c r="DB42" s="256"/>
      <c r="DC42" s="256"/>
      <c r="DD42" s="257" t="str">
        <f t="shared" si="13"/>
        <v/>
      </c>
      <c r="DE42" s="257" t="str">
        <f t="shared" si="14"/>
        <v/>
      </c>
      <c r="DF42" s="257" t="str">
        <f t="shared" si="15"/>
        <v/>
      </c>
      <c r="DG42" s="257" t="str">
        <f t="shared" si="16"/>
        <v/>
      </c>
      <c r="DH42" s="257" t="str">
        <f t="shared" si="17"/>
        <v/>
      </c>
      <c r="DI42" s="257" t="str">
        <f t="shared" si="18"/>
        <v/>
      </c>
      <c r="DJ42" s="257" t="str">
        <f t="shared" si="19"/>
        <v/>
      </c>
      <c r="DK42" s="756" t="str">
        <f t="shared" si="19"/>
        <v/>
      </c>
      <c r="DL42" s="291" t="str">
        <f t="shared" si="20"/>
        <v xml:space="preserve">  </v>
      </c>
      <c r="DM42" s="243" t="str">
        <f t="shared" si="21"/>
        <v xml:space="preserve"> </v>
      </c>
      <c r="DN42" s="39"/>
      <c r="DO42" s="39"/>
      <c r="DP42" s="257">
        <f t="shared" si="22"/>
        <v>0</v>
      </c>
      <c r="DQ42" s="257">
        <f t="shared" si="23"/>
        <v>0</v>
      </c>
      <c r="DR42" s="257">
        <f t="shared" si="24"/>
        <v>0</v>
      </c>
      <c r="DS42" s="257">
        <f t="shared" si="25"/>
        <v>0</v>
      </c>
      <c r="DT42" s="257">
        <f t="shared" si="26"/>
        <v>0</v>
      </c>
      <c r="DU42" s="257">
        <f t="shared" si="27"/>
        <v>0</v>
      </c>
      <c r="DV42" s="257">
        <f t="shared" si="28"/>
        <v>0</v>
      </c>
      <c r="DW42" s="257"/>
      <c r="DX42" s="257"/>
      <c r="DY42" s="257"/>
      <c r="DZ42" s="289">
        <f t="shared" si="29"/>
        <v>0</v>
      </c>
      <c r="EA42" s="257">
        <f t="shared" si="30"/>
        <v>0</v>
      </c>
      <c r="EB42" s="257">
        <f t="shared" si="31"/>
        <v>0</v>
      </c>
      <c r="EC42" s="257">
        <f t="shared" si="32"/>
        <v>0</v>
      </c>
      <c r="ED42" s="257">
        <f t="shared" si="33"/>
        <v>0</v>
      </c>
      <c r="EE42" s="257">
        <f t="shared" si="34"/>
        <v>0</v>
      </c>
      <c r="EF42" s="257">
        <f t="shared" si="35"/>
        <v>0</v>
      </c>
      <c r="EG42" s="257">
        <f t="shared" si="36"/>
        <v>0</v>
      </c>
      <c r="EH42" s="223"/>
      <c r="EI42" s="223"/>
      <c r="EJ42" s="223"/>
      <c r="EK42" s="289">
        <f t="shared" si="37"/>
        <v>0</v>
      </c>
      <c r="EL42" s="257">
        <f t="shared" si="38"/>
        <v>0</v>
      </c>
      <c r="EM42" s="257">
        <f t="shared" si="39"/>
        <v>0</v>
      </c>
      <c r="EN42" s="257">
        <f t="shared" si="40"/>
        <v>0</v>
      </c>
      <c r="EO42" s="257">
        <f t="shared" si="41"/>
        <v>0</v>
      </c>
      <c r="EP42" s="257">
        <f t="shared" si="42"/>
        <v>0</v>
      </c>
      <c r="EQ42" s="257">
        <f t="shared" si="43"/>
        <v>0</v>
      </c>
      <c r="ER42" s="257">
        <f t="shared" si="44"/>
        <v>0</v>
      </c>
      <c r="ES42" s="223"/>
      <c r="ET42" s="223"/>
      <c r="EU42" s="223"/>
      <c r="EV42" s="289">
        <f t="shared" si="45"/>
        <v>0</v>
      </c>
      <c r="EW42" s="257">
        <f t="shared" si="46"/>
        <v>0</v>
      </c>
      <c r="EX42" s="257">
        <f t="shared" si="47"/>
        <v>0</v>
      </c>
      <c r="EY42" s="257">
        <f t="shared" si="48"/>
        <v>0</v>
      </c>
      <c r="EZ42" s="575">
        <f t="shared" si="49"/>
        <v>3</v>
      </c>
      <c r="FA42" s="506">
        <f t="shared" si="50"/>
        <v>0</v>
      </c>
      <c r="FB42" s="39" t="str">
        <f t="shared" si="51"/>
        <v/>
      </c>
      <c r="FC42" s="257">
        <f t="shared" si="52"/>
        <v>0</v>
      </c>
      <c r="FD42" s="257">
        <f t="shared" si="53"/>
        <v>0</v>
      </c>
      <c r="FE42" s="257">
        <f t="shared" si="54"/>
        <v>0</v>
      </c>
      <c r="FF42" s="575">
        <f t="shared" si="55"/>
        <v>3</v>
      </c>
      <c r="FG42" s="506">
        <f t="shared" si="56"/>
        <v>0</v>
      </c>
      <c r="FH42" s="39" t="str">
        <f t="shared" si="57"/>
        <v/>
      </c>
      <c r="FI42" s="257">
        <f t="shared" si="58"/>
        <v>0</v>
      </c>
      <c r="FJ42" s="257">
        <f t="shared" si="59"/>
        <v>0</v>
      </c>
      <c r="FK42" s="257">
        <f t="shared" si="60"/>
        <v>0</v>
      </c>
      <c r="FL42" s="575">
        <f t="shared" si="61"/>
        <v>3</v>
      </c>
      <c r="FM42" s="506">
        <f t="shared" si="62"/>
        <v>0</v>
      </c>
      <c r="FN42" s="39" t="str">
        <f t="shared" si="63"/>
        <v/>
      </c>
      <c r="FO42" s="257">
        <f t="shared" si="64"/>
        <v>0</v>
      </c>
      <c r="FP42" s="257">
        <f t="shared" si="65"/>
        <v>0</v>
      </c>
      <c r="FQ42" s="257">
        <f t="shared" si="66"/>
        <v>0</v>
      </c>
      <c r="FR42" s="575">
        <f t="shared" si="67"/>
        <v>3</v>
      </c>
      <c r="FS42" s="506">
        <f t="shared" si="68"/>
        <v>0</v>
      </c>
      <c r="FT42" s="39" t="str">
        <f t="shared" si="69"/>
        <v/>
      </c>
      <c r="FU42" s="257">
        <f t="shared" si="70"/>
        <v>0</v>
      </c>
      <c r="FV42" s="257">
        <f t="shared" si="71"/>
        <v>0</v>
      </c>
      <c r="FW42" s="257">
        <f t="shared" si="72"/>
        <v>0</v>
      </c>
      <c r="FX42" s="575">
        <f t="shared" si="73"/>
        <v>3</v>
      </c>
      <c r="FY42" s="506">
        <f t="shared" si="74"/>
        <v>0</v>
      </c>
      <c r="FZ42" s="39" t="str">
        <f t="shared" si="75"/>
        <v/>
      </c>
      <c r="GA42" s="257">
        <f t="shared" si="76"/>
        <v>0</v>
      </c>
      <c r="GB42" s="257">
        <f t="shared" si="77"/>
        <v>0</v>
      </c>
      <c r="GC42" s="257">
        <f t="shared" si="78"/>
        <v>0</v>
      </c>
      <c r="GD42" s="575">
        <f t="shared" si="79"/>
        <v>3</v>
      </c>
      <c r="GE42" s="506">
        <f t="shared" si="80"/>
        <v>0</v>
      </c>
      <c r="GF42" s="39" t="str">
        <f t="shared" si="81"/>
        <v/>
      </c>
      <c r="GG42" s="257">
        <f t="shared" si="82"/>
        <v>0</v>
      </c>
      <c r="GH42" s="257">
        <f t="shared" si="83"/>
        <v>0</v>
      </c>
      <c r="GI42" s="257">
        <f t="shared" si="84"/>
        <v>0</v>
      </c>
      <c r="GJ42" s="575">
        <f t="shared" si="85"/>
        <v>3</v>
      </c>
      <c r="GK42" s="506">
        <f t="shared" si="86"/>
        <v>0</v>
      </c>
      <c r="GL42" s="39" t="str">
        <f t="shared" si="87"/>
        <v/>
      </c>
      <c r="GM42" s="39"/>
      <c r="GN42" s="39" t="str">
        <f t="shared" si="88"/>
        <v/>
      </c>
      <c r="GO42" s="39" t="str">
        <f t="shared" si="89"/>
        <v/>
      </c>
      <c r="GP42" s="39" t="str">
        <f t="shared" si="90"/>
        <v/>
      </c>
      <c r="GQ42" s="39" t="str">
        <f t="shared" si="91"/>
        <v/>
      </c>
      <c r="GR42" s="39" t="str">
        <f t="shared" si="92"/>
        <v/>
      </c>
      <c r="GS42" s="39" t="str">
        <f t="shared" si="93"/>
        <v/>
      </c>
      <c r="GT42" s="257" t="str">
        <f t="shared" si="94"/>
        <v/>
      </c>
      <c r="GU42" s="579" t="str">
        <f t="shared" si="95"/>
        <v/>
      </c>
      <c r="GV42" s="289">
        <f t="shared" si="96"/>
        <v>0</v>
      </c>
      <c r="GW42" s="289">
        <f t="shared" si="97"/>
        <v>0</v>
      </c>
      <c r="GX42" s="223">
        <f>SISWA!E40</f>
        <v>0</v>
      </c>
      <c r="GY42" s="223" t="str">
        <f t="shared" si="98"/>
        <v/>
      </c>
      <c r="GZ42" s="580" t="str">
        <f t="shared" si="99"/>
        <v/>
      </c>
      <c r="HA42" s="580" t="str">
        <f t="shared" si="100"/>
        <v/>
      </c>
      <c r="HB42" s="580" t="str">
        <f t="shared" si="101"/>
        <v/>
      </c>
      <c r="HC42" s="580" t="str">
        <f t="shared" si="102"/>
        <v/>
      </c>
      <c r="HD42" s="580" t="str">
        <f t="shared" si="103"/>
        <v/>
      </c>
      <c r="HE42" s="580" t="str">
        <f t="shared" si="104"/>
        <v/>
      </c>
      <c r="HF42" s="580" t="str">
        <f t="shared" si="105"/>
        <v/>
      </c>
      <c r="HG42" s="580"/>
      <c r="HH42" s="580"/>
      <c r="HI42" s="580"/>
      <c r="HJ42" s="580"/>
      <c r="HK42" s="223">
        <f t="shared" si="106"/>
        <v>0</v>
      </c>
      <c r="HL42" s="289" t="e">
        <f t="shared" si="107"/>
        <v>#N/A</v>
      </c>
      <c r="HM42" s="576" t="e">
        <f>IF(GV42&gt;100,"",IF(GV42&gt;DP$1,"sangat baik dalam "&amp;HL42,IF(GV42&gt;=DP$2,"baik dalam "&amp;HL42,IF(GV42&gt;=DP$3,"cukup dalam "&amp;HL42,IF(GV42&lt;DP$3,"dengan bimbingan dapat meningkatkan dalam "&amp;HL42,IF(GV42&lt;1," ",””))))))</f>
        <v>#N/A</v>
      </c>
      <c r="HN42" s="223"/>
      <c r="HO42" s="223" t="str">
        <f t="shared" si="108"/>
        <v/>
      </c>
      <c r="HP42" s="223" t="str">
        <f t="shared" si="109"/>
        <v/>
      </c>
      <c r="HQ42" s="223" t="str">
        <f t="shared" si="110"/>
        <v/>
      </c>
      <c r="HR42" s="223" t="str">
        <f t="shared" si="111"/>
        <v/>
      </c>
      <c r="HS42" s="223" t="str">
        <f t="shared" si="112"/>
        <v/>
      </c>
      <c r="HT42" s="223" t="str">
        <f t="shared" si="113"/>
        <v/>
      </c>
      <c r="HU42" s="223" t="str">
        <f t="shared" si="114"/>
        <v/>
      </c>
      <c r="HV42" s="223"/>
      <c r="HW42" s="223"/>
      <c r="HX42" s="223"/>
      <c r="HY42" s="223"/>
      <c r="HZ42" s="223" t="e">
        <f t="shared" si="115"/>
        <v>#N/A</v>
      </c>
      <c r="IA42" s="577" t="e">
        <f>IF(GW42&gt;100,"",IF(GW42&gt;=DP$1,"sangat baik dalam "&amp;HZ42,IF(GW42&gt;=DP$2,"baik dalam "&amp;HZ42,IF(GW42&gt;=DP$3,"cukup dalam "&amp;HZ42,IF(GW42&lt;DP$3,"dengan bimbingan dapat meningkatkan dalam "&amp;HZ42,IF(GW42&lt;1," ",””))))))</f>
        <v>#N/A</v>
      </c>
      <c r="IB42" s="223" t="e">
        <f t="shared" si="116"/>
        <v>#N/A</v>
      </c>
    </row>
    <row r="43" spans="1:236"/>
    <row r="44" spans="1:236">
      <c r="B44" s="244" t="str">
        <f>"Kompetensi Dasar "&amp;C2&amp;" :"</f>
        <v>Kompetensi Dasar I P S :</v>
      </c>
    </row>
    <row r="45" spans="1:236">
      <c r="A45" s="245" t="str">
        <f>'KDKI-4'!A47</f>
        <v>4.1</v>
      </c>
      <c r="B45" s="334" t="str">
        <f>'KDKI-4'!B47</f>
        <v>menyajikan hasil identifikasi karakteristik geografis Indonesia sebagai negara kepulauan/maritim dan agraris serta pengaruhnya terhadap kehidupan ekonomi, sosial, budaya, komunikasi, serta transportasi.</v>
      </c>
      <c r="C45" s="246"/>
      <c r="D45" s="246"/>
      <c r="E45" s="246"/>
      <c r="F45" s="246"/>
      <c r="G45" s="246"/>
      <c r="H45" s="246"/>
      <c r="I45" s="246"/>
      <c r="J45" s="246"/>
      <c r="K45" s="246"/>
      <c r="L45" s="246"/>
      <c r="M45" s="246"/>
      <c r="N45" s="246"/>
      <c r="O45" s="246"/>
      <c r="P45" s="246"/>
      <c r="Q45" s="246"/>
      <c r="R45" s="246"/>
      <c r="S45" s="246"/>
      <c r="T45" s="246"/>
      <c r="U45" s="246"/>
      <c r="V45" s="246"/>
      <c r="W45" s="246"/>
      <c r="X45" s="246"/>
      <c r="Y45" s="246"/>
      <c r="Z45" s="246"/>
      <c r="AA45" s="246"/>
      <c r="AB45" s="246"/>
      <c r="AC45" s="246"/>
      <c r="AD45" s="246"/>
      <c r="AE45" s="246"/>
      <c r="AF45" s="246"/>
      <c r="AG45" s="246"/>
      <c r="AH45" s="246"/>
      <c r="AI45" s="246"/>
      <c r="AJ45" s="246"/>
      <c r="AK45" s="247"/>
    </row>
    <row r="46" spans="1:236">
      <c r="A46" s="245" t="str">
        <f>'KDKI-4'!A48</f>
        <v>4.2</v>
      </c>
      <c r="B46" s="334" t="str">
        <f>'KDKI-4'!B48</f>
        <v>menyajikan hasil analisis tentang interaksi manusia dengan lingkungan dan pengaruhnya terhadap pembangunan sosial, budaya, dan ekonomi masyarakat Indonesia.</v>
      </c>
      <c r="C46" s="248"/>
      <c r="D46" s="248"/>
      <c r="E46" s="248"/>
      <c r="F46" s="248"/>
      <c r="G46" s="248"/>
      <c r="H46" s="248"/>
      <c r="I46" s="248"/>
      <c r="J46" s="248"/>
      <c r="K46" s="248"/>
      <c r="L46" s="248"/>
      <c r="M46" s="248"/>
      <c r="N46" s="248"/>
      <c r="O46" s="248"/>
      <c r="P46" s="248"/>
      <c r="Q46" s="248"/>
      <c r="R46" s="248"/>
      <c r="S46" s="248"/>
      <c r="T46" s="248"/>
      <c r="U46" s="248"/>
      <c r="V46" s="248"/>
      <c r="W46" s="248"/>
      <c r="X46" s="248"/>
      <c r="Y46" s="248"/>
      <c r="Z46" s="248"/>
      <c r="AA46" s="248"/>
      <c r="AB46" s="248"/>
      <c r="AC46" s="248"/>
      <c r="AD46" s="248"/>
      <c r="AE46" s="248"/>
      <c r="AF46" s="248"/>
      <c r="AG46" s="248"/>
      <c r="AH46" s="248"/>
      <c r="AI46" s="248"/>
      <c r="AJ46" s="248"/>
      <c r="AK46" s="249"/>
    </row>
    <row r="47" spans="1:236">
      <c r="A47" s="245" t="str">
        <f>'KDKI-4'!A49</f>
        <v>4.3</v>
      </c>
      <c r="B47" s="334" t="str">
        <f>'KDKI-4'!B49</f>
        <v>menyajikan hasil analisis tentang peran ekonomi dalam upaya menyejahterakan kehidupan masyarakat di bidang sosial dan budaya untuk memperkuat kesatuan dan persatuan bangsa.</v>
      </c>
      <c r="C47" s="250"/>
      <c r="D47" s="250"/>
      <c r="E47" s="250"/>
      <c r="F47" s="250"/>
      <c r="G47" s="250"/>
      <c r="H47" s="250"/>
      <c r="I47" s="250"/>
      <c r="J47" s="250"/>
      <c r="K47" s="250"/>
      <c r="L47" s="250"/>
      <c r="M47" s="250"/>
      <c r="N47" s="250"/>
      <c r="O47" s="250"/>
      <c r="P47" s="250"/>
      <c r="Q47" s="250"/>
      <c r="R47" s="250"/>
      <c r="S47" s="250"/>
      <c r="T47" s="250"/>
      <c r="U47" s="250"/>
      <c r="V47" s="250"/>
      <c r="W47" s="250"/>
      <c r="X47" s="250"/>
      <c r="Y47" s="250"/>
      <c r="Z47" s="250"/>
      <c r="AA47" s="250"/>
      <c r="AB47" s="250"/>
      <c r="AC47" s="250"/>
      <c r="AD47" s="250"/>
      <c r="AE47" s="250"/>
      <c r="AF47" s="250"/>
      <c r="AG47" s="250"/>
      <c r="AH47" s="250"/>
      <c r="AI47" s="250"/>
      <c r="AJ47" s="250"/>
      <c r="AK47" s="251"/>
    </row>
    <row r="48" spans="1:236">
      <c r="A48" s="245" t="str">
        <f>'KDKI-4'!A50</f>
        <v>4.4</v>
      </c>
      <c r="B48" s="334" t="str">
        <f>'KDKI-4'!B50</f>
        <v>menyajikan hasil identifikasi mengenai faktor-faktor penting penyebab penjajahan bangsa Indonesia dan upaya bangsa Indonesia dalam mempertahankan kedaulatannya.</v>
      </c>
      <c r="C48" s="248"/>
      <c r="D48" s="248"/>
      <c r="E48" s="248"/>
      <c r="F48" s="248"/>
      <c r="G48" s="248"/>
      <c r="H48" s="248"/>
      <c r="I48" s="248"/>
      <c r="J48" s="248"/>
      <c r="K48" s="248"/>
      <c r="L48" s="248"/>
      <c r="M48" s="248"/>
      <c r="N48" s="248"/>
      <c r="O48" s="248"/>
      <c r="P48" s="248"/>
      <c r="Q48" s="248"/>
      <c r="R48" s="248"/>
      <c r="S48" s="248"/>
      <c r="T48" s="248"/>
      <c r="U48" s="248"/>
      <c r="V48" s="248"/>
      <c r="W48" s="248"/>
      <c r="X48" s="248"/>
      <c r="Y48" s="248"/>
      <c r="Z48" s="248"/>
      <c r="AA48" s="248"/>
      <c r="AB48" s="248"/>
      <c r="AC48" s="248"/>
      <c r="AD48" s="248"/>
      <c r="AE48" s="248"/>
      <c r="AF48" s="248"/>
      <c r="AG48" s="248"/>
      <c r="AH48" s="248"/>
      <c r="AI48" s="248"/>
      <c r="AJ48" s="248"/>
      <c r="AK48" s="249"/>
    </row>
    <row r="49" spans="1:37">
      <c r="A49" s="245">
        <f>'KDKI-4'!A51</f>
        <v>0</v>
      </c>
      <c r="B49" s="334">
        <f>'KDKI-4'!B51</f>
        <v>0</v>
      </c>
      <c r="C49" s="250"/>
      <c r="D49" s="250"/>
      <c r="E49" s="250"/>
      <c r="F49" s="250"/>
      <c r="G49" s="250"/>
      <c r="H49" s="250"/>
      <c r="I49" s="250"/>
      <c r="J49" s="250"/>
      <c r="K49" s="250"/>
      <c r="L49" s="250"/>
      <c r="M49" s="250"/>
      <c r="N49" s="250"/>
      <c r="O49" s="250"/>
      <c r="P49" s="250"/>
      <c r="Q49" s="250"/>
      <c r="R49" s="250"/>
      <c r="S49" s="250"/>
      <c r="T49" s="250"/>
      <c r="U49" s="250"/>
      <c r="V49" s="250"/>
      <c r="W49" s="250"/>
      <c r="X49" s="250"/>
      <c r="Y49" s="250"/>
      <c r="Z49" s="250"/>
      <c r="AA49" s="250"/>
      <c r="AB49" s="250"/>
      <c r="AC49" s="250"/>
      <c r="AD49" s="250"/>
      <c r="AE49" s="250"/>
      <c r="AF49" s="250"/>
      <c r="AG49" s="250"/>
      <c r="AH49" s="250"/>
      <c r="AI49" s="250"/>
      <c r="AJ49" s="250"/>
      <c r="AK49" s="251"/>
    </row>
    <row r="50" spans="1:37">
      <c r="A50" s="245">
        <f>'KDKI-4'!A52</f>
        <v>0</v>
      </c>
      <c r="B50" s="334">
        <f>'KDKI-4'!B52</f>
        <v>0</v>
      </c>
      <c r="C50" s="248"/>
      <c r="D50" s="248"/>
      <c r="E50" s="248"/>
      <c r="F50" s="248"/>
      <c r="G50" s="248"/>
      <c r="H50" s="248"/>
      <c r="I50" s="248"/>
      <c r="J50" s="248"/>
      <c r="K50" s="248"/>
      <c r="L50" s="248"/>
      <c r="M50" s="248"/>
      <c r="N50" s="248"/>
      <c r="O50" s="248"/>
      <c r="P50" s="248"/>
      <c r="Q50" s="248"/>
      <c r="R50" s="248"/>
      <c r="S50" s="248"/>
      <c r="T50" s="248"/>
      <c r="U50" s="248"/>
      <c r="V50" s="248"/>
      <c r="W50" s="248"/>
      <c r="X50" s="248"/>
      <c r="Y50" s="248"/>
      <c r="Z50" s="248"/>
      <c r="AA50" s="248"/>
      <c r="AB50" s="248"/>
      <c r="AC50" s="248"/>
      <c r="AD50" s="248"/>
      <c r="AE50" s="248"/>
      <c r="AF50" s="248"/>
      <c r="AG50" s="248"/>
      <c r="AH50" s="248"/>
      <c r="AI50" s="248"/>
      <c r="AJ50" s="248"/>
      <c r="AK50" s="249"/>
    </row>
    <row r="51" spans="1:37">
      <c r="A51" s="245">
        <f>'KDKI-4'!A53</f>
        <v>0</v>
      </c>
      <c r="B51" s="334">
        <f>'KDKI-4'!B53</f>
        <v>0</v>
      </c>
      <c r="C51" s="250"/>
      <c r="D51" s="250"/>
      <c r="E51" s="250"/>
      <c r="F51" s="250"/>
      <c r="G51" s="250"/>
      <c r="H51" s="250"/>
      <c r="I51" s="250"/>
      <c r="J51" s="250"/>
      <c r="K51" s="250"/>
      <c r="L51" s="250"/>
      <c r="M51" s="250"/>
      <c r="N51" s="250"/>
      <c r="O51" s="250"/>
      <c r="P51" s="250"/>
      <c r="Q51" s="250"/>
      <c r="R51" s="250"/>
      <c r="S51" s="250"/>
      <c r="T51" s="250"/>
      <c r="U51" s="250"/>
      <c r="V51" s="250"/>
      <c r="W51" s="250"/>
      <c r="X51" s="250"/>
      <c r="Y51" s="250"/>
      <c r="Z51" s="250"/>
      <c r="AA51" s="250"/>
      <c r="AB51" s="250"/>
      <c r="AC51" s="250"/>
      <c r="AD51" s="250"/>
      <c r="AE51" s="250"/>
      <c r="AF51" s="250"/>
      <c r="AG51" s="250"/>
      <c r="AH51" s="250"/>
      <c r="AI51" s="250"/>
      <c r="AJ51" s="250"/>
      <c r="AK51" s="251"/>
    </row>
    <row r="52" spans="1:37">
      <c r="A52" s="245"/>
      <c r="B52" s="245"/>
      <c r="C52" s="248"/>
      <c r="D52" s="248"/>
      <c r="E52" s="248"/>
      <c r="F52" s="248"/>
      <c r="G52" s="248"/>
      <c r="H52" s="248"/>
      <c r="I52" s="248"/>
      <c r="J52" s="248"/>
      <c r="K52" s="248"/>
      <c r="L52" s="248"/>
      <c r="M52" s="248"/>
      <c r="N52" s="248"/>
      <c r="O52" s="248"/>
      <c r="P52" s="248"/>
      <c r="Q52" s="248"/>
      <c r="R52" s="248"/>
      <c r="S52" s="248"/>
      <c r="T52" s="248"/>
      <c r="U52" s="248"/>
      <c r="V52" s="248"/>
      <c r="W52" s="248"/>
      <c r="X52" s="248"/>
      <c r="Y52" s="248"/>
      <c r="Z52" s="248"/>
      <c r="AA52" s="248"/>
      <c r="AB52" s="248"/>
      <c r="AC52" s="248"/>
      <c r="AD52" s="248"/>
      <c r="AE52" s="248"/>
      <c r="AF52" s="248"/>
      <c r="AG52" s="248"/>
      <c r="AH52" s="248"/>
      <c r="AI52" s="248"/>
      <c r="AJ52" s="248"/>
      <c r="AK52" s="249"/>
    </row>
    <row r="53" spans="1:37">
      <c r="A53" s="252"/>
      <c r="B53" s="336"/>
      <c r="C53" s="250"/>
      <c r="D53" s="250"/>
      <c r="E53" s="250"/>
      <c r="F53" s="250"/>
      <c r="G53" s="250"/>
      <c r="H53" s="250"/>
      <c r="I53" s="250"/>
      <c r="J53" s="250"/>
      <c r="K53" s="250"/>
      <c r="L53" s="250"/>
      <c r="M53" s="250"/>
      <c r="N53" s="250"/>
      <c r="O53" s="250"/>
      <c r="P53" s="250"/>
      <c r="Q53" s="250"/>
      <c r="R53" s="250"/>
      <c r="S53" s="250"/>
      <c r="T53" s="250"/>
      <c r="U53" s="250"/>
      <c r="V53" s="250"/>
      <c r="W53" s="250"/>
      <c r="X53" s="250"/>
      <c r="Y53" s="250"/>
      <c r="Z53" s="250"/>
      <c r="AA53" s="250"/>
      <c r="AB53" s="250"/>
      <c r="AC53" s="250"/>
      <c r="AD53" s="250"/>
      <c r="AE53" s="250"/>
      <c r="AF53" s="250"/>
      <c r="AG53" s="250"/>
      <c r="AH53" s="250"/>
      <c r="AI53" s="250"/>
      <c r="AJ53" s="250"/>
      <c r="AK53" s="251"/>
    </row>
    <row r="54" spans="1:37">
      <c r="A54" s="252"/>
      <c r="B54" s="335"/>
      <c r="C54" s="248"/>
      <c r="D54" s="248"/>
      <c r="E54" s="248"/>
      <c r="F54" s="248"/>
      <c r="G54" s="248"/>
      <c r="H54" s="248"/>
      <c r="I54" s="248"/>
      <c r="J54" s="248"/>
      <c r="K54" s="248"/>
      <c r="L54" s="248"/>
      <c r="M54" s="248"/>
      <c r="N54" s="248"/>
      <c r="O54" s="248"/>
      <c r="P54" s="248"/>
      <c r="Q54" s="248"/>
      <c r="R54" s="248"/>
      <c r="S54" s="248"/>
      <c r="T54" s="248"/>
      <c r="U54" s="248"/>
      <c r="V54" s="248"/>
      <c r="W54" s="248"/>
      <c r="X54" s="248"/>
      <c r="Y54" s="248"/>
      <c r="Z54" s="248"/>
      <c r="AA54" s="248"/>
      <c r="AB54" s="248"/>
      <c r="AC54" s="248"/>
      <c r="AD54" s="248"/>
      <c r="AE54" s="248"/>
      <c r="AF54" s="248"/>
      <c r="AG54" s="248"/>
      <c r="AH54" s="248"/>
      <c r="AI54" s="248"/>
      <c r="AJ54" s="248"/>
      <c r="AK54" s="249"/>
    </row>
    <row r="55" spans="1:37">
      <c r="A55" s="252"/>
      <c r="B55" s="337"/>
      <c r="C55" s="253"/>
      <c r="D55" s="253"/>
      <c r="E55" s="253"/>
      <c r="F55" s="253"/>
      <c r="G55" s="253"/>
      <c r="H55" s="253"/>
      <c r="I55" s="253"/>
      <c r="J55" s="253"/>
      <c r="K55" s="253"/>
      <c r="L55" s="253"/>
      <c r="M55" s="253"/>
      <c r="N55" s="253"/>
      <c r="O55" s="253"/>
      <c r="P55" s="253"/>
      <c r="Q55" s="253"/>
      <c r="R55" s="253"/>
      <c r="S55" s="253"/>
      <c r="T55" s="253"/>
      <c r="U55" s="253"/>
      <c r="V55" s="253"/>
      <c r="W55" s="253"/>
      <c r="X55" s="253"/>
      <c r="Y55" s="253"/>
      <c r="Z55" s="253"/>
      <c r="AA55" s="253"/>
      <c r="AB55" s="253"/>
      <c r="AC55" s="253"/>
      <c r="AD55" s="253"/>
      <c r="AE55" s="253"/>
      <c r="AF55" s="253"/>
      <c r="AG55" s="253"/>
      <c r="AH55" s="253"/>
      <c r="AI55" s="253"/>
      <c r="AJ55" s="253"/>
      <c r="AK55" s="254"/>
    </row>
    <row r="56" spans="1:37"/>
    <row r="57" spans="1:37"/>
    <row r="58" spans="1:37"/>
    <row r="59" spans="1:37"/>
    <row r="60" spans="1:37"/>
    <row r="61" spans="1:37"/>
  </sheetData>
  <sheetProtection password="CA9C" sheet="1" objects="1" scenarios="1" formatCells="0" formatRows="0"/>
  <mergeCells count="91">
    <mergeCell ref="IB6:IB7"/>
    <mergeCell ref="HU6:HU7"/>
    <mergeCell ref="HV6:HV7"/>
    <mergeCell ref="HW6:HW7"/>
    <mergeCell ref="HX6:HX7"/>
    <mergeCell ref="HZ6:HZ7"/>
    <mergeCell ref="HP6:HP7"/>
    <mergeCell ref="HQ6:HQ7"/>
    <mergeCell ref="HR6:HR7"/>
    <mergeCell ref="HS6:HS7"/>
    <mergeCell ref="HT6:HT7"/>
    <mergeCell ref="HJ6:HJ7"/>
    <mergeCell ref="HK6:HK7"/>
    <mergeCell ref="HL6:HL7"/>
    <mergeCell ref="HM6:HM7"/>
    <mergeCell ref="HO6:HO7"/>
    <mergeCell ref="HE6:HE7"/>
    <mergeCell ref="HF6:HF7"/>
    <mergeCell ref="HG6:HG7"/>
    <mergeCell ref="HH6:HH7"/>
    <mergeCell ref="HI6:HI7"/>
    <mergeCell ref="GZ6:GZ7"/>
    <mergeCell ref="HA6:HA7"/>
    <mergeCell ref="HB6:HB7"/>
    <mergeCell ref="HC6:HC7"/>
    <mergeCell ref="HD6:HD7"/>
    <mergeCell ref="GG6:GI7"/>
    <mergeCell ref="GJ6:GJ7"/>
    <mergeCell ref="GK6:GK7"/>
    <mergeCell ref="GL6:GL7"/>
    <mergeCell ref="GX6:GX7"/>
    <mergeCell ref="FZ6:FZ7"/>
    <mergeCell ref="GA6:GC7"/>
    <mergeCell ref="GD6:GD7"/>
    <mergeCell ref="GE6:GE7"/>
    <mergeCell ref="GF6:GF7"/>
    <mergeCell ref="FS6:FS7"/>
    <mergeCell ref="FT6:FT7"/>
    <mergeCell ref="FU6:FW7"/>
    <mergeCell ref="FX6:FX7"/>
    <mergeCell ref="FY6:FY7"/>
    <mergeCell ref="FL6:FL7"/>
    <mergeCell ref="FM6:FM7"/>
    <mergeCell ref="FN6:FN7"/>
    <mergeCell ref="FO6:FQ7"/>
    <mergeCell ref="FR6:FR7"/>
    <mergeCell ref="FC6:FE7"/>
    <mergeCell ref="FF6:FF7"/>
    <mergeCell ref="FG6:FG7"/>
    <mergeCell ref="FH6:FH7"/>
    <mergeCell ref="FI6:FK7"/>
    <mergeCell ref="EV6:EV7"/>
    <mergeCell ref="EW6:EY7"/>
    <mergeCell ref="EZ6:EZ7"/>
    <mergeCell ref="FA6:FA7"/>
    <mergeCell ref="FB6:FB7"/>
    <mergeCell ref="EK6:EK7"/>
    <mergeCell ref="EL6:EU6"/>
    <mergeCell ref="DZ6:DZ7"/>
    <mergeCell ref="DP6:DY6"/>
    <mergeCell ref="EA6:EJ6"/>
    <mergeCell ref="B1:AN1"/>
    <mergeCell ref="C2:Q2"/>
    <mergeCell ref="DM5:DM7"/>
    <mergeCell ref="C6:I6"/>
    <mergeCell ref="J6:P6"/>
    <mergeCell ref="Q6:W6"/>
    <mergeCell ref="X6:AD6"/>
    <mergeCell ref="AE6:AK6"/>
    <mergeCell ref="AL6:AR6"/>
    <mergeCell ref="AS6:AY6"/>
    <mergeCell ref="AZ6:BF6"/>
    <mergeCell ref="BG6:BM6"/>
    <mergeCell ref="AS5:BM5"/>
    <mergeCell ref="BN5:CH5"/>
    <mergeCell ref="DD5:DJ5"/>
    <mergeCell ref="DL5:DL7"/>
    <mergeCell ref="BN6:BT6"/>
    <mergeCell ref="BU6:CA6"/>
    <mergeCell ref="CB6:CH6"/>
    <mergeCell ref="DK5:DK7"/>
    <mergeCell ref="CW6:DC6"/>
    <mergeCell ref="CP6:CV6"/>
    <mergeCell ref="CI6:CO6"/>
    <mergeCell ref="CI5:DC5"/>
    <mergeCell ref="E3:Y3"/>
    <mergeCell ref="A5:A7"/>
    <mergeCell ref="B5:B7"/>
    <mergeCell ref="C5:W5"/>
    <mergeCell ref="X5:AR5"/>
    <mergeCell ref="C4:K4"/>
  </mergeCells>
  <pageMargins left="0.7" right="0.7" top="0.75" bottom="0.75" header="0.3" footer="0.3"/>
  <pageSetup paperSize="256" orientation="portrait" horizontalDpi="4294967294" verticalDpi="4294967294" r:id="rId1"/>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1:T159"/>
  <sheetViews>
    <sheetView showZeros="0" view="pageBreakPreview" zoomScaleSheetLayoutView="100" workbookViewId="0">
      <pane ySplit="6" topLeftCell="A35" activePane="bottomLeft" state="frozen"/>
      <selection pane="bottomLeft" activeCell="B19" sqref="B19:D20"/>
    </sheetView>
  </sheetViews>
  <sheetFormatPr defaultColWidth="0" defaultRowHeight="15" zeroHeight="1"/>
  <cols>
    <col min="1" max="2" width="3.42578125" style="4" customWidth="1"/>
    <col min="3" max="3" width="9.140625" style="4" customWidth="1"/>
    <col min="4" max="4" width="2.7109375" style="4" customWidth="1"/>
    <col min="5" max="5" width="4.140625" style="4" customWidth="1"/>
    <col min="6" max="6" width="1.85546875" style="4" customWidth="1"/>
    <col min="7" max="7" width="3" style="4" customWidth="1"/>
    <col min="8" max="8" width="28" style="4" customWidth="1"/>
    <col min="9" max="9" width="5" style="4" customWidth="1"/>
    <col min="10" max="10" width="5.28515625" style="4" customWidth="1"/>
    <col min="11" max="11" width="8.28515625" style="4" customWidth="1"/>
    <col min="12" max="12" width="3.7109375" style="4" customWidth="1"/>
    <col min="13" max="13" width="13.7109375" style="4" customWidth="1"/>
    <col min="14" max="20" width="9.140625" style="4" customWidth="1"/>
    <col min="21" max="16384" width="9.140625" style="4" hidden="1"/>
  </cols>
  <sheetData>
    <row r="1" spans="1:16" ht="15.75">
      <c r="A1" s="1291" t="s">
        <v>534</v>
      </c>
      <c r="B1" s="1291"/>
      <c r="C1" s="1291"/>
      <c r="D1" s="1291"/>
      <c r="E1" s="1291"/>
      <c r="F1" s="1291"/>
      <c r="G1" s="1291"/>
      <c r="H1" s="1291"/>
      <c r="I1" s="1291"/>
      <c r="J1" s="1291"/>
      <c r="K1" s="1291"/>
      <c r="L1" s="1291"/>
      <c r="M1" s="1291"/>
    </row>
    <row r="2" spans="1:16" ht="15.75" thickBot="1">
      <c r="O2" s="4" t="s">
        <v>255</v>
      </c>
    </row>
    <row r="3" spans="1:16">
      <c r="A3" s="4" t="s">
        <v>10</v>
      </c>
      <c r="D3" s="4" t="s">
        <v>35</v>
      </c>
      <c r="E3" s="4" t="str">
        <f>VLOOKUP(P3,siswa,2,FALSE)</f>
        <v>Tegar Arya Pangestu</v>
      </c>
      <c r="J3" s="4" t="s">
        <v>36</v>
      </c>
      <c r="L3" s="592" t="s">
        <v>35</v>
      </c>
      <c r="M3" s="593" t="str">
        <f>MENU!N20</f>
        <v>V ( Lima )</v>
      </c>
      <c r="P3" s="1056">
        <v>15</v>
      </c>
    </row>
    <row r="4" spans="1:16" ht="15.75" thickBot="1">
      <c r="A4" s="4" t="s">
        <v>535</v>
      </c>
      <c r="D4" s="4" t="s">
        <v>35</v>
      </c>
      <c r="E4" s="626" t="str">
        <f>VLOOKUP(P$3,siswa,4,FALSE)&amp;" / "&amp;VLOOKUP(P$3,siswa,3,TRUE)</f>
        <v>0158891388 / 1270</v>
      </c>
      <c r="F4" s="626"/>
      <c r="G4" s="592"/>
      <c r="J4" s="4" t="s">
        <v>37</v>
      </c>
      <c r="L4" s="592" t="s">
        <v>35</v>
      </c>
      <c r="M4" s="593" t="str">
        <f>MENU!N21</f>
        <v>1 ( satu )</v>
      </c>
      <c r="P4" s="1057"/>
    </row>
    <row r="5" spans="1:16">
      <c r="A5" s="4" t="s">
        <v>214</v>
      </c>
      <c r="D5" s="4" t="s">
        <v>35</v>
      </c>
      <c r="E5" s="4" t="str">
        <f>MENU!M7</f>
        <v>SD MUHAMMADIYAH BENDO</v>
      </c>
      <c r="J5" s="4" t="s">
        <v>38</v>
      </c>
      <c r="L5" s="592" t="s">
        <v>35</v>
      </c>
      <c r="M5" s="593" t="str">
        <f>MENU!N22</f>
        <v>2019/2020</v>
      </c>
    </row>
    <row r="6" spans="1:16">
      <c r="A6" s="4" t="s">
        <v>215</v>
      </c>
      <c r="D6" s="4" t="s">
        <v>35</v>
      </c>
      <c r="E6" s="4" t="str">
        <f>MENU!M8</f>
        <v>Pranan, Banjaroyo, Kalibawang, Kulon Progo</v>
      </c>
    </row>
    <row r="7" spans="1:16"/>
    <row r="8" spans="1:16" ht="15.75">
      <c r="A8" s="594" t="s">
        <v>216</v>
      </c>
      <c r="B8" s="594" t="s">
        <v>217</v>
      </c>
    </row>
    <row r="9" spans="1:16">
      <c r="A9" s="595" t="s">
        <v>55</v>
      </c>
      <c r="B9" s="1292" t="s">
        <v>57</v>
      </c>
      <c r="C9" s="1293"/>
      <c r="D9" s="1293"/>
      <c r="E9" s="1293"/>
      <c r="F9" s="1293"/>
      <c r="G9" s="1293"/>
      <c r="H9" s="1293"/>
      <c r="I9" s="1293"/>
      <c r="J9" s="1293"/>
      <c r="K9" s="1293"/>
      <c r="L9" s="1293"/>
      <c r="M9" s="1294"/>
    </row>
    <row r="10" spans="1:16" ht="15" customHeight="1">
      <c r="A10" s="1315">
        <v>1</v>
      </c>
      <c r="B10" s="1306" t="s">
        <v>261</v>
      </c>
      <c r="C10" s="1307"/>
      <c r="D10" s="1307"/>
      <c r="E10" s="1308"/>
      <c r="F10" s="1272" t="str">
        <f>VLOOKUP(P$3,N,5,FALSE)</f>
        <v xml:space="preserve">Ananda Tegar baik dalam ketaatan beribadah, perilaku bersyukur, berdoa sebelum dan sesudah melakukan kegiatan, toleransi dalam beribadah, </v>
      </c>
      <c r="G10" s="1273"/>
      <c r="H10" s="1273"/>
      <c r="I10" s="1273"/>
      <c r="J10" s="1273"/>
      <c r="K10" s="1273"/>
      <c r="L10" s="1273"/>
      <c r="M10" s="1274"/>
    </row>
    <row r="11" spans="1:16">
      <c r="A11" s="1316"/>
      <c r="B11" s="1309"/>
      <c r="C11" s="1310"/>
      <c r="D11" s="1310"/>
      <c r="E11" s="1311"/>
      <c r="F11" s="1275"/>
      <c r="G11" s="1276"/>
      <c r="H11" s="1276"/>
      <c r="I11" s="1276"/>
      <c r="J11" s="1276"/>
      <c r="K11" s="1276"/>
      <c r="L11" s="1276"/>
      <c r="M11" s="1277"/>
    </row>
    <row r="12" spans="1:16">
      <c r="A12" s="1317"/>
      <c r="B12" s="1312"/>
      <c r="C12" s="1313"/>
      <c r="D12" s="1313"/>
      <c r="E12" s="1314"/>
      <c r="F12" s="1275"/>
      <c r="G12" s="1276"/>
      <c r="H12" s="1276"/>
      <c r="I12" s="1276"/>
      <c r="J12" s="1276"/>
      <c r="K12" s="1276"/>
      <c r="L12" s="1276"/>
      <c r="M12" s="1277"/>
    </row>
    <row r="13" spans="1:16">
      <c r="A13" s="1315">
        <v>2</v>
      </c>
      <c r="B13" s="1306" t="s">
        <v>262</v>
      </c>
      <c r="C13" s="1307"/>
      <c r="D13" s="1307"/>
      <c r="E13" s="1308"/>
      <c r="F13" s="1272" t="str">
        <f>VLOOKUP($P$3,N,6,FALSE)</f>
        <v xml:space="preserve">Ananda Tegar baik dalam sikap jujur, disiplin, tanggung jawab, sopan santun, kerja sama, </v>
      </c>
      <c r="G13" s="1273"/>
      <c r="H13" s="1273"/>
      <c r="I13" s="1273"/>
      <c r="J13" s="1273"/>
      <c r="K13" s="1273"/>
      <c r="L13" s="1273"/>
      <c r="M13" s="1274"/>
    </row>
    <row r="14" spans="1:16">
      <c r="A14" s="1316"/>
      <c r="B14" s="1309"/>
      <c r="C14" s="1310"/>
      <c r="D14" s="1310"/>
      <c r="E14" s="1311"/>
      <c r="F14" s="1275"/>
      <c r="G14" s="1276"/>
      <c r="H14" s="1276"/>
      <c r="I14" s="1276"/>
      <c r="J14" s="1276"/>
      <c r="K14" s="1276"/>
      <c r="L14" s="1276"/>
      <c r="M14" s="1277"/>
    </row>
    <row r="15" spans="1:16">
      <c r="A15" s="1317"/>
      <c r="B15" s="1312"/>
      <c r="C15" s="1313"/>
      <c r="D15" s="1313"/>
      <c r="E15" s="1314"/>
      <c r="F15" s="1278"/>
      <c r="G15" s="1279"/>
      <c r="H15" s="1279"/>
      <c r="I15" s="1279"/>
      <c r="J15" s="1279"/>
      <c r="K15" s="1279"/>
      <c r="L15" s="1279"/>
      <c r="M15" s="1280"/>
    </row>
    <row r="16" spans="1:16"/>
    <row r="17" spans="1:13" ht="15.75">
      <c r="A17" s="594" t="s">
        <v>218</v>
      </c>
      <c r="B17" s="594" t="s">
        <v>219</v>
      </c>
    </row>
    <row r="18" spans="1:13" ht="15.75">
      <c r="A18" s="594"/>
      <c r="B18" s="146" t="s">
        <v>470</v>
      </c>
      <c r="H18" s="153" t="str">
        <f>" : " &amp;KKM!C27</f>
        <v xml:space="preserve"> : 75</v>
      </c>
    </row>
    <row r="19" spans="1:13">
      <c r="A19" s="1295" t="s">
        <v>55</v>
      </c>
      <c r="B19" s="1295" t="s">
        <v>220</v>
      </c>
      <c r="C19" s="1297"/>
      <c r="D19" s="1298"/>
      <c r="E19" s="1301" t="s">
        <v>221</v>
      </c>
      <c r="F19" s="1301"/>
      <c r="G19" s="1301"/>
      <c r="H19" s="1301"/>
      <c r="I19" s="1301" t="s">
        <v>222</v>
      </c>
      <c r="J19" s="1301"/>
      <c r="K19" s="1301"/>
      <c r="L19" s="1301"/>
      <c r="M19" s="1301"/>
    </row>
    <row r="20" spans="1:13" ht="25.5">
      <c r="A20" s="1296"/>
      <c r="B20" s="1296"/>
      <c r="C20" s="1299"/>
      <c r="D20" s="1300"/>
      <c r="E20" s="596" t="s">
        <v>223</v>
      </c>
      <c r="F20" s="1270" t="s">
        <v>62</v>
      </c>
      <c r="G20" s="1271"/>
      <c r="H20" s="596" t="s">
        <v>57</v>
      </c>
      <c r="I20" s="596" t="s">
        <v>223</v>
      </c>
      <c r="J20" s="596" t="s">
        <v>62</v>
      </c>
      <c r="K20" s="1270" t="s">
        <v>57</v>
      </c>
      <c r="L20" s="1302"/>
      <c r="M20" s="1271"/>
    </row>
    <row r="21" spans="1:13">
      <c r="A21" s="717" t="s">
        <v>216</v>
      </c>
      <c r="B21" s="719" t="s">
        <v>513</v>
      </c>
      <c r="C21" s="689"/>
      <c r="D21" s="690"/>
      <c r="E21" s="718"/>
      <c r="F21" s="686"/>
      <c r="G21" s="688"/>
      <c r="H21" s="718"/>
      <c r="I21" s="718"/>
      <c r="J21" s="718"/>
      <c r="K21" s="686"/>
      <c r="L21" s="687"/>
      <c r="M21" s="688"/>
    </row>
    <row r="22" spans="1:13" ht="17.25" customHeight="1">
      <c r="A22" s="597">
        <v>1</v>
      </c>
      <c r="B22" s="720" t="s">
        <v>284</v>
      </c>
      <c r="C22" s="721"/>
      <c r="D22" s="722"/>
      <c r="E22" s="597"/>
      <c r="F22" s="720"/>
      <c r="G22" s="722"/>
      <c r="H22" s="599"/>
      <c r="I22" s="599"/>
      <c r="J22" s="597"/>
      <c r="K22" s="723"/>
      <c r="L22" s="724"/>
      <c r="M22" s="725"/>
    </row>
    <row r="23" spans="1:13" ht="121.5" customHeight="1">
      <c r="A23" s="597"/>
      <c r="B23" s="589" t="s">
        <v>231</v>
      </c>
      <c r="C23" s="1246" t="s">
        <v>408</v>
      </c>
      <c r="D23" s="1247"/>
      <c r="E23" s="597" t="e">
        <f>VLOOKUP(P$3,x,5,FALSE)</f>
        <v>#REF!</v>
      </c>
      <c r="F23" s="1242" t="e">
        <f>VLOOKUP($P$3,x,6,FALSE)</f>
        <v>#REF!</v>
      </c>
      <c r="G23" s="1243"/>
      <c r="H23" s="598" t="e">
        <f>VLOOKUP($P$3,N,7,FALSE)</f>
        <v>#REF!</v>
      </c>
      <c r="I23" s="599" t="e">
        <f>VLOOKUP($P$3,x,38,FALSE)</f>
        <v>#REF!</v>
      </c>
      <c r="J23" s="597" t="e">
        <f>VLOOKUP($P$3,x,39,FALSE)</f>
        <v>#REF!</v>
      </c>
      <c r="K23" s="1281" t="e">
        <f>VLOOKUP($P$3,N,22,FALSE)</f>
        <v>#REF!</v>
      </c>
      <c r="L23" s="1282"/>
      <c r="M23" s="1283"/>
    </row>
    <row r="24" spans="1:13" ht="99.95" customHeight="1">
      <c r="A24" s="600"/>
      <c r="B24" s="590" t="s">
        <v>233</v>
      </c>
      <c r="C24" s="1246" t="s">
        <v>409</v>
      </c>
      <c r="D24" s="1247"/>
      <c r="E24" s="597" t="e">
        <f>VLOOKUP(P$3,x,7,FALSE)</f>
        <v>#REF!</v>
      </c>
      <c r="F24" s="1242" t="e">
        <f>VLOOKUP($P$3,x,8,FALSE)</f>
        <v>#REF!</v>
      </c>
      <c r="G24" s="1243"/>
      <c r="H24" s="598" t="e">
        <f>VLOOKUP($P$3,N,8,FALSE)</f>
        <v>#REF!</v>
      </c>
      <c r="I24" s="599" t="e">
        <f>VLOOKUP($P$3,x,40,FALSE)</f>
        <v>#REF!</v>
      </c>
      <c r="J24" s="597" t="e">
        <f>VLOOKUP($P$3,x,41,FALSE)</f>
        <v>#REF!</v>
      </c>
      <c r="K24" s="1281" t="e">
        <f>VLOOKUP($P$3,N,23,FALSE)</f>
        <v>#REF!</v>
      </c>
      <c r="L24" s="1282"/>
      <c r="M24" s="1283"/>
    </row>
    <row r="25" spans="1:13" ht="99.95" customHeight="1">
      <c r="A25" s="600"/>
      <c r="B25" s="591" t="s">
        <v>424</v>
      </c>
      <c r="C25" s="1246" t="s">
        <v>410</v>
      </c>
      <c r="D25" s="1247"/>
      <c r="E25" s="601" t="e">
        <f>VLOOKUP(P$3,x,9,FALSE)</f>
        <v>#REF!</v>
      </c>
      <c r="F25" s="1244" t="e">
        <f>VLOOKUP($P$3,x,10,FALSE)</f>
        <v>#REF!</v>
      </c>
      <c r="G25" s="1245"/>
      <c r="H25" s="602" t="e">
        <f>VLOOKUP($P$3,N,9,FALSE)</f>
        <v>#REF!</v>
      </c>
      <c r="I25" s="603" t="e">
        <f>VLOOKUP($P$3,x,42,FALSE)</f>
        <v>#REF!</v>
      </c>
      <c r="J25" s="601" t="e">
        <f>VLOOKUP($P$3,x,43,FALSE)</f>
        <v>#REF!</v>
      </c>
      <c r="K25" s="1285" t="e">
        <f>VLOOKUP($P$3,N,24,FALSE)</f>
        <v>#REF!</v>
      </c>
      <c r="L25" s="1286"/>
      <c r="M25" s="1287"/>
    </row>
    <row r="26" spans="1:13" ht="99.95" customHeight="1">
      <c r="A26" s="604"/>
      <c r="B26" s="591" t="s">
        <v>425</v>
      </c>
      <c r="C26" s="1246" t="s">
        <v>426</v>
      </c>
      <c r="D26" s="1247"/>
      <c r="E26" s="601" t="e">
        <f>VLOOKUP(P$3,x,11,FALSE)</f>
        <v>#REF!</v>
      </c>
      <c r="F26" s="1244" t="e">
        <f>VLOOKUP($P$3,x,12,FALSE)</f>
        <v>#REF!</v>
      </c>
      <c r="G26" s="1245"/>
      <c r="H26" s="602" t="e">
        <f>VLOOKUP($P$3,N,10,FALSE)</f>
        <v>#REF!</v>
      </c>
      <c r="I26" s="603" t="e">
        <f>VLOOKUP($P$3,x,44,FALSE)</f>
        <v>#REF!</v>
      </c>
      <c r="J26" s="601" t="e">
        <f>VLOOKUP($P$3,x,45,FALSE)</f>
        <v>#REF!</v>
      </c>
      <c r="K26" s="1285" t="e">
        <f>VLOOKUP($P$3,N,25,FALSE)</f>
        <v>#REF!</v>
      </c>
      <c r="L26" s="1286"/>
      <c r="M26" s="1287"/>
    </row>
    <row r="27" spans="1:13" ht="99.95" customHeight="1">
      <c r="A27" s="597"/>
      <c r="B27" s="591" t="s">
        <v>427</v>
      </c>
      <c r="C27" s="1246" t="s">
        <v>411</v>
      </c>
      <c r="D27" s="1247"/>
      <c r="E27" s="601" t="e">
        <f>VLOOKUP(P$3,x,13,FALSE)</f>
        <v>#REF!</v>
      </c>
      <c r="F27" s="1244" t="e">
        <f>VLOOKUP($P$3,x,14,FALSE)</f>
        <v>#REF!</v>
      </c>
      <c r="G27" s="1245"/>
      <c r="H27" s="602" t="e">
        <f>VLOOKUP($P$3,N,11,FALSE)</f>
        <v>#REF!</v>
      </c>
      <c r="I27" s="603" t="e">
        <f>VLOOKUP($P$3,x,46,FALSE)</f>
        <v>#REF!</v>
      </c>
      <c r="J27" s="601" t="e">
        <f>VLOOKUP($P$3,x,47,FALSE)</f>
        <v>#REF!</v>
      </c>
      <c r="K27" s="1285" t="e">
        <f>VLOOKUP($P$3,N,26,FALSE)</f>
        <v>#REF!</v>
      </c>
      <c r="L27" s="1286"/>
      <c r="M27" s="1287"/>
    </row>
    <row r="28" spans="1:13" ht="99.95" customHeight="1">
      <c r="A28" s="601">
        <v>2</v>
      </c>
      <c r="B28" s="1321" t="s">
        <v>428</v>
      </c>
      <c r="C28" s="1246"/>
      <c r="D28" s="1247"/>
      <c r="E28" s="601" t="e">
        <f>VLOOKUP(P$3,x,15,FALSE)</f>
        <v>#REF!</v>
      </c>
      <c r="F28" s="1244" t="e">
        <f>VLOOKUP($P$3,x,16,FALSE)</f>
        <v>#REF!</v>
      </c>
      <c r="G28" s="1245"/>
      <c r="H28" s="602" t="e">
        <f>VLOOKUP($P$3,N,12,FALSE)</f>
        <v>#REF!</v>
      </c>
      <c r="I28" s="603" t="e">
        <f>VLOOKUP($P$3,x,48,FALSE)</f>
        <v>#REF!</v>
      </c>
      <c r="J28" s="601" t="e">
        <f>VLOOKUP($P$3,x,49,FALSE)</f>
        <v>#REF!</v>
      </c>
      <c r="K28" s="1285" t="e">
        <f>VLOOKUP($P$3,N,27,FALSE)</f>
        <v>#REF!</v>
      </c>
      <c r="L28" s="1286"/>
      <c r="M28" s="1287"/>
    </row>
    <row r="29" spans="1:13" ht="203.25" customHeight="1">
      <c r="A29" s="601">
        <v>3</v>
      </c>
      <c r="B29" s="1321" t="s">
        <v>429</v>
      </c>
      <c r="C29" s="1246"/>
      <c r="D29" s="1247"/>
      <c r="E29" s="597" t="e">
        <f>VLOOKUP(P$3,x,17,FALSE)</f>
        <v>#REF!</v>
      </c>
      <c r="F29" s="1242" t="e">
        <f>VLOOKUP($P$3,x,18,FALSE)</f>
        <v>#REF!</v>
      </c>
      <c r="G29" s="1243"/>
      <c r="H29" s="598" t="e">
        <f>VLOOKUP($P$3,N,13,FALSE)</f>
        <v>#REF!</v>
      </c>
      <c r="I29" s="599" t="e">
        <f>VLOOKUP($P$3,x,50,FALSE)</f>
        <v>#REF!</v>
      </c>
      <c r="J29" s="597" t="e">
        <f>VLOOKUP($P$3,x,51,FALSE)</f>
        <v>#REF!</v>
      </c>
      <c r="K29" s="1281" t="e">
        <f>VLOOKUP($P$3,N,28,FALSE)</f>
        <v>#REF!</v>
      </c>
      <c r="L29" s="1282"/>
      <c r="M29" s="1283"/>
    </row>
    <row r="30" spans="1:13" ht="135" customHeight="1">
      <c r="A30" s="604">
        <v>4</v>
      </c>
      <c r="B30" s="1318" t="s">
        <v>224</v>
      </c>
      <c r="C30" s="1319"/>
      <c r="D30" s="1320"/>
      <c r="E30" s="599">
        <f>VLOOKUP($P$3,x,19,FALSE)</f>
        <v>84</v>
      </c>
      <c r="F30" s="1242" t="str">
        <f>VLOOKUP($P$3,x,20,FALSE)</f>
        <v>B</v>
      </c>
      <c r="G30" s="1243"/>
      <c r="H30" s="598" t="str">
        <f>VLOOKUP($P$3,N,14,FALSE)</f>
        <v>Ananda Tegar  baik dalam menelaah keberagaman sosial budaya masyarakat, cukup dalam menggali manfaat persatuan dan kesatuan untuk membangun kerukunan hidup</v>
      </c>
      <c r="I30" s="599">
        <f>VLOOKUP($P$3,x,52,FALSE)</f>
        <v>85</v>
      </c>
      <c r="J30" s="597" t="str">
        <f>VLOOKUP($P$3,x,53,FALSE)</f>
        <v>B</v>
      </c>
      <c r="K30" s="1281" t="str">
        <f>VLOOKUP($P$3,N,29,FALSE)</f>
        <v>Ananda Tegar baik dalam menjelaskan hak, kewajiban, dan tanggung jawab sebagai warga masyarakat dalam kehidupan sehari-hari, cukup dalam menyajikan hasil identifikasi nilai-nilai Pancasila dalam kehidupan sehari-hari.</v>
      </c>
      <c r="L30" s="1282"/>
      <c r="M30" s="1283"/>
    </row>
    <row r="31" spans="1:13" ht="150" customHeight="1">
      <c r="A31" s="601">
        <v>5</v>
      </c>
      <c r="B31" s="1303" t="s">
        <v>225</v>
      </c>
      <c r="C31" s="1304"/>
      <c r="D31" s="1305"/>
      <c r="E31" s="599">
        <f>VLOOKUP($P$3,x,21,FALSE)</f>
        <v>83</v>
      </c>
      <c r="F31" s="1242" t="str">
        <f>VLOOKUP($P$3,x,22,FALSE)</f>
        <v>B</v>
      </c>
      <c r="G31" s="1243"/>
      <c r="H31" s="598" t="str">
        <f>VLOOKUP($P$3,N,15,FALSE)</f>
        <v>Ananda Tegar baik dalam menentukan pokok pikiran dalam teks lisan dan tulis, cukup dalam mengklasifikasi informasi yang didapat dari buku ke dalam aspek: apa, di mana, kapan, siapa, mengapa, dan bagaimana</v>
      </c>
      <c r="I31" s="599">
        <f>VLOOKUP($P$3,x,54,FALSE)</f>
        <v>85</v>
      </c>
      <c r="J31" s="597" t="str">
        <f>VLOOKUP($P$3,x,55,FALSE)</f>
        <v>B</v>
      </c>
      <c r="K31" s="1281" t="str">
        <f>VLOOKUP($P$3,N,30,FALSE)</f>
        <v>Ananda Tegar baik dalam menyajikan konsep-konsep yang saling berkaitan pada teks nonfiksi ke dalam tulisan dengan bahasa sendiri, baik dalam memeragakan kembali informasi yang disampaikan paparan iklan dari media cetak atau elektronik dengan bantuan lisan, tulis, dan visual.</v>
      </c>
      <c r="L31" s="1282"/>
      <c r="M31" s="1283"/>
    </row>
    <row r="32" spans="1:13" ht="150" customHeight="1">
      <c r="A32" s="601">
        <v>6</v>
      </c>
      <c r="B32" s="1321" t="s">
        <v>226</v>
      </c>
      <c r="C32" s="1246"/>
      <c r="D32" s="1247"/>
      <c r="E32" s="603">
        <f>VLOOKUP($P$3,x,23,FALSE)</f>
        <v>79</v>
      </c>
      <c r="F32" s="1244" t="str">
        <f>VLOOKUP($P$3,x,24,FALSE)</f>
        <v>C</v>
      </c>
      <c r="G32" s="1245"/>
      <c r="H32" s="602" t="str">
        <f>VLOOKUP($P$3,N,16,FALSE)</f>
        <v>Ananda Tegar cukup dalam menjelaskan skala melalui denah, cukup dalam menjelaskan dan melakukan penjumlahan dan pengurangan dua pecahan dengan penyebut berbeda.</v>
      </c>
      <c r="I32" s="603">
        <f>VLOOKUP($P$3,x,56,FALSE)</f>
        <v>79</v>
      </c>
      <c r="J32" s="601" t="str">
        <f>VLOOKUP($P$3,x,57,FALSE)</f>
        <v>C</v>
      </c>
      <c r="K32" s="1285" t="str">
        <f>VLOOKUP($P$3,N,31,FALSE)</f>
        <v>Ananda Tegar baik dalam menyelesaikan masalah yang berkaitan dengan skala pada denah, cukup dalam menyelesaikan masalah yang berkaitan dengan perkalian dan pembagian pecahan dan desimal.</v>
      </c>
      <c r="L32" s="1286"/>
      <c r="M32" s="1287"/>
    </row>
    <row r="33" spans="1:13" ht="177" customHeight="1">
      <c r="A33" s="601">
        <v>7</v>
      </c>
      <c r="B33" s="1303" t="s">
        <v>227</v>
      </c>
      <c r="C33" s="1304"/>
      <c r="D33" s="1305"/>
      <c r="E33" s="599">
        <f>VLOOKUP($P$3,x,25,FALSE)</f>
        <v>83</v>
      </c>
      <c r="F33" s="1242" t="str">
        <f>VLOOKUP($P$3,x,26,FALSE)</f>
        <v>B</v>
      </c>
      <c r="G33" s="1243"/>
      <c r="H33" s="598" t="str">
        <f>VLOOKUP($P$3,N,17,FALSE)</f>
        <v>Ananda Tegar baik dalam menjelaskan organ pencernaan dan fungsinya pada hewan dan manusia serta cara memelihara kesehatan organ pencernaan manusia, cukup dalam menjelaskan organ peredaran darah dan fungsinya pada hewan dan manusia serta cara memelihara kesehatan organ peredaran darah manusia</v>
      </c>
      <c r="I33" s="599">
        <f>VLOOKUP($P$3,x,58,FALSE)</f>
        <v>85</v>
      </c>
      <c r="J33" s="597" t="str">
        <f>VLOOKUP($P$3,x,59,FALSE)</f>
        <v>B</v>
      </c>
      <c r="K33" s="1281" t="str">
        <f>VLOOKUP($P$3,N,32,FALSE)</f>
        <v>Ananda Tegar baik dalam membuat model sederhana organ pernapasan manusia, cukup dalam menyajikan karya tentang organ peredaran darah pada manusia.</v>
      </c>
      <c r="L33" s="1282"/>
      <c r="M33" s="1283"/>
    </row>
    <row r="34" spans="1:13" ht="237.75" customHeight="1">
      <c r="A34" s="601">
        <v>8</v>
      </c>
      <c r="B34" s="1303" t="s">
        <v>283</v>
      </c>
      <c r="C34" s="1304"/>
      <c r="D34" s="1305"/>
      <c r="E34" s="599">
        <f>VLOOKUP($P$3,x,27,FALSE)</f>
        <v>80</v>
      </c>
      <c r="F34" s="1242" t="str">
        <f>VLOOKUP($P$3,x,28,FALSE)</f>
        <v>C</v>
      </c>
      <c r="G34" s="1243"/>
      <c r="H34" s="598" t="str">
        <f>VLOOKUP($P$3,N,18,FALSE)</f>
        <v xml:space="preserve">Ananda Tegar cukup dalam menganalisis peran ekonomi dalam upaya menyejahterakan kehidupan masyarakat di bidang sosial dan budaya untuk memperkuat kesatuan dan persatuan bangsa., cukup dalam mengidentifikasi karakteristik geografis Indonesia sebagai negara kepulauan/maritim dan agraris serta pengaruhnya terhadap kehidupan ekonomi, sosial, budaya, komunikasi, serta transportasi. </v>
      </c>
      <c r="I34" s="599">
        <f>VLOOKUP($P$3,x,60,FALSE)</f>
        <v>88</v>
      </c>
      <c r="J34" s="597" t="str">
        <f>VLOOKUP($P$3,x,61,FALSE)</f>
        <v>B</v>
      </c>
      <c r="K34" s="1281" t="str">
        <f>VLOOKUP($P$3,N,33,FALSE)</f>
        <v>Ananda Tegar baik dalam menyajikan hasil identifikasi karakteristik geografis Indonesia sebagai negara kepulauan/maritim dan agraris serta pengaruhnya terhadap kehidupan ekonomi, sosial, budaya, komunikasi, serta transportasi., baik dalam menyajikan hasil analisis tentang peran ekonomi dalam upaya menyejahterakan kehidupan masyarakat di bidang sosial dan budaya untuk memperkuat kesatuan dan persatuan bangsa..</v>
      </c>
      <c r="L34" s="1282"/>
      <c r="M34" s="1283"/>
    </row>
    <row r="35" spans="1:13" ht="164.25" customHeight="1">
      <c r="A35" s="601">
        <v>9</v>
      </c>
      <c r="B35" s="1303" t="s">
        <v>228</v>
      </c>
      <c r="C35" s="1304"/>
      <c r="D35" s="1305"/>
      <c r="E35" s="599">
        <f>VLOOKUP($P$3,x,29,FALSE)</f>
        <v>84</v>
      </c>
      <c r="F35" s="1242" t="str">
        <f>VLOOKUP($P$3,x,30,FALSE)</f>
        <v>B</v>
      </c>
      <c r="G35" s="1243"/>
      <c r="H35" s="598" t="str">
        <f>VLOOKUP($P$3,N,19,FALSE)</f>
        <v>Ananda Tegar baik dalam memahami karya seni rupa daerah, cukup dalam memahami gambar cerita</v>
      </c>
      <c r="I35" s="599">
        <f>VLOOKUP($P$3,x,62,FALSE)</f>
        <v>86</v>
      </c>
      <c r="J35" s="597" t="str">
        <f>VLOOKUP($P$3,x,63,FALSE)</f>
        <v>B</v>
      </c>
      <c r="K35" s="1281" t="str">
        <f>VLOOKUP($P$3,N,34,FALSE)</f>
        <v>Ananda Tegar baik dalam mempraktikkan pola lantai pada gerak tari kreasi dearah, cukup dalam membuat gambar cerita.</v>
      </c>
      <c r="L35" s="1282"/>
      <c r="M35" s="1283"/>
    </row>
    <row r="36" spans="1:13" ht="180.75" customHeight="1">
      <c r="A36" s="601">
        <v>10</v>
      </c>
      <c r="B36" s="1321" t="s">
        <v>229</v>
      </c>
      <c r="C36" s="1246"/>
      <c r="D36" s="1247"/>
      <c r="E36" s="603">
        <f>VLOOKUP($P$3,x,31,FALSE)</f>
        <v>83</v>
      </c>
      <c r="F36" s="1244" t="str">
        <f>VLOOKUP($P$3,x,32,FALSE)</f>
        <v>B</v>
      </c>
      <c r="G36" s="1245"/>
      <c r="H36" s="602" t="str">
        <f>VLOOKUP($P$3,N,20,FALSE)</f>
        <v xml:space="preserve">Ananda Tegar baik dalam memahami prosedur aktifitas latihan daya tahan jantung untuk pengembangan kebugaran jasmani, baik dalam memahami kombinasi gerak dasar lokomotor,nonlokomotor dan manipulatif. </v>
      </c>
      <c r="I36" s="603">
        <f>VLOOKUP($P$3,x,64,FALSE)</f>
        <v>83</v>
      </c>
      <c r="J36" s="601" t="str">
        <f>VLOOKUP($P$3,x,65,FALSE)</f>
        <v>B</v>
      </c>
      <c r="K36" s="1285" t="str">
        <f>VLOOKUP($P$3,N,35,FALSE)</f>
        <v>Ananda Tegar baik dalam mempraktikkan kombinasi gerak dasar lokomotor , nonlokomotor dan manipulatif serta baik dalam mempraktikkan aktifitas latihan daya jantung untuk pengembangan kebugaran jasmani.</v>
      </c>
      <c r="L36" s="1286"/>
      <c r="M36" s="1287"/>
    </row>
    <row r="37" spans="1:13" ht="20.25" customHeight="1">
      <c r="A37" s="726" t="s">
        <v>218</v>
      </c>
      <c r="B37" s="1322" t="s">
        <v>230</v>
      </c>
      <c r="C37" s="1323"/>
      <c r="D37" s="1324"/>
      <c r="E37" s="603"/>
      <c r="F37" s="750"/>
      <c r="G37" s="750"/>
      <c r="H37" s="602"/>
      <c r="I37" s="779"/>
      <c r="J37" s="601"/>
      <c r="K37" s="742"/>
      <c r="L37" s="742"/>
      <c r="M37" s="743"/>
    </row>
    <row r="38" spans="1:13" ht="150" customHeight="1">
      <c r="A38" s="604">
        <v>11</v>
      </c>
      <c r="B38" s="608" t="s">
        <v>231</v>
      </c>
      <c r="C38" s="1246" t="s">
        <v>232</v>
      </c>
      <c r="D38" s="1247"/>
      <c r="E38" s="603">
        <f>VLOOKUP($P$3,x,33,FALSE)</f>
        <v>78</v>
      </c>
      <c r="F38" s="1244" t="str">
        <f>VLOOKUP($P$3,x,34,FALSE)</f>
        <v>C</v>
      </c>
      <c r="G38" s="1245"/>
      <c r="H38" s="602" t="str">
        <f>VLOOKUP($P$3,N,21,FALSE)</f>
        <v>Ananda Tegar cukup dalam memahami teks deskriptif tentang peristiwa alam dan adat istiadat., cukup dalam memahami kata dan kalimat beraksara Jawa yang mengandung  pasangan.</v>
      </c>
      <c r="I38" s="603">
        <f>VLOOKUP($P$3,x,66,FALSE)</f>
        <v>82</v>
      </c>
      <c r="J38" s="601" t="str">
        <f>VLOOKUP($P$3,x,67,FALSE)</f>
        <v>C</v>
      </c>
      <c r="K38" s="1285" t="str">
        <f>VLOOKUP($P$3,N,36,FALSE)</f>
        <v>Ananda Tegar baik dalam menyampaikan teks deskriptif tentang peristiwa alam dan adat istiadat., cukup dalam menceritakan wayang (Ramayana), pakaian tradisional, dan gamelan..</v>
      </c>
      <c r="L38" s="1286"/>
      <c r="M38" s="1287"/>
    </row>
    <row r="39" spans="1:13" ht="15" hidden="1" customHeight="1">
      <c r="A39" s="609"/>
      <c r="B39" s="610" t="s">
        <v>233</v>
      </c>
      <c r="C39" s="1248"/>
      <c r="D39" s="1249"/>
      <c r="E39" s="597"/>
      <c r="F39" s="611"/>
      <c r="G39" s="611"/>
      <c r="H39" s="612"/>
      <c r="I39" s="309"/>
      <c r="J39" s="613"/>
      <c r="K39" s="614"/>
      <c r="L39" s="614"/>
      <c r="M39" s="615"/>
    </row>
    <row r="40" spans="1:13" ht="15" hidden="1" customHeight="1">
      <c r="A40" s="609"/>
      <c r="B40" s="616"/>
      <c r="C40" s="1250"/>
      <c r="D40" s="1251"/>
      <c r="E40" s="600"/>
      <c r="F40" s="605"/>
      <c r="G40" s="605"/>
      <c r="H40" s="617"/>
      <c r="I40" s="67"/>
      <c r="J40" s="618"/>
      <c r="K40" s="606"/>
      <c r="L40" s="606"/>
      <c r="M40" s="607"/>
    </row>
    <row r="41" spans="1:13" ht="5.0999999999999996" hidden="1" customHeight="1">
      <c r="A41" s="619"/>
      <c r="B41" s="620"/>
      <c r="C41" s="1252"/>
      <c r="D41" s="1253"/>
      <c r="E41" s="604"/>
      <c r="F41" s="621"/>
      <c r="G41" s="621"/>
      <c r="H41" s="622"/>
      <c r="I41" s="194"/>
      <c r="J41" s="623"/>
      <c r="K41" s="624"/>
      <c r="L41" s="624"/>
      <c r="M41" s="625"/>
    </row>
    <row r="42" spans="1:13" ht="14.25" customHeight="1">
      <c r="A42" s="626"/>
      <c r="B42" s="592"/>
      <c r="C42" s="627"/>
      <c r="D42" s="627"/>
    </row>
    <row r="43" spans="1:13" ht="20.100000000000001" customHeight="1">
      <c r="A43" s="628" t="s">
        <v>234</v>
      </c>
      <c r="B43" s="629" t="s">
        <v>235</v>
      </c>
      <c r="C43" s="627"/>
      <c r="D43" s="627"/>
    </row>
    <row r="44" spans="1:13" ht="25.5" customHeight="1">
      <c r="A44" s="1267" t="s">
        <v>29</v>
      </c>
      <c r="B44" s="1268"/>
      <c r="C44" s="1270" t="s">
        <v>236</v>
      </c>
      <c r="D44" s="1302"/>
      <c r="E44" s="1302"/>
      <c r="F44" s="1302" t="s">
        <v>62</v>
      </c>
      <c r="G44" s="1271"/>
      <c r="H44" s="1267" t="s">
        <v>99</v>
      </c>
      <c r="I44" s="1284"/>
      <c r="J44" s="1284"/>
      <c r="K44" s="1284"/>
      <c r="L44" s="1284"/>
      <c r="M44" s="1268"/>
    </row>
    <row r="45" spans="1:13" ht="45" customHeight="1">
      <c r="A45" s="1242">
        <v>1</v>
      </c>
      <c r="B45" s="1243"/>
      <c r="C45" s="1333" t="str">
        <f>VLOOKUP($P$3,k,3,FALSE)</f>
        <v>HIZBUL WATHAN</v>
      </c>
      <c r="D45" s="1334"/>
      <c r="E45" s="1334"/>
      <c r="F45" s="1332" t="str">
        <f>VLOOKUP(P$3,k,4,FALSE)</f>
        <v>B</v>
      </c>
      <c r="G45" s="1245"/>
      <c r="H45" s="1272" t="str">
        <f>VLOOKUP($P$3,k,5,FALSE)</f>
        <v>Ananda Tegar baik dalam membuat tali temali, sandi, morse serta mengikuti kegiatan gotong royong membersihkan lingkungan sekolah.</v>
      </c>
      <c r="I45" s="1273"/>
      <c r="J45" s="1273"/>
      <c r="K45" s="1273"/>
      <c r="L45" s="1273"/>
      <c r="M45" s="1274"/>
    </row>
    <row r="46" spans="1:13" ht="45" customHeight="1">
      <c r="A46" s="1242">
        <v>2</v>
      </c>
      <c r="B46" s="1243"/>
      <c r="C46" s="1333" t="str">
        <f>VLOOKUP($P$3,k,6,FALSE)</f>
        <v>TAPAK SUCI</v>
      </c>
      <c r="D46" s="1334"/>
      <c r="E46" s="1334"/>
      <c r="F46" s="1332" t="str">
        <f>VLOOKUP(P$3,k,7,FALSE)</f>
        <v>B</v>
      </c>
      <c r="G46" s="1245"/>
      <c r="H46" s="1272" t="str">
        <f>VLOOKUP($P$3,k,8,FALSE)</f>
        <v>Ananda Tegar baik dalam gerak, tangkisan, hindaran, maupun serangan. Siswa menguasai tata gerak kaki maupun tangan dengan benar.</v>
      </c>
      <c r="I46" s="1273"/>
      <c r="J46" s="1273"/>
      <c r="K46" s="1273"/>
      <c r="L46" s="1273"/>
      <c r="M46" s="1274"/>
    </row>
    <row r="47" spans="1:13" ht="45" customHeight="1">
      <c r="A47" s="1242">
        <v>3</v>
      </c>
      <c r="B47" s="1243"/>
      <c r="C47" s="1333" t="str">
        <f>VLOOKUP($P$3,k,9,FALSE)</f>
        <v>SENI LUKIS</v>
      </c>
      <c r="D47" s="1334"/>
      <c r="E47" s="1334"/>
      <c r="F47" s="1332" t="str">
        <f>VLOOKUP(P$3,k,10,FALSE)</f>
        <v>A</v>
      </c>
      <c r="G47" s="1245"/>
      <c r="H47" s="1272" t="str">
        <f>VLOOKUP($P$3,k,11,FALSE)</f>
        <v>Ananda Tegar sangat baik dalam menggambar objek benda dua dimensi serta dapat mewarnai dengan teknik gradasi dua sampai tiga warna.</v>
      </c>
      <c r="I47" s="1273"/>
      <c r="J47" s="1273"/>
      <c r="K47" s="1273"/>
      <c r="L47" s="1273"/>
      <c r="M47" s="1274"/>
    </row>
    <row r="48" spans="1:13" ht="45" customHeight="1">
      <c r="A48" s="1244">
        <v>4</v>
      </c>
      <c r="B48" s="1245"/>
      <c r="C48" s="1333" t="str">
        <f>VLOOKUP($P$3,k,12,FALSE)</f>
        <v>BAHASA INGGRIS</v>
      </c>
      <c r="D48" s="1334"/>
      <c r="E48" s="1334"/>
      <c r="F48" s="1332" t="str">
        <f>VLOOKUP(P$3,k,13,FALSE)</f>
        <v>B</v>
      </c>
      <c r="G48" s="1245"/>
      <c r="H48" s="1272" t="str">
        <f>VLOOKUP($P$3,k,14,FALSE)</f>
        <v xml:space="preserve">Ananda Tegar  baik menguasai dan memahami Things at School, Part of Body, dan Vocabulary Of Family </v>
      </c>
      <c r="I48" s="1273"/>
      <c r="J48" s="1273"/>
      <c r="K48" s="1273"/>
      <c r="L48" s="1273"/>
      <c r="M48" s="1274"/>
    </row>
    <row r="49" spans="1:13" ht="45" customHeight="1">
      <c r="A49" s="1244">
        <v>5</v>
      </c>
      <c r="B49" s="1245"/>
      <c r="C49" s="1333" t="str">
        <f>VLOOKUP($P$3,k,15,FALSE)</f>
        <v>HADROH</v>
      </c>
      <c r="D49" s="1334"/>
      <c r="E49" s="1334"/>
      <c r="F49" s="1332" t="str">
        <f>VLOOKUP(P$3,k,16,FALSE)</f>
        <v>B</v>
      </c>
      <c r="G49" s="1245"/>
      <c r="H49" s="1272" t="str">
        <f>VLOOKUP($P$3,k,17,FALSE)</f>
        <v>Ananda Tegar baik dalam meningkatkan kreatifitas, rasa kecintaan pada budaya Islam dan menumbuhkan seni dan keagamaan melalui lagu-lagu Islam.</v>
      </c>
      <c r="I49" s="1273"/>
      <c r="J49" s="1273"/>
      <c r="K49" s="1273"/>
      <c r="L49" s="1273"/>
      <c r="M49" s="1274"/>
    </row>
    <row r="50" spans="1:13" ht="45" customHeight="1">
      <c r="A50" s="1244">
        <v>6</v>
      </c>
      <c r="B50" s="1245"/>
      <c r="C50" s="1333" t="str">
        <f>VLOOKUP($P$3,k,18,FALSE)</f>
        <v>KOMPUTER</v>
      </c>
      <c r="D50" s="1334"/>
      <c r="E50" s="1334"/>
      <c r="F50" s="1332" t="str">
        <f>VLOOKUP(P$3,k,19,FALSE)</f>
        <v>B</v>
      </c>
      <c r="G50" s="1245"/>
      <c r="H50" s="1272" t="str">
        <f>VLOOKUP($P$3,k,20,FALSE)</f>
        <v xml:space="preserve">Ananda Tegar baik dalam menguasai Microsof Word dalam mengetik sebuah karangan, bagian- bagian surat, menggambar bentuk dan lain-lain. </v>
      </c>
      <c r="I50" s="1273"/>
      <c r="J50" s="1273"/>
      <c r="K50" s="1273"/>
      <c r="L50" s="1273"/>
      <c r="M50" s="1274"/>
    </row>
    <row r="51" spans="1:13" ht="45" customHeight="1">
      <c r="A51" s="1244">
        <v>7</v>
      </c>
      <c r="B51" s="1245"/>
      <c r="C51" s="1333" t="str">
        <f>VLOOKUP($P$3,k,21,FALSE)</f>
        <v>TPA</v>
      </c>
      <c r="D51" s="1334"/>
      <c r="E51" s="1334"/>
      <c r="F51" s="1332" t="str">
        <f>VLOOKUP(P$3,k,22,FALSE)</f>
        <v>B</v>
      </c>
      <c r="G51" s="1245"/>
      <c r="H51" s="1335" t="str">
        <f>VLOOKUP($P$3,k,23,FALSE)</f>
        <v>Ananda Tegar baik dalam membaca Al Qur'an serta menghafal Surat Al Ghasiyah dan Surat Al A'la serta melafalkan doa sehari-hari.</v>
      </c>
      <c r="I51" s="1335"/>
      <c r="J51" s="1335"/>
      <c r="K51" s="1335"/>
      <c r="L51" s="1335"/>
      <c r="M51" s="1335"/>
    </row>
    <row r="52" spans="1:13" ht="33.75" customHeight="1"/>
    <row r="53" spans="1:13" ht="21.75" customHeight="1">
      <c r="A53" s="594" t="s">
        <v>237</v>
      </c>
      <c r="B53" s="594" t="s">
        <v>238</v>
      </c>
    </row>
    <row r="54" spans="1:13" ht="30" customHeight="1">
      <c r="A54" s="1326" t="str">
        <f>VLOOKUP(P3,s,3,FALSE)</f>
        <v>Tingkatkan prestasimu, lebih giat belajar di rumah!</v>
      </c>
      <c r="B54" s="1327"/>
      <c r="C54" s="1327"/>
      <c r="D54" s="1327"/>
      <c r="E54" s="1327"/>
      <c r="F54" s="1327"/>
      <c r="G54" s="1327"/>
      <c r="H54" s="1327"/>
      <c r="I54" s="1327"/>
      <c r="J54" s="1327"/>
      <c r="K54" s="1327"/>
      <c r="L54" s="1327"/>
      <c r="M54" s="1328"/>
    </row>
    <row r="55" spans="1:13" ht="30" customHeight="1">
      <c r="A55" s="1329"/>
      <c r="B55" s="1330"/>
      <c r="C55" s="1330"/>
      <c r="D55" s="1330"/>
      <c r="E55" s="1330"/>
      <c r="F55" s="1330"/>
      <c r="G55" s="1330"/>
      <c r="H55" s="1330"/>
      <c r="I55" s="1330"/>
      <c r="J55" s="1330"/>
      <c r="K55" s="1330"/>
      <c r="L55" s="1330"/>
      <c r="M55" s="1331"/>
    </row>
    <row r="56" spans="1:13" ht="15" customHeight="1"/>
    <row r="57" spans="1:13" ht="18.75" customHeight="1">
      <c r="A57" s="594" t="s">
        <v>239</v>
      </c>
      <c r="B57" s="594" t="s">
        <v>240</v>
      </c>
    </row>
    <row r="58" spans="1:13">
      <c r="A58" s="1336" t="s">
        <v>55</v>
      </c>
      <c r="B58" s="1336"/>
      <c r="C58" s="1337" t="s">
        <v>241</v>
      </c>
      <c r="D58" s="1338"/>
      <c r="E58" s="1338"/>
      <c r="F58" s="1338"/>
      <c r="G58" s="1338"/>
      <c r="H58" s="1338"/>
      <c r="I58" s="1288" t="s">
        <v>37</v>
      </c>
      <c r="J58" s="1289"/>
      <c r="K58" s="1289"/>
      <c r="L58" s="1290"/>
      <c r="M58" s="188"/>
    </row>
    <row r="59" spans="1:13">
      <c r="A59" s="1336"/>
      <c r="B59" s="1336"/>
      <c r="C59" s="1339"/>
      <c r="D59" s="1340"/>
      <c r="E59" s="1340"/>
      <c r="F59" s="1340"/>
      <c r="G59" s="1340"/>
      <c r="H59" s="1340"/>
      <c r="I59" s="1258">
        <v>1</v>
      </c>
      <c r="J59" s="1259"/>
      <c r="K59" s="1258">
        <v>2</v>
      </c>
      <c r="L59" s="1260"/>
      <c r="M59" s="31"/>
    </row>
    <row r="60" spans="1:13" ht="18" customHeight="1">
      <c r="A60" s="1269">
        <v>1</v>
      </c>
      <c r="B60" s="1269"/>
      <c r="C60" s="309" t="s">
        <v>242</v>
      </c>
      <c r="D60" s="309"/>
      <c r="E60" s="309"/>
      <c r="F60" s="309"/>
      <c r="G60" s="309"/>
      <c r="H60" s="309"/>
      <c r="I60" s="630">
        <f>VLOOKUP($P$3,fisik,3,FALSE)</f>
        <v>134</v>
      </c>
      <c r="J60" s="631" t="s">
        <v>243</v>
      </c>
      <c r="K60" s="630">
        <f>VLOOKUP($P$3,fisik,4,FALSE)</f>
        <v>0</v>
      </c>
      <c r="L60" s="632" t="s">
        <v>243</v>
      </c>
      <c r="M60" s="67"/>
    </row>
    <row r="61" spans="1:13" ht="18" customHeight="1">
      <c r="A61" s="1269">
        <v>2</v>
      </c>
      <c r="B61" s="1269"/>
      <c r="C61" s="633" t="s">
        <v>285</v>
      </c>
      <c r="D61" s="634"/>
      <c r="E61" s="634"/>
      <c r="F61" s="634"/>
      <c r="G61" s="634"/>
      <c r="H61" s="634"/>
      <c r="I61" s="630">
        <f>VLOOKUP($P$3,fisik,5,FALSE)</f>
        <v>46</v>
      </c>
      <c r="J61" s="631" t="s">
        <v>244</v>
      </c>
      <c r="K61" s="630">
        <f>VLOOKUP($P$3,fisik,6,FALSE)</f>
        <v>0</v>
      </c>
      <c r="L61" s="632" t="s">
        <v>244</v>
      </c>
      <c r="M61" s="67"/>
    </row>
    <row r="62" spans="1:13" ht="25.5" customHeight="1">
      <c r="B62" s="67"/>
      <c r="C62" s="67"/>
      <c r="D62" s="67"/>
      <c r="E62" s="67"/>
      <c r="F62" s="67"/>
      <c r="G62" s="67"/>
      <c r="H62" s="67"/>
      <c r="I62" s="31"/>
      <c r="J62" s="31"/>
      <c r="K62" s="31"/>
      <c r="L62" s="67"/>
      <c r="M62" s="67"/>
    </row>
    <row r="63" spans="1:13" ht="23.25" customHeight="1">
      <c r="A63" s="594" t="s">
        <v>245</v>
      </c>
      <c r="B63" s="594" t="s">
        <v>246</v>
      </c>
    </row>
    <row r="64" spans="1:13" ht="20.100000000000001" customHeight="1">
      <c r="A64" s="1325" t="s">
        <v>55</v>
      </c>
      <c r="B64" s="1325"/>
      <c r="C64" s="1259" t="s">
        <v>247</v>
      </c>
      <c r="D64" s="1259"/>
      <c r="E64" s="1259"/>
      <c r="F64" s="1259"/>
      <c r="G64" s="1260"/>
      <c r="H64" s="1258" t="s">
        <v>99</v>
      </c>
      <c r="I64" s="1259"/>
      <c r="J64" s="1259"/>
      <c r="K64" s="1259"/>
      <c r="L64" s="1259"/>
      <c r="M64" s="1260"/>
    </row>
    <row r="65" spans="1:13" ht="20.100000000000001" customHeight="1">
      <c r="A65" s="1269">
        <v>1</v>
      </c>
      <c r="B65" s="1269"/>
      <c r="C65" s="635" t="s">
        <v>100</v>
      </c>
      <c r="D65" s="636"/>
      <c r="E65" s="636"/>
      <c r="F65" s="636"/>
      <c r="G65" s="636"/>
      <c r="H65" s="1255" t="str">
        <f>VLOOKUP($P$3,fisik,7,FALSE)</f>
        <v>baik</v>
      </c>
      <c r="I65" s="1256"/>
      <c r="J65" s="1256"/>
      <c r="K65" s="1256"/>
      <c r="L65" s="1256"/>
      <c r="M65" s="1257"/>
    </row>
    <row r="66" spans="1:13" ht="20.100000000000001" customHeight="1">
      <c r="A66" s="1269">
        <v>2</v>
      </c>
      <c r="B66" s="1269"/>
      <c r="C66" s="637" t="s">
        <v>102</v>
      </c>
      <c r="D66" s="637"/>
      <c r="E66" s="67"/>
      <c r="F66" s="67"/>
      <c r="G66" s="67"/>
      <c r="H66" s="1255" t="str">
        <f>VLOOKUP($P$3,fisik,8,FALSE)</f>
        <v>baik</v>
      </c>
      <c r="I66" s="1256"/>
      <c r="J66" s="1256"/>
      <c r="K66" s="1256"/>
      <c r="L66" s="1256"/>
      <c r="M66" s="1257"/>
    </row>
    <row r="67" spans="1:13" ht="20.100000000000001" customHeight="1">
      <c r="A67" s="1269">
        <v>3</v>
      </c>
      <c r="B67" s="1269"/>
      <c r="C67" s="638" t="s">
        <v>103</v>
      </c>
      <c r="D67" s="639"/>
      <c r="E67" s="634"/>
      <c r="F67" s="634"/>
      <c r="G67" s="634"/>
      <c r="H67" s="1255" t="str">
        <f>VLOOKUP($P$3,fisik,9,FALSE)</f>
        <v>bersih</v>
      </c>
      <c r="I67" s="1256"/>
      <c r="J67" s="1256"/>
      <c r="K67" s="1256"/>
      <c r="L67" s="1256"/>
      <c r="M67" s="1257"/>
    </row>
    <row r="68" spans="1:13" ht="20.100000000000001" customHeight="1">
      <c r="A68" s="1269">
        <v>4</v>
      </c>
      <c r="B68" s="1269"/>
      <c r="C68" s="633" t="s">
        <v>104</v>
      </c>
      <c r="D68" s="634"/>
      <c r="E68" s="634"/>
      <c r="F68" s="634"/>
      <c r="G68" s="634"/>
      <c r="H68" s="1255">
        <f>VLOOKUP($P$3,fisik,10,FALSE)</f>
        <v>0</v>
      </c>
      <c r="I68" s="1256"/>
      <c r="J68" s="1256"/>
      <c r="K68" s="1256"/>
      <c r="L68" s="1256"/>
      <c r="M68" s="1257"/>
    </row>
    <row r="69" spans="1:13" ht="18" customHeight="1"/>
    <row r="70" spans="1:13" ht="15.75">
      <c r="A70" s="594" t="s">
        <v>248</v>
      </c>
      <c r="B70" s="594" t="s">
        <v>249</v>
      </c>
    </row>
    <row r="71" spans="1:13" ht="20.100000000000001" customHeight="1">
      <c r="A71" s="1325" t="s">
        <v>55</v>
      </c>
      <c r="B71" s="1325"/>
      <c r="C71" s="1258" t="s">
        <v>250</v>
      </c>
      <c r="D71" s="1259"/>
      <c r="E71" s="1259"/>
      <c r="F71" s="1259"/>
      <c r="G71" s="1260"/>
      <c r="H71" s="1258" t="s">
        <v>99</v>
      </c>
      <c r="I71" s="1259"/>
      <c r="J71" s="1259"/>
      <c r="K71" s="1259"/>
      <c r="L71" s="1259"/>
      <c r="M71" s="1260"/>
    </row>
    <row r="72" spans="1:13" ht="20.100000000000001" customHeight="1">
      <c r="A72" s="1269">
        <v>1</v>
      </c>
      <c r="B72" s="1269"/>
      <c r="C72" s="640">
        <f>VLOOKUP($P$3,fisik,11,FALSE)</f>
        <v>0</v>
      </c>
      <c r="D72" s="641"/>
      <c r="E72" s="641"/>
      <c r="F72" s="641"/>
      <c r="G72" s="642"/>
      <c r="H72" s="1261">
        <f>VLOOKUP($P$3,fisik,12,FALSE)</f>
        <v>0</v>
      </c>
      <c r="I72" s="1262"/>
      <c r="J72" s="1262"/>
      <c r="K72" s="1262"/>
      <c r="L72" s="1262"/>
      <c r="M72" s="1263"/>
    </row>
    <row r="73" spans="1:13" ht="20.100000000000001" customHeight="1">
      <c r="A73" s="1269">
        <v>2</v>
      </c>
      <c r="B73" s="1269"/>
      <c r="C73" s="640">
        <f>VLOOKUP($P$3,fisik,13,FALSE)</f>
        <v>0</v>
      </c>
      <c r="D73" s="641"/>
      <c r="E73" s="641"/>
      <c r="F73" s="641"/>
      <c r="G73" s="642"/>
      <c r="H73" s="1264">
        <f>VLOOKUP($P$3,fisik,14,FALSE)</f>
        <v>0</v>
      </c>
      <c r="I73" s="1265"/>
      <c r="J73" s="1265"/>
      <c r="K73" s="1265"/>
      <c r="L73" s="1265"/>
      <c r="M73" s="1266"/>
    </row>
    <row r="74" spans="1:13" ht="20.100000000000001" customHeight="1">
      <c r="A74" s="1269">
        <v>3</v>
      </c>
      <c r="B74" s="1269"/>
      <c r="C74" s="640">
        <f>VLOOKUP($P$3,fisik,15,FALSE)</f>
        <v>0</v>
      </c>
      <c r="D74" s="641"/>
      <c r="E74" s="641"/>
      <c r="F74" s="641"/>
      <c r="G74" s="642"/>
      <c r="H74" s="1264">
        <f>VLOOKUP($P$3,fisik,16,FALSE)</f>
        <v>0</v>
      </c>
      <c r="I74" s="1265"/>
      <c r="J74" s="1265"/>
      <c r="K74" s="1265"/>
      <c r="L74" s="1265"/>
      <c r="M74" s="1266"/>
    </row>
    <row r="75" spans="1:13" ht="18" customHeight="1"/>
    <row r="76" spans="1:13" ht="18" customHeight="1">
      <c r="A76" s="594" t="s">
        <v>251</v>
      </c>
      <c r="B76" s="594" t="s">
        <v>84</v>
      </c>
    </row>
    <row r="77" spans="1:13" ht="20.100000000000001" customHeight="1">
      <c r="A77" s="633" t="s">
        <v>85</v>
      </c>
      <c r="B77" s="634"/>
      <c r="C77" s="634"/>
      <c r="D77" s="691" t="s">
        <v>35</v>
      </c>
      <c r="E77" s="643">
        <f>VLOOKUP($P$3,p,3,FALSE)</f>
        <v>3</v>
      </c>
      <c r="F77" s="634" t="s">
        <v>86</v>
      </c>
      <c r="G77" s="632"/>
      <c r="J77"/>
      <c r="K77" s="67"/>
      <c r="L77" s="67"/>
      <c r="M77" s="67"/>
    </row>
    <row r="78" spans="1:13" ht="20.100000000000001" customHeight="1">
      <c r="A78" s="633" t="s">
        <v>87</v>
      </c>
      <c r="B78" s="634"/>
      <c r="C78" s="634"/>
      <c r="D78" s="691" t="s">
        <v>35</v>
      </c>
      <c r="E78" s="643">
        <f>VLOOKUP($P$3,p,4,FALSE)</f>
        <v>0</v>
      </c>
      <c r="F78" s="634" t="s">
        <v>86</v>
      </c>
      <c r="G78" s="632"/>
      <c r="J78"/>
      <c r="K78" s="67"/>
      <c r="L78" s="67"/>
      <c r="M78" s="67"/>
    </row>
    <row r="79" spans="1:13" ht="20.100000000000001" customHeight="1">
      <c r="A79" s="633" t="s">
        <v>88</v>
      </c>
      <c r="B79" s="634"/>
      <c r="C79" s="634"/>
      <c r="D79" s="691" t="s">
        <v>35</v>
      </c>
      <c r="E79" s="643">
        <f>VLOOKUP($P$3,p,5,FALSE)</f>
        <v>0</v>
      </c>
      <c r="F79" s="634" t="s">
        <v>86</v>
      </c>
      <c r="G79" s="632"/>
      <c r="J79"/>
      <c r="K79" s="67"/>
      <c r="L79" s="67"/>
      <c r="M79" s="67"/>
    </row>
    <row r="80" spans="1:13" ht="8.25" customHeight="1"/>
    <row r="81" spans="3:13" ht="3.75" customHeight="1"/>
    <row r="82" spans="3:13" ht="16.5" customHeight="1">
      <c r="J82" s="1254" t="str">
        <f>MENU!N30</f>
        <v>Pranan, 20 Desember 2019</v>
      </c>
      <c r="K82" s="1254"/>
      <c r="L82" s="1254"/>
      <c r="M82" s="1254"/>
    </row>
    <row r="83" spans="3:13" ht="20.100000000000001" customHeight="1">
      <c r="C83" s="1254" t="s">
        <v>252</v>
      </c>
      <c r="D83" s="1254"/>
      <c r="E83" s="1254"/>
      <c r="F83" s="1254"/>
      <c r="G83" s="1254"/>
      <c r="J83" s="1254" t="s">
        <v>253</v>
      </c>
      <c r="K83" s="1254"/>
      <c r="L83" s="1254"/>
      <c r="M83" s="1254"/>
    </row>
    <row r="84" spans="3:13" ht="20.100000000000001" customHeight="1"/>
    <row r="85" spans="3:13" ht="3.75" customHeight="1"/>
    <row r="86" spans="3:13" ht="19.5" hidden="1" customHeight="1"/>
    <row r="87" spans="3:13" ht="20.100000000000001" customHeight="1">
      <c r="C87" s="1254" t="s">
        <v>254</v>
      </c>
      <c r="D87" s="1254"/>
      <c r="E87" s="1254"/>
      <c r="F87" s="1254"/>
      <c r="G87" s="1254"/>
      <c r="J87" s="1254" t="str">
        <f>MENU!N24</f>
        <v>TUTIK RAHAYU, S.Pd</v>
      </c>
      <c r="K87" s="1254"/>
      <c r="L87" s="1254"/>
      <c r="M87" s="1254"/>
    </row>
    <row r="88" spans="3:13" ht="20.100000000000001" customHeight="1">
      <c r="J88" s="1254" t="str">
        <f>MENU!F25&amp;" "&amp;MENU!N25</f>
        <v>NBM 1295423</v>
      </c>
      <c r="K88" s="1254"/>
      <c r="L88" s="1254"/>
      <c r="M88" s="1254"/>
    </row>
    <row r="89" spans="3:13" ht="3" customHeight="1">
      <c r="J89" s="592"/>
      <c r="K89" s="592"/>
      <c r="L89" s="592"/>
      <c r="M89" s="592"/>
    </row>
    <row r="90" spans="3:13" ht="20.100000000000001" customHeight="1">
      <c r="G90" s="1254" t="s">
        <v>89</v>
      </c>
      <c r="H90" s="1254"/>
      <c r="I90" s="1254"/>
      <c r="J90" s="1254"/>
    </row>
    <row r="91" spans="3:13" ht="20.100000000000001" customHeight="1">
      <c r="G91" s="1254" t="s">
        <v>91</v>
      </c>
      <c r="H91" s="1254"/>
      <c r="I91" s="1254"/>
      <c r="J91" s="1254"/>
    </row>
    <row r="92" spans="3:13" ht="20.100000000000001" customHeight="1"/>
    <row r="93" spans="3:13" ht="18.75" customHeight="1"/>
    <row r="94" spans="3:13" ht="19.5" hidden="1" customHeight="1"/>
    <row r="95" spans="3:13" ht="20.100000000000001" customHeight="1">
      <c r="G95" s="1254" t="str">
        <f>MENU!N27</f>
        <v>SRILESTARI, S.PdI</v>
      </c>
      <c r="H95" s="1254"/>
      <c r="I95" s="1254"/>
      <c r="J95" s="1254"/>
      <c r="K95" s="626"/>
    </row>
    <row r="96" spans="3:13" ht="20.100000000000001" customHeight="1">
      <c r="G96" s="1254" t="str">
        <f>MENU!F28&amp;" "&amp;MENU!N28</f>
        <v>NBM 954033</v>
      </c>
      <c r="H96" s="1254"/>
      <c r="I96" s="1254"/>
      <c r="J96" s="1254"/>
      <c r="K96" s="626"/>
    </row>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sheetData>
  <sheetProtection password="9262" sheet="1" objects="1" scenarios="1" formatCells="0" formatRows="0"/>
  <mergeCells count="132">
    <mergeCell ref="A45:B45"/>
    <mergeCell ref="A46:B46"/>
    <mergeCell ref="K28:M28"/>
    <mergeCell ref="F29:G29"/>
    <mergeCell ref="K29:M29"/>
    <mergeCell ref="A58:B59"/>
    <mergeCell ref="A60:B60"/>
    <mergeCell ref="A61:B61"/>
    <mergeCell ref="A64:B64"/>
    <mergeCell ref="C64:G64"/>
    <mergeCell ref="H64:M64"/>
    <mergeCell ref="H45:M45"/>
    <mergeCell ref="H46:M46"/>
    <mergeCell ref="H47:M47"/>
    <mergeCell ref="H48:M48"/>
    <mergeCell ref="C58:H59"/>
    <mergeCell ref="F44:G44"/>
    <mergeCell ref="C44:E44"/>
    <mergeCell ref="F45:G45"/>
    <mergeCell ref="C45:E45"/>
    <mergeCell ref="C46:E46"/>
    <mergeCell ref="F46:G46"/>
    <mergeCell ref="C47:E47"/>
    <mergeCell ref="F47:G47"/>
    <mergeCell ref="C48:E48"/>
    <mergeCell ref="C49:E49"/>
    <mergeCell ref="C50:E50"/>
    <mergeCell ref="C51:E51"/>
    <mergeCell ref="F51:G51"/>
    <mergeCell ref="A49:B49"/>
    <mergeCell ref="H49:M49"/>
    <mergeCell ref="A50:B50"/>
    <mergeCell ref="H50:M50"/>
    <mergeCell ref="A51:B51"/>
    <mergeCell ref="H51:M51"/>
    <mergeCell ref="F48:G48"/>
    <mergeCell ref="A67:B67"/>
    <mergeCell ref="A68:B68"/>
    <mergeCell ref="A71:B71"/>
    <mergeCell ref="A72:B72"/>
    <mergeCell ref="A73:B73"/>
    <mergeCell ref="A74:B74"/>
    <mergeCell ref="A54:M55"/>
    <mergeCell ref="F49:G49"/>
    <mergeCell ref="F50:G50"/>
    <mergeCell ref="A65:B65"/>
    <mergeCell ref="F25:G25"/>
    <mergeCell ref="F26:G26"/>
    <mergeCell ref="F27:G27"/>
    <mergeCell ref="B32:D32"/>
    <mergeCell ref="B33:D33"/>
    <mergeCell ref="C26:D26"/>
    <mergeCell ref="C27:D27"/>
    <mergeCell ref="B37:D37"/>
    <mergeCell ref="F28:G28"/>
    <mergeCell ref="B28:D28"/>
    <mergeCell ref="B29:D29"/>
    <mergeCell ref="B34:D34"/>
    <mergeCell ref="B35:D35"/>
    <mergeCell ref="B36:D36"/>
    <mergeCell ref="A1:M1"/>
    <mergeCell ref="B9:M9"/>
    <mergeCell ref="A19:A20"/>
    <mergeCell ref="B19:D20"/>
    <mergeCell ref="E19:H19"/>
    <mergeCell ref="I19:M19"/>
    <mergeCell ref="K20:M20"/>
    <mergeCell ref="B31:D31"/>
    <mergeCell ref="F31:G31"/>
    <mergeCell ref="B10:E12"/>
    <mergeCell ref="B13:E15"/>
    <mergeCell ref="A10:A12"/>
    <mergeCell ref="A13:A15"/>
    <mergeCell ref="C23:D23"/>
    <mergeCell ref="C24:D24"/>
    <mergeCell ref="C25:D25"/>
    <mergeCell ref="K23:M23"/>
    <mergeCell ref="K24:M24"/>
    <mergeCell ref="K25:M25"/>
    <mergeCell ref="K26:M26"/>
    <mergeCell ref="K27:M27"/>
    <mergeCell ref="B30:D30"/>
    <mergeCell ref="F23:G23"/>
    <mergeCell ref="F24:G24"/>
    <mergeCell ref="P3:P4"/>
    <mergeCell ref="F20:G20"/>
    <mergeCell ref="F10:M12"/>
    <mergeCell ref="F13:M15"/>
    <mergeCell ref="F30:G30"/>
    <mergeCell ref="F34:G34"/>
    <mergeCell ref="K35:M35"/>
    <mergeCell ref="G91:J91"/>
    <mergeCell ref="H44:M44"/>
    <mergeCell ref="K36:M36"/>
    <mergeCell ref="K30:M30"/>
    <mergeCell ref="K31:M31"/>
    <mergeCell ref="K32:M32"/>
    <mergeCell ref="K33:M33"/>
    <mergeCell ref="K34:M34"/>
    <mergeCell ref="I58:L58"/>
    <mergeCell ref="I59:J59"/>
    <mergeCell ref="K59:L59"/>
    <mergeCell ref="F35:G35"/>
    <mergeCell ref="F36:G36"/>
    <mergeCell ref="F38:G38"/>
    <mergeCell ref="F32:G32"/>
    <mergeCell ref="F33:G33"/>
    <mergeCell ref="K38:M38"/>
    <mergeCell ref="A47:B47"/>
    <mergeCell ref="A48:B48"/>
    <mergeCell ref="C38:D38"/>
    <mergeCell ref="C39:D41"/>
    <mergeCell ref="G95:J95"/>
    <mergeCell ref="G96:J96"/>
    <mergeCell ref="H65:M65"/>
    <mergeCell ref="H66:M66"/>
    <mergeCell ref="H67:M67"/>
    <mergeCell ref="H68:M68"/>
    <mergeCell ref="G90:J90"/>
    <mergeCell ref="J88:M88"/>
    <mergeCell ref="J82:M82"/>
    <mergeCell ref="C83:G83"/>
    <mergeCell ref="C71:G71"/>
    <mergeCell ref="H71:M71"/>
    <mergeCell ref="J83:M83"/>
    <mergeCell ref="J87:M87"/>
    <mergeCell ref="H72:M72"/>
    <mergeCell ref="H74:M74"/>
    <mergeCell ref="C87:G87"/>
    <mergeCell ref="H73:M73"/>
    <mergeCell ref="A44:B44"/>
    <mergeCell ref="A66:B66"/>
  </mergeCells>
  <pageMargins left="0.62" right="0.42" top="0.56999999999999995" bottom="0.75" header="0.3" footer="0.3"/>
  <pageSetup paperSize="9" orientation="portrait" horizontalDpi="4294967294" verticalDpi="4294967294" r:id="rId1"/>
  <headerFooter>
    <oddFooter>&amp;R&amp;P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49" r:id="rId4" name="Spinner 1">
              <controlPr defaultSize="0" autoPict="0">
                <anchor moveWithCells="1" sizeWithCells="1">
                  <from>
                    <xdr:col>16</xdr:col>
                    <xdr:colOff>114300</xdr:colOff>
                    <xdr:row>2</xdr:row>
                    <xdr:rowOff>0</xdr:rowOff>
                  </from>
                  <to>
                    <xdr:col>16</xdr:col>
                    <xdr:colOff>552450</xdr:colOff>
                    <xdr:row>5</xdr:row>
                    <xdr:rowOff>123825</xdr:rowOff>
                  </to>
                </anchor>
              </controlPr>
            </control>
          </mc:Choice>
        </mc:AlternateContent>
      </controls>
    </mc:Choice>
  </mc:AlternateConten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BQ49"/>
  <sheetViews>
    <sheetView workbookViewId="0">
      <pane xSplit="2" ySplit="9" topLeftCell="C11" activePane="bottomRight" state="frozen"/>
      <selection pane="topRight" activeCell="C1" sqref="C1"/>
      <selection pane="bottomLeft" activeCell="A10" sqref="A10"/>
      <selection pane="bottomRight" activeCell="A23" sqref="A23"/>
    </sheetView>
  </sheetViews>
  <sheetFormatPr defaultRowHeight="15"/>
  <cols>
    <col min="1" max="1" width="4.7109375" customWidth="1"/>
    <col min="2" max="2" width="30.7109375" customWidth="1"/>
    <col min="3" max="3" width="8.28515625" customWidth="1"/>
    <col min="4" max="4" width="12.7109375" customWidth="1"/>
    <col min="5" max="33" width="4.42578125" customWidth="1"/>
    <col min="34" max="34" width="4.5703125" customWidth="1"/>
    <col min="35" max="35" width="4.7109375" customWidth="1"/>
    <col min="36" max="36" width="4.5703125" customWidth="1"/>
    <col min="38" max="69" width="4.7109375" customWidth="1"/>
  </cols>
  <sheetData>
    <row r="1" spans="1:69" ht="18.75">
      <c r="B1" s="160"/>
      <c r="C1" s="152" t="s">
        <v>110</v>
      </c>
    </row>
    <row r="3" spans="1:69">
      <c r="B3" t="s">
        <v>27</v>
      </c>
      <c r="C3" s="448" t="s">
        <v>35</v>
      </c>
      <c r="D3" s="448"/>
    </row>
    <row r="4" spans="1:69">
      <c r="B4" t="s">
        <v>52</v>
      </c>
      <c r="C4" s="448" t="s">
        <v>35</v>
      </c>
      <c r="D4" s="448"/>
    </row>
    <row r="5" spans="1:69">
      <c r="B5" t="s">
        <v>51</v>
      </c>
      <c r="C5" s="448" t="s">
        <v>35</v>
      </c>
      <c r="D5" s="448"/>
    </row>
    <row r="6" spans="1:69">
      <c r="B6" t="s">
        <v>53</v>
      </c>
      <c r="C6" s="448" t="s">
        <v>35</v>
      </c>
      <c r="D6" s="448"/>
      <c r="E6">
        <v>5</v>
      </c>
      <c r="F6">
        <v>6</v>
      </c>
      <c r="G6">
        <v>7</v>
      </c>
      <c r="H6">
        <v>8</v>
      </c>
      <c r="I6">
        <v>9</v>
      </c>
      <c r="J6">
        <v>10</v>
      </c>
      <c r="K6">
        <v>11</v>
      </c>
      <c r="L6">
        <v>12</v>
      </c>
      <c r="M6">
        <v>13</v>
      </c>
      <c r="N6">
        <v>14</v>
      </c>
      <c r="O6">
        <v>15</v>
      </c>
      <c r="P6">
        <v>16</v>
      </c>
      <c r="Q6">
        <v>17</v>
      </c>
      <c r="R6">
        <v>18</v>
      </c>
      <c r="S6">
        <v>19</v>
      </c>
      <c r="T6">
        <v>20</v>
      </c>
      <c r="U6">
        <v>21</v>
      </c>
      <c r="V6">
        <v>22</v>
      </c>
      <c r="W6">
        <v>23</v>
      </c>
      <c r="X6">
        <v>24</v>
      </c>
      <c r="Y6">
        <v>25</v>
      </c>
      <c r="Z6">
        <v>26</v>
      </c>
      <c r="AA6">
        <v>27</v>
      </c>
      <c r="AB6">
        <v>28</v>
      </c>
      <c r="AC6">
        <v>29</v>
      </c>
      <c r="AD6">
        <v>30</v>
      </c>
      <c r="AE6">
        <v>31</v>
      </c>
      <c r="AF6">
        <v>32</v>
      </c>
      <c r="AG6">
        <v>33</v>
      </c>
      <c r="AH6">
        <v>34</v>
      </c>
      <c r="AI6">
        <v>35</v>
      </c>
      <c r="AJ6">
        <v>36</v>
      </c>
      <c r="AK6">
        <v>37</v>
      </c>
      <c r="AL6">
        <v>38</v>
      </c>
      <c r="AM6">
        <v>39</v>
      </c>
      <c r="AN6">
        <v>40</v>
      </c>
      <c r="AO6">
        <v>41</v>
      </c>
      <c r="AP6">
        <v>42</v>
      </c>
      <c r="AQ6">
        <v>43</v>
      </c>
      <c r="AR6">
        <v>44</v>
      </c>
      <c r="AS6">
        <v>45</v>
      </c>
      <c r="AT6">
        <v>46</v>
      </c>
      <c r="AU6">
        <v>47</v>
      </c>
      <c r="AV6">
        <v>48</v>
      </c>
      <c r="AW6">
        <v>49</v>
      </c>
      <c r="AX6">
        <v>50</v>
      </c>
      <c r="AY6">
        <v>51</v>
      </c>
      <c r="AZ6">
        <v>52</v>
      </c>
      <c r="BA6">
        <v>53</v>
      </c>
      <c r="BB6">
        <v>54</v>
      </c>
      <c r="BC6">
        <v>55</v>
      </c>
      <c r="BD6">
        <v>56</v>
      </c>
      <c r="BE6">
        <v>57</v>
      </c>
      <c r="BF6">
        <v>58</v>
      </c>
      <c r="BG6">
        <v>59</v>
      </c>
      <c r="BH6">
        <v>60</v>
      </c>
      <c r="BI6">
        <v>61</v>
      </c>
      <c r="BJ6">
        <v>62</v>
      </c>
      <c r="BK6">
        <v>63</v>
      </c>
      <c r="BL6">
        <v>64</v>
      </c>
      <c r="BM6">
        <v>65</v>
      </c>
      <c r="BN6">
        <v>66</v>
      </c>
      <c r="BO6">
        <v>67</v>
      </c>
      <c r="BP6">
        <v>68</v>
      </c>
      <c r="BQ6">
        <v>69</v>
      </c>
    </row>
    <row r="7" spans="1:69">
      <c r="A7" s="449">
        <v>1</v>
      </c>
      <c r="B7" s="449">
        <v>2</v>
      </c>
      <c r="C7" s="449">
        <v>3</v>
      </c>
      <c r="D7" s="449">
        <v>4</v>
      </c>
      <c r="E7" s="1344" t="s">
        <v>221</v>
      </c>
      <c r="F7" s="1345"/>
      <c r="G7" s="1345"/>
      <c r="H7" s="1345"/>
      <c r="I7" s="1345"/>
      <c r="J7" s="1345"/>
      <c r="K7" s="1345"/>
      <c r="L7" s="1345"/>
      <c r="M7" s="1345"/>
      <c r="N7" s="1345"/>
      <c r="O7" s="1345"/>
      <c r="P7" s="1345"/>
      <c r="Q7" s="1345"/>
      <c r="R7" s="1345"/>
      <c r="S7" s="1345"/>
      <c r="T7" s="1345"/>
      <c r="U7" s="1345"/>
      <c r="V7" s="1345"/>
      <c r="W7" s="1345"/>
      <c r="X7" s="1345"/>
      <c r="Y7" s="1345"/>
      <c r="Z7" s="1345"/>
      <c r="AA7" s="1345"/>
      <c r="AB7" s="1345"/>
      <c r="AC7" s="1345"/>
      <c r="AD7" s="1345"/>
      <c r="AE7" s="1345"/>
      <c r="AF7" s="1345"/>
      <c r="AG7" s="1345"/>
      <c r="AH7" s="1345"/>
      <c r="AI7" s="1345"/>
      <c r="AJ7" s="1346"/>
      <c r="AL7" s="1347" t="s">
        <v>256</v>
      </c>
      <c r="AM7" s="1347"/>
      <c r="AN7" s="1347"/>
      <c r="AO7" s="1347"/>
      <c r="AP7" s="1347"/>
      <c r="AQ7" s="1347"/>
      <c r="AR7" s="1347"/>
      <c r="AS7" s="1347"/>
      <c r="AT7" s="1347"/>
      <c r="AU7" s="1347"/>
      <c r="AV7" s="1347"/>
      <c r="AW7" s="1347"/>
      <c r="AX7" s="1347"/>
      <c r="AY7" s="1347"/>
      <c r="AZ7" s="1347"/>
      <c r="BA7" s="1347"/>
      <c r="BB7" s="1347"/>
      <c r="BC7" s="1347"/>
      <c r="BD7" s="1347"/>
      <c r="BE7" s="1347"/>
      <c r="BF7" s="1347"/>
      <c r="BG7" s="1347"/>
      <c r="BH7" s="1347"/>
      <c r="BI7" s="1347"/>
      <c r="BJ7" s="1347"/>
      <c r="BK7" s="1347"/>
      <c r="BL7" s="1347"/>
      <c r="BM7" s="1347"/>
      <c r="BN7" s="1347"/>
      <c r="BO7" s="1347"/>
      <c r="BP7" s="1347"/>
      <c r="BQ7" s="1347"/>
    </row>
    <row r="8" spans="1:69" ht="18.75">
      <c r="A8" s="1341" t="s">
        <v>9</v>
      </c>
      <c r="B8" s="1341" t="s">
        <v>111</v>
      </c>
      <c r="C8" s="1342" t="s">
        <v>112</v>
      </c>
      <c r="D8" s="450"/>
      <c r="E8" s="1344" t="s">
        <v>408</v>
      </c>
      <c r="F8" s="1346"/>
      <c r="G8" s="1344" t="s">
        <v>409</v>
      </c>
      <c r="H8" s="1346"/>
      <c r="I8" s="1344" t="s">
        <v>414</v>
      </c>
      <c r="J8" s="1346"/>
      <c r="K8" s="1344" t="s">
        <v>415</v>
      </c>
      <c r="L8" s="1346"/>
      <c r="M8" s="1344" t="s">
        <v>416</v>
      </c>
      <c r="N8" s="1346"/>
      <c r="O8" s="1344" t="s">
        <v>417</v>
      </c>
      <c r="P8" s="1346"/>
      <c r="Q8" s="1344" t="s">
        <v>430</v>
      </c>
      <c r="R8" s="1346"/>
      <c r="S8" s="1344" t="s">
        <v>119</v>
      </c>
      <c r="T8" s="1346"/>
      <c r="U8" s="39" t="s">
        <v>257</v>
      </c>
      <c r="V8" s="39"/>
      <c r="W8" s="1344" t="s">
        <v>161</v>
      </c>
      <c r="X8" s="1346"/>
      <c r="Y8" s="1344" t="s">
        <v>205</v>
      </c>
      <c r="Z8" s="1346"/>
      <c r="AA8" s="1344" t="s">
        <v>206</v>
      </c>
      <c r="AB8" s="1346"/>
      <c r="AC8" s="1344" t="s">
        <v>122</v>
      </c>
      <c r="AD8" s="1346"/>
      <c r="AE8" s="1344" t="s">
        <v>123</v>
      </c>
      <c r="AF8" s="1346"/>
      <c r="AG8" s="1344" t="s">
        <v>258</v>
      </c>
      <c r="AH8" s="1346"/>
      <c r="AI8" s="1344"/>
      <c r="AJ8" s="1346"/>
      <c r="AL8" s="1344" t="s">
        <v>408</v>
      </c>
      <c r="AM8" s="1346"/>
      <c r="AN8" s="1344" t="s">
        <v>409</v>
      </c>
      <c r="AO8" s="1346"/>
      <c r="AP8" s="1344" t="s">
        <v>414</v>
      </c>
      <c r="AQ8" s="1346"/>
      <c r="AR8" s="1344" t="s">
        <v>415</v>
      </c>
      <c r="AS8" s="1346"/>
      <c r="AT8" s="1344" t="s">
        <v>416</v>
      </c>
      <c r="AU8" s="1346"/>
      <c r="AV8" s="1344" t="s">
        <v>417</v>
      </c>
      <c r="AW8" s="1346"/>
      <c r="AX8" s="1344" t="s">
        <v>430</v>
      </c>
      <c r="AY8" s="1346"/>
      <c r="AZ8" s="1348" t="s">
        <v>119</v>
      </c>
      <c r="BA8" s="1349"/>
      <c r="BB8" s="931" t="s">
        <v>257</v>
      </c>
      <c r="BC8" s="933"/>
      <c r="BD8" s="934" t="s">
        <v>161</v>
      </c>
      <c r="BE8" s="936"/>
      <c r="BF8" s="1229" t="s">
        <v>205</v>
      </c>
      <c r="BG8" s="1350"/>
      <c r="BH8" s="934" t="s">
        <v>206</v>
      </c>
      <c r="BI8" s="936"/>
      <c r="BJ8" s="1344" t="s">
        <v>122</v>
      </c>
      <c r="BK8" s="1346"/>
      <c r="BL8" s="1344" t="s">
        <v>123</v>
      </c>
      <c r="BM8" s="1346"/>
      <c r="BN8" s="1344" t="s">
        <v>258</v>
      </c>
      <c r="BO8" s="1346"/>
      <c r="BP8" s="39"/>
      <c r="BQ8" s="39"/>
    </row>
    <row r="9" spans="1:69" ht="18.75">
      <c r="A9" s="1341"/>
      <c r="B9" s="1341"/>
      <c r="C9" s="1343"/>
      <c r="D9" s="451" t="s">
        <v>118</v>
      </c>
      <c r="E9" s="39" t="s">
        <v>259</v>
      </c>
      <c r="F9" s="39" t="s">
        <v>260</v>
      </c>
      <c r="G9" s="39" t="s">
        <v>259</v>
      </c>
      <c r="H9" s="39" t="s">
        <v>260</v>
      </c>
      <c r="I9" s="39" t="s">
        <v>259</v>
      </c>
      <c r="J9" s="39" t="s">
        <v>260</v>
      </c>
      <c r="K9" s="39" t="s">
        <v>259</v>
      </c>
      <c r="L9" s="39" t="s">
        <v>260</v>
      </c>
      <c r="M9" s="39" t="s">
        <v>259</v>
      </c>
      <c r="N9" s="39" t="s">
        <v>260</v>
      </c>
      <c r="O9" s="39" t="s">
        <v>259</v>
      </c>
      <c r="P9" s="39" t="s">
        <v>260</v>
      </c>
      <c r="Q9" s="39" t="s">
        <v>259</v>
      </c>
      <c r="R9" s="39" t="s">
        <v>260</v>
      </c>
      <c r="S9" s="39" t="s">
        <v>259</v>
      </c>
      <c r="T9" s="39" t="s">
        <v>260</v>
      </c>
      <c r="U9" s="39" t="s">
        <v>259</v>
      </c>
      <c r="V9" s="39" t="s">
        <v>260</v>
      </c>
      <c r="W9" s="39" t="s">
        <v>259</v>
      </c>
      <c r="X9" s="39" t="s">
        <v>260</v>
      </c>
      <c r="Y9" s="39" t="s">
        <v>259</v>
      </c>
      <c r="Z9" s="39" t="s">
        <v>260</v>
      </c>
      <c r="AA9" s="39" t="s">
        <v>259</v>
      </c>
      <c r="AB9" s="39" t="s">
        <v>260</v>
      </c>
      <c r="AC9" s="39" t="s">
        <v>259</v>
      </c>
      <c r="AD9" s="39" t="s">
        <v>260</v>
      </c>
      <c r="AE9" s="39" t="s">
        <v>259</v>
      </c>
      <c r="AF9" s="39" t="s">
        <v>260</v>
      </c>
      <c r="AG9" s="39" t="s">
        <v>259</v>
      </c>
      <c r="AH9" s="39" t="s">
        <v>260</v>
      </c>
      <c r="AI9" s="39" t="s">
        <v>259</v>
      </c>
      <c r="AJ9" s="39" t="s">
        <v>260</v>
      </c>
      <c r="AL9" s="39" t="s">
        <v>259</v>
      </c>
      <c r="AM9" s="39" t="s">
        <v>260</v>
      </c>
      <c r="AN9" s="39" t="s">
        <v>259</v>
      </c>
      <c r="AO9" s="39" t="s">
        <v>260</v>
      </c>
      <c r="AP9" s="39" t="s">
        <v>259</v>
      </c>
      <c r="AQ9" s="39" t="s">
        <v>260</v>
      </c>
      <c r="AR9" s="39" t="s">
        <v>259</v>
      </c>
      <c r="AS9" s="39" t="s">
        <v>260</v>
      </c>
      <c r="AT9" s="39" t="s">
        <v>259</v>
      </c>
      <c r="AU9" s="39" t="s">
        <v>260</v>
      </c>
      <c r="AV9" s="39" t="s">
        <v>259</v>
      </c>
      <c r="AW9" s="39" t="s">
        <v>260</v>
      </c>
      <c r="AX9" s="39" t="s">
        <v>259</v>
      </c>
      <c r="AY9" s="39" t="s">
        <v>260</v>
      </c>
      <c r="AZ9" s="39" t="s">
        <v>259</v>
      </c>
      <c r="BA9" s="39" t="s">
        <v>260</v>
      </c>
      <c r="BB9" s="39" t="s">
        <v>259</v>
      </c>
      <c r="BC9" s="39" t="s">
        <v>260</v>
      </c>
      <c r="BD9" s="39" t="s">
        <v>259</v>
      </c>
      <c r="BE9" s="39" t="s">
        <v>260</v>
      </c>
      <c r="BF9" s="39" t="s">
        <v>259</v>
      </c>
      <c r="BG9" s="39" t="s">
        <v>260</v>
      </c>
      <c r="BH9" s="39" t="s">
        <v>259</v>
      </c>
      <c r="BI9" s="39" t="s">
        <v>260</v>
      </c>
      <c r="BJ9" s="39" t="s">
        <v>259</v>
      </c>
      <c r="BK9" s="39" t="s">
        <v>260</v>
      </c>
      <c r="BL9" s="39" t="s">
        <v>259</v>
      </c>
      <c r="BM9" s="39" t="s">
        <v>260</v>
      </c>
      <c r="BN9" s="39" t="s">
        <v>259</v>
      </c>
      <c r="BO9" s="39" t="s">
        <v>260</v>
      </c>
      <c r="BP9" s="39" t="s">
        <v>259</v>
      </c>
      <c r="BQ9" s="39" t="s">
        <v>260</v>
      </c>
    </row>
    <row r="10" spans="1:69">
      <c r="A10" s="39">
        <v>1</v>
      </c>
      <c r="B10" s="66" t="str">
        <f>SISWA!B6</f>
        <v>Afif Rafiudin</v>
      </c>
      <c r="C10" s="66">
        <f>SISWA!C6</f>
        <v>1279</v>
      </c>
      <c r="D10" s="66" t="str">
        <f>SISWA!D6</f>
        <v>0153278170</v>
      </c>
      <c r="E10" s="453" t="e">
        <f>#REF!</f>
        <v>#REF!</v>
      </c>
      <c r="F10" s="587" t="e">
        <f>#REF!</f>
        <v>#REF!</v>
      </c>
      <c r="G10" s="587" t="e">
        <f>#REF!</f>
        <v>#REF!</v>
      </c>
      <c r="H10" s="587" t="e">
        <f>#REF!</f>
        <v>#REF!</v>
      </c>
      <c r="I10" s="587" t="e">
        <f>#REF!</f>
        <v>#REF!</v>
      </c>
      <c r="J10" s="587" t="e">
        <f>#REF!</f>
        <v>#REF!</v>
      </c>
      <c r="K10" s="587" t="e">
        <f>#REF!</f>
        <v>#REF!</v>
      </c>
      <c r="L10" s="587" t="e">
        <f>#REF!</f>
        <v>#REF!</v>
      </c>
      <c r="M10" s="587" t="e">
        <f>#REF!</f>
        <v>#REF!</v>
      </c>
      <c r="N10" s="587" t="e">
        <f>#REF!</f>
        <v>#REF!</v>
      </c>
      <c r="O10" s="587" t="e">
        <f>#REF!</f>
        <v>#REF!</v>
      </c>
      <c r="P10" s="587" t="e">
        <f>#REF!</f>
        <v>#REF!</v>
      </c>
      <c r="Q10" s="587" t="e">
        <f>#REF!</f>
        <v>#REF!</v>
      </c>
      <c r="R10" s="587" t="e">
        <f>#REF!</f>
        <v>#REF!</v>
      </c>
      <c r="S10" s="453">
        <f>'KI-3'!Q5</f>
        <v>83</v>
      </c>
      <c r="T10" s="453" t="str">
        <f>'P-pkn'!CD8</f>
        <v>B</v>
      </c>
      <c r="U10" s="453">
        <f>'KI-3'!S5</f>
        <v>80</v>
      </c>
      <c r="V10" s="453" t="str">
        <f>'P-BI'!DQ8</f>
        <v>C</v>
      </c>
      <c r="W10" s="453">
        <f>'KI-3'!U5</f>
        <v>79</v>
      </c>
      <c r="X10" s="453" t="str">
        <f>'P MTK'!FQ8</f>
        <v>C</v>
      </c>
      <c r="Y10" s="453">
        <f>'KI-3'!W5</f>
        <v>80</v>
      </c>
      <c r="Z10" s="453" t="str">
        <f>'P-IPA'!DQ8</f>
        <v>C</v>
      </c>
      <c r="AA10" s="453">
        <f>'KI-3'!Y5</f>
        <v>78</v>
      </c>
      <c r="AB10" s="453" t="str">
        <f>'P-IPS'!DQ8</f>
        <v>C</v>
      </c>
      <c r="AC10" s="453">
        <f>'KI-3'!AA5</f>
        <v>81</v>
      </c>
      <c r="AD10" s="453" t="str">
        <f>'P-SBDP'!DQ8</f>
        <v>C</v>
      </c>
      <c r="AE10" s="453">
        <f>'KI-3'!AC5</f>
        <v>83</v>
      </c>
      <c r="AF10" s="453" t="str">
        <f>'P-PJOK'!D6</f>
        <v>B</v>
      </c>
      <c r="AG10" s="453">
        <f>'KI-3'!AE5</f>
        <v>78</v>
      </c>
      <c r="AH10" s="453" t="str">
        <f>'P-BJAWA'!AW8</f>
        <v>C</v>
      </c>
      <c r="AI10" s="453"/>
      <c r="AJ10" s="453"/>
      <c r="AL10" s="39" t="e">
        <f>#REF!</f>
        <v>#REF!</v>
      </c>
      <c r="AM10" s="39" t="e">
        <f>#REF!</f>
        <v>#REF!</v>
      </c>
      <c r="AN10" s="39" t="e">
        <f>#REF!</f>
        <v>#REF!</v>
      </c>
      <c r="AO10" s="39" t="e">
        <f>#REF!</f>
        <v>#REF!</v>
      </c>
      <c r="AP10" s="39" t="e">
        <f>#REF!</f>
        <v>#REF!</v>
      </c>
      <c r="AQ10" s="39" t="e">
        <f>#REF!</f>
        <v>#REF!</v>
      </c>
      <c r="AR10" s="39" t="e">
        <f>#REF!</f>
        <v>#REF!</v>
      </c>
      <c r="AS10" s="39" t="e">
        <f>#REF!</f>
        <v>#REF!</v>
      </c>
      <c r="AT10" s="39" t="e">
        <f>#REF!</f>
        <v>#REF!</v>
      </c>
      <c r="AU10" s="39" t="e">
        <f>#REF!</f>
        <v>#REF!</v>
      </c>
      <c r="AV10" s="39" t="e">
        <f>#REF!</f>
        <v>#REF!</v>
      </c>
      <c r="AW10" s="39" t="e">
        <f>#REF!</f>
        <v>#REF!</v>
      </c>
      <c r="AX10" s="39" t="e">
        <f>#REF!</f>
        <v>#REF!</v>
      </c>
      <c r="AY10" s="39" t="e">
        <f>#REF!</f>
        <v>#REF!</v>
      </c>
      <c r="AZ10" s="39">
        <f>'KI-4'!Q6</f>
        <v>82</v>
      </c>
      <c r="BA10" s="39" t="str">
        <f>'KI-4'!R6</f>
        <v>C</v>
      </c>
      <c r="BB10" s="39">
        <f>'KI-4'!S6</f>
        <v>82</v>
      </c>
      <c r="BC10" s="39" t="str">
        <f>'KI-4'!T6</f>
        <v>C</v>
      </c>
      <c r="BD10" s="39">
        <f>'KI-4'!U6</f>
        <v>79</v>
      </c>
      <c r="BE10" s="39" t="str">
        <f>'KI-4'!V6</f>
        <v>C</v>
      </c>
      <c r="BF10" s="39">
        <f>'KI-4'!W6</f>
        <v>83</v>
      </c>
      <c r="BG10" s="39" t="str">
        <f>'KI-4'!X6</f>
        <v>B</v>
      </c>
      <c r="BH10" s="39">
        <f>'KI-4'!Y6</f>
        <v>84</v>
      </c>
      <c r="BI10" s="39" t="str">
        <f>'KI-4'!Z6</f>
        <v>B</v>
      </c>
      <c r="BJ10" s="39">
        <f>'KI-4'!AA6</f>
        <v>83</v>
      </c>
      <c r="BK10" s="39" t="str">
        <f>'KI-4'!AB6</f>
        <v>B</v>
      </c>
      <c r="BL10" s="39">
        <f>'KI-4'!AC6</f>
        <v>84</v>
      </c>
      <c r="BM10" s="39" t="str">
        <f>'KI-4'!AD6</f>
        <v>B</v>
      </c>
      <c r="BN10" s="39">
        <f>'KI-4'!AE6</f>
        <v>80</v>
      </c>
      <c r="BO10" s="39" t="str">
        <f>'KI-4'!AF6</f>
        <v>C</v>
      </c>
      <c r="BP10" s="39"/>
      <c r="BQ10" s="39"/>
    </row>
    <row r="11" spans="1:69">
      <c r="A11" s="39">
        <v>2</v>
      </c>
      <c r="B11" s="66" t="str">
        <f>SISWA!B7</f>
        <v>Ahmad Faiq Athaya</v>
      </c>
      <c r="C11" s="66">
        <f>SISWA!C7</f>
        <v>1355</v>
      </c>
      <c r="D11" s="66" t="str">
        <f>SISWA!D7</f>
        <v>088476284</v>
      </c>
      <c r="E11" s="587" t="e">
        <f>#REF!</f>
        <v>#REF!</v>
      </c>
      <c r="F11" s="587" t="e">
        <f>#REF!</f>
        <v>#REF!</v>
      </c>
      <c r="G11" s="587" t="e">
        <f>#REF!</f>
        <v>#REF!</v>
      </c>
      <c r="H11" s="587" t="e">
        <f>#REF!</f>
        <v>#REF!</v>
      </c>
      <c r="I11" s="587" t="e">
        <f>#REF!</f>
        <v>#REF!</v>
      </c>
      <c r="J11" s="587" t="e">
        <f>#REF!</f>
        <v>#REF!</v>
      </c>
      <c r="K11" s="587" t="e">
        <f>#REF!</f>
        <v>#REF!</v>
      </c>
      <c r="L11" s="587" t="e">
        <f>#REF!</f>
        <v>#REF!</v>
      </c>
      <c r="M11" s="587" t="e">
        <f>#REF!</f>
        <v>#REF!</v>
      </c>
      <c r="N11" s="587" t="e">
        <f>#REF!</f>
        <v>#REF!</v>
      </c>
      <c r="O11" s="587" t="e">
        <f>#REF!</f>
        <v>#REF!</v>
      </c>
      <c r="P11" s="587" t="e">
        <f>#REF!</f>
        <v>#REF!</v>
      </c>
      <c r="Q11" s="587" t="e">
        <f>#REF!</f>
        <v>#REF!</v>
      </c>
      <c r="R11" s="587" t="e">
        <f>#REF!</f>
        <v>#REF!</v>
      </c>
      <c r="S11" s="453">
        <f>'KI-3'!Q6</f>
        <v>90</v>
      </c>
      <c r="T11" s="453" t="str">
        <f>'P-pkn'!CD9</f>
        <v>B</v>
      </c>
      <c r="U11" s="453">
        <f>'KI-3'!S6</f>
        <v>88</v>
      </c>
      <c r="V11" s="453" t="str">
        <f>'P-BI'!DQ9</f>
        <v>B</v>
      </c>
      <c r="W11" s="453">
        <f>'KI-3'!U6</f>
        <v>83</v>
      </c>
      <c r="X11" s="453" t="str">
        <f>'P MTK'!FQ9</f>
        <v>B</v>
      </c>
      <c r="Y11" s="453">
        <f>'KI-3'!W6</f>
        <v>88</v>
      </c>
      <c r="Z11" s="453" t="str">
        <f>'P-IPA'!DQ9</f>
        <v>B</v>
      </c>
      <c r="AA11" s="453">
        <f>'KI-3'!Y6</f>
        <v>87</v>
      </c>
      <c r="AB11" s="453" t="str">
        <f>'P-IPS'!DQ9</f>
        <v>B</v>
      </c>
      <c r="AC11" s="453">
        <f>'KI-3'!AA6</f>
        <v>90</v>
      </c>
      <c r="AD11" s="453" t="str">
        <f>'P-SBDP'!DQ9</f>
        <v>B</v>
      </c>
      <c r="AE11" s="453">
        <f>'KI-3'!AC6</f>
        <v>84</v>
      </c>
      <c r="AF11" s="453" t="str">
        <f>'P-PJOK'!D7</f>
        <v>B</v>
      </c>
      <c r="AG11" s="453">
        <f>'KI-3'!AE6</f>
        <v>83</v>
      </c>
      <c r="AH11" s="453" t="str">
        <f>'P-BJAWA'!AW9</f>
        <v>B</v>
      </c>
      <c r="AI11" s="39"/>
      <c r="AJ11" s="39"/>
      <c r="AL11" s="39" t="e">
        <f>#REF!</f>
        <v>#REF!</v>
      </c>
      <c r="AM11" s="39" t="e">
        <f>#REF!</f>
        <v>#REF!</v>
      </c>
      <c r="AN11" s="39" t="e">
        <f>#REF!</f>
        <v>#REF!</v>
      </c>
      <c r="AO11" s="39" t="e">
        <f>#REF!</f>
        <v>#REF!</v>
      </c>
      <c r="AP11" s="39" t="e">
        <f>#REF!</f>
        <v>#REF!</v>
      </c>
      <c r="AQ11" s="39" t="e">
        <f>#REF!</f>
        <v>#REF!</v>
      </c>
      <c r="AR11" s="39" t="e">
        <f>#REF!</f>
        <v>#REF!</v>
      </c>
      <c r="AS11" s="39" t="e">
        <f>#REF!</f>
        <v>#REF!</v>
      </c>
      <c r="AT11" s="39" t="e">
        <f>#REF!</f>
        <v>#REF!</v>
      </c>
      <c r="AU11" s="39" t="e">
        <f>#REF!</f>
        <v>#REF!</v>
      </c>
      <c r="AV11" s="39" t="e">
        <f>#REF!</f>
        <v>#REF!</v>
      </c>
      <c r="AW11" s="39" t="e">
        <f>#REF!</f>
        <v>#REF!</v>
      </c>
      <c r="AX11" s="39" t="e">
        <f>#REF!</f>
        <v>#REF!</v>
      </c>
      <c r="AY11" s="39" t="e">
        <f>#REF!</f>
        <v>#REF!</v>
      </c>
      <c r="AZ11" s="39">
        <f>'KI-4'!Q7</f>
        <v>88</v>
      </c>
      <c r="BA11" s="39" t="str">
        <f>'KI-4'!R7</f>
        <v>B</v>
      </c>
      <c r="BB11" s="39">
        <f>'KI-4'!S7</f>
        <v>86</v>
      </c>
      <c r="BC11" s="39" t="str">
        <f>'KI-4'!T7</f>
        <v>B</v>
      </c>
      <c r="BD11" s="39">
        <f>'KI-4'!U7</f>
        <v>83</v>
      </c>
      <c r="BE11" s="39" t="str">
        <f>'KI-4'!V7</f>
        <v>B</v>
      </c>
      <c r="BF11" s="39">
        <f>'KI-4'!W7</f>
        <v>88</v>
      </c>
      <c r="BG11" s="39" t="str">
        <f>'KI-4'!X7</f>
        <v>B</v>
      </c>
      <c r="BH11" s="39">
        <f>'KI-4'!Y7</f>
        <v>88</v>
      </c>
      <c r="BI11" s="39" t="str">
        <f>'KI-4'!Z7</f>
        <v>B</v>
      </c>
      <c r="BJ11" s="39">
        <f>'KI-4'!AA7</f>
        <v>86</v>
      </c>
      <c r="BK11" s="39" t="str">
        <f>'KI-4'!AB7</f>
        <v>B</v>
      </c>
      <c r="BL11" s="39">
        <f>'KI-4'!AC7</f>
        <v>84</v>
      </c>
      <c r="BM11" s="39" t="str">
        <f>'KI-4'!AD7</f>
        <v>B</v>
      </c>
      <c r="BN11" s="39">
        <f>'KI-4'!AE7</f>
        <v>87</v>
      </c>
      <c r="BO11" s="39" t="str">
        <f>'KI-4'!AF7</f>
        <v>B</v>
      </c>
      <c r="BP11" s="39"/>
      <c r="BQ11" s="39"/>
    </row>
    <row r="12" spans="1:69">
      <c r="A12" s="39">
        <v>3</v>
      </c>
      <c r="B12" s="66" t="str">
        <f>SISWA!B8</f>
        <v>Amira Zerlinda</v>
      </c>
      <c r="C12" s="66">
        <f>SISWA!C8</f>
        <v>1356</v>
      </c>
      <c r="D12" s="66" t="str">
        <f>SISWA!D8</f>
        <v>083034124</v>
      </c>
      <c r="E12" s="587" t="e">
        <f>#REF!</f>
        <v>#REF!</v>
      </c>
      <c r="F12" s="587" t="e">
        <f>#REF!</f>
        <v>#REF!</v>
      </c>
      <c r="G12" s="587" t="e">
        <f>#REF!</f>
        <v>#REF!</v>
      </c>
      <c r="H12" s="587" t="e">
        <f>#REF!</f>
        <v>#REF!</v>
      </c>
      <c r="I12" s="587" t="e">
        <f>#REF!</f>
        <v>#REF!</v>
      </c>
      <c r="J12" s="587" t="e">
        <f>#REF!</f>
        <v>#REF!</v>
      </c>
      <c r="K12" s="587" t="e">
        <f>#REF!</f>
        <v>#REF!</v>
      </c>
      <c r="L12" s="587" t="e">
        <f>#REF!</f>
        <v>#REF!</v>
      </c>
      <c r="M12" s="587" t="e">
        <f>#REF!</f>
        <v>#REF!</v>
      </c>
      <c r="N12" s="587" t="e">
        <f>#REF!</f>
        <v>#REF!</v>
      </c>
      <c r="O12" s="587" t="e">
        <f>#REF!</f>
        <v>#REF!</v>
      </c>
      <c r="P12" s="587" t="e">
        <f>#REF!</f>
        <v>#REF!</v>
      </c>
      <c r="Q12" s="587" t="e">
        <f>#REF!</f>
        <v>#REF!</v>
      </c>
      <c r="R12" s="587" t="e">
        <f>#REF!</f>
        <v>#REF!</v>
      </c>
      <c r="S12" s="453">
        <f>'KI-3'!Q7</f>
        <v>79</v>
      </c>
      <c r="T12" s="453" t="str">
        <f>'P-pkn'!CD10</f>
        <v>C</v>
      </c>
      <c r="U12" s="453">
        <f>'KI-3'!S7</f>
        <v>82</v>
      </c>
      <c r="V12" s="453" t="str">
        <f>'P-BI'!DQ10</f>
        <v>C</v>
      </c>
      <c r="W12" s="453">
        <f>'KI-3'!U7</f>
        <v>80</v>
      </c>
      <c r="X12" s="453" t="str">
        <f>'P MTK'!FQ10</f>
        <v>C</v>
      </c>
      <c r="Y12" s="453">
        <f>'KI-3'!W7</f>
        <v>81</v>
      </c>
      <c r="Z12" s="453" t="str">
        <f>'P-IPA'!DQ10</f>
        <v>C</v>
      </c>
      <c r="AA12" s="453">
        <f>'KI-3'!Y7</f>
        <v>81</v>
      </c>
      <c r="AB12" s="453" t="str">
        <f>'P-IPS'!DQ10</f>
        <v>C</v>
      </c>
      <c r="AC12" s="453">
        <f>'KI-3'!AA7</f>
        <v>79</v>
      </c>
      <c r="AD12" s="453" t="str">
        <f>'P-SBDP'!DQ10</f>
        <v>C</v>
      </c>
      <c r="AE12" s="453">
        <f>'KI-3'!AC7</f>
        <v>83</v>
      </c>
      <c r="AF12" s="453" t="str">
        <f>'P-PJOK'!D8</f>
        <v>B</v>
      </c>
      <c r="AG12" s="453">
        <f>'KI-3'!AE7</f>
        <v>79</v>
      </c>
      <c r="AH12" s="453" t="str">
        <f>'P-BJAWA'!AW10</f>
        <v>C</v>
      </c>
      <c r="AI12" s="39"/>
      <c r="AJ12" s="39"/>
      <c r="AL12" s="39" t="e">
        <f>#REF!</f>
        <v>#REF!</v>
      </c>
      <c r="AM12" s="39" t="e">
        <f>#REF!</f>
        <v>#REF!</v>
      </c>
      <c r="AN12" s="39" t="e">
        <f>#REF!</f>
        <v>#REF!</v>
      </c>
      <c r="AO12" s="39" t="e">
        <f>#REF!</f>
        <v>#REF!</v>
      </c>
      <c r="AP12" s="39" t="e">
        <f>#REF!</f>
        <v>#REF!</v>
      </c>
      <c r="AQ12" s="39" t="e">
        <f>#REF!</f>
        <v>#REF!</v>
      </c>
      <c r="AR12" s="39" t="e">
        <f>#REF!</f>
        <v>#REF!</v>
      </c>
      <c r="AS12" s="39" t="e">
        <f>#REF!</f>
        <v>#REF!</v>
      </c>
      <c r="AT12" s="39" t="e">
        <f>#REF!</f>
        <v>#REF!</v>
      </c>
      <c r="AU12" s="39" t="e">
        <f>#REF!</f>
        <v>#REF!</v>
      </c>
      <c r="AV12" s="39" t="e">
        <f>#REF!</f>
        <v>#REF!</v>
      </c>
      <c r="AW12" s="39" t="e">
        <f>#REF!</f>
        <v>#REF!</v>
      </c>
      <c r="AX12" s="39" t="e">
        <f>#REF!</f>
        <v>#REF!</v>
      </c>
      <c r="AY12" s="39" t="e">
        <f>#REF!</f>
        <v>#REF!</v>
      </c>
      <c r="AZ12" s="39">
        <f>'KI-4'!Q8</f>
        <v>87</v>
      </c>
      <c r="BA12" s="39" t="str">
        <f>'KI-4'!R8</f>
        <v>B</v>
      </c>
      <c r="BB12" s="39">
        <f>'KI-4'!S8</f>
        <v>87</v>
      </c>
      <c r="BC12" s="39" t="str">
        <f>'KI-4'!T8</f>
        <v>B</v>
      </c>
      <c r="BD12" s="39">
        <f>'KI-4'!U8</f>
        <v>78</v>
      </c>
      <c r="BE12" s="39" t="str">
        <f>'KI-4'!V8</f>
        <v>C</v>
      </c>
      <c r="BF12" s="39">
        <f>'KI-4'!W8</f>
        <v>85</v>
      </c>
      <c r="BG12" s="39" t="str">
        <f>'KI-4'!X8</f>
        <v>B</v>
      </c>
      <c r="BH12" s="39">
        <f>'KI-4'!Y8</f>
        <v>89</v>
      </c>
      <c r="BI12" s="39" t="str">
        <f>'KI-4'!Z8</f>
        <v>B</v>
      </c>
      <c r="BJ12" s="39">
        <f>'KI-4'!AA8</f>
        <v>88</v>
      </c>
      <c r="BK12" s="39" t="str">
        <f>'KI-4'!AB8</f>
        <v>B</v>
      </c>
      <c r="BL12" s="39">
        <f>'KI-4'!AC8</f>
        <v>84</v>
      </c>
      <c r="BM12" s="39" t="str">
        <f>'KI-4'!AD8</f>
        <v>B</v>
      </c>
      <c r="BN12" s="39">
        <f>'KI-4'!AE8</f>
        <v>78</v>
      </c>
      <c r="BO12" s="39" t="str">
        <f>'KI-4'!AF8</f>
        <v>C</v>
      </c>
      <c r="BP12" s="39"/>
      <c r="BQ12" s="39"/>
    </row>
    <row r="13" spans="1:69">
      <c r="A13" s="39">
        <v>4</v>
      </c>
      <c r="B13" s="66" t="str">
        <f>SISWA!B9</f>
        <v>Andrian Putra Pangestu</v>
      </c>
      <c r="C13" s="66">
        <f>SISWA!C9</f>
        <v>1255</v>
      </c>
      <c r="D13" s="66" t="str">
        <f>SISWA!D9</f>
        <v>0072961067</v>
      </c>
      <c r="E13" s="587" t="e">
        <f>#REF!</f>
        <v>#REF!</v>
      </c>
      <c r="F13" s="587" t="e">
        <f>#REF!</f>
        <v>#REF!</v>
      </c>
      <c r="G13" s="587" t="e">
        <f>#REF!</f>
        <v>#REF!</v>
      </c>
      <c r="H13" s="587" t="e">
        <f>#REF!</f>
        <v>#REF!</v>
      </c>
      <c r="I13" s="587" t="e">
        <f>#REF!</f>
        <v>#REF!</v>
      </c>
      <c r="J13" s="587" t="e">
        <f>#REF!</f>
        <v>#REF!</v>
      </c>
      <c r="K13" s="587" t="e">
        <f>#REF!</f>
        <v>#REF!</v>
      </c>
      <c r="L13" s="587" t="e">
        <f>#REF!</f>
        <v>#REF!</v>
      </c>
      <c r="M13" s="587" t="e">
        <f>#REF!</f>
        <v>#REF!</v>
      </c>
      <c r="N13" s="587" t="e">
        <f>#REF!</f>
        <v>#REF!</v>
      </c>
      <c r="O13" s="587" t="e">
        <f>#REF!</f>
        <v>#REF!</v>
      </c>
      <c r="P13" s="587" t="e">
        <f>#REF!</f>
        <v>#REF!</v>
      </c>
      <c r="Q13" s="587" t="e">
        <f>#REF!</f>
        <v>#REF!</v>
      </c>
      <c r="R13" s="587" t="e">
        <f>#REF!</f>
        <v>#REF!</v>
      </c>
      <c r="S13" s="453">
        <f>'KI-3'!Q8</f>
        <v>75</v>
      </c>
      <c r="T13" s="453" t="str">
        <f>'P-pkn'!CD11</f>
        <v>C</v>
      </c>
      <c r="U13" s="453">
        <f>'KI-3'!S8</f>
        <v>75</v>
      </c>
      <c r="V13" s="453" t="str">
        <f>'P-BI'!DQ11</f>
        <v>C</v>
      </c>
      <c r="W13" s="453">
        <f>'KI-3'!U8</f>
        <v>78</v>
      </c>
      <c r="X13" s="453" t="str">
        <f>'P MTK'!FQ11</f>
        <v>C</v>
      </c>
      <c r="Y13" s="453">
        <f>'KI-3'!W8</f>
        <v>75</v>
      </c>
      <c r="Z13" s="453" t="str">
        <f>'P-IPA'!DQ11</f>
        <v>C</v>
      </c>
      <c r="AA13" s="453">
        <f>'KI-3'!Y8</f>
        <v>75</v>
      </c>
      <c r="AB13" s="453" t="str">
        <f>'P-IPS'!DQ11</f>
        <v>C</v>
      </c>
      <c r="AC13" s="453">
        <f>'KI-3'!AA8</f>
        <v>75</v>
      </c>
      <c r="AD13" s="453" t="str">
        <f>'P-SBDP'!DQ11</f>
        <v>C</v>
      </c>
      <c r="AE13" s="453">
        <f>'KI-3'!AC8</f>
        <v>84</v>
      </c>
      <c r="AF13" s="453" t="str">
        <f>'P-PJOK'!D9</f>
        <v>B</v>
      </c>
      <c r="AG13" s="453">
        <f>'KI-3'!AE8</f>
        <v>77</v>
      </c>
      <c r="AH13" s="453" t="str">
        <f>'P-BJAWA'!AW11</f>
        <v>C</v>
      </c>
      <c r="AI13" s="39"/>
      <c r="AJ13" s="39"/>
      <c r="AL13" s="39" t="e">
        <f>#REF!</f>
        <v>#REF!</v>
      </c>
      <c r="AM13" s="39" t="e">
        <f>#REF!</f>
        <v>#REF!</v>
      </c>
      <c r="AN13" s="39" t="e">
        <f>#REF!</f>
        <v>#REF!</v>
      </c>
      <c r="AO13" s="39" t="e">
        <f>#REF!</f>
        <v>#REF!</v>
      </c>
      <c r="AP13" s="39" t="e">
        <f>#REF!</f>
        <v>#REF!</v>
      </c>
      <c r="AQ13" s="39" t="e">
        <f>#REF!</f>
        <v>#REF!</v>
      </c>
      <c r="AR13" s="39" t="e">
        <f>#REF!</f>
        <v>#REF!</v>
      </c>
      <c r="AS13" s="39" t="e">
        <f>#REF!</f>
        <v>#REF!</v>
      </c>
      <c r="AT13" s="39" t="e">
        <f>#REF!</f>
        <v>#REF!</v>
      </c>
      <c r="AU13" s="39" t="e">
        <f>#REF!</f>
        <v>#REF!</v>
      </c>
      <c r="AV13" s="39" t="e">
        <f>#REF!</f>
        <v>#REF!</v>
      </c>
      <c r="AW13" s="39" t="e">
        <f>#REF!</f>
        <v>#REF!</v>
      </c>
      <c r="AX13" s="39" t="e">
        <f>#REF!</f>
        <v>#REF!</v>
      </c>
      <c r="AY13" s="39" t="e">
        <f>#REF!</f>
        <v>#REF!</v>
      </c>
      <c r="AZ13" s="39">
        <f>'KI-4'!Q9</f>
        <v>76</v>
      </c>
      <c r="BA13" s="39" t="str">
        <f>'KI-4'!R9</f>
        <v>C</v>
      </c>
      <c r="BB13" s="39">
        <f>'KI-4'!S9</f>
        <v>76</v>
      </c>
      <c r="BC13" s="39" t="str">
        <f>'KI-4'!T9</f>
        <v>C</v>
      </c>
      <c r="BD13" s="39">
        <f>'KI-4'!U9</f>
        <v>78</v>
      </c>
      <c r="BE13" s="39" t="str">
        <f>'KI-4'!V9</f>
        <v>C</v>
      </c>
      <c r="BF13" s="39">
        <f>'KI-4'!W9</f>
        <v>76</v>
      </c>
      <c r="BG13" s="39" t="str">
        <f>'KI-4'!X9</f>
        <v>C</v>
      </c>
      <c r="BH13" s="39">
        <f>'KI-4'!Y9</f>
        <v>76</v>
      </c>
      <c r="BI13" s="39" t="str">
        <f>'KI-4'!Z9</f>
        <v>C</v>
      </c>
      <c r="BJ13" s="39">
        <f>'KI-4'!AA9</f>
        <v>76</v>
      </c>
      <c r="BK13" s="39" t="str">
        <f>'KI-4'!AB9</f>
        <v>C</v>
      </c>
      <c r="BL13" s="39">
        <f>'KI-4'!AC9</f>
        <v>84</v>
      </c>
      <c r="BM13" s="39" t="str">
        <f>'KI-4'!AD9</f>
        <v>B</v>
      </c>
      <c r="BN13" s="39">
        <f>'KI-4'!AE9</f>
        <v>82</v>
      </c>
      <c r="BO13" s="39" t="str">
        <f>'KI-4'!AF9</f>
        <v>C</v>
      </c>
      <c r="BP13" s="39"/>
      <c r="BQ13" s="39"/>
    </row>
    <row r="14" spans="1:69">
      <c r="A14" s="39">
        <v>5</v>
      </c>
      <c r="B14" s="66" t="str">
        <f>SISWA!B10</f>
        <v>Gresiya Suma Safitri</v>
      </c>
      <c r="C14" s="66">
        <f>SISWA!C10</f>
        <v>1274</v>
      </c>
      <c r="D14" s="66" t="str">
        <f>SISWA!D10</f>
        <v>0086534500</v>
      </c>
      <c r="E14" s="587" t="e">
        <f>#REF!</f>
        <v>#REF!</v>
      </c>
      <c r="F14" s="587" t="e">
        <f>#REF!</f>
        <v>#REF!</v>
      </c>
      <c r="G14" s="587" t="e">
        <f>#REF!</f>
        <v>#REF!</v>
      </c>
      <c r="H14" s="587" t="e">
        <f>#REF!</f>
        <v>#REF!</v>
      </c>
      <c r="I14" s="587" t="e">
        <f>#REF!</f>
        <v>#REF!</v>
      </c>
      <c r="J14" s="587" t="e">
        <f>#REF!</f>
        <v>#REF!</v>
      </c>
      <c r="K14" s="587" t="e">
        <f>#REF!</f>
        <v>#REF!</v>
      </c>
      <c r="L14" s="587" t="e">
        <f>#REF!</f>
        <v>#REF!</v>
      </c>
      <c r="M14" s="587" t="e">
        <f>#REF!</f>
        <v>#REF!</v>
      </c>
      <c r="N14" s="587" t="e">
        <f>#REF!</f>
        <v>#REF!</v>
      </c>
      <c r="O14" s="587" t="e">
        <f>#REF!</f>
        <v>#REF!</v>
      </c>
      <c r="P14" s="587" t="e">
        <f>#REF!</f>
        <v>#REF!</v>
      </c>
      <c r="Q14" s="587" t="e">
        <f>#REF!</f>
        <v>#REF!</v>
      </c>
      <c r="R14" s="587" t="e">
        <f>#REF!</f>
        <v>#REF!</v>
      </c>
      <c r="S14" s="453">
        <f>'KI-3'!Q9</f>
        <v>84</v>
      </c>
      <c r="T14" s="453" t="str">
        <f>'P-pkn'!CD12</f>
        <v>B</v>
      </c>
      <c r="U14" s="453">
        <f>'KI-3'!S9</f>
        <v>81</v>
      </c>
      <c r="V14" s="453" t="str">
        <f>'P-BI'!DQ12</f>
        <v>C</v>
      </c>
      <c r="W14" s="453">
        <f>'KI-3'!U9</f>
        <v>79</v>
      </c>
      <c r="X14" s="453" t="str">
        <f>'P MTK'!FQ12</f>
        <v>C</v>
      </c>
      <c r="Y14" s="453">
        <f>'KI-3'!W9</f>
        <v>81</v>
      </c>
      <c r="Z14" s="453" t="str">
        <f>'P-IPA'!DQ12</f>
        <v>C</v>
      </c>
      <c r="AA14" s="453">
        <f>'KI-3'!Y9</f>
        <v>80</v>
      </c>
      <c r="AB14" s="453" t="str">
        <f>'P-IPS'!DQ12</f>
        <v>C</v>
      </c>
      <c r="AC14" s="453">
        <f>'KI-3'!AA9</f>
        <v>84</v>
      </c>
      <c r="AD14" s="453" t="str">
        <f>'P-SBDP'!DQ12</f>
        <v>B</v>
      </c>
      <c r="AE14" s="453">
        <f>'KI-3'!AC9</f>
        <v>83</v>
      </c>
      <c r="AF14" s="453" t="str">
        <f>'P-PJOK'!D10</f>
        <v>B</v>
      </c>
      <c r="AG14" s="453">
        <f>'KI-3'!AE9</f>
        <v>78</v>
      </c>
      <c r="AH14" s="453" t="str">
        <f>'P-BJAWA'!AW12</f>
        <v>C</v>
      </c>
      <c r="AI14" s="39"/>
      <c r="AJ14" s="39"/>
      <c r="AL14" s="39" t="e">
        <f>#REF!</f>
        <v>#REF!</v>
      </c>
      <c r="AM14" s="39" t="e">
        <f>#REF!</f>
        <v>#REF!</v>
      </c>
      <c r="AN14" s="39" t="e">
        <f>#REF!</f>
        <v>#REF!</v>
      </c>
      <c r="AO14" s="39" t="e">
        <f>#REF!</f>
        <v>#REF!</v>
      </c>
      <c r="AP14" s="39" t="e">
        <f>#REF!</f>
        <v>#REF!</v>
      </c>
      <c r="AQ14" s="39" t="e">
        <f>#REF!</f>
        <v>#REF!</v>
      </c>
      <c r="AR14" s="39" t="e">
        <f>#REF!</f>
        <v>#REF!</v>
      </c>
      <c r="AS14" s="39" t="e">
        <f>#REF!</f>
        <v>#REF!</v>
      </c>
      <c r="AT14" s="39" t="e">
        <f>#REF!</f>
        <v>#REF!</v>
      </c>
      <c r="AU14" s="39" t="e">
        <f>#REF!</f>
        <v>#REF!</v>
      </c>
      <c r="AV14" s="39" t="e">
        <f>#REF!</f>
        <v>#REF!</v>
      </c>
      <c r="AW14" s="39" t="e">
        <f>#REF!</f>
        <v>#REF!</v>
      </c>
      <c r="AX14" s="39" t="e">
        <f>#REF!</f>
        <v>#REF!</v>
      </c>
      <c r="AY14" s="39" t="e">
        <f>#REF!</f>
        <v>#REF!</v>
      </c>
      <c r="AZ14" s="39">
        <f>'KI-4'!Q10</f>
        <v>85</v>
      </c>
      <c r="BA14" s="39" t="str">
        <f>'KI-4'!R10</f>
        <v>B</v>
      </c>
      <c r="BB14" s="39">
        <f>'KI-4'!S10</f>
        <v>80</v>
      </c>
      <c r="BC14" s="39" t="str">
        <f>'KI-4'!T10</f>
        <v>C</v>
      </c>
      <c r="BD14" s="39">
        <f>'KI-4'!U10</f>
        <v>79</v>
      </c>
      <c r="BE14" s="39" t="str">
        <f>'KI-4'!V10</f>
        <v>C</v>
      </c>
      <c r="BF14" s="39">
        <f>'KI-4'!W10</f>
        <v>86</v>
      </c>
      <c r="BG14" s="39" t="str">
        <f>'KI-4'!X10</f>
        <v>B</v>
      </c>
      <c r="BH14" s="39">
        <f>'KI-4'!Y10</f>
        <v>84</v>
      </c>
      <c r="BI14" s="39" t="str">
        <f>'KI-4'!Z10</f>
        <v>B</v>
      </c>
      <c r="BJ14" s="39">
        <f>'KI-4'!AA10</f>
        <v>84</v>
      </c>
      <c r="BK14" s="39" t="str">
        <f>'KI-4'!AB10</f>
        <v>B</v>
      </c>
      <c r="BL14" s="39">
        <f>'KI-4'!AC10</f>
        <v>84</v>
      </c>
      <c r="BM14" s="39" t="str">
        <f>'KI-4'!AD10</f>
        <v>B</v>
      </c>
      <c r="BN14" s="39">
        <f>'KI-4'!AE10</f>
        <v>88</v>
      </c>
      <c r="BO14" s="39" t="str">
        <f>'KI-4'!AF10</f>
        <v>B</v>
      </c>
      <c r="BP14" s="39"/>
      <c r="BQ14" s="39"/>
    </row>
    <row r="15" spans="1:69">
      <c r="A15" s="39">
        <v>6</v>
      </c>
      <c r="B15" s="66" t="str">
        <f>SISWA!B11</f>
        <v>Hasna Fathitya Sabrina</v>
      </c>
      <c r="C15" s="66">
        <f>SISWA!C11</f>
        <v>1280</v>
      </c>
      <c r="D15" s="66" t="str">
        <f>SISWA!D11</f>
        <v>0095912960</v>
      </c>
      <c r="E15" s="587" t="e">
        <f>#REF!</f>
        <v>#REF!</v>
      </c>
      <c r="F15" s="587" t="e">
        <f>#REF!</f>
        <v>#REF!</v>
      </c>
      <c r="G15" s="587" t="e">
        <f>#REF!</f>
        <v>#REF!</v>
      </c>
      <c r="H15" s="587" t="e">
        <f>#REF!</f>
        <v>#REF!</v>
      </c>
      <c r="I15" s="587" t="e">
        <f>#REF!</f>
        <v>#REF!</v>
      </c>
      <c r="J15" s="587" t="e">
        <f>#REF!</f>
        <v>#REF!</v>
      </c>
      <c r="K15" s="587" t="e">
        <f>#REF!</f>
        <v>#REF!</v>
      </c>
      <c r="L15" s="587" t="e">
        <f>#REF!</f>
        <v>#REF!</v>
      </c>
      <c r="M15" s="587" t="e">
        <f>#REF!</f>
        <v>#REF!</v>
      </c>
      <c r="N15" s="587" t="e">
        <f>#REF!</f>
        <v>#REF!</v>
      </c>
      <c r="O15" s="587" t="e">
        <f>#REF!</f>
        <v>#REF!</v>
      </c>
      <c r="P15" s="587" t="e">
        <f>#REF!</f>
        <v>#REF!</v>
      </c>
      <c r="Q15" s="587" t="e">
        <f>#REF!</f>
        <v>#REF!</v>
      </c>
      <c r="R15" s="587" t="e">
        <f>#REF!</f>
        <v>#REF!</v>
      </c>
      <c r="S15" s="453">
        <f>'KI-3'!Q10</f>
        <v>85</v>
      </c>
      <c r="T15" s="453" t="str">
        <f>'P-pkn'!CD13</f>
        <v>B</v>
      </c>
      <c r="U15" s="453">
        <f>'KI-3'!S10</f>
        <v>86</v>
      </c>
      <c r="V15" s="453" t="str">
        <f>'P-BI'!DQ13</f>
        <v>B</v>
      </c>
      <c r="W15" s="453">
        <f>'KI-3'!U10</f>
        <v>78</v>
      </c>
      <c r="X15" s="453" t="str">
        <f>'P MTK'!FQ13</f>
        <v>C</v>
      </c>
      <c r="Y15" s="453">
        <f>'KI-3'!W10</f>
        <v>82</v>
      </c>
      <c r="Z15" s="453" t="str">
        <f>'P-IPA'!DQ13</f>
        <v>C</v>
      </c>
      <c r="AA15" s="453">
        <f>'KI-3'!Y10</f>
        <v>80</v>
      </c>
      <c r="AB15" s="453" t="str">
        <f>'P-IPS'!DQ13</f>
        <v>C</v>
      </c>
      <c r="AC15" s="453">
        <f>'KI-3'!AA10</f>
        <v>84</v>
      </c>
      <c r="AD15" s="453" t="str">
        <f>'P-SBDP'!DQ13</f>
        <v>B</v>
      </c>
      <c r="AE15" s="453">
        <f>'KI-3'!AC10</f>
        <v>82</v>
      </c>
      <c r="AF15" s="453" t="str">
        <f>'P-PJOK'!D11</f>
        <v>B</v>
      </c>
      <c r="AG15" s="453">
        <f>'KI-3'!AE10</f>
        <v>77</v>
      </c>
      <c r="AH15" s="453" t="str">
        <f>'P-BJAWA'!AW13</f>
        <v>C</v>
      </c>
      <c r="AI15" s="39"/>
      <c r="AJ15" s="39"/>
      <c r="AL15" s="39" t="e">
        <f>#REF!</f>
        <v>#REF!</v>
      </c>
      <c r="AM15" s="39" t="e">
        <f>#REF!</f>
        <v>#REF!</v>
      </c>
      <c r="AN15" s="39" t="e">
        <f>#REF!</f>
        <v>#REF!</v>
      </c>
      <c r="AO15" s="39" t="e">
        <f>#REF!</f>
        <v>#REF!</v>
      </c>
      <c r="AP15" s="39" t="e">
        <f>#REF!</f>
        <v>#REF!</v>
      </c>
      <c r="AQ15" s="39" t="e">
        <f>#REF!</f>
        <v>#REF!</v>
      </c>
      <c r="AR15" s="39" t="e">
        <f>#REF!</f>
        <v>#REF!</v>
      </c>
      <c r="AS15" s="39" t="e">
        <f>#REF!</f>
        <v>#REF!</v>
      </c>
      <c r="AT15" s="39" t="e">
        <f>#REF!</f>
        <v>#REF!</v>
      </c>
      <c r="AU15" s="39" t="e">
        <f>#REF!</f>
        <v>#REF!</v>
      </c>
      <c r="AV15" s="39" t="e">
        <f>#REF!</f>
        <v>#REF!</v>
      </c>
      <c r="AW15" s="39" t="e">
        <f>#REF!</f>
        <v>#REF!</v>
      </c>
      <c r="AX15" s="39" t="e">
        <f>#REF!</f>
        <v>#REF!</v>
      </c>
      <c r="AY15" s="39" t="e">
        <f>#REF!</f>
        <v>#REF!</v>
      </c>
      <c r="AZ15" s="39">
        <f>'KI-4'!Q11</f>
        <v>83</v>
      </c>
      <c r="BA15" s="39" t="str">
        <f>'KI-4'!R11</f>
        <v>B</v>
      </c>
      <c r="BB15" s="39">
        <f>'KI-4'!S11</f>
        <v>84</v>
      </c>
      <c r="BC15" s="39" t="str">
        <f>'KI-4'!T11</f>
        <v>B</v>
      </c>
      <c r="BD15" s="39">
        <f>'KI-4'!U11</f>
        <v>79</v>
      </c>
      <c r="BE15" s="39" t="str">
        <f>'KI-4'!V11</f>
        <v>C</v>
      </c>
      <c r="BF15" s="39">
        <f>'KI-4'!W11</f>
        <v>86</v>
      </c>
      <c r="BG15" s="39" t="str">
        <f>'KI-4'!X11</f>
        <v>B</v>
      </c>
      <c r="BH15" s="39">
        <f>'KI-4'!Y11</f>
        <v>86</v>
      </c>
      <c r="BI15" s="39" t="str">
        <f>'KI-4'!Z11</f>
        <v>B</v>
      </c>
      <c r="BJ15" s="39">
        <f>'KI-4'!AA11</f>
        <v>86</v>
      </c>
      <c r="BK15" s="39" t="str">
        <f>'KI-4'!AB11</f>
        <v>B</v>
      </c>
      <c r="BL15" s="39">
        <f>'KI-4'!AC11</f>
        <v>84</v>
      </c>
      <c r="BM15" s="39" t="str">
        <f>'KI-4'!AD11</f>
        <v>B</v>
      </c>
      <c r="BN15" s="39">
        <f>'KI-4'!AE11</f>
        <v>83</v>
      </c>
      <c r="BO15" s="39" t="str">
        <f>'KI-4'!AF11</f>
        <v>B</v>
      </c>
      <c r="BP15" s="39"/>
      <c r="BQ15" s="39"/>
    </row>
    <row r="16" spans="1:69">
      <c r="A16" s="39">
        <v>7</v>
      </c>
      <c r="B16" s="66" t="str">
        <f>SISWA!B12</f>
        <v>Indah Fitria Ningrum</v>
      </c>
      <c r="C16" s="66">
        <f>SISWA!C12</f>
        <v>1273</v>
      </c>
      <c r="D16" s="66" t="str">
        <f>SISWA!D12</f>
        <v>0083313497</v>
      </c>
      <c r="E16" s="587" t="e">
        <f>#REF!</f>
        <v>#REF!</v>
      </c>
      <c r="F16" s="587" t="e">
        <f>#REF!</f>
        <v>#REF!</v>
      </c>
      <c r="G16" s="587" t="e">
        <f>#REF!</f>
        <v>#REF!</v>
      </c>
      <c r="H16" s="587" t="e">
        <f>#REF!</f>
        <v>#REF!</v>
      </c>
      <c r="I16" s="587" t="e">
        <f>#REF!</f>
        <v>#REF!</v>
      </c>
      <c r="J16" s="587" t="e">
        <f>#REF!</f>
        <v>#REF!</v>
      </c>
      <c r="K16" s="587" t="e">
        <f>#REF!</f>
        <v>#REF!</v>
      </c>
      <c r="L16" s="587" t="e">
        <f>#REF!</f>
        <v>#REF!</v>
      </c>
      <c r="M16" s="587" t="e">
        <f>#REF!</f>
        <v>#REF!</v>
      </c>
      <c r="N16" s="587" t="e">
        <f>#REF!</f>
        <v>#REF!</v>
      </c>
      <c r="O16" s="587" t="e">
        <f>#REF!</f>
        <v>#REF!</v>
      </c>
      <c r="P16" s="587" t="e">
        <f>#REF!</f>
        <v>#REF!</v>
      </c>
      <c r="Q16" s="587" t="e">
        <f>#REF!</f>
        <v>#REF!</v>
      </c>
      <c r="R16" s="587" t="e">
        <f>#REF!</f>
        <v>#REF!</v>
      </c>
      <c r="S16" s="453">
        <f>'KI-3'!Q11</f>
        <v>88</v>
      </c>
      <c r="T16" s="453" t="str">
        <f>'P-pkn'!CD14</f>
        <v>B</v>
      </c>
      <c r="U16" s="453">
        <f>'KI-3'!S11</f>
        <v>84</v>
      </c>
      <c r="V16" s="453" t="str">
        <f>'P-BI'!DQ14</f>
        <v>B</v>
      </c>
      <c r="W16" s="453">
        <f>'KI-3'!U11</f>
        <v>79</v>
      </c>
      <c r="X16" s="453" t="str">
        <f>'P MTK'!FQ14</f>
        <v>C</v>
      </c>
      <c r="Y16" s="453">
        <f>'KI-3'!W11</f>
        <v>83</v>
      </c>
      <c r="Z16" s="453" t="str">
        <f>'P-IPA'!DQ14</f>
        <v>B</v>
      </c>
      <c r="AA16" s="453">
        <f>'KI-3'!Y11</f>
        <v>84</v>
      </c>
      <c r="AB16" s="453" t="str">
        <f>'P-IPS'!DQ14</f>
        <v>B</v>
      </c>
      <c r="AC16" s="453">
        <f>'KI-3'!AA11</f>
        <v>91</v>
      </c>
      <c r="AD16" s="453" t="str">
        <f>'P-SBDP'!DQ14</f>
        <v>B</v>
      </c>
      <c r="AE16" s="453">
        <f>'KI-3'!AC11</f>
        <v>83</v>
      </c>
      <c r="AF16" s="453" t="str">
        <f>'P-PJOK'!D12</f>
        <v>B</v>
      </c>
      <c r="AG16" s="453">
        <f>'KI-3'!AE11</f>
        <v>82</v>
      </c>
      <c r="AH16" s="453" t="str">
        <f>'P-BJAWA'!AW14</f>
        <v>C</v>
      </c>
      <c r="AI16" s="39"/>
      <c r="AJ16" s="39"/>
      <c r="AL16" s="39" t="e">
        <f>#REF!</f>
        <v>#REF!</v>
      </c>
      <c r="AM16" s="39" t="e">
        <f>#REF!</f>
        <v>#REF!</v>
      </c>
      <c r="AN16" s="39" t="e">
        <f>#REF!</f>
        <v>#REF!</v>
      </c>
      <c r="AO16" s="39" t="e">
        <f>#REF!</f>
        <v>#REF!</v>
      </c>
      <c r="AP16" s="39" t="e">
        <f>#REF!</f>
        <v>#REF!</v>
      </c>
      <c r="AQ16" s="39" t="e">
        <f>#REF!</f>
        <v>#REF!</v>
      </c>
      <c r="AR16" s="39" t="e">
        <f>#REF!</f>
        <v>#REF!</v>
      </c>
      <c r="AS16" s="39" t="e">
        <f>#REF!</f>
        <v>#REF!</v>
      </c>
      <c r="AT16" s="39" t="e">
        <f>#REF!</f>
        <v>#REF!</v>
      </c>
      <c r="AU16" s="39" t="e">
        <f>#REF!</f>
        <v>#REF!</v>
      </c>
      <c r="AV16" s="39" t="e">
        <f>#REF!</f>
        <v>#REF!</v>
      </c>
      <c r="AW16" s="39" t="e">
        <f>#REF!</f>
        <v>#REF!</v>
      </c>
      <c r="AX16" s="39" t="e">
        <f>#REF!</f>
        <v>#REF!</v>
      </c>
      <c r="AY16" s="39" t="e">
        <f>#REF!</f>
        <v>#REF!</v>
      </c>
      <c r="AZ16" s="39">
        <f>'KI-4'!Q12</f>
        <v>86</v>
      </c>
      <c r="BA16" s="39" t="str">
        <f>'KI-4'!R12</f>
        <v>B</v>
      </c>
      <c r="BB16" s="39">
        <f>'KI-4'!S12</f>
        <v>84</v>
      </c>
      <c r="BC16" s="39" t="str">
        <f>'KI-4'!T12</f>
        <v>B</v>
      </c>
      <c r="BD16" s="39">
        <f>'KI-4'!U12</f>
        <v>81</v>
      </c>
      <c r="BE16" s="39" t="str">
        <f>'KI-4'!V12</f>
        <v>C</v>
      </c>
      <c r="BF16" s="39">
        <f>'KI-4'!W12</f>
        <v>85</v>
      </c>
      <c r="BG16" s="39" t="str">
        <f>'KI-4'!X12</f>
        <v>B</v>
      </c>
      <c r="BH16" s="39">
        <f>'KI-4'!Y12</f>
        <v>89</v>
      </c>
      <c r="BI16" s="39" t="str">
        <f>'KI-4'!Z12</f>
        <v>B</v>
      </c>
      <c r="BJ16" s="39">
        <f>'KI-4'!AA12</f>
        <v>84</v>
      </c>
      <c r="BK16" s="39" t="str">
        <f>'KI-4'!AB12</f>
        <v>B</v>
      </c>
      <c r="BL16" s="39">
        <f>'KI-4'!AC12</f>
        <v>84</v>
      </c>
      <c r="BM16" s="39" t="str">
        <f>'KI-4'!AD12</f>
        <v>B</v>
      </c>
      <c r="BN16" s="39">
        <f>'KI-4'!AE12</f>
        <v>85</v>
      </c>
      <c r="BO16" s="39" t="str">
        <f>'KI-4'!AF12</f>
        <v>B</v>
      </c>
      <c r="BP16" s="39"/>
      <c r="BQ16" s="39"/>
    </row>
    <row r="17" spans="1:69">
      <c r="A17" s="39">
        <v>8</v>
      </c>
      <c r="B17" s="66" t="str">
        <f>SISWA!B13</f>
        <v>Muhammad Ilham Sarifuddin</v>
      </c>
      <c r="C17" s="66">
        <f>SISWA!C13</f>
        <v>1263</v>
      </c>
      <c r="D17" s="66" t="str">
        <f>SISWA!D13</f>
        <v>0087301623</v>
      </c>
      <c r="E17" s="587" t="e">
        <f>#REF!</f>
        <v>#REF!</v>
      </c>
      <c r="F17" s="587" t="e">
        <f>#REF!</f>
        <v>#REF!</v>
      </c>
      <c r="G17" s="587" t="e">
        <f>#REF!</f>
        <v>#REF!</v>
      </c>
      <c r="H17" s="587" t="e">
        <f>#REF!</f>
        <v>#REF!</v>
      </c>
      <c r="I17" s="587" t="e">
        <f>#REF!</f>
        <v>#REF!</v>
      </c>
      <c r="J17" s="587" t="e">
        <f>#REF!</f>
        <v>#REF!</v>
      </c>
      <c r="K17" s="587" t="e">
        <f>#REF!</f>
        <v>#REF!</v>
      </c>
      <c r="L17" s="587" t="e">
        <f>#REF!</f>
        <v>#REF!</v>
      </c>
      <c r="M17" s="587" t="e">
        <f>#REF!</f>
        <v>#REF!</v>
      </c>
      <c r="N17" s="587" t="e">
        <f>#REF!</f>
        <v>#REF!</v>
      </c>
      <c r="O17" s="587" t="e">
        <f>#REF!</f>
        <v>#REF!</v>
      </c>
      <c r="P17" s="587" t="e">
        <f>#REF!</f>
        <v>#REF!</v>
      </c>
      <c r="Q17" s="587" t="e">
        <f>#REF!</f>
        <v>#REF!</v>
      </c>
      <c r="R17" s="587" t="e">
        <f>#REF!</f>
        <v>#REF!</v>
      </c>
      <c r="S17" s="453">
        <f>'KI-3'!Q12</f>
        <v>82</v>
      </c>
      <c r="T17" s="453" t="str">
        <f>'P-pkn'!CD15</f>
        <v>C</v>
      </c>
      <c r="U17" s="453">
        <f>'KI-3'!S12</f>
        <v>82</v>
      </c>
      <c r="V17" s="453" t="str">
        <f>'P-BI'!DQ15</f>
        <v>C</v>
      </c>
      <c r="W17" s="453">
        <f>'KI-3'!U12</f>
        <v>79</v>
      </c>
      <c r="X17" s="453" t="str">
        <f>'P MTK'!FQ15</f>
        <v>C</v>
      </c>
      <c r="Y17" s="453">
        <f>'KI-3'!W12</f>
        <v>80</v>
      </c>
      <c r="Z17" s="453" t="str">
        <f>'P-IPA'!DQ15</f>
        <v>C</v>
      </c>
      <c r="AA17" s="453">
        <f>'KI-3'!Y12</f>
        <v>78</v>
      </c>
      <c r="AB17" s="453" t="str">
        <f>'P-IPS'!DQ15</f>
        <v>C</v>
      </c>
      <c r="AC17" s="453">
        <f>'KI-3'!AA12</f>
        <v>81</v>
      </c>
      <c r="AD17" s="453" t="str">
        <f>'P-SBDP'!DQ15</f>
        <v>C</v>
      </c>
      <c r="AE17" s="453">
        <f>'KI-3'!AC12</f>
        <v>83</v>
      </c>
      <c r="AF17" s="453" t="str">
        <f>'P-PJOK'!D13</f>
        <v>B</v>
      </c>
      <c r="AG17" s="453">
        <f>'KI-3'!AE12</f>
        <v>78</v>
      </c>
      <c r="AH17" s="453" t="str">
        <f>'P-BJAWA'!AW15</f>
        <v>C</v>
      </c>
      <c r="AI17" s="39"/>
      <c r="AJ17" s="39"/>
      <c r="AL17" s="39" t="e">
        <f>#REF!</f>
        <v>#REF!</v>
      </c>
      <c r="AM17" s="39" t="e">
        <f>#REF!</f>
        <v>#REF!</v>
      </c>
      <c r="AN17" s="39" t="e">
        <f>#REF!</f>
        <v>#REF!</v>
      </c>
      <c r="AO17" s="39" t="e">
        <f>#REF!</f>
        <v>#REF!</v>
      </c>
      <c r="AP17" s="39" t="e">
        <f>#REF!</f>
        <v>#REF!</v>
      </c>
      <c r="AQ17" s="39" t="e">
        <f>#REF!</f>
        <v>#REF!</v>
      </c>
      <c r="AR17" s="39" t="e">
        <f>#REF!</f>
        <v>#REF!</v>
      </c>
      <c r="AS17" s="39" t="e">
        <f>#REF!</f>
        <v>#REF!</v>
      </c>
      <c r="AT17" s="39" t="e">
        <f>#REF!</f>
        <v>#REF!</v>
      </c>
      <c r="AU17" s="39" t="e">
        <f>#REF!</f>
        <v>#REF!</v>
      </c>
      <c r="AV17" s="39" t="e">
        <f>#REF!</f>
        <v>#REF!</v>
      </c>
      <c r="AW17" s="39" t="e">
        <f>#REF!</f>
        <v>#REF!</v>
      </c>
      <c r="AX17" s="39" t="e">
        <f>#REF!</f>
        <v>#REF!</v>
      </c>
      <c r="AY17" s="39" t="e">
        <f>#REF!</f>
        <v>#REF!</v>
      </c>
      <c r="AZ17" s="39">
        <f>'KI-4'!Q13</f>
        <v>83</v>
      </c>
      <c r="BA17" s="39" t="str">
        <f>'KI-4'!R13</f>
        <v>B</v>
      </c>
      <c r="BB17" s="39">
        <f>'KI-4'!S13</f>
        <v>83</v>
      </c>
      <c r="BC17" s="39" t="str">
        <f>'KI-4'!T13</f>
        <v>B</v>
      </c>
      <c r="BD17" s="39">
        <f>'KI-4'!U13</f>
        <v>78</v>
      </c>
      <c r="BE17" s="39" t="str">
        <f>'KI-4'!V13</f>
        <v>C</v>
      </c>
      <c r="BF17" s="39">
        <f>'KI-4'!W13</f>
        <v>78</v>
      </c>
      <c r="BG17" s="39" t="str">
        <f>'KI-4'!X13</f>
        <v>C</v>
      </c>
      <c r="BH17" s="39">
        <f>'KI-4'!Y13</f>
        <v>83</v>
      </c>
      <c r="BI17" s="39" t="str">
        <f>'KI-4'!Z13</f>
        <v>B</v>
      </c>
      <c r="BJ17" s="39">
        <f>'KI-4'!AA13</f>
        <v>82</v>
      </c>
      <c r="BK17" s="39" t="str">
        <f>'KI-4'!AB13</f>
        <v>C</v>
      </c>
      <c r="BL17" s="39">
        <f>'KI-4'!AC13</f>
        <v>84</v>
      </c>
      <c r="BM17" s="39" t="str">
        <f>'KI-4'!AD13</f>
        <v>B</v>
      </c>
      <c r="BN17" s="39">
        <f>'KI-4'!AE13</f>
        <v>82</v>
      </c>
      <c r="BO17" s="39" t="str">
        <f>'KI-4'!AF13</f>
        <v>C</v>
      </c>
      <c r="BP17" s="39"/>
      <c r="BQ17" s="39"/>
    </row>
    <row r="18" spans="1:69">
      <c r="A18" s="39">
        <v>9</v>
      </c>
      <c r="B18" s="66" t="str">
        <f>SISWA!B14</f>
        <v>Muhammad Raditya Ainul Yaqin</v>
      </c>
      <c r="C18" s="66">
        <f>SISWA!C14</f>
        <v>1269</v>
      </c>
      <c r="D18" s="66" t="str">
        <f>SISWA!D14</f>
        <v>0155408388</v>
      </c>
      <c r="E18" s="587" t="e">
        <f>#REF!</f>
        <v>#REF!</v>
      </c>
      <c r="F18" s="587" t="e">
        <f>#REF!</f>
        <v>#REF!</v>
      </c>
      <c r="G18" s="587" t="e">
        <f>#REF!</f>
        <v>#REF!</v>
      </c>
      <c r="H18" s="587" t="e">
        <f>#REF!</f>
        <v>#REF!</v>
      </c>
      <c r="I18" s="587" t="e">
        <f>#REF!</f>
        <v>#REF!</v>
      </c>
      <c r="J18" s="587" t="e">
        <f>#REF!</f>
        <v>#REF!</v>
      </c>
      <c r="K18" s="587" t="e">
        <f>#REF!</f>
        <v>#REF!</v>
      </c>
      <c r="L18" s="587" t="e">
        <f>#REF!</f>
        <v>#REF!</v>
      </c>
      <c r="M18" s="587" t="e">
        <f>#REF!</f>
        <v>#REF!</v>
      </c>
      <c r="N18" s="587" t="e">
        <f>#REF!</f>
        <v>#REF!</v>
      </c>
      <c r="O18" s="587" t="e">
        <f>#REF!</f>
        <v>#REF!</v>
      </c>
      <c r="P18" s="587" t="e">
        <f>#REF!</f>
        <v>#REF!</v>
      </c>
      <c r="Q18" s="587" t="e">
        <f>#REF!</f>
        <v>#REF!</v>
      </c>
      <c r="R18" s="587" t="e">
        <f>#REF!</f>
        <v>#REF!</v>
      </c>
      <c r="S18" s="453">
        <f>'KI-3'!Q13</f>
        <v>80</v>
      </c>
      <c r="T18" s="453" t="str">
        <f>'P-pkn'!CD16</f>
        <v>C</v>
      </c>
      <c r="U18" s="453">
        <f>'KI-3'!S13</f>
        <v>78</v>
      </c>
      <c r="V18" s="453" t="str">
        <f>'P-BI'!DQ16</f>
        <v>C</v>
      </c>
      <c r="W18" s="453">
        <f>'KI-3'!U13</f>
        <v>79</v>
      </c>
      <c r="X18" s="453" t="str">
        <f>'P MTK'!FQ16</f>
        <v>C</v>
      </c>
      <c r="Y18" s="453">
        <f>'KI-3'!W13</f>
        <v>79</v>
      </c>
      <c r="Z18" s="453" t="str">
        <f>'P-IPA'!DQ16</f>
        <v>C</v>
      </c>
      <c r="AA18" s="453">
        <f>'KI-3'!Y13</f>
        <v>77</v>
      </c>
      <c r="AB18" s="453" t="str">
        <f>'P-IPS'!DQ16</f>
        <v>C</v>
      </c>
      <c r="AC18" s="453">
        <f>'KI-3'!AA13</f>
        <v>78</v>
      </c>
      <c r="AD18" s="453" t="str">
        <f>'P-SBDP'!DQ16</f>
        <v>C</v>
      </c>
      <c r="AE18" s="453">
        <f>'KI-3'!AC13</f>
        <v>83</v>
      </c>
      <c r="AF18" s="453" t="str">
        <f>'P-PJOK'!D14</f>
        <v>B</v>
      </c>
      <c r="AG18" s="453">
        <f>'KI-3'!AE13</f>
        <v>80</v>
      </c>
      <c r="AH18" s="453" t="str">
        <f>'P-BJAWA'!AW16</f>
        <v>C</v>
      </c>
      <c r="AI18" s="39"/>
      <c r="AJ18" s="39"/>
      <c r="AL18" s="39" t="e">
        <f>#REF!</f>
        <v>#REF!</v>
      </c>
      <c r="AM18" s="39" t="e">
        <f>#REF!</f>
        <v>#REF!</v>
      </c>
      <c r="AN18" s="39" t="e">
        <f>#REF!</f>
        <v>#REF!</v>
      </c>
      <c r="AO18" s="39" t="e">
        <f>#REF!</f>
        <v>#REF!</v>
      </c>
      <c r="AP18" s="39" t="e">
        <f>#REF!</f>
        <v>#REF!</v>
      </c>
      <c r="AQ18" s="39" t="e">
        <f>#REF!</f>
        <v>#REF!</v>
      </c>
      <c r="AR18" s="39" t="e">
        <f>#REF!</f>
        <v>#REF!</v>
      </c>
      <c r="AS18" s="39" t="e">
        <f>#REF!</f>
        <v>#REF!</v>
      </c>
      <c r="AT18" s="39" t="e">
        <f>#REF!</f>
        <v>#REF!</v>
      </c>
      <c r="AU18" s="39" t="e">
        <f>#REF!</f>
        <v>#REF!</v>
      </c>
      <c r="AV18" s="39" t="e">
        <f>#REF!</f>
        <v>#REF!</v>
      </c>
      <c r="AW18" s="39" t="e">
        <f>#REF!</f>
        <v>#REF!</v>
      </c>
      <c r="AX18" s="39" t="e">
        <f>#REF!</f>
        <v>#REF!</v>
      </c>
      <c r="AY18" s="39" t="e">
        <f>#REF!</f>
        <v>#REF!</v>
      </c>
      <c r="AZ18" s="39">
        <f>'KI-4'!Q14</f>
        <v>79</v>
      </c>
      <c r="BA18" s="39" t="str">
        <f>'KI-4'!R14</f>
        <v>C</v>
      </c>
      <c r="BB18" s="39">
        <f>'KI-4'!S14</f>
        <v>80</v>
      </c>
      <c r="BC18" s="39" t="str">
        <f>'KI-4'!T14</f>
        <v>C</v>
      </c>
      <c r="BD18" s="39">
        <f>'KI-4'!U14</f>
        <v>78</v>
      </c>
      <c r="BE18" s="39" t="str">
        <f>'KI-4'!V14</f>
        <v>C</v>
      </c>
      <c r="BF18" s="39">
        <f>'KI-4'!W14</f>
        <v>80</v>
      </c>
      <c r="BG18" s="39" t="str">
        <f>'KI-4'!X14</f>
        <v>C</v>
      </c>
      <c r="BH18" s="39">
        <f>'KI-4'!Y14</f>
        <v>87</v>
      </c>
      <c r="BI18" s="39" t="str">
        <f>'KI-4'!Z14</f>
        <v>B</v>
      </c>
      <c r="BJ18" s="39">
        <f>'KI-4'!AA14</f>
        <v>82</v>
      </c>
      <c r="BK18" s="39" t="str">
        <f>'KI-4'!AB14</f>
        <v>C</v>
      </c>
      <c r="BL18" s="39">
        <f>'KI-4'!AC14</f>
        <v>84</v>
      </c>
      <c r="BM18" s="39" t="str">
        <f>'KI-4'!AD14</f>
        <v>B</v>
      </c>
      <c r="BN18" s="39">
        <f>'KI-4'!AE14</f>
        <v>82</v>
      </c>
      <c r="BO18" s="39" t="str">
        <f>'KI-4'!AF14</f>
        <v>C</v>
      </c>
      <c r="BP18" s="39"/>
      <c r="BQ18" s="39"/>
    </row>
    <row r="19" spans="1:69">
      <c r="A19" s="39">
        <v>10</v>
      </c>
      <c r="B19" s="66" t="str">
        <f>SISWA!B15</f>
        <v>Muhammad Shulhan Al-farisi</v>
      </c>
      <c r="C19" s="66">
        <f>SISWA!C15</f>
        <v>1278</v>
      </c>
      <c r="D19" s="66" t="str">
        <f>SISWA!D15</f>
        <v>0095231681</v>
      </c>
      <c r="E19" s="587" t="e">
        <f>#REF!</f>
        <v>#REF!</v>
      </c>
      <c r="F19" s="587" t="e">
        <f>#REF!</f>
        <v>#REF!</v>
      </c>
      <c r="G19" s="587" t="e">
        <f>#REF!</f>
        <v>#REF!</v>
      </c>
      <c r="H19" s="587" t="e">
        <f>#REF!</f>
        <v>#REF!</v>
      </c>
      <c r="I19" s="587" t="e">
        <f>#REF!</f>
        <v>#REF!</v>
      </c>
      <c r="J19" s="587" t="e">
        <f>#REF!</f>
        <v>#REF!</v>
      </c>
      <c r="K19" s="587" t="e">
        <f>#REF!</f>
        <v>#REF!</v>
      </c>
      <c r="L19" s="587" t="e">
        <f>#REF!</f>
        <v>#REF!</v>
      </c>
      <c r="M19" s="587" t="e">
        <f>#REF!</f>
        <v>#REF!</v>
      </c>
      <c r="N19" s="587" t="e">
        <f>#REF!</f>
        <v>#REF!</v>
      </c>
      <c r="O19" s="587" t="e">
        <f>#REF!</f>
        <v>#REF!</v>
      </c>
      <c r="P19" s="587" t="e">
        <f>#REF!</f>
        <v>#REF!</v>
      </c>
      <c r="Q19" s="587" t="e">
        <f>#REF!</f>
        <v>#REF!</v>
      </c>
      <c r="R19" s="587" t="e">
        <f>#REF!</f>
        <v>#REF!</v>
      </c>
      <c r="S19" s="453">
        <f>'KI-3'!Q14</f>
        <v>86</v>
      </c>
      <c r="T19" s="453" t="str">
        <f>'P-pkn'!CD17</f>
        <v>B</v>
      </c>
      <c r="U19" s="453">
        <f>'KI-3'!S14</f>
        <v>81</v>
      </c>
      <c r="V19" s="453" t="str">
        <f>'P-BI'!DQ17</f>
        <v>C</v>
      </c>
      <c r="W19" s="453">
        <f>'KI-3'!U14</f>
        <v>81</v>
      </c>
      <c r="X19" s="453" t="str">
        <f>'P MTK'!FQ17</f>
        <v>C</v>
      </c>
      <c r="Y19" s="453">
        <f>'KI-3'!W14</f>
        <v>83</v>
      </c>
      <c r="Z19" s="453" t="str">
        <f>'P-IPA'!DQ17</f>
        <v>B</v>
      </c>
      <c r="AA19" s="453">
        <f>'KI-3'!Y14</f>
        <v>81</v>
      </c>
      <c r="AB19" s="453" t="str">
        <f>'P-IPS'!DQ17</f>
        <v>C</v>
      </c>
      <c r="AC19" s="453">
        <f>'KI-3'!AA14</f>
        <v>82</v>
      </c>
      <c r="AD19" s="453" t="str">
        <f>'P-SBDP'!DQ17</f>
        <v>C</v>
      </c>
      <c r="AE19" s="453">
        <f>'KI-3'!AC14</f>
        <v>83</v>
      </c>
      <c r="AF19" s="453" t="str">
        <f>'P-PJOK'!D15</f>
        <v>B</v>
      </c>
      <c r="AG19" s="453">
        <f>'KI-3'!AE14</f>
        <v>81</v>
      </c>
      <c r="AH19" s="453" t="str">
        <f>'P-BJAWA'!AW17</f>
        <v>C</v>
      </c>
      <c r="AI19" s="39"/>
      <c r="AJ19" s="39"/>
      <c r="AL19" s="39" t="e">
        <f>#REF!</f>
        <v>#REF!</v>
      </c>
      <c r="AM19" s="39" t="e">
        <f>#REF!</f>
        <v>#REF!</v>
      </c>
      <c r="AN19" s="39" t="e">
        <f>#REF!</f>
        <v>#REF!</v>
      </c>
      <c r="AO19" s="39" t="e">
        <f>#REF!</f>
        <v>#REF!</v>
      </c>
      <c r="AP19" s="39" t="e">
        <f>#REF!</f>
        <v>#REF!</v>
      </c>
      <c r="AQ19" s="39" t="e">
        <f>#REF!</f>
        <v>#REF!</v>
      </c>
      <c r="AR19" s="39" t="e">
        <f>#REF!</f>
        <v>#REF!</v>
      </c>
      <c r="AS19" s="39" t="e">
        <f>#REF!</f>
        <v>#REF!</v>
      </c>
      <c r="AT19" s="39" t="e">
        <f>#REF!</f>
        <v>#REF!</v>
      </c>
      <c r="AU19" s="39" t="e">
        <f>#REF!</f>
        <v>#REF!</v>
      </c>
      <c r="AV19" s="39" t="e">
        <f>#REF!</f>
        <v>#REF!</v>
      </c>
      <c r="AW19" s="39" t="e">
        <f>#REF!</f>
        <v>#REF!</v>
      </c>
      <c r="AX19" s="39" t="e">
        <f>#REF!</f>
        <v>#REF!</v>
      </c>
      <c r="AY19" s="39" t="e">
        <f>#REF!</f>
        <v>#REF!</v>
      </c>
      <c r="AZ19" s="39">
        <f>'KI-4'!Q15</f>
        <v>82</v>
      </c>
      <c r="BA19" s="39" t="str">
        <f>'KI-4'!R15</f>
        <v>C</v>
      </c>
      <c r="BB19" s="39">
        <f>'KI-4'!S15</f>
        <v>84</v>
      </c>
      <c r="BC19" s="39" t="str">
        <f>'KI-4'!T15</f>
        <v>B</v>
      </c>
      <c r="BD19" s="39">
        <f>'KI-4'!U15</f>
        <v>83</v>
      </c>
      <c r="BE19" s="39" t="str">
        <f>'KI-4'!V15</f>
        <v>B</v>
      </c>
      <c r="BF19" s="39">
        <f>'KI-4'!W15</f>
        <v>83</v>
      </c>
      <c r="BG19" s="39" t="str">
        <f>'KI-4'!X15</f>
        <v>B</v>
      </c>
      <c r="BH19" s="39">
        <f>'KI-4'!Y15</f>
        <v>87</v>
      </c>
      <c r="BI19" s="39" t="str">
        <f>'KI-4'!Z15</f>
        <v>B</v>
      </c>
      <c r="BJ19" s="39">
        <f>'KI-4'!AA15</f>
        <v>84</v>
      </c>
      <c r="BK19" s="39" t="str">
        <f>'KI-4'!AB15</f>
        <v>B</v>
      </c>
      <c r="BL19" s="39">
        <f>'KI-4'!AC15</f>
        <v>84</v>
      </c>
      <c r="BM19" s="39" t="str">
        <f>'KI-4'!AD15</f>
        <v>B</v>
      </c>
      <c r="BN19" s="39">
        <f>'KI-4'!AE15</f>
        <v>83</v>
      </c>
      <c r="BO19" s="39" t="str">
        <f>'KI-4'!AF15</f>
        <v>B</v>
      </c>
      <c r="BP19" s="39"/>
      <c r="BQ19" s="39"/>
    </row>
    <row r="20" spans="1:69">
      <c r="A20" s="39">
        <v>11</v>
      </c>
      <c r="B20" s="66" t="str">
        <f>SISWA!B16</f>
        <v>Novaris Dwi Firmansyah</v>
      </c>
      <c r="C20" s="66">
        <f>SISWA!C16</f>
        <v>1275</v>
      </c>
      <c r="D20" s="66" t="str">
        <f>SISWA!D16</f>
        <v>0153200473</v>
      </c>
      <c r="E20" s="587" t="e">
        <f>#REF!</f>
        <v>#REF!</v>
      </c>
      <c r="F20" s="587" t="e">
        <f>#REF!</f>
        <v>#REF!</v>
      </c>
      <c r="G20" s="587" t="e">
        <f>#REF!</f>
        <v>#REF!</v>
      </c>
      <c r="H20" s="587" t="e">
        <f>#REF!</f>
        <v>#REF!</v>
      </c>
      <c r="I20" s="587" t="e">
        <f>#REF!</f>
        <v>#REF!</v>
      </c>
      <c r="J20" s="587" t="e">
        <f>#REF!</f>
        <v>#REF!</v>
      </c>
      <c r="K20" s="587" t="e">
        <f>#REF!</f>
        <v>#REF!</v>
      </c>
      <c r="L20" s="587" t="e">
        <f>#REF!</f>
        <v>#REF!</v>
      </c>
      <c r="M20" s="587" t="e">
        <f>#REF!</f>
        <v>#REF!</v>
      </c>
      <c r="N20" s="587" t="e">
        <f>#REF!</f>
        <v>#REF!</v>
      </c>
      <c r="O20" s="587" t="e">
        <f>#REF!</f>
        <v>#REF!</v>
      </c>
      <c r="P20" s="587" t="e">
        <f>#REF!</f>
        <v>#REF!</v>
      </c>
      <c r="Q20" s="587" t="e">
        <f>#REF!</f>
        <v>#REF!</v>
      </c>
      <c r="R20" s="587" t="e">
        <f>#REF!</f>
        <v>#REF!</v>
      </c>
      <c r="S20" s="453">
        <f>'KI-3'!Q15</f>
        <v>81</v>
      </c>
      <c r="T20" s="453" t="str">
        <f>'P-pkn'!CD18</f>
        <v>C</v>
      </c>
      <c r="U20" s="453">
        <f>'KI-3'!S15</f>
        <v>80</v>
      </c>
      <c r="V20" s="453" t="str">
        <f>'P-BI'!DQ18</f>
        <v>C</v>
      </c>
      <c r="W20" s="453">
        <f>'KI-3'!U15</f>
        <v>82</v>
      </c>
      <c r="X20" s="453" t="str">
        <f>'P MTK'!FQ18</f>
        <v>C</v>
      </c>
      <c r="Y20" s="453">
        <f>'KI-3'!W15</f>
        <v>81</v>
      </c>
      <c r="Z20" s="453" t="str">
        <f>'P-IPA'!DQ18</f>
        <v>C</v>
      </c>
      <c r="AA20" s="453">
        <f>'KI-3'!Y15</f>
        <v>79</v>
      </c>
      <c r="AB20" s="453" t="str">
        <f>'P-IPS'!DQ18</f>
        <v>C</v>
      </c>
      <c r="AC20" s="453">
        <f>'KI-3'!AA15</f>
        <v>80</v>
      </c>
      <c r="AD20" s="453" t="str">
        <f>'P-SBDP'!DQ18</f>
        <v>C</v>
      </c>
      <c r="AE20" s="453">
        <f>'KI-3'!AC15</f>
        <v>83</v>
      </c>
      <c r="AF20" s="453" t="str">
        <f>'P-PJOK'!D16</f>
        <v>B</v>
      </c>
      <c r="AG20" s="453">
        <f>'KI-3'!AE15</f>
        <v>77</v>
      </c>
      <c r="AH20" s="453" t="str">
        <f>'P-BJAWA'!AW18</f>
        <v>C</v>
      </c>
      <c r="AI20" s="39"/>
      <c r="AJ20" s="39"/>
      <c r="AL20" s="39" t="e">
        <f>#REF!</f>
        <v>#REF!</v>
      </c>
      <c r="AM20" s="39" t="e">
        <f>#REF!</f>
        <v>#REF!</v>
      </c>
      <c r="AN20" s="39" t="e">
        <f>#REF!</f>
        <v>#REF!</v>
      </c>
      <c r="AO20" s="39" t="e">
        <f>#REF!</f>
        <v>#REF!</v>
      </c>
      <c r="AP20" s="39" t="e">
        <f>#REF!</f>
        <v>#REF!</v>
      </c>
      <c r="AQ20" s="39" t="e">
        <f>#REF!</f>
        <v>#REF!</v>
      </c>
      <c r="AR20" s="39" t="e">
        <f>#REF!</f>
        <v>#REF!</v>
      </c>
      <c r="AS20" s="39" t="e">
        <f>#REF!</f>
        <v>#REF!</v>
      </c>
      <c r="AT20" s="39" t="e">
        <f>#REF!</f>
        <v>#REF!</v>
      </c>
      <c r="AU20" s="39" t="e">
        <f>#REF!</f>
        <v>#REF!</v>
      </c>
      <c r="AV20" s="39" t="e">
        <f>#REF!</f>
        <v>#REF!</v>
      </c>
      <c r="AW20" s="39" t="e">
        <f>#REF!</f>
        <v>#REF!</v>
      </c>
      <c r="AX20" s="39" t="e">
        <f>#REF!</f>
        <v>#REF!</v>
      </c>
      <c r="AY20" s="39" t="e">
        <f>#REF!</f>
        <v>#REF!</v>
      </c>
      <c r="AZ20" s="39">
        <f>'KI-4'!Q16</f>
        <v>83</v>
      </c>
      <c r="BA20" s="39" t="str">
        <f>'KI-4'!R16</f>
        <v>B</v>
      </c>
      <c r="BB20" s="39">
        <f>'KI-4'!S16</f>
        <v>83</v>
      </c>
      <c r="BC20" s="39" t="str">
        <f>'KI-4'!T16</f>
        <v>B</v>
      </c>
      <c r="BD20" s="39">
        <f>'KI-4'!U16</f>
        <v>79</v>
      </c>
      <c r="BE20" s="39" t="str">
        <f>'KI-4'!V16</f>
        <v>C</v>
      </c>
      <c r="BF20" s="39">
        <f>'KI-4'!W16</f>
        <v>82</v>
      </c>
      <c r="BG20" s="39" t="str">
        <f>'KI-4'!X16</f>
        <v>C</v>
      </c>
      <c r="BH20" s="39">
        <f>'KI-4'!Y16</f>
        <v>85</v>
      </c>
      <c r="BI20" s="39" t="str">
        <f>'KI-4'!Z16</f>
        <v>B</v>
      </c>
      <c r="BJ20" s="39">
        <f>'KI-4'!AA16</f>
        <v>80</v>
      </c>
      <c r="BK20" s="39" t="str">
        <f>'KI-4'!AB16</f>
        <v>C</v>
      </c>
      <c r="BL20" s="39">
        <f>'KI-4'!AC16</f>
        <v>84</v>
      </c>
      <c r="BM20" s="39" t="str">
        <f>'KI-4'!AD16</f>
        <v>B</v>
      </c>
      <c r="BN20" s="39">
        <f>'KI-4'!AE16</f>
        <v>80</v>
      </c>
      <c r="BO20" s="39" t="str">
        <f>'KI-4'!AF16</f>
        <v>C</v>
      </c>
      <c r="BP20" s="39"/>
      <c r="BQ20" s="39"/>
    </row>
    <row r="21" spans="1:69">
      <c r="A21" s="39">
        <v>12</v>
      </c>
      <c r="B21" s="66" t="str">
        <f>SISWA!B17</f>
        <v>Oktafiya Duwi Safitri</v>
      </c>
      <c r="C21" s="66">
        <f>SISWA!C17</f>
        <v>1281</v>
      </c>
      <c r="D21" s="66" t="str">
        <f>SISWA!D17</f>
        <v>0072706748</v>
      </c>
      <c r="E21" s="587" t="e">
        <f>#REF!</f>
        <v>#REF!</v>
      </c>
      <c r="F21" s="587" t="e">
        <f>#REF!</f>
        <v>#REF!</v>
      </c>
      <c r="G21" s="587" t="e">
        <f>#REF!</f>
        <v>#REF!</v>
      </c>
      <c r="H21" s="587" t="e">
        <f>#REF!</f>
        <v>#REF!</v>
      </c>
      <c r="I21" s="587" t="e">
        <f>#REF!</f>
        <v>#REF!</v>
      </c>
      <c r="J21" s="587" t="e">
        <f>#REF!</f>
        <v>#REF!</v>
      </c>
      <c r="K21" s="587" t="e">
        <f>#REF!</f>
        <v>#REF!</v>
      </c>
      <c r="L21" s="587" t="e">
        <f>#REF!</f>
        <v>#REF!</v>
      </c>
      <c r="M21" s="587" t="e">
        <f>#REF!</f>
        <v>#REF!</v>
      </c>
      <c r="N21" s="587" t="e">
        <f>#REF!</f>
        <v>#REF!</v>
      </c>
      <c r="O21" s="587" t="e">
        <f>#REF!</f>
        <v>#REF!</v>
      </c>
      <c r="P21" s="587" t="e">
        <f>#REF!</f>
        <v>#REF!</v>
      </c>
      <c r="Q21" s="587" t="e">
        <f>#REF!</f>
        <v>#REF!</v>
      </c>
      <c r="R21" s="587" t="e">
        <f>#REF!</f>
        <v>#REF!</v>
      </c>
      <c r="S21" s="453">
        <f>'KI-3'!Q16</f>
        <v>76</v>
      </c>
      <c r="T21" s="453" t="str">
        <f>'P-pkn'!CD19</f>
        <v>C</v>
      </c>
      <c r="U21" s="453">
        <f>'KI-3'!S16</f>
        <v>76</v>
      </c>
      <c r="V21" s="453" t="str">
        <f>'P-BI'!DQ19</f>
        <v>C</v>
      </c>
      <c r="W21" s="453">
        <f>'KI-3'!U16</f>
        <v>77</v>
      </c>
      <c r="X21" s="453" t="str">
        <f>'P MTK'!FQ19</f>
        <v>C</v>
      </c>
      <c r="Y21" s="453">
        <f>'KI-3'!W16</f>
        <v>75</v>
      </c>
      <c r="Z21" s="453" t="str">
        <f>'P-IPA'!DQ19</f>
        <v>C</v>
      </c>
      <c r="AA21" s="453">
        <f>'KI-3'!Y16</f>
        <v>75</v>
      </c>
      <c r="AB21" s="453" t="str">
        <f>'P-IPS'!DQ19</f>
        <v>C</v>
      </c>
      <c r="AC21" s="453">
        <f>'KI-3'!AA16</f>
        <v>76</v>
      </c>
      <c r="AD21" s="453" t="str">
        <f>'P-SBDP'!DQ19</f>
        <v>C</v>
      </c>
      <c r="AE21" s="453">
        <f>'KI-3'!AC16</f>
        <v>82</v>
      </c>
      <c r="AF21" s="453" t="str">
        <f>'P-PJOK'!D17</f>
        <v>B</v>
      </c>
      <c r="AG21" s="453">
        <f>'KI-3'!AE16</f>
        <v>76</v>
      </c>
      <c r="AH21" s="453" t="str">
        <f>'P-BJAWA'!AW19</f>
        <v>C</v>
      </c>
      <c r="AI21" s="39"/>
      <c r="AJ21" s="39"/>
      <c r="AL21" s="39" t="e">
        <f>#REF!</f>
        <v>#REF!</v>
      </c>
      <c r="AM21" s="39" t="e">
        <f>#REF!</f>
        <v>#REF!</v>
      </c>
      <c r="AN21" s="39" t="e">
        <f>#REF!</f>
        <v>#REF!</v>
      </c>
      <c r="AO21" s="39" t="e">
        <f>#REF!</f>
        <v>#REF!</v>
      </c>
      <c r="AP21" s="39" t="e">
        <f>#REF!</f>
        <v>#REF!</v>
      </c>
      <c r="AQ21" s="39" t="e">
        <f>#REF!</f>
        <v>#REF!</v>
      </c>
      <c r="AR21" s="39" t="e">
        <f>#REF!</f>
        <v>#REF!</v>
      </c>
      <c r="AS21" s="39" t="e">
        <f>#REF!</f>
        <v>#REF!</v>
      </c>
      <c r="AT21" s="39" t="e">
        <f>#REF!</f>
        <v>#REF!</v>
      </c>
      <c r="AU21" s="39" t="e">
        <f>#REF!</f>
        <v>#REF!</v>
      </c>
      <c r="AV21" s="39" t="e">
        <f>#REF!</f>
        <v>#REF!</v>
      </c>
      <c r="AW21" s="39" t="e">
        <f>#REF!</f>
        <v>#REF!</v>
      </c>
      <c r="AX21" s="39" t="e">
        <f>#REF!</f>
        <v>#REF!</v>
      </c>
      <c r="AY21" s="39" t="e">
        <f>#REF!</f>
        <v>#REF!</v>
      </c>
      <c r="AZ21" s="39">
        <f>'KI-4'!Q17</f>
        <v>76</v>
      </c>
      <c r="BA21" s="39" t="str">
        <f>'KI-4'!R17</f>
        <v>C</v>
      </c>
      <c r="BB21" s="39">
        <f>'KI-4'!S17</f>
        <v>75</v>
      </c>
      <c r="BC21" s="39" t="str">
        <f>'KI-4'!T17</f>
        <v>C</v>
      </c>
      <c r="BD21" s="39">
        <f>'KI-4'!U17</f>
        <v>76</v>
      </c>
      <c r="BE21" s="39" t="str">
        <f>'KI-4'!V17</f>
        <v>C</v>
      </c>
      <c r="BF21" s="39">
        <f>'KI-4'!W17</f>
        <v>78</v>
      </c>
      <c r="BG21" s="39" t="str">
        <f>'KI-4'!X17</f>
        <v>C</v>
      </c>
      <c r="BH21" s="39">
        <f>'KI-4'!Y17</f>
        <v>76</v>
      </c>
      <c r="BI21" s="39" t="str">
        <f>'KI-4'!Z17</f>
        <v>C</v>
      </c>
      <c r="BJ21" s="39">
        <f>'KI-4'!AA17</f>
        <v>78</v>
      </c>
      <c r="BK21" s="39" t="str">
        <f>'KI-4'!AB17</f>
        <v>C</v>
      </c>
      <c r="BL21" s="39">
        <f>'KI-4'!AC17</f>
        <v>83</v>
      </c>
      <c r="BM21" s="39" t="str">
        <f>'KI-4'!AD17</f>
        <v>B</v>
      </c>
      <c r="BN21" s="39">
        <f>'KI-4'!AE17</f>
        <v>78</v>
      </c>
      <c r="BO21" s="39" t="str">
        <f>'KI-4'!AF17</f>
        <v>C</v>
      </c>
      <c r="BP21" s="39"/>
      <c r="BQ21" s="39"/>
    </row>
    <row r="22" spans="1:69">
      <c r="A22" s="39">
        <v>13</v>
      </c>
      <c r="B22" s="66" t="str">
        <f>SISWA!B18</f>
        <v>Prastika Guntur Firmansyah</v>
      </c>
      <c r="C22" s="66">
        <f>SISWA!C18</f>
        <v>1268</v>
      </c>
      <c r="D22" s="66" t="str">
        <f>SISWA!D18</f>
        <v>0083690882</v>
      </c>
      <c r="E22" s="587" t="e">
        <f>#REF!</f>
        <v>#REF!</v>
      </c>
      <c r="F22" s="587" t="e">
        <f>#REF!</f>
        <v>#REF!</v>
      </c>
      <c r="G22" s="587" t="e">
        <f>#REF!</f>
        <v>#REF!</v>
      </c>
      <c r="H22" s="587" t="e">
        <f>#REF!</f>
        <v>#REF!</v>
      </c>
      <c r="I22" s="587" t="e">
        <f>#REF!</f>
        <v>#REF!</v>
      </c>
      <c r="J22" s="587" t="e">
        <f>#REF!</f>
        <v>#REF!</v>
      </c>
      <c r="K22" s="587" t="e">
        <f>#REF!</f>
        <v>#REF!</v>
      </c>
      <c r="L22" s="587" t="e">
        <f>#REF!</f>
        <v>#REF!</v>
      </c>
      <c r="M22" s="587" t="e">
        <f>#REF!</f>
        <v>#REF!</v>
      </c>
      <c r="N22" s="587" t="e">
        <f>#REF!</f>
        <v>#REF!</v>
      </c>
      <c r="O22" s="587" t="e">
        <f>#REF!</f>
        <v>#REF!</v>
      </c>
      <c r="P22" s="587" t="e">
        <f>#REF!</f>
        <v>#REF!</v>
      </c>
      <c r="Q22" s="587" t="e">
        <f>#REF!</f>
        <v>#REF!</v>
      </c>
      <c r="R22" s="587" t="e">
        <f>#REF!</f>
        <v>#REF!</v>
      </c>
      <c r="S22" s="453">
        <f>'KI-3'!Q17</f>
        <v>87</v>
      </c>
      <c r="T22" s="453" t="str">
        <f>'P-pkn'!CD20</f>
        <v>B</v>
      </c>
      <c r="U22" s="453">
        <f>'KI-3'!S17</f>
        <v>81</v>
      </c>
      <c r="V22" s="453" t="str">
        <f>'P-BI'!DQ20</f>
        <v>C</v>
      </c>
      <c r="W22" s="453">
        <f>'KI-3'!U17</f>
        <v>78</v>
      </c>
      <c r="X22" s="453" t="str">
        <f>'P MTK'!FQ20</f>
        <v>C</v>
      </c>
      <c r="Y22" s="453">
        <f>'KI-3'!W17</f>
        <v>82</v>
      </c>
      <c r="Z22" s="453" t="str">
        <f>'P-IPA'!DQ20</f>
        <v>C</v>
      </c>
      <c r="AA22" s="453">
        <f>'KI-3'!Y17</f>
        <v>81</v>
      </c>
      <c r="AB22" s="453" t="str">
        <f>'P-IPS'!DQ20</f>
        <v>C</v>
      </c>
      <c r="AC22" s="453">
        <f>'KI-3'!AA17</f>
        <v>85</v>
      </c>
      <c r="AD22" s="453" t="str">
        <f>'P-SBDP'!DQ20</f>
        <v>B</v>
      </c>
      <c r="AE22" s="453">
        <f>'KI-3'!AC17</f>
        <v>83</v>
      </c>
      <c r="AF22" s="453" t="str">
        <f>'P-PJOK'!D18</f>
        <v>B</v>
      </c>
      <c r="AG22" s="453">
        <f>'KI-3'!AE17</f>
        <v>78</v>
      </c>
      <c r="AH22" s="453" t="str">
        <f>'P-BJAWA'!AW20</f>
        <v>C</v>
      </c>
      <c r="AI22" s="39"/>
      <c r="AJ22" s="39"/>
      <c r="AL22" s="39" t="e">
        <f>#REF!</f>
        <v>#REF!</v>
      </c>
      <c r="AM22" s="39" t="e">
        <f>#REF!</f>
        <v>#REF!</v>
      </c>
      <c r="AN22" s="39" t="e">
        <f>#REF!</f>
        <v>#REF!</v>
      </c>
      <c r="AO22" s="39" t="e">
        <f>#REF!</f>
        <v>#REF!</v>
      </c>
      <c r="AP22" s="39" t="e">
        <f>#REF!</f>
        <v>#REF!</v>
      </c>
      <c r="AQ22" s="39" t="e">
        <f>#REF!</f>
        <v>#REF!</v>
      </c>
      <c r="AR22" s="39" t="e">
        <f>#REF!</f>
        <v>#REF!</v>
      </c>
      <c r="AS22" s="39" t="e">
        <f>#REF!</f>
        <v>#REF!</v>
      </c>
      <c r="AT22" s="39" t="e">
        <f>#REF!</f>
        <v>#REF!</v>
      </c>
      <c r="AU22" s="39" t="e">
        <f>#REF!</f>
        <v>#REF!</v>
      </c>
      <c r="AV22" s="39" t="e">
        <f>#REF!</f>
        <v>#REF!</v>
      </c>
      <c r="AW22" s="39" t="e">
        <f>#REF!</f>
        <v>#REF!</v>
      </c>
      <c r="AX22" s="39" t="e">
        <f>#REF!</f>
        <v>#REF!</v>
      </c>
      <c r="AY22" s="39" t="e">
        <f>#REF!</f>
        <v>#REF!</v>
      </c>
      <c r="AZ22" s="39">
        <f>'KI-4'!Q18</f>
        <v>81</v>
      </c>
      <c r="BA22" s="39" t="str">
        <f>'KI-4'!R18</f>
        <v>C</v>
      </c>
      <c r="BB22" s="39">
        <f>'KI-4'!S18</f>
        <v>82</v>
      </c>
      <c r="BC22" s="39" t="str">
        <f>'KI-4'!T18</f>
        <v>C</v>
      </c>
      <c r="BD22" s="39">
        <f>'KI-4'!U18</f>
        <v>84</v>
      </c>
      <c r="BE22" s="39" t="str">
        <f>'KI-4'!V18</f>
        <v>B</v>
      </c>
      <c r="BF22" s="39">
        <f>'KI-4'!W18</f>
        <v>84</v>
      </c>
      <c r="BG22" s="39" t="str">
        <f>'KI-4'!X18</f>
        <v>B</v>
      </c>
      <c r="BH22" s="39">
        <f>'KI-4'!Y18</f>
        <v>84</v>
      </c>
      <c r="BI22" s="39" t="str">
        <f>'KI-4'!Z18</f>
        <v>B</v>
      </c>
      <c r="BJ22" s="39">
        <f>'KI-4'!AA18</f>
        <v>84</v>
      </c>
      <c r="BK22" s="39" t="str">
        <f>'KI-4'!AB18</f>
        <v>B</v>
      </c>
      <c r="BL22" s="39">
        <f>'KI-4'!AC18</f>
        <v>84</v>
      </c>
      <c r="BM22" s="39" t="str">
        <f>'KI-4'!AD18</f>
        <v>B</v>
      </c>
      <c r="BN22" s="39">
        <f>'KI-4'!AE18</f>
        <v>87</v>
      </c>
      <c r="BO22" s="39" t="str">
        <f>'KI-4'!AF18</f>
        <v>B</v>
      </c>
      <c r="BP22" s="39"/>
      <c r="BQ22" s="39"/>
    </row>
    <row r="23" spans="1:69">
      <c r="A23" s="39">
        <v>14</v>
      </c>
      <c r="B23" s="66" t="str">
        <f>SISWA!B19</f>
        <v>Siti Musyafiani</v>
      </c>
      <c r="C23" s="66">
        <f>SISWA!C19</f>
        <v>1277</v>
      </c>
      <c r="D23" s="66" t="str">
        <f>SISWA!D19</f>
        <v>0098488467</v>
      </c>
      <c r="E23" s="587" t="e">
        <f>#REF!</f>
        <v>#REF!</v>
      </c>
      <c r="F23" s="587" t="e">
        <f>#REF!</f>
        <v>#REF!</v>
      </c>
      <c r="G23" s="587" t="e">
        <f>#REF!</f>
        <v>#REF!</v>
      </c>
      <c r="H23" s="587" t="e">
        <f>#REF!</f>
        <v>#REF!</v>
      </c>
      <c r="I23" s="587" t="e">
        <f>#REF!</f>
        <v>#REF!</v>
      </c>
      <c r="J23" s="587" t="e">
        <f>#REF!</f>
        <v>#REF!</v>
      </c>
      <c r="K23" s="587" t="e">
        <f>#REF!</f>
        <v>#REF!</v>
      </c>
      <c r="L23" s="587" t="e">
        <f>#REF!</f>
        <v>#REF!</v>
      </c>
      <c r="M23" s="587" t="e">
        <f>#REF!</f>
        <v>#REF!</v>
      </c>
      <c r="N23" s="587" t="e">
        <f>#REF!</f>
        <v>#REF!</v>
      </c>
      <c r="O23" s="587" t="e">
        <f>#REF!</f>
        <v>#REF!</v>
      </c>
      <c r="P23" s="587" t="e">
        <f>#REF!</f>
        <v>#REF!</v>
      </c>
      <c r="Q23" s="587" t="e">
        <f>#REF!</f>
        <v>#REF!</v>
      </c>
      <c r="R23" s="587" t="e">
        <f>#REF!</f>
        <v>#REF!</v>
      </c>
      <c r="S23" s="453">
        <f>'KI-3'!Q18</f>
        <v>79</v>
      </c>
      <c r="T23" s="453" t="str">
        <f>'P-pkn'!CD21</f>
        <v>C</v>
      </c>
      <c r="U23" s="453">
        <f>'KI-3'!S18</f>
        <v>79</v>
      </c>
      <c r="V23" s="453" t="str">
        <f>'P-BI'!DQ21</f>
        <v>C</v>
      </c>
      <c r="W23" s="453">
        <f>'KI-3'!U18</f>
        <v>79</v>
      </c>
      <c r="X23" s="453" t="str">
        <f>'P MTK'!FQ21</f>
        <v>C</v>
      </c>
      <c r="Y23" s="453">
        <f>'KI-3'!W18</f>
        <v>79</v>
      </c>
      <c r="Z23" s="453" t="str">
        <f>'P-IPA'!DQ21</f>
        <v>C</v>
      </c>
      <c r="AA23" s="453">
        <f>'KI-3'!Y18</f>
        <v>77</v>
      </c>
      <c r="AB23" s="453" t="str">
        <f>'P-IPS'!DQ21</f>
        <v>C</v>
      </c>
      <c r="AC23" s="453">
        <f>'KI-3'!AA18</f>
        <v>84</v>
      </c>
      <c r="AD23" s="453" t="str">
        <f>'P-SBDP'!DQ21</f>
        <v>B</v>
      </c>
      <c r="AE23" s="453">
        <f>'KI-3'!AC18</f>
        <v>83</v>
      </c>
      <c r="AF23" s="453" t="str">
        <f>'P-PJOK'!D19</f>
        <v>B</v>
      </c>
      <c r="AG23" s="453">
        <f>'KI-3'!AE18</f>
        <v>78</v>
      </c>
      <c r="AH23" s="453" t="str">
        <f>'P-BJAWA'!AW21</f>
        <v>C</v>
      </c>
      <c r="AI23" s="39"/>
      <c r="AJ23" s="39"/>
      <c r="AL23" s="39" t="e">
        <f>#REF!</f>
        <v>#REF!</v>
      </c>
      <c r="AM23" s="39" t="e">
        <f>#REF!</f>
        <v>#REF!</v>
      </c>
      <c r="AN23" s="39" t="e">
        <f>#REF!</f>
        <v>#REF!</v>
      </c>
      <c r="AO23" s="39" t="e">
        <f>#REF!</f>
        <v>#REF!</v>
      </c>
      <c r="AP23" s="39" t="e">
        <f>#REF!</f>
        <v>#REF!</v>
      </c>
      <c r="AQ23" s="39" t="e">
        <f>#REF!</f>
        <v>#REF!</v>
      </c>
      <c r="AR23" s="39" t="e">
        <f>#REF!</f>
        <v>#REF!</v>
      </c>
      <c r="AS23" s="39" t="e">
        <f>#REF!</f>
        <v>#REF!</v>
      </c>
      <c r="AT23" s="39" t="e">
        <f>#REF!</f>
        <v>#REF!</v>
      </c>
      <c r="AU23" s="39" t="e">
        <f>#REF!</f>
        <v>#REF!</v>
      </c>
      <c r="AV23" s="39" t="e">
        <f>#REF!</f>
        <v>#REF!</v>
      </c>
      <c r="AW23" s="39" t="e">
        <f>#REF!</f>
        <v>#REF!</v>
      </c>
      <c r="AX23" s="39" t="e">
        <f>#REF!</f>
        <v>#REF!</v>
      </c>
      <c r="AY23" s="39" t="e">
        <f>#REF!</f>
        <v>#REF!</v>
      </c>
      <c r="AZ23" s="39">
        <f>'KI-4'!Q19</f>
        <v>83</v>
      </c>
      <c r="BA23" s="39" t="str">
        <f>'KI-4'!R19</f>
        <v>B</v>
      </c>
      <c r="BB23" s="39">
        <f>'KI-4'!S19</f>
        <v>82</v>
      </c>
      <c r="BC23" s="39" t="str">
        <f>'KI-4'!T19</f>
        <v>C</v>
      </c>
      <c r="BD23" s="39">
        <f>'KI-4'!U19</f>
        <v>78</v>
      </c>
      <c r="BE23" s="39" t="str">
        <f>'KI-4'!V19</f>
        <v>C</v>
      </c>
      <c r="BF23" s="39">
        <f>'KI-4'!W19</f>
        <v>83</v>
      </c>
      <c r="BG23" s="39" t="str">
        <f>'KI-4'!X19</f>
        <v>B</v>
      </c>
      <c r="BH23" s="39">
        <f>'KI-4'!Y19</f>
        <v>88</v>
      </c>
      <c r="BI23" s="39" t="str">
        <f>'KI-4'!Z19</f>
        <v>B</v>
      </c>
      <c r="BJ23" s="39">
        <f>'KI-4'!AA19</f>
        <v>84</v>
      </c>
      <c r="BK23" s="39" t="str">
        <f>'KI-4'!AB19</f>
        <v>B</v>
      </c>
      <c r="BL23" s="39">
        <f>'KI-4'!AC19</f>
        <v>83</v>
      </c>
      <c r="BM23" s="39" t="str">
        <f>'KI-4'!AD19</f>
        <v>B</v>
      </c>
      <c r="BN23" s="39">
        <f>'KI-4'!AE19</f>
        <v>85</v>
      </c>
      <c r="BO23" s="39" t="str">
        <f>'KI-4'!AF19</f>
        <v>B</v>
      </c>
      <c r="BP23" s="39"/>
      <c r="BQ23" s="39"/>
    </row>
    <row r="24" spans="1:69">
      <c r="A24" s="39">
        <v>15</v>
      </c>
      <c r="B24" s="66" t="str">
        <f>SISWA!B20</f>
        <v>Tegar Arya Pangestu</v>
      </c>
      <c r="C24" s="66">
        <f>SISWA!C20</f>
        <v>1270</v>
      </c>
      <c r="D24" s="66" t="str">
        <f>SISWA!D20</f>
        <v>0158891388</v>
      </c>
      <c r="E24" s="587" t="e">
        <f>#REF!</f>
        <v>#REF!</v>
      </c>
      <c r="F24" s="587" t="e">
        <f>#REF!</f>
        <v>#REF!</v>
      </c>
      <c r="G24" s="587" t="e">
        <f>#REF!</f>
        <v>#REF!</v>
      </c>
      <c r="H24" s="587" t="e">
        <f>#REF!</f>
        <v>#REF!</v>
      </c>
      <c r="I24" s="587" t="e">
        <f>#REF!</f>
        <v>#REF!</v>
      </c>
      <c r="J24" s="587" t="e">
        <f>#REF!</f>
        <v>#REF!</v>
      </c>
      <c r="K24" s="587" t="e">
        <f>#REF!</f>
        <v>#REF!</v>
      </c>
      <c r="L24" s="587" t="e">
        <f>#REF!</f>
        <v>#REF!</v>
      </c>
      <c r="M24" s="587" t="e">
        <f>#REF!</f>
        <v>#REF!</v>
      </c>
      <c r="N24" s="587" t="e">
        <f>#REF!</f>
        <v>#REF!</v>
      </c>
      <c r="O24" s="587" t="e">
        <f>#REF!</f>
        <v>#REF!</v>
      </c>
      <c r="P24" s="587" t="e">
        <f>#REF!</f>
        <v>#REF!</v>
      </c>
      <c r="Q24" s="587" t="e">
        <f>#REF!</f>
        <v>#REF!</v>
      </c>
      <c r="R24" s="587" t="e">
        <f>#REF!</f>
        <v>#REF!</v>
      </c>
      <c r="S24" s="453">
        <f>'KI-3'!Q19</f>
        <v>84</v>
      </c>
      <c r="T24" s="453" t="str">
        <f>'P-pkn'!CD22</f>
        <v>B</v>
      </c>
      <c r="U24" s="453">
        <f>'KI-3'!S19</f>
        <v>83</v>
      </c>
      <c r="V24" s="453" t="str">
        <f>'P-BI'!DQ22</f>
        <v>B</v>
      </c>
      <c r="W24" s="453">
        <f>'KI-3'!U19</f>
        <v>79</v>
      </c>
      <c r="X24" s="453" t="str">
        <f>'P MTK'!FQ22</f>
        <v>C</v>
      </c>
      <c r="Y24" s="453">
        <f>'KI-3'!W19</f>
        <v>83</v>
      </c>
      <c r="Z24" s="453" t="str">
        <f>'P-IPA'!DQ22</f>
        <v>B</v>
      </c>
      <c r="AA24" s="453">
        <f>'KI-3'!Y19</f>
        <v>80</v>
      </c>
      <c r="AB24" s="453" t="str">
        <f>'P-IPS'!DQ22</f>
        <v>C</v>
      </c>
      <c r="AC24" s="453">
        <f>'KI-3'!AA19</f>
        <v>84</v>
      </c>
      <c r="AD24" s="453" t="str">
        <f>'P-SBDP'!DQ22</f>
        <v>B</v>
      </c>
      <c r="AE24" s="453">
        <f>'KI-3'!AC19</f>
        <v>83</v>
      </c>
      <c r="AF24" s="453" t="str">
        <f>'P-PJOK'!D20</f>
        <v>B</v>
      </c>
      <c r="AG24" s="453">
        <f>'KI-3'!AE19</f>
        <v>78</v>
      </c>
      <c r="AH24" s="453" t="str">
        <f>'P-BJAWA'!AW22</f>
        <v>C</v>
      </c>
      <c r="AI24" s="39"/>
      <c r="AJ24" s="39"/>
      <c r="AL24" s="39" t="e">
        <f>#REF!</f>
        <v>#REF!</v>
      </c>
      <c r="AM24" s="39" t="e">
        <f>#REF!</f>
        <v>#REF!</v>
      </c>
      <c r="AN24" s="39" t="e">
        <f>#REF!</f>
        <v>#REF!</v>
      </c>
      <c r="AO24" s="39" t="e">
        <f>#REF!</f>
        <v>#REF!</v>
      </c>
      <c r="AP24" s="39" t="e">
        <f>#REF!</f>
        <v>#REF!</v>
      </c>
      <c r="AQ24" s="39" t="e">
        <f>#REF!</f>
        <v>#REF!</v>
      </c>
      <c r="AR24" s="39" t="e">
        <f>#REF!</f>
        <v>#REF!</v>
      </c>
      <c r="AS24" s="39" t="e">
        <f>#REF!</f>
        <v>#REF!</v>
      </c>
      <c r="AT24" s="39" t="e">
        <f>#REF!</f>
        <v>#REF!</v>
      </c>
      <c r="AU24" s="39" t="e">
        <f>#REF!</f>
        <v>#REF!</v>
      </c>
      <c r="AV24" s="39" t="e">
        <f>#REF!</f>
        <v>#REF!</v>
      </c>
      <c r="AW24" s="39" t="e">
        <f>#REF!</f>
        <v>#REF!</v>
      </c>
      <c r="AX24" s="39" t="e">
        <f>#REF!</f>
        <v>#REF!</v>
      </c>
      <c r="AY24" s="39" t="e">
        <f>#REF!</f>
        <v>#REF!</v>
      </c>
      <c r="AZ24" s="39">
        <f>'KI-4'!Q20</f>
        <v>85</v>
      </c>
      <c r="BA24" s="39" t="str">
        <f>'KI-4'!R20</f>
        <v>B</v>
      </c>
      <c r="BB24" s="39">
        <f>'KI-4'!S20</f>
        <v>85</v>
      </c>
      <c r="BC24" s="39" t="str">
        <f>'KI-4'!T20</f>
        <v>B</v>
      </c>
      <c r="BD24" s="39">
        <f>'KI-4'!U20</f>
        <v>79</v>
      </c>
      <c r="BE24" s="39" t="str">
        <f>'KI-4'!V20</f>
        <v>C</v>
      </c>
      <c r="BF24" s="39">
        <f>'KI-4'!W20</f>
        <v>85</v>
      </c>
      <c r="BG24" s="39" t="str">
        <f>'KI-4'!X20</f>
        <v>B</v>
      </c>
      <c r="BH24" s="39">
        <f>'KI-4'!Y20</f>
        <v>88</v>
      </c>
      <c r="BI24" s="39" t="str">
        <f>'KI-4'!Z20</f>
        <v>B</v>
      </c>
      <c r="BJ24" s="39">
        <f>'KI-4'!AA20</f>
        <v>86</v>
      </c>
      <c r="BK24" s="39" t="str">
        <f>'KI-4'!AB20</f>
        <v>B</v>
      </c>
      <c r="BL24" s="39">
        <f>'KI-4'!AC20</f>
        <v>83</v>
      </c>
      <c r="BM24" s="39" t="str">
        <f>'KI-4'!AD20</f>
        <v>B</v>
      </c>
      <c r="BN24" s="39">
        <f>'KI-4'!AE20</f>
        <v>82</v>
      </c>
      <c r="BO24" s="39" t="str">
        <f>'KI-4'!AF20</f>
        <v>C</v>
      </c>
      <c r="BP24" s="39"/>
      <c r="BQ24" s="39"/>
    </row>
    <row r="25" spans="1:69">
      <c r="A25" s="39">
        <v>16</v>
      </c>
      <c r="B25" s="66">
        <f>SISWA!B21</f>
        <v>0</v>
      </c>
      <c r="C25" s="66">
        <f>SISWA!C21</f>
        <v>0</v>
      </c>
      <c r="D25" s="66">
        <f>SISWA!D21</f>
        <v>0</v>
      </c>
      <c r="E25" s="587" t="e">
        <f>#REF!</f>
        <v>#REF!</v>
      </c>
      <c r="F25" s="587" t="e">
        <f>#REF!</f>
        <v>#REF!</v>
      </c>
      <c r="G25" s="587" t="e">
        <f>#REF!</f>
        <v>#REF!</v>
      </c>
      <c r="H25" s="587" t="e">
        <f>#REF!</f>
        <v>#REF!</v>
      </c>
      <c r="I25" s="587" t="e">
        <f>#REF!</f>
        <v>#REF!</v>
      </c>
      <c r="J25" s="587" t="e">
        <f>#REF!</f>
        <v>#REF!</v>
      </c>
      <c r="K25" s="587" t="e">
        <f>#REF!</f>
        <v>#REF!</v>
      </c>
      <c r="L25" s="587" t="e">
        <f>#REF!</f>
        <v>#REF!</v>
      </c>
      <c r="M25" s="587" t="e">
        <f>#REF!</f>
        <v>#REF!</v>
      </c>
      <c r="N25" s="587" t="e">
        <f>#REF!</f>
        <v>#REF!</v>
      </c>
      <c r="O25" s="587" t="e">
        <f>#REF!</f>
        <v>#REF!</v>
      </c>
      <c r="P25" s="587" t="e">
        <f>#REF!</f>
        <v>#REF!</v>
      </c>
      <c r="Q25" s="587" t="e">
        <f>#REF!</f>
        <v>#REF!</v>
      </c>
      <c r="R25" s="587" t="e">
        <f>#REF!</f>
        <v>#REF!</v>
      </c>
      <c r="S25" s="453" t="str">
        <f>'KI-3'!Q20</f>
        <v xml:space="preserve"> </v>
      </c>
      <c r="T25" s="453" t="str">
        <f>'P-pkn'!CD23</f>
        <v xml:space="preserve">  </v>
      </c>
      <c r="U25" s="453" t="str">
        <f>'KI-3'!S20</f>
        <v xml:space="preserve"> </v>
      </c>
      <c r="V25" s="453" t="str">
        <f>'P-BI'!DQ23</f>
        <v xml:space="preserve">  </v>
      </c>
      <c r="W25" s="453" t="str">
        <f>'KI-3'!U20</f>
        <v xml:space="preserve"> </v>
      </c>
      <c r="X25" s="453" t="str">
        <f>'P MTK'!FQ23</f>
        <v xml:space="preserve">  </v>
      </c>
      <c r="Y25" s="453" t="str">
        <f>'KI-3'!W20</f>
        <v xml:space="preserve"> </v>
      </c>
      <c r="Z25" s="453" t="str">
        <f>'P-IPA'!DQ23</f>
        <v xml:space="preserve">  </v>
      </c>
      <c r="AA25" s="453" t="str">
        <f>'KI-3'!Y20</f>
        <v xml:space="preserve"> </v>
      </c>
      <c r="AB25" s="453" t="str">
        <f>'P-IPS'!DQ23</f>
        <v xml:space="preserve">  </v>
      </c>
      <c r="AC25" s="453" t="str">
        <f>'KI-3'!AA20</f>
        <v xml:space="preserve"> </v>
      </c>
      <c r="AD25" s="453" t="str">
        <f>'P-SBDP'!DQ23</f>
        <v xml:space="preserve">  </v>
      </c>
      <c r="AE25" s="453">
        <f>'KI-3'!AC20</f>
        <v>0</v>
      </c>
      <c r="AF25" s="453">
        <f>'P-PJOK'!D21</f>
        <v>0</v>
      </c>
      <c r="AG25" s="453" t="str">
        <f>'KI-3'!AE20</f>
        <v xml:space="preserve"> </v>
      </c>
      <c r="AH25" s="453" t="str">
        <f>'P-BJAWA'!AW23</f>
        <v xml:space="preserve">  </v>
      </c>
      <c r="AI25" s="39"/>
      <c r="AJ25" s="39"/>
      <c r="AL25" s="39" t="e">
        <f>#REF!</f>
        <v>#REF!</v>
      </c>
      <c r="AM25" s="39" t="e">
        <f>#REF!</f>
        <v>#REF!</v>
      </c>
      <c r="AN25" s="39" t="e">
        <f>#REF!</f>
        <v>#REF!</v>
      </c>
      <c r="AO25" s="39" t="e">
        <f>#REF!</f>
        <v>#REF!</v>
      </c>
      <c r="AP25" s="39" t="e">
        <f>#REF!</f>
        <v>#REF!</v>
      </c>
      <c r="AQ25" s="39" t="e">
        <f>#REF!</f>
        <v>#REF!</v>
      </c>
      <c r="AR25" s="39" t="e">
        <f>#REF!</f>
        <v>#REF!</v>
      </c>
      <c r="AS25" s="39" t="e">
        <f>#REF!</f>
        <v>#REF!</v>
      </c>
      <c r="AT25" s="39" t="e">
        <f>#REF!</f>
        <v>#REF!</v>
      </c>
      <c r="AU25" s="39" t="e">
        <f>#REF!</f>
        <v>#REF!</v>
      </c>
      <c r="AV25" s="39" t="e">
        <f>#REF!</f>
        <v>#REF!</v>
      </c>
      <c r="AW25" s="39" t="e">
        <f>#REF!</f>
        <v>#REF!</v>
      </c>
      <c r="AX25" s="39" t="e">
        <f>#REF!</f>
        <v>#REF!</v>
      </c>
      <c r="AY25" s="39" t="e">
        <f>#REF!</f>
        <v>#REF!</v>
      </c>
      <c r="AZ25" s="39" t="str">
        <f>'KI-4'!Q21</f>
        <v/>
      </c>
      <c r="BA25" s="39" t="str">
        <f>'KI-4'!R21</f>
        <v xml:space="preserve">  </v>
      </c>
      <c r="BB25" s="39" t="str">
        <f>'KI-4'!S21</f>
        <v/>
      </c>
      <c r="BC25" s="39" t="str">
        <f>'KI-4'!T21</f>
        <v xml:space="preserve">  </v>
      </c>
      <c r="BD25" s="39" t="str">
        <f>'KI-4'!U21</f>
        <v/>
      </c>
      <c r="BE25" s="39" t="str">
        <f>'KI-4'!V21</f>
        <v xml:space="preserve">  </v>
      </c>
      <c r="BF25" s="39" t="str">
        <f>'KI-4'!W21</f>
        <v/>
      </c>
      <c r="BG25" s="39" t="str">
        <f>'KI-4'!X21</f>
        <v xml:space="preserve">  </v>
      </c>
      <c r="BH25" s="39" t="str">
        <f>'KI-4'!Y21</f>
        <v/>
      </c>
      <c r="BI25" s="39" t="str">
        <f>'KI-4'!Z21</f>
        <v xml:space="preserve">  </v>
      </c>
      <c r="BJ25" s="39" t="str">
        <f>'KI-4'!AA21</f>
        <v/>
      </c>
      <c r="BK25" s="39" t="str">
        <f>'KI-4'!AB21</f>
        <v xml:space="preserve">  </v>
      </c>
      <c r="BL25" s="39">
        <f>'KI-4'!AC21</f>
        <v>0</v>
      </c>
      <c r="BM25" s="39">
        <f>'KI-4'!AD21</f>
        <v>0</v>
      </c>
      <c r="BN25" s="39" t="str">
        <f>'KI-4'!AE21</f>
        <v xml:space="preserve"> </v>
      </c>
      <c r="BO25" s="39" t="str">
        <f>'KI-4'!AF21</f>
        <v xml:space="preserve">  </v>
      </c>
      <c r="BP25" s="39"/>
      <c r="BQ25" s="39"/>
    </row>
    <row r="26" spans="1:69">
      <c r="A26" s="39">
        <v>17</v>
      </c>
      <c r="B26" s="66">
        <f>SISWA!B22</f>
        <v>0</v>
      </c>
      <c r="C26" s="66">
        <f>SISWA!C22</f>
        <v>0</v>
      </c>
      <c r="D26" s="66">
        <f>SISWA!D22</f>
        <v>0</v>
      </c>
      <c r="E26" s="587" t="e">
        <f>#REF!</f>
        <v>#REF!</v>
      </c>
      <c r="F26" s="587" t="e">
        <f>#REF!</f>
        <v>#REF!</v>
      </c>
      <c r="G26" s="587" t="e">
        <f>#REF!</f>
        <v>#REF!</v>
      </c>
      <c r="H26" s="587" t="e">
        <f>#REF!</f>
        <v>#REF!</v>
      </c>
      <c r="I26" s="587" t="e">
        <f>#REF!</f>
        <v>#REF!</v>
      </c>
      <c r="J26" s="587" t="e">
        <f>#REF!</f>
        <v>#REF!</v>
      </c>
      <c r="K26" s="587" t="e">
        <f>#REF!</f>
        <v>#REF!</v>
      </c>
      <c r="L26" s="587" t="e">
        <f>#REF!</f>
        <v>#REF!</v>
      </c>
      <c r="M26" s="587" t="e">
        <f>#REF!</f>
        <v>#REF!</v>
      </c>
      <c r="N26" s="587" t="e">
        <f>#REF!</f>
        <v>#REF!</v>
      </c>
      <c r="O26" s="587" t="e">
        <f>#REF!</f>
        <v>#REF!</v>
      </c>
      <c r="P26" s="587" t="e">
        <f>#REF!</f>
        <v>#REF!</v>
      </c>
      <c r="Q26" s="587" t="e">
        <f>#REF!</f>
        <v>#REF!</v>
      </c>
      <c r="R26" s="587" t="e">
        <f>#REF!</f>
        <v>#REF!</v>
      </c>
      <c r="S26" s="453" t="str">
        <f>'KI-3'!Q21</f>
        <v xml:space="preserve"> </v>
      </c>
      <c r="T26" s="453" t="str">
        <f>'P-pkn'!CD24</f>
        <v xml:space="preserve">  </v>
      </c>
      <c r="U26" s="453" t="str">
        <f>'KI-3'!S21</f>
        <v xml:space="preserve"> </v>
      </c>
      <c r="V26" s="453" t="str">
        <f>'P-BI'!DQ24</f>
        <v xml:space="preserve">  </v>
      </c>
      <c r="W26" s="453" t="str">
        <f>'KI-3'!U21</f>
        <v xml:space="preserve"> </v>
      </c>
      <c r="X26" s="453" t="str">
        <f>'P MTK'!FQ24</f>
        <v xml:space="preserve">  </v>
      </c>
      <c r="Y26" s="453" t="str">
        <f>'KI-3'!W21</f>
        <v xml:space="preserve"> </v>
      </c>
      <c r="Z26" s="453" t="str">
        <f>'P-IPA'!DQ24</f>
        <v xml:space="preserve">  </v>
      </c>
      <c r="AA26" s="453" t="str">
        <f>'KI-3'!Y21</f>
        <v xml:space="preserve"> </v>
      </c>
      <c r="AB26" s="453" t="str">
        <f>'P-IPS'!DQ24</f>
        <v xml:space="preserve">  </v>
      </c>
      <c r="AC26" s="453" t="str">
        <f>'KI-3'!AA21</f>
        <v xml:space="preserve"> </v>
      </c>
      <c r="AD26" s="453" t="str">
        <f>'P-SBDP'!DQ24</f>
        <v xml:space="preserve">  </v>
      </c>
      <c r="AE26" s="453">
        <f>'KI-3'!AC21</f>
        <v>0</v>
      </c>
      <c r="AF26" s="453">
        <f>'P-PJOK'!D22</f>
        <v>0</v>
      </c>
      <c r="AG26" s="453" t="str">
        <f>'KI-3'!AE21</f>
        <v xml:space="preserve"> </v>
      </c>
      <c r="AH26" s="453" t="str">
        <f>'P-BJAWA'!AW24</f>
        <v xml:space="preserve">  </v>
      </c>
      <c r="AI26" s="39"/>
      <c r="AJ26" s="39"/>
      <c r="AL26" s="39" t="e">
        <f>#REF!</f>
        <v>#REF!</v>
      </c>
      <c r="AM26" s="39" t="e">
        <f>#REF!</f>
        <v>#REF!</v>
      </c>
      <c r="AN26" s="39" t="e">
        <f>#REF!</f>
        <v>#REF!</v>
      </c>
      <c r="AO26" s="39" t="e">
        <f>#REF!</f>
        <v>#REF!</v>
      </c>
      <c r="AP26" s="39" t="e">
        <f>#REF!</f>
        <v>#REF!</v>
      </c>
      <c r="AQ26" s="39" t="e">
        <f>#REF!</f>
        <v>#REF!</v>
      </c>
      <c r="AR26" s="39" t="e">
        <f>#REF!</f>
        <v>#REF!</v>
      </c>
      <c r="AS26" s="39" t="e">
        <f>#REF!</f>
        <v>#REF!</v>
      </c>
      <c r="AT26" s="39" t="e">
        <f>#REF!</f>
        <v>#REF!</v>
      </c>
      <c r="AU26" s="39" t="e">
        <f>#REF!</f>
        <v>#REF!</v>
      </c>
      <c r="AV26" s="39" t="e">
        <f>#REF!</f>
        <v>#REF!</v>
      </c>
      <c r="AW26" s="39" t="e">
        <f>#REF!</f>
        <v>#REF!</v>
      </c>
      <c r="AX26" s="39" t="e">
        <f>#REF!</f>
        <v>#REF!</v>
      </c>
      <c r="AY26" s="39" t="e">
        <f>#REF!</f>
        <v>#REF!</v>
      </c>
      <c r="AZ26" s="39" t="str">
        <f>'KI-4'!Q22</f>
        <v/>
      </c>
      <c r="BA26" s="39" t="str">
        <f>'KI-4'!R22</f>
        <v xml:space="preserve">  </v>
      </c>
      <c r="BB26" s="39" t="str">
        <f>'KI-4'!S22</f>
        <v/>
      </c>
      <c r="BC26" s="39" t="str">
        <f>'KI-4'!T22</f>
        <v xml:space="preserve">  </v>
      </c>
      <c r="BD26" s="39" t="str">
        <f>'KI-4'!U22</f>
        <v/>
      </c>
      <c r="BE26" s="39" t="str">
        <f>'KI-4'!V22</f>
        <v xml:space="preserve">  </v>
      </c>
      <c r="BF26" s="39" t="str">
        <f>'KI-4'!W22</f>
        <v/>
      </c>
      <c r="BG26" s="39" t="str">
        <f>'KI-4'!X22</f>
        <v xml:space="preserve">  </v>
      </c>
      <c r="BH26" s="39" t="str">
        <f>'KI-4'!Y22</f>
        <v/>
      </c>
      <c r="BI26" s="39" t="str">
        <f>'KI-4'!Z22</f>
        <v xml:space="preserve">  </v>
      </c>
      <c r="BJ26" s="39" t="str">
        <f>'KI-4'!AA22</f>
        <v/>
      </c>
      <c r="BK26" s="39" t="str">
        <f>'KI-4'!AB22</f>
        <v xml:space="preserve">  </v>
      </c>
      <c r="BL26" s="39">
        <f>'KI-4'!AC22</f>
        <v>0</v>
      </c>
      <c r="BM26" s="39">
        <f>'KI-4'!AD22</f>
        <v>0</v>
      </c>
      <c r="BN26" s="39" t="str">
        <f>'KI-4'!AE22</f>
        <v xml:space="preserve"> </v>
      </c>
      <c r="BO26" s="39" t="str">
        <f>'KI-4'!AF22</f>
        <v xml:space="preserve">  </v>
      </c>
      <c r="BP26" s="39"/>
      <c r="BQ26" s="39"/>
    </row>
    <row r="27" spans="1:69">
      <c r="A27" s="39">
        <v>18</v>
      </c>
      <c r="B27" s="66">
        <f>SISWA!B23</f>
        <v>0</v>
      </c>
      <c r="C27" s="66">
        <f>SISWA!C23</f>
        <v>0</v>
      </c>
      <c r="D27" s="66">
        <f>SISWA!D23</f>
        <v>0</v>
      </c>
      <c r="E27" s="587" t="e">
        <f>#REF!</f>
        <v>#REF!</v>
      </c>
      <c r="F27" s="587" t="e">
        <f>#REF!</f>
        <v>#REF!</v>
      </c>
      <c r="G27" s="587" t="e">
        <f>#REF!</f>
        <v>#REF!</v>
      </c>
      <c r="H27" s="587" t="e">
        <f>#REF!</f>
        <v>#REF!</v>
      </c>
      <c r="I27" s="587" t="e">
        <f>#REF!</f>
        <v>#REF!</v>
      </c>
      <c r="J27" s="587" t="e">
        <f>#REF!</f>
        <v>#REF!</v>
      </c>
      <c r="K27" s="587" t="e">
        <f>#REF!</f>
        <v>#REF!</v>
      </c>
      <c r="L27" s="587" t="e">
        <f>#REF!</f>
        <v>#REF!</v>
      </c>
      <c r="M27" s="587" t="e">
        <f>#REF!</f>
        <v>#REF!</v>
      </c>
      <c r="N27" s="587" t="e">
        <f>#REF!</f>
        <v>#REF!</v>
      </c>
      <c r="O27" s="587" t="e">
        <f>#REF!</f>
        <v>#REF!</v>
      </c>
      <c r="P27" s="587" t="e">
        <f>#REF!</f>
        <v>#REF!</v>
      </c>
      <c r="Q27" s="587" t="e">
        <f>#REF!</f>
        <v>#REF!</v>
      </c>
      <c r="R27" s="587" t="e">
        <f>#REF!</f>
        <v>#REF!</v>
      </c>
      <c r="S27" s="453" t="str">
        <f>'KI-3'!Q22</f>
        <v xml:space="preserve"> </v>
      </c>
      <c r="T27" s="453" t="str">
        <f>'P-pkn'!CD25</f>
        <v xml:space="preserve">  </v>
      </c>
      <c r="U27" s="453" t="str">
        <f>'KI-3'!S22</f>
        <v xml:space="preserve"> </v>
      </c>
      <c r="V27" s="453" t="str">
        <f>'P-BI'!DQ25</f>
        <v xml:space="preserve">  </v>
      </c>
      <c r="W27" s="453" t="str">
        <f>'KI-3'!U22</f>
        <v xml:space="preserve"> </v>
      </c>
      <c r="X27" s="453" t="str">
        <f>'P MTK'!FQ25</f>
        <v xml:space="preserve">  </v>
      </c>
      <c r="Y27" s="453" t="str">
        <f>'KI-3'!W22</f>
        <v xml:space="preserve"> </v>
      </c>
      <c r="Z27" s="453" t="str">
        <f>'P-IPA'!DQ25</f>
        <v xml:space="preserve">  </v>
      </c>
      <c r="AA27" s="453" t="str">
        <f>'KI-3'!Y22</f>
        <v xml:space="preserve"> </v>
      </c>
      <c r="AB27" s="453" t="str">
        <f>'P-IPS'!DQ25</f>
        <v xml:space="preserve">  </v>
      </c>
      <c r="AC27" s="453" t="str">
        <f>'KI-3'!AA22</f>
        <v xml:space="preserve"> </v>
      </c>
      <c r="AD27" s="453" t="str">
        <f>'P-SBDP'!DQ25</f>
        <v xml:space="preserve">  </v>
      </c>
      <c r="AE27" s="453">
        <f>'KI-3'!AC22</f>
        <v>0</v>
      </c>
      <c r="AF27" s="453">
        <f>'P-PJOK'!D23</f>
        <v>0</v>
      </c>
      <c r="AG27" s="453" t="str">
        <f>'KI-3'!AE22</f>
        <v xml:space="preserve"> </v>
      </c>
      <c r="AH27" s="453" t="str">
        <f>'P-BJAWA'!AW25</f>
        <v xml:space="preserve">  </v>
      </c>
      <c r="AI27" s="39"/>
      <c r="AJ27" s="39"/>
      <c r="AL27" s="39" t="e">
        <f>#REF!</f>
        <v>#REF!</v>
      </c>
      <c r="AM27" s="39" t="e">
        <f>#REF!</f>
        <v>#REF!</v>
      </c>
      <c r="AN27" s="39" t="e">
        <f>#REF!</f>
        <v>#REF!</v>
      </c>
      <c r="AO27" s="39" t="e">
        <f>#REF!</f>
        <v>#REF!</v>
      </c>
      <c r="AP27" s="39" t="e">
        <f>#REF!</f>
        <v>#REF!</v>
      </c>
      <c r="AQ27" s="39" t="e">
        <f>#REF!</f>
        <v>#REF!</v>
      </c>
      <c r="AR27" s="39" t="e">
        <f>#REF!</f>
        <v>#REF!</v>
      </c>
      <c r="AS27" s="39" t="e">
        <f>#REF!</f>
        <v>#REF!</v>
      </c>
      <c r="AT27" s="39" t="e">
        <f>#REF!</f>
        <v>#REF!</v>
      </c>
      <c r="AU27" s="39" t="e">
        <f>#REF!</f>
        <v>#REF!</v>
      </c>
      <c r="AV27" s="39" t="e">
        <f>#REF!</f>
        <v>#REF!</v>
      </c>
      <c r="AW27" s="39" t="e">
        <f>#REF!</f>
        <v>#REF!</v>
      </c>
      <c r="AX27" s="39" t="e">
        <f>#REF!</f>
        <v>#REF!</v>
      </c>
      <c r="AY27" s="39" t="e">
        <f>#REF!</f>
        <v>#REF!</v>
      </c>
      <c r="AZ27" s="39" t="str">
        <f>'KI-4'!Q23</f>
        <v/>
      </c>
      <c r="BA27" s="39" t="str">
        <f>'KI-4'!R23</f>
        <v xml:space="preserve">  </v>
      </c>
      <c r="BB27" s="39" t="str">
        <f>'KI-4'!S23</f>
        <v/>
      </c>
      <c r="BC27" s="39" t="str">
        <f>'KI-4'!T23</f>
        <v xml:space="preserve">  </v>
      </c>
      <c r="BD27" s="39" t="str">
        <f>'KI-4'!U23</f>
        <v/>
      </c>
      <c r="BE27" s="39" t="str">
        <f>'KI-4'!V23</f>
        <v xml:space="preserve">  </v>
      </c>
      <c r="BF27" s="39" t="str">
        <f>'KI-4'!W23</f>
        <v/>
      </c>
      <c r="BG27" s="39" t="str">
        <f>'KI-4'!X23</f>
        <v xml:space="preserve">  </v>
      </c>
      <c r="BH27" s="39" t="str">
        <f>'KI-4'!Y23</f>
        <v/>
      </c>
      <c r="BI27" s="39" t="str">
        <f>'KI-4'!Z23</f>
        <v xml:space="preserve">  </v>
      </c>
      <c r="BJ27" s="39" t="str">
        <f>'KI-4'!AA23</f>
        <v/>
      </c>
      <c r="BK27" s="39" t="str">
        <f>'KI-4'!AB23</f>
        <v xml:space="preserve">  </v>
      </c>
      <c r="BL27" s="39">
        <f>'KI-4'!AC23</f>
        <v>0</v>
      </c>
      <c r="BM27" s="39">
        <f>'KI-4'!AD23</f>
        <v>0</v>
      </c>
      <c r="BN27" s="39" t="str">
        <f>'KI-4'!AE23</f>
        <v xml:space="preserve"> </v>
      </c>
      <c r="BO27" s="39" t="str">
        <f>'KI-4'!AF23</f>
        <v xml:space="preserve">  </v>
      </c>
      <c r="BP27" s="39"/>
      <c r="BQ27" s="39"/>
    </row>
    <row r="28" spans="1:69">
      <c r="A28" s="39">
        <v>19</v>
      </c>
      <c r="B28" s="66">
        <f>SISWA!B24</f>
        <v>0</v>
      </c>
      <c r="C28" s="66">
        <f>SISWA!C24</f>
        <v>0</v>
      </c>
      <c r="D28" s="66">
        <f>SISWA!D24</f>
        <v>0</v>
      </c>
      <c r="E28" s="587" t="e">
        <f>#REF!</f>
        <v>#REF!</v>
      </c>
      <c r="F28" s="587" t="e">
        <f>#REF!</f>
        <v>#REF!</v>
      </c>
      <c r="G28" s="587" t="e">
        <f>#REF!</f>
        <v>#REF!</v>
      </c>
      <c r="H28" s="587" t="e">
        <f>#REF!</f>
        <v>#REF!</v>
      </c>
      <c r="I28" s="587" t="e">
        <f>#REF!</f>
        <v>#REF!</v>
      </c>
      <c r="J28" s="587" t="e">
        <f>#REF!</f>
        <v>#REF!</v>
      </c>
      <c r="K28" s="587" t="e">
        <f>#REF!</f>
        <v>#REF!</v>
      </c>
      <c r="L28" s="587" t="e">
        <f>#REF!</f>
        <v>#REF!</v>
      </c>
      <c r="M28" s="587" t="e">
        <f>#REF!</f>
        <v>#REF!</v>
      </c>
      <c r="N28" s="587" t="e">
        <f>#REF!</f>
        <v>#REF!</v>
      </c>
      <c r="O28" s="587" t="e">
        <f>#REF!</f>
        <v>#REF!</v>
      </c>
      <c r="P28" s="587" t="e">
        <f>#REF!</f>
        <v>#REF!</v>
      </c>
      <c r="Q28" s="587" t="e">
        <f>#REF!</f>
        <v>#REF!</v>
      </c>
      <c r="R28" s="587" t="e">
        <f>#REF!</f>
        <v>#REF!</v>
      </c>
      <c r="S28" s="453" t="str">
        <f>'KI-3'!Q23</f>
        <v xml:space="preserve"> </v>
      </c>
      <c r="T28" s="453" t="str">
        <f>'P-pkn'!CD26</f>
        <v xml:space="preserve">  </v>
      </c>
      <c r="U28" s="453" t="str">
        <f>'KI-3'!S23</f>
        <v xml:space="preserve"> </v>
      </c>
      <c r="V28" s="453" t="str">
        <f>'P-BI'!DQ26</f>
        <v xml:space="preserve">  </v>
      </c>
      <c r="W28" s="453" t="str">
        <f>'KI-3'!U23</f>
        <v xml:space="preserve"> </v>
      </c>
      <c r="X28" s="453" t="str">
        <f>'P MTK'!FQ26</f>
        <v xml:space="preserve">  </v>
      </c>
      <c r="Y28" s="453" t="str">
        <f>'KI-3'!W23</f>
        <v xml:space="preserve"> </v>
      </c>
      <c r="Z28" s="453" t="str">
        <f>'P-IPA'!DQ26</f>
        <v xml:space="preserve">  </v>
      </c>
      <c r="AA28" s="453" t="str">
        <f>'KI-3'!Y23</f>
        <v xml:space="preserve"> </v>
      </c>
      <c r="AB28" s="453" t="str">
        <f>'P-IPS'!DQ26</f>
        <v xml:space="preserve">  </v>
      </c>
      <c r="AC28" s="453" t="str">
        <f>'KI-3'!AA23</f>
        <v xml:space="preserve"> </v>
      </c>
      <c r="AD28" s="453" t="str">
        <f>'P-SBDP'!DQ26</f>
        <v xml:space="preserve">  </v>
      </c>
      <c r="AE28" s="453">
        <f>'KI-3'!AC23</f>
        <v>0</v>
      </c>
      <c r="AF28" s="453">
        <f>'P-PJOK'!D24</f>
        <v>0</v>
      </c>
      <c r="AG28" s="453" t="str">
        <f>'KI-3'!AE23</f>
        <v xml:space="preserve"> </v>
      </c>
      <c r="AH28" s="453" t="str">
        <f>'P-BJAWA'!AW26</f>
        <v xml:space="preserve">  </v>
      </c>
      <c r="AI28" s="39"/>
      <c r="AJ28" s="39"/>
      <c r="AL28" s="39" t="e">
        <f>#REF!</f>
        <v>#REF!</v>
      </c>
      <c r="AM28" s="39" t="e">
        <f>#REF!</f>
        <v>#REF!</v>
      </c>
      <c r="AN28" s="39" t="e">
        <f>#REF!</f>
        <v>#REF!</v>
      </c>
      <c r="AO28" s="39" t="e">
        <f>#REF!</f>
        <v>#REF!</v>
      </c>
      <c r="AP28" s="39" t="e">
        <f>#REF!</f>
        <v>#REF!</v>
      </c>
      <c r="AQ28" s="39" t="e">
        <f>#REF!</f>
        <v>#REF!</v>
      </c>
      <c r="AR28" s="39" t="e">
        <f>#REF!</f>
        <v>#REF!</v>
      </c>
      <c r="AS28" s="39" t="e">
        <f>#REF!</f>
        <v>#REF!</v>
      </c>
      <c r="AT28" s="39" t="e">
        <f>#REF!</f>
        <v>#REF!</v>
      </c>
      <c r="AU28" s="39" t="e">
        <f>#REF!</f>
        <v>#REF!</v>
      </c>
      <c r="AV28" s="39" t="e">
        <f>#REF!</f>
        <v>#REF!</v>
      </c>
      <c r="AW28" s="39" t="e">
        <f>#REF!</f>
        <v>#REF!</v>
      </c>
      <c r="AX28" s="39" t="e">
        <f>#REF!</f>
        <v>#REF!</v>
      </c>
      <c r="AY28" s="39" t="e">
        <f>#REF!</f>
        <v>#REF!</v>
      </c>
      <c r="AZ28" s="39" t="str">
        <f>'KI-4'!Q24</f>
        <v/>
      </c>
      <c r="BA28" s="39" t="str">
        <f>'KI-4'!R24</f>
        <v xml:space="preserve">  </v>
      </c>
      <c r="BB28" s="39" t="str">
        <f>'KI-4'!S24</f>
        <v/>
      </c>
      <c r="BC28" s="39" t="str">
        <f>'KI-4'!T24</f>
        <v xml:space="preserve">  </v>
      </c>
      <c r="BD28" s="39" t="str">
        <f>'KI-4'!U24</f>
        <v/>
      </c>
      <c r="BE28" s="39" t="str">
        <f>'KI-4'!V24</f>
        <v xml:space="preserve">  </v>
      </c>
      <c r="BF28" s="39" t="str">
        <f>'KI-4'!W24</f>
        <v/>
      </c>
      <c r="BG28" s="39" t="str">
        <f>'KI-4'!X24</f>
        <v xml:space="preserve">  </v>
      </c>
      <c r="BH28" s="39" t="str">
        <f>'KI-4'!Y24</f>
        <v/>
      </c>
      <c r="BI28" s="39" t="str">
        <f>'KI-4'!Z24</f>
        <v xml:space="preserve">  </v>
      </c>
      <c r="BJ28" s="39" t="str">
        <f>'KI-4'!AA24</f>
        <v/>
      </c>
      <c r="BK28" s="39" t="str">
        <f>'KI-4'!AB24</f>
        <v xml:space="preserve">  </v>
      </c>
      <c r="BL28" s="39">
        <f>'KI-4'!AC24</f>
        <v>0</v>
      </c>
      <c r="BM28" s="39">
        <f>'KI-4'!AD24</f>
        <v>0</v>
      </c>
      <c r="BN28" s="39" t="str">
        <f>'KI-4'!AE24</f>
        <v xml:space="preserve"> </v>
      </c>
      <c r="BO28" s="39" t="str">
        <f>'KI-4'!AF24</f>
        <v xml:space="preserve">  </v>
      </c>
      <c r="BP28" s="39"/>
      <c r="BQ28" s="39"/>
    </row>
    <row r="29" spans="1:69">
      <c r="A29" s="39">
        <v>20</v>
      </c>
      <c r="B29" s="66">
        <f>SISWA!B25</f>
        <v>0</v>
      </c>
      <c r="C29" s="66">
        <f>SISWA!C25</f>
        <v>0</v>
      </c>
      <c r="D29" s="66">
        <f>SISWA!D25</f>
        <v>0</v>
      </c>
      <c r="E29" s="587" t="e">
        <f>#REF!</f>
        <v>#REF!</v>
      </c>
      <c r="F29" s="587" t="e">
        <f>#REF!</f>
        <v>#REF!</v>
      </c>
      <c r="G29" s="587" t="e">
        <f>#REF!</f>
        <v>#REF!</v>
      </c>
      <c r="H29" s="587" t="e">
        <f>#REF!</f>
        <v>#REF!</v>
      </c>
      <c r="I29" s="587" t="e">
        <f>#REF!</f>
        <v>#REF!</v>
      </c>
      <c r="J29" s="587" t="e">
        <f>#REF!</f>
        <v>#REF!</v>
      </c>
      <c r="K29" s="587" t="e">
        <f>#REF!</f>
        <v>#REF!</v>
      </c>
      <c r="L29" s="587" t="e">
        <f>#REF!</f>
        <v>#REF!</v>
      </c>
      <c r="M29" s="587" t="e">
        <f>#REF!</f>
        <v>#REF!</v>
      </c>
      <c r="N29" s="587" t="e">
        <f>#REF!</f>
        <v>#REF!</v>
      </c>
      <c r="O29" s="587" t="e">
        <f>#REF!</f>
        <v>#REF!</v>
      </c>
      <c r="P29" s="587" t="e">
        <f>#REF!</f>
        <v>#REF!</v>
      </c>
      <c r="Q29" s="587" t="e">
        <f>#REF!</f>
        <v>#REF!</v>
      </c>
      <c r="R29" s="587" t="e">
        <f>#REF!</f>
        <v>#REF!</v>
      </c>
      <c r="S29" s="453" t="str">
        <f>'KI-3'!Q24</f>
        <v xml:space="preserve"> </v>
      </c>
      <c r="T29" s="453" t="str">
        <f>'P-pkn'!CD27</f>
        <v xml:space="preserve">  </v>
      </c>
      <c r="U29" s="453" t="str">
        <f>'KI-3'!S24</f>
        <v xml:space="preserve"> </v>
      </c>
      <c r="V29" s="453" t="str">
        <f>'P-BI'!DQ27</f>
        <v xml:space="preserve">  </v>
      </c>
      <c r="W29" s="453" t="str">
        <f>'KI-3'!U24</f>
        <v xml:space="preserve"> </v>
      </c>
      <c r="X29" s="453" t="str">
        <f>'P MTK'!FQ27</f>
        <v xml:space="preserve">  </v>
      </c>
      <c r="Y29" s="453" t="str">
        <f>'KI-3'!W24</f>
        <v xml:space="preserve"> </v>
      </c>
      <c r="Z29" s="453" t="str">
        <f>'P-IPA'!DQ27</f>
        <v xml:space="preserve">  </v>
      </c>
      <c r="AA29" s="453" t="str">
        <f>'KI-3'!Y24</f>
        <v xml:space="preserve"> </v>
      </c>
      <c r="AB29" s="453" t="str">
        <f>'P-IPS'!DQ27</f>
        <v xml:space="preserve">  </v>
      </c>
      <c r="AC29" s="453" t="str">
        <f>'KI-3'!AA24</f>
        <v xml:space="preserve"> </v>
      </c>
      <c r="AD29" s="453" t="str">
        <f>'P-SBDP'!DQ27</f>
        <v xml:space="preserve">  </v>
      </c>
      <c r="AE29" s="453">
        <f>'KI-3'!AC24</f>
        <v>0</v>
      </c>
      <c r="AF29" s="453">
        <f>'P-PJOK'!D25</f>
        <v>0</v>
      </c>
      <c r="AG29" s="453" t="str">
        <f>'KI-3'!AE24</f>
        <v xml:space="preserve"> </v>
      </c>
      <c r="AH29" s="453" t="str">
        <f>'P-BJAWA'!AW27</f>
        <v xml:space="preserve">  </v>
      </c>
      <c r="AI29" s="39"/>
      <c r="AJ29" s="39"/>
      <c r="AL29" s="39" t="e">
        <f>#REF!</f>
        <v>#REF!</v>
      </c>
      <c r="AM29" s="39" t="e">
        <f>#REF!</f>
        <v>#REF!</v>
      </c>
      <c r="AN29" s="39" t="e">
        <f>#REF!</f>
        <v>#REF!</v>
      </c>
      <c r="AO29" s="39" t="e">
        <f>#REF!</f>
        <v>#REF!</v>
      </c>
      <c r="AP29" s="39" t="e">
        <f>#REF!</f>
        <v>#REF!</v>
      </c>
      <c r="AQ29" s="39" t="e">
        <f>#REF!</f>
        <v>#REF!</v>
      </c>
      <c r="AR29" s="39" t="e">
        <f>#REF!</f>
        <v>#REF!</v>
      </c>
      <c r="AS29" s="39" t="e">
        <f>#REF!</f>
        <v>#REF!</v>
      </c>
      <c r="AT29" s="39" t="e">
        <f>#REF!</f>
        <v>#REF!</v>
      </c>
      <c r="AU29" s="39" t="e">
        <f>#REF!</f>
        <v>#REF!</v>
      </c>
      <c r="AV29" s="39" t="e">
        <f>#REF!</f>
        <v>#REF!</v>
      </c>
      <c r="AW29" s="39" t="e">
        <f>#REF!</f>
        <v>#REF!</v>
      </c>
      <c r="AX29" s="39" t="e">
        <f>#REF!</f>
        <v>#REF!</v>
      </c>
      <c r="AY29" s="39" t="e">
        <f>#REF!</f>
        <v>#REF!</v>
      </c>
      <c r="AZ29" s="39" t="str">
        <f>'KI-4'!Q25</f>
        <v/>
      </c>
      <c r="BA29" s="39" t="str">
        <f>'KI-4'!R25</f>
        <v xml:space="preserve">  </v>
      </c>
      <c r="BB29" s="39" t="str">
        <f>'KI-4'!S25</f>
        <v/>
      </c>
      <c r="BC29" s="39" t="str">
        <f>'KI-4'!T25</f>
        <v xml:space="preserve">  </v>
      </c>
      <c r="BD29" s="39" t="str">
        <f>'KI-4'!U25</f>
        <v/>
      </c>
      <c r="BE29" s="39" t="str">
        <f>'KI-4'!V25</f>
        <v xml:space="preserve">  </v>
      </c>
      <c r="BF29" s="39" t="str">
        <f>'KI-4'!W25</f>
        <v/>
      </c>
      <c r="BG29" s="39" t="str">
        <f>'KI-4'!X25</f>
        <v xml:space="preserve">  </v>
      </c>
      <c r="BH29" s="39" t="str">
        <f>'KI-4'!Y25</f>
        <v/>
      </c>
      <c r="BI29" s="39" t="str">
        <f>'KI-4'!Z25</f>
        <v xml:space="preserve">  </v>
      </c>
      <c r="BJ29" s="39" t="str">
        <f>'KI-4'!AA25</f>
        <v/>
      </c>
      <c r="BK29" s="39" t="str">
        <f>'KI-4'!AB25</f>
        <v xml:space="preserve">  </v>
      </c>
      <c r="BL29" s="39">
        <f>'KI-4'!AC25</f>
        <v>0</v>
      </c>
      <c r="BM29" s="39">
        <f>'KI-4'!AD25</f>
        <v>0</v>
      </c>
      <c r="BN29" s="39" t="str">
        <f>'KI-4'!AE25</f>
        <v xml:space="preserve"> </v>
      </c>
      <c r="BO29" s="39" t="str">
        <f>'KI-4'!AF25</f>
        <v xml:space="preserve">  </v>
      </c>
      <c r="BP29" s="39"/>
      <c r="BQ29" s="39"/>
    </row>
    <row r="30" spans="1:69">
      <c r="A30" s="39">
        <v>21</v>
      </c>
      <c r="B30" s="66">
        <f>SISWA!B26</f>
        <v>0</v>
      </c>
      <c r="C30" s="66">
        <f>SISWA!C26</f>
        <v>0</v>
      </c>
      <c r="D30" s="66">
        <f>SISWA!D26</f>
        <v>0</v>
      </c>
      <c r="E30" s="587" t="e">
        <f>#REF!</f>
        <v>#REF!</v>
      </c>
      <c r="F30" s="587" t="e">
        <f>#REF!</f>
        <v>#REF!</v>
      </c>
      <c r="G30" s="587" t="e">
        <f>#REF!</f>
        <v>#REF!</v>
      </c>
      <c r="H30" s="587" t="e">
        <f>#REF!</f>
        <v>#REF!</v>
      </c>
      <c r="I30" s="587" t="e">
        <f>#REF!</f>
        <v>#REF!</v>
      </c>
      <c r="J30" s="587" t="e">
        <f>#REF!</f>
        <v>#REF!</v>
      </c>
      <c r="K30" s="587" t="e">
        <f>#REF!</f>
        <v>#REF!</v>
      </c>
      <c r="L30" s="587" t="e">
        <f>#REF!</f>
        <v>#REF!</v>
      </c>
      <c r="M30" s="587" t="e">
        <f>#REF!</f>
        <v>#REF!</v>
      </c>
      <c r="N30" s="587" t="e">
        <f>#REF!</f>
        <v>#REF!</v>
      </c>
      <c r="O30" s="587" t="e">
        <f>#REF!</f>
        <v>#REF!</v>
      </c>
      <c r="P30" s="587" t="e">
        <f>#REF!</f>
        <v>#REF!</v>
      </c>
      <c r="Q30" s="587" t="e">
        <f>#REF!</f>
        <v>#REF!</v>
      </c>
      <c r="R30" s="587" t="e">
        <f>#REF!</f>
        <v>#REF!</v>
      </c>
      <c r="S30" s="453" t="str">
        <f>'KI-3'!Q25</f>
        <v xml:space="preserve"> </v>
      </c>
      <c r="T30" s="453" t="str">
        <f>'P-pkn'!CD28</f>
        <v xml:space="preserve">  </v>
      </c>
      <c r="U30" s="453" t="str">
        <f>'KI-3'!S25</f>
        <v xml:space="preserve"> </v>
      </c>
      <c r="V30" s="453" t="str">
        <f>'P-BI'!DQ28</f>
        <v xml:space="preserve">  </v>
      </c>
      <c r="W30" s="453" t="str">
        <f>'KI-3'!U25</f>
        <v xml:space="preserve"> </v>
      </c>
      <c r="X30" s="453" t="str">
        <f>'P MTK'!FQ28</f>
        <v xml:space="preserve">  </v>
      </c>
      <c r="Y30" s="453" t="str">
        <f>'KI-3'!W25</f>
        <v xml:space="preserve"> </v>
      </c>
      <c r="Z30" s="453" t="str">
        <f>'P-IPA'!DQ28</f>
        <v xml:space="preserve">  </v>
      </c>
      <c r="AA30" s="453" t="str">
        <f>'KI-3'!Y25</f>
        <v xml:space="preserve"> </v>
      </c>
      <c r="AB30" s="453" t="str">
        <f>'P-IPS'!DQ28</f>
        <v xml:space="preserve">  </v>
      </c>
      <c r="AC30" s="453" t="str">
        <f>'KI-3'!AA25</f>
        <v xml:space="preserve"> </v>
      </c>
      <c r="AD30" s="453" t="str">
        <f>'P-SBDP'!DQ28</f>
        <v xml:space="preserve">  </v>
      </c>
      <c r="AE30" s="453">
        <f>'KI-3'!AC25</f>
        <v>0</v>
      </c>
      <c r="AF30" s="453">
        <f>'P-PJOK'!D26</f>
        <v>0</v>
      </c>
      <c r="AG30" s="453" t="str">
        <f>'KI-3'!AE25</f>
        <v xml:space="preserve"> </v>
      </c>
      <c r="AH30" s="453" t="str">
        <f>'P-BJAWA'!AW28</f>
        <v xml:space="preserve">  </v>
      </c>
      <c r="AI30" s="39"/>
      <c r="AJ30" s="39"/>
      <c r="AL30" s="39" t="e">
        <f>#REF!</f>
        <v>#REF!</v>
      </c>
      <c r="AM30" s="39" t="e">
        <f>#REF!</f>
        <v>#REF!</v>
      </c>
      <c r="AN30" s="39" t="e">
        <f>#REF!</f>
        <v>#REF!</v>
      </c>
      <c r="AO30" s="39" t="e">
        <f>#REF!</f>
        <v>#REF!</v>
      </c>
      <c r="AP30" s="39" t="e">
        <f>#REF!</f>
        <v>#REF!</v>
      </c>
      <c r="AQ30" s="39" t="e">
        <f>#REF!</f>
        <v>#REF!</v>
      </c>
      <c r="AR30" s="39" t="e">
        <f>#REF!</f>
        <v>#REF!</v>
      </c>
      <c r="AS30" s="39" t="e">
        <f>#REF!</f>
        <v>#REF!</v>
      </c>
      <c r="AT30" s="39" t="e">
        <f>#REF!</f>
        <v>#REF!</v>
      </c>
      <c r="AU30" s="39" t="e">
        <f>#REF!</f>
        <v>#REF!</v>
      </c>
      <c r="AV30" s="39" t="e">
        <f>#REF!</f>
        <v>#REF!</v>
      </c>
      <c r="AW30" s="39" t="e">
        <f>#REF!</f>
        <v>#REF!</v>
      </c>
      <c r="AX30" s="39" t="e">
        <f>#REF!</f>
        <v>#REF!</v>
      </c>
      <c r="AY30" s="39" t="e">
        <f>#REF!</f>
        <v>#REF!</v>
      </c>
      <c r="AZ30" s="39" t="str">
        <f>'KI-4'!Q26</f>
        <v/>
      </c>
      <c r="BA30" s="39" t="str">
        <f>'KI-4'!R26</f>
        <v xml:space="preserve">  </v>
      </c>
      <c r="BB30" s="39" t="str">
        <f>'KI-4'!S26</f>
        <v/>
      </c>
      <c r="BC30" s="39" t="str">
        <f>'KI-4'!T26</f>
        <v xml:space="preserve">  </v>
      </c>
      <c r="BD30" s="39" t="str">
        <f>'KI-4'!U26</f>
        <v/>
      </c>
      <c r="BE30" s="39" t="str">
        <f>'KI-4'!V26</f>
        <v xml:space="preserve">  </v>
      </c>
      <c r="BF30" s="39" t="str">
        <f>'KI-4'!W26</f>
        <v/>
      </c>
      <c r="BG30" s="39" t="str">
        <f>'KI-4'!X26</f>
        <v xml:space="preserve">  </v>
      </c>
      <c r="BH30" s="39" t="str">
        <f>'KI-4'!Y26</f>
        <v/>
      </c>
      <c r="BI30" s="39" t="str">
        <f>'KI-4'!Z26</f>
        <v xml:space="preserve">  </v>
      </c>
      <c r="BJ30" s="39" t="str">
        <f>'KI-4'!AA26</f>
        <v/>
      </c>
      <c r="BK30" s="39" t="str">
        <f>'KI-4'!AB26</f>
        <v xml:space="preserve">  </v>
      </c>
      <c r="BL30" s="39">
        <f>'KI-4'!AC26</f>
        <v>0</v>
      </c>
      <c r="BM30" s="39">
        <f>'KI-4'!AD26</f>
        <v>0</v>
      </c>
      <c r="BN30" s="39" t="str">
        <f>'KI-4'!AE26</f>
        <v xml:space="preserve"> </v>
      </c>
      <c r="BO30" s="39" t="str">
        <f>'KI-4'!AF26</f>
        <v xml:space="preserve">  </v>
      </c>
      <c r="BP30" s="39"/>
      <c r="BQ30" s="39"/>
    </row>
    <row r="31" spans="1:69">
      <c r="A31" s="39">
        <v>22</v>
      </c>
      <c r="B31" s="66">
        <f>SISWA!B27</f>
        <v>0</v>
      </c>
      <c r="C31" s="66">
        <f>SISWA!C27</f>
        <v>0</v>
      </c>
      <c r="D31" s="66">
        <f>SISWA!D27</f>
        <v>0</v>
      </c>
      <c r="E31" s="587" t="e">
        <f>#REF!</f>
        <v>#REF!</v>
      </c>
      <c r="F31" s="587" t="e">
        <f>#REF!</f>
        <v>#REF!</v>
      </c>
      <c r="G31" s="587" t="e">
        <f>#REF!</f>
        <v>#REF!</v>
      </c>
      <c r="H31" s="587" t="e">
        <f>#REF!</f>
        <v>#REF!</v>
      </c>
      <c r="I31" s="587" t="e">
        <f>#REF!</f>
        <v>#REF!</v>
      </c>
      <c r="J31" s="587" t="e">
        <f>#REF!</f>
        <v>#REF!</v>
      </c>
      <c r="K31" s="587" t="e">
        <f>#REF!</f>
        <v>#REF!</v>
      </c>
      <c r="L31" s="587" t="e">
        <f>#REF!</f>
        <v>#REF!</v>
      </c>
      <c r="M31" s="587" t="e">
        <f>#REF!</f>
        <v>#REF!</v>
      </c>
      <c r="N31" s="587" t="e">
        <f>#REF!</f>
        <v>#REF!</v>
      </c>
      <c r="O31" s="587" t="e">
        <f>#REF!</f>
        <v>#REF!</v>
      </c>
      <c r="P31" s="587" t="e">
        <f>#REF!</f>
        <v>#REF!</v>
      </c>
      <c r="Q31" s="587" t="e">
        <f>#REF!</f>
        <v>#REF!</v>
      </c>
      <c r="R31" s="587" t="e">
        <f>#REF!</f>
        <v>#REF!</v>
      </c>
      <c r="S31" s="453" t="str">
        <f>'KI-3'!Q26</f>
        <v xml:space="preserve"> </v>
      </c>
      <c r="T31" s="453" t="str">
        <f>'P-pkn'!CD29</f>
        <v xml:space="preserve">  </v>
      </c>
      <c r="U31" s="453" t="str">
        <f>'KI-3'!S26</f>
        <v xml:space="preserve"> </v>
      </c>
      <c r="V31" s="453" t="str">
        <f>'P-BI'!DQ29</f>
        <v xml:space="preserve">  </v>
      </c>
      <c r="W31" s="453" t="str">
        <f>'KI-3'!U26</f>
        <v xml:space="preserve"> </v>
      </c>
      <c r="X31" s="453" t="str">
        <f>'P MTK'!FQ29</f>
        <v xml:space="preserve">  </v>
      </c>
      <c r="Y31" s="453" t="str">
        <f>'KI-3'!W26</f>
        <v xml:space="preserve"> </v>
      </c>
      <c r="Z31" s="453" t="str">
        <f>'P-IPA'!DQ29</f>
        <v xml:space="preserve">  </v>
      </c>
      <c r="AA31" s="453" t="str">
        <f>'KI-3'!Y26</f>
        <v xml:space="preserve"> </v>
      </c>
      <c r="AB31" s="453" t="str">
        <f>'P-IPS'!DQ29</f>
        <v xml:space="preserve">  </v>
      </c>
      <c r="AC31" s="453" t="str">
        <f>'KI-3'!AA26</f>
        <v xml:space="preserve"> </v>
      </c>
      <c r="AD31" s="453" t="str">
        <f>'P-SBDP'!DQ29</f>
        <v xml:space="preserve">  </v>
      </c>
      <c r="AE31" s="453">
        <f>'KI-3'!AC26</f>
        <v>0</v>
      </c>
      <c r="AF31" s="453">
        <f>'P-PJOK'!D27</f>
        <v>0</v>
      </c>
      <c r="AG31" s="453" t="str">
        <f>'KI-3'!AE26</f>
        <v xml:space="preserve"> </v>
      </c>
      <c r="AH31" s="453" t="str">
        <f>'P-BJAWA'!AW29</f>
        <v xml:space="preserve">  </v>
      </c>
      <c r="AI31" s="39"/>
      <c r="AJ31" s="39"/>
      <c r="AL31" s="39" t="e">
        <f>#REF!</f>
        <v>#REF!</v>
      </c>
      <c r="AM31" s="39" t="e">
        <f>#REF!</f>
        <v>#REF!</v>
      </c>
      <c r="AN31" s="39" t="e">
        <f>#REF!</f>
        <v>#REF!</v>
      </c>
      <c r="AO31" s="39" t="e">
        <f>#REF!</f>
        <v>#REF!</v>
      </c>
      <c r="AP31" s="39" t="e">
        <f>#REF!</f>
        <v>#REF!</v>
      </c>
      <c r="AQ31" s="39" t="e">
        <f>#REF!</f>
        <v>#REF!</v>
      </c>
      <c r="AR31" s="39" t="e">
        <f>#REF!</f>
        <v>#REF!</v>
      </c>
      <c r="AS31" s="39" t="e">
        <f>#REF!</f>
        <v>#REF!</v>
      </c>
      <c r="AT31" s="39" t="e">
        <f>#REF!</f>
        <v>#REF!</v>
      </c>
      <c r="AU31" s="39" t="e">
        <f>#REF!</f>
        <v>#REF!</v>
      </c>
      <c r="AV31" s="39" t="e">
        <f>#REF!</f>
        <v>#REF!</v>
      </c>
      <c r="AW31" s="39" t="e">
        <f>#REF!</f>
        <v>#REF!</v>
      </c>
      <c r="AX31" s="39" t="e">
        <f>#REF!</f>
        <v>#REF!</v>
      </c>
      <c r="AY31" s="39" t="e">
        <f>#REF!</f>
        <v>#REF!</v>
      </c>
      <c r="AZ31" s="39" t="str">
        <f>'KI-4'!Q27</f>
        <v/>
      </c>
      <c r="BA31" s="39" t="str">
        <f>'KI-4'!R27</f>
        <v xml:space="preserve">  </v>
      </c>
      <c r="BB31" s="39" t="str">
        <f>'KI-4'!S27</f>
        <v/>
      </c>
      <c r="BC31" s="39" t="str">
        <f>'KI-4'!T27</f>
        <v xml:space="preserve">  </v>
      </c>
      <c r="BD31" s="39" t="str">
        <f>'KI-4'!U27</f>
        <v/>
      </c>
      <c r="BE31" s="39" t="str">
        <f>'KI-4'!V27</f>
        <v xml:space="preserve">  </v>
      </c>
      <c r="BF31" s="39" t="str">
        <f>'KI-4'!W27</f>
        <v/>
      </c>
      <c r="BG31" s="39" t="str">
        <f>'KI-4'!X27</f>
        <v xml:space="preserve">  </v>
      </c>
      <c r="BH31" s="39" t="str">
        <f>'KI-4'!Y27</f>
        <v/>
      </c>
      <c r="BI31" s="39" t="str">
        <f>'KI-4'!Z27</f>
        <v xml:space="preserve">  </v>
      </c>
      <c r="BJ31" s="39" t="str">
        <f>'KI-4'!AA27</f>
        <v/>
      </c>
      <c r="BK31" s="39" t="str">
        <f>'KI-4'!AB27</f>
        <v xml:space="preserve">  </v>
      </c>
      <c r="BL31" s="39">
        <f>'KI-4'!AC27</f>
        <v>0</v>
      </c>
      <c r="BM31" s="39">
        <f>'KI-4'!AD27</f>
        <v>0</v>
      </c>
      <c r="BN31" s="39" t="str">
        <f>'KI-4'!AE27</f>
        <v xml:space="preserve"> </v>
      </c>
      <c r="BO31" s="39" t="str">
        <f>'KI-4'!AF27</f>
        <v xml:space="preserve">  </v>
      </c>
      <c r="BP31" s="39"/>
      <c r="BQ31" s="39"/>
    </row>
    <row r="32" spans="1:69">
      <c r="A32" s="39">
        <v>23</v>
      </c>
      <c r="B32" s="66">
        <f>SISWA!B28</f>
        <v>0</v>
      </c>
      <c r="C32" s="66">
        <f>SISWA!C28</f>
        <v>0</v>
      </c>
      <c r="D32" s="66">
        <f>SISWA!D28</f>
        <v>0</v>
      </c>
      <c r="E32" s="587" t="e">
        <f>#REF!</f>
        <v>#REF!</v>
      </c>
      <c r="F32" s="587" t="e">
        <f>#REF!</f>
        <v>#REF!</v>
      </c>
      <c r="G32" s="587" t="e">
        <f>#REF!</f>
        <v>#REF!</v>
      </c>
      <c r="H32" s="587" t="e">
        <f>#REF!</f>
        <v>#REF!</v>
      </c>
      <c r="I32" s="587" t="e">
        <f>#REF!</f>
        <v>#REF!</v>
      </c>
      <c r="J32" s="587" t="e">
        <f>#REF!</f>
        <v>#REF!</v>
      </c>
      <c r="K32" s="587" t="e">
        <f>#REF!</f>
        <v>#REF!</v>
      </c>
      <c r="L32" s="587" t="e">
        <f>#REF!</f>
        <v>#REF!</v>
      </c>
      <c r="M32" s="587" t="e">
        <f>#REF!</f>
        <v>#REF!</v>
      </c>
      <c r="N32" s="587" t="e">
        <f>#REF!</f>
        <v>#REF!</v>
      </c>
      <c r="O32" s="587" t="e">
        <f>#REF!</f>
        <v>#REF!</v>
      </c>
      <c r="P32" s="587" t="e">
        <f>#REF!</f>
        <v>#REF!</v>
      </c>
      <c r="Q32" s="587" t="e">
        <f>#REF!</f>
        <v>#REF!</v>
      </c>
      <c r="R32" s="587" t="e">
        <f>#REF!</f>
        <v>#REF!</v>
      </c>
      <c r="S32" s="453" t="str">
        <f>'KI-3'!Q27</f>
        <v xml:space="preserve"> </v>
      </c>
      <c r="T32" s="453" t="str">
        <f>'P-pkn'!CD30</f>
        <v xml:space="preserve">  </v>
      </c>
      <c r="U32" s="453" t="str">
        <f>'KI-3'!S27</f>
        <v xml:space="preserve"> </v>
      </c>
      <c r="V32" s="453" t="str">
        <f>'P-BI'!DQ30</f>
        <v xml:space="preserve">  </v>
      </c>
      <c r="W32" s="453" t="str">
        <f>'KI-3'!U27</f>
        <v xml:space="preserve"> </v>
      </c>
      <c r="X32" s="453" t="str">
        <f>'P MTK'!FQ30</f>
        <v xml:space="preserve">  </v>
      </c>
      <c r="Y32" s="453" t="str">
        <f>'KI-3'!W27</f>
        <v xml:space="preserve"> </v>
      </c>
      <c r="Z32" s="453" t="str">
        <f>'P-IPA'!DQ30</f>
        <v xml:space="preserve">  </v>
      </c>
      <c r="AA32" s="453" t="str">
        <f>'KI-3'!Y27</f>
        <v xml:space="preserve"> </v>
      </c>
      <c r="AB32" s="453" t="str">
        <f>'P-IPS'!DQ30</f>
        <v xml:space="preserve">  </v>
      </c>
      <c r="AC32" s="453" t="str">
        <f>'KI-3'!AA27</f>
        <v xml:space="preserve"> </v>
      </c>
      <c r="AD32" s="453" t="str">
        <f>'P-SBDP'!DQ30</f>
        <v xml:space="preserve">  </v>
      </c>
      <c r="AE32" s="453">
        <f>'KI-3'!AC27</f>
        <v>0</v>
      </c>
      <c r="AF32" s="453">
        <f>'P-PJOK'!D28</f>
        <v>0</v>
      </c>
      <c r="AG32" s="453" t="str">
        <f>'KI-3'!AE27</f>
        <v xml:space="preserve"> </v>
      </c>
      <c r="AH32" s="453" t="str">
        <f>'P-BJAWA'!AW30</f>
        <v xml:space="preserve">  </v>
      </c>
      <c r="AI32" s="39"/>
      <c r="AJ32" s="39"/>
      <c r="AL32" s="39" t="e">
        <f>#REF!</f>
        <v>#REF!</v>
      </c>
      <c r="AM32" s="39" t="e">
        <f>#REF!</f>
        <v>#REF!</v>
      </c>
      <c r="AN32" s="39" t="e">
        <f>#REF!</f>
        <v>#REF!</v>
      </c>
      <c r="AO32" s="39" t="e">
        <f>#REF!</f>
        <v>#REF!</v>
      </c>
      <c r="AP32" s="39" t="e">
        <f>#REF!</f>
        <v>#REF!</v>
      </c>
      <c r="AQ32" s="39" t="e">
        <f>#REF!</f>
        <v>#REF!</v>
      </c>
      <c r="AR32" s="39" t="e">
        <f>#REF!</f>
        <v>#REF!</v>
      </c>
      <c r="AS32" s="39" t="e">
        <f>#REF!</f>
        <v>#REF!</v>
      </c>
      <c r="AT32" s="39" t="e">
        <f>#REF!</f>
        <v>#REF!</v>
      </c>
      <c r="AU32" s="39" t="e">
        <f>#REF!</f>
        <v>#REF!</v>
      </c>
      <c r="AV32" s="39" t="e">
        <f>#REF!</f>
        <v>#REF!</v>
      </c>
      <c r="AW32" s="39" t="e">
        <f>#REF!</f>
        <v>#REF!</v>
      </c>
      <c r="AX32" s="39" t="e">
        <f>#REF!</f>
        <v>#REF!</v>
      </c>
      <c r="AY32" s="39" t="e">
        <f>#REF!</f>
        <v>#REF!</v>
      </c>
      <c r="AZ32" s="39" t="str">
        <f>'KI-4'!Q28</f>
        <v/>
      </c>
      <c r="BA32" s="39" t="str">
        <f>'KI-4'!R28</f>
        <v xml:space="preserve">  </v>
      </c>
      <c r="BB32" s="39" t="str">
        <f>'KI-4'!S28</f>
        <v/>
      </c>
      <c r="BC32" s="39" t="str">
        <f>'KI-4'!T28</f>
        <v xml:space="preserve">  </v>
      </c>
      <c r="BD32" s="39" t="str">
        <f>'KI-4'!U28</f>
        <v/>
      </c>
      <c r="BE32" s="39" t="str">
        <f>'KI-4'!V28</f>
        <v xml:space="preserve">  </v>
      </c>
      <c r="BF32" s="39" t="str">
        <f>'KI-4'!W28</f>
        <v/>
      </c>
      <c r="BG32" s="39" t="str">
        <f>'KI-4'!X28</f>
        <v xml:space="preserve">  </v>
      </c>
      <c r="BH32" s="39" t="str">
        <f>'KI-4'!Y28</f>
        <v/>
      </c>
      <c r="BI32" s="39" t="str">
        <f>'KI-4'!Z28</f>
        <v xml:space="preserve">  </v>
      </c>
      <c r="BJ32" s="39" t="str">
        <f>'KI-4'!AA28</f>
        <v/>
      </c>
      <c r="BK32" s="39" t="str">
        <f>'KI-4'!AB28</f>
        <v xml:space="preserve">  </v>
      </c>
      <c r="BL32" s="39">
        <f>'KI-4'!AC28</f>
        <v>0</v>
      </c>
      <c r="BM32" s="39">
        <f>'KI-4'!AD28</f>
        <v>0</v>
      </c>
      <c r="BN32" s="39" t="str">
        <f>'KI-4'!AE28</f>
        <v xml:space="preserve"> </v>
      </c>
      <c r="BO32" s="39" t="str">
        <f>'KI-4'!AF28</f>
        <v xml:space="preserve">  </v>
      </c>
      <c r="BP32" s="39"/>
      <c r="BQ32" s="39"/>
    </row>
    <row r="33" spans="1:69">
      <c r="A33" s="39">
        <v>24</v>
      </c>
      <c r="B33" s="66">
        <f>SISWA!B29</f>
        <v>0</v>
      </c>
      <c r="C33" s="66">
        <f>SISWA!C29</f>
        <v>0</v>
      </c>
      <c r="D33" s="66">
        <f>SISWA!D29</f>
        <v>0</v>
      </c>
      <c r="E33" s="587" t="e">
        <f>#REF!</f>
        <v>#REF!</v>
      </c>
      <c r="F33" s="587" t="e">
        <f>#REF!</f>
        <v>#REF!</v>
      </c>
      <c r="G33" s="587" t="e">
        <f>#REF!</f>
        <v>#REF!</v>
      </c>
      <c r="H33" s="587" t="e">
        <f>#REF!</f>
        <v>#REF!</v>
      </c>
      <c r="I33" s="587" t="e">
        <f>#REF!</f>
        <v>#REF!</v>
      </c>
      <c r="J33" s="587" t="e">
        <f>#REF!</f>
        <v>#REF!</v>
      </c>
      <c r="K33" s="587" t="e">
        <f>#REF!</f>
        <v>#REF!</v>
      </c>
      <c r="L33" s="587" t="e">
        <f>#REF!</f>
        <v>#REF!</v>
      </c>
      <c r="M33" s="587" t="e">
        <f>#REF!</f>
        <v>#REF!</v>
      </c>
      <c r="N33" s="587" t="e">
        <f>#REF!</f>
        <v>#REF!</v>
      </c>
      <c r="O33" s="587" t="e">
        <f>#REF!</f>
        <v>#REF!</v>
      </c>
      <c r="P33" s="587" t="e">
        <f>#REF!</f>
        <v>#REF!</v>
      </c>
      <c r="Q33" s="587" t="e">
        <f>#REF!</f>
        <v>#REF!</v>
      </c>
      <c r="R33" s="587" t="e">
        <f>#REF!</f>
        <v>#REF!</v>
      </c>
      <c r="S33" s="453" t="str">
        <f>'KI-3'!Q28</f>
        <v xml:space="preserve"> </v>
      </c>
      <c r="T33" s="453" t="str">
        <f>'P-pkn'!CD31</f>
        <v xml:space="preserve">  </v>
      </c>
      <c r="U33" s="453" t="str">
        <f>'KI-3'!S28</f>
        <v xml:space="preserve"> </v>
      </c>
      <c r="V33" s="453" t="str">
        <f>'P-BI'!DQ31</f>
        <v xml:space="preserve">  </v>
      </c>
      <c r="W33" s="453" t="str">
        <f>'KI-3'!U28</f>
        <v xml:space="preserve"> </v>
      </c>
      <c r="X33" s="453" t="str">
        <f>'P MTK'!FQ31</f>
        <v xml:space="preserve">  </v>
      </c>
      <c r="Y33" s="453" t="str">
        <f>'KI-3'!W28</f>
        <v xml:space="preserve"> </v>
      </c>
      <c r="Z33" s="453" t="str">
        <f>'P-IPA'!DQ31</f>
        <v xml:space="preserve">  </v>
      </c>
      <c r="AA33" s="453" t="str">
        <f>'KI-3'!Y28</f>
        <v xml:space="preserve"> </v>
      </c>
      <c r="AB33" s="453" t="str">
        <f>'P-IPS'!DQ31</f>
        <v xml:space="preserve">  </v>
      </c>
      <c r="AC33" s="453" t="str">
        <f>'KI-3'!AA28</f>
        <v xml:space="preserve"> </v>
      </c>
      <c r="AD33" s="453" t="str">
        <f>'P-SBDP'!DQ31</f>
        <v xml:space="preserve">  </v>
      </c>
      <c r="AE33" s="453">
        <f>'KI-3'!AC28</f>
        <v>0</v>
      </c>
      <c r="AF33" s="453">
        <f>'P-PJOK'!D29</f>
        <v>0</v>
      </c>
      <c r="AG33" s="453" t="str">
        <f>'KI-3'!AE28</f>
        <v xml:space="preserve"> </v>
      </c>
      <c r="AH33" s="453" t="str">
        <f>'P-BJAWA'!AW31</f>
        <v xml:space="preserve">  </v>
      </c>
      <c r="AI33" s="39"/>
      <c r="AJ33" s="39"/>
      <c r="AL33" s="39" t="e">
        <f>#REF!</f>
        <v>#REF!</v>
      </c>
      <c r="AM33" s="39" t="e">
        <f>#REF!</f>
        <v>#REF!</v>
      </c>
      <c r="AN33" s="39" t="e">
        <f>#REF!</f>
        <v>#REF!</v>
      </c>
      <c r="AO33" s="39" t="e">
        <f>#REF!</f>
        <v>#REF!</v>
      </c>
      <c r="AP33" s="39" t="e">
        <f>#REF!</f>
        <v>#REF!</v>
      </c>
      <c r="AQ33" s="39" t="e">
        <f>#REF!</f>
        <v>#REF!</v>
      </c>
      <c r="AR33" s="39" t="e">
        <f>#REF!</f>
        <v>#REF!</v>
      </c>
      <c r="AS33" s="39" t="e">
        <f>#REF!</f>
        <v>#REF!</v>
      </c>
      <c r="AT33" s="39" t="e">
        <f>#REF!</f>
        <v>#REF!</v>
      </c>
      <c r="AU33" s="39" t="e">
        <f>#REF!</f>
        <v>#REF!</v>
      </c>
      <c r="AV33" s="39" t="e">
        <f>#REF!</f>
        <v>#REF!</v>
      </c>
      <c r="AW33" s="39" t="e">
        <f>#REF!</f>
        <v>#REF!</v>
      </c>
      <c r="AX33" s="39" t="e">
        <f>#REF!</f>
        <v>#REF!</v>
      </c>
      <c r="AY33" s="39" t="e">
        <f>#REF!</f>
        <v>#REF!</v>
      </c>
      <c r="AZ33" s="39" t="str">
        <f>'KI-4'!Q29</f>
        <v/>
      </c>
      <c r="BA33" s="39" t="str">
        <f>'KI-4'!R29</f>
        <v xml:space="preserve">  </v>
      </c>
      <c r="BB33" s="39" t="str">
        <f>'KI-4'!S29</f>
        <v/>
      </c>
      <c r="BC33" s="39" t="str">
        <f>'KI-4'!T29</f>
        <v xml:space="preserve">  </v>
      </c>
      <c r="BD33" s="39" t="str">
        <f>'KI-4'!U29</f>
        <v/>
      </c>
      <c r="BE33" s="39" t="str">
        <f>'KI-4'!V29</f>
        <v xml:space="preserve">  </v>
      </c>
      <c r="BF33" s="39" t="str">
        <f>'KI-4'!W29</f>
        <v/>
      </c>
      <c r="BG33" s="39" t="str">
        <f>'KI-4'!X29</f>
        <v xml:space="preserve">  </v>
      </c>
      <c r="BH33" s="39" t="str">
        <f>'KI-4'!Y29</f>
        <v/>
      </c>
      <c r="BI33" s="39" t="str">
        <f>'KI-4'!Z29</f>
        <v xml:space="preserve">  </v>
      </c>
      <c r="BJ33" s="39" t="str">
        <f>'KI-4'!AA29</f>
        <v/>
      </c>
      <c r="BK33" s="39" t="str">
        <f>'KI-4'!AB29</f>
        <v xml:space="preserve">  </v>
      </c>
      <c r="BL33" s="39">
        <f>'KI-4'!AC29</f>
        <v>0</v>
      </c>
      <c r="BM33" s="39">
        <f>'KI-4'!AD29</f>
        <v>0</v>
      </c>
      <c r="BN33" s="39" t="str">
        <f>'KI-4'!AE29</f>
        <v xml:space="preserve"> </v>
      </c>
      <c r="BO33" s="39" t="str">
        <f>'KI-4'!AF29</f>
        <v xml:space="preserve">  </v>
      </c>
      <c r="BP33" s="39"/>
      <c r="BQ33" s="39"/>
    </row>
    <row r="34" spans="1:69">
      <c r="A34" s="39">
        <v>25</v>
      </c>
      <c r="B34" s="66">
        <f>SISWA!B30</f>
        <v>0</v>
      </c>
      <c r="C34" s="66">
        <f>SISWA!C30</f>
        <v>0</v>
      </c>
      <c r="D34" s="66">
        <f>SISWA!D30</f>
        <v>0</v>
      </c>
      <c r="E34" s="587" t="e">
        <f>#REF!</f>
        <v>#REF!</v>
      </c>
      <c r="F34" s="587" t="e">
        <f>#REF!</f>
        <v>#REF!</v>
      </c>
      <c r="G34" s="587" t="e">
        <f>#REF!</f>
        <v>#REF!</v>
      </c>
      <c r="H34" s="587" t="e">
        <f>#REF!</f>
        <v>#REF!</v>
      </c>
      <c r="I34" s="587" t="e">
        <f>#REF!</f>
        <v>#REF!</v>
      </c>
      <c r="J34" s="587" t="e">
        <f>#REF!</f>
        <v>#REF!</v>
      </c>
      <c r="K34" s="587" t="e">
        <f>#REF!</f>
        <v>#REF!</v>
      </c>
      <c r="L34" s="587" t="e">
        <f>#REF!</f>
        <v>#REF!</v>
      </c>
      <c r="M34" s="587" t="e">
        <f>#REF!</f>
        <v>#REF!</v>
      </c>
      <c r="N34" s="587" t="e">
        <f>#REF!</f>
        <v>#REF!</v>
      </c>
      <c r="O34" s="587" t="e">
        <f>#REF!</f>
        <v>#REF!</v>
      </c>
      <c r="P34" s="587" t="e">
        <f>#REF!</f>
        <v>#REF!</v>
      </c>
      <c r="Q34" s="587" t="e">
        <f>#REF!</f>
        <v>#REF!</v>
      </c>
      <c r="R34" s="587" t="e">
        <f>#REF!</f>
        <v>#REF!</v>
      </c>
      <c r="S34" s="453" t="str">
        <f>'KI-3'!Q29</f>
        <v xml:space="preserve"> </v>
      </c>
      <c r="T34" s="453" t="str">
        <f>'P-pkn'!CD32</f>
        <v xml:space="preserve">  </v>
      </c>
      <c r="U34" s="453" t="str">
        <f>'KI-3'!S29</f>
        <v xml:space="preserve"> </v>
      </c>
      <c r="V34" s="453" t="str">
        <f>'P-BI'!DQ32</f>
        <v xml:space="preserve">  </v>
      </c>
      <c r="W34" s="453" t="str">
        <f>'KI-3'!U29</f>
        <v xml:space="preserve"> </v>
      </c>
      <c r="X34" s="453" t="str">
        <f>'P MTK'!FQ32</f>
        <v xml:space="preserve">  </v>
      </c>
      <c r="Y34" s="453" t="str">
        <f>'KI-3'!W29</f>
        <v xml:space="preserve"> </v>
      </c>
      <c r="Z34" s="453" t="str">
        <f>'P-IPA'!DQ32</f>
        <v xml:space="preserve">  </v>
      </c>
      <c r="AA34" s="453" t="str">
        <f>'KI-3'!Y29</f>
        <v xml:space="preserve"> </v>
      </c>
      <c r="AB34" s="453" t="str">
        <f>'P-IPS'!DQ32</f>
        <v xml:space="preserve">  </v>
      </c>
      <c r="AC34" s="453" t="str">
        <f>'KI-3'!AA29</f>
        <v xml:space="preserve"> </v>
      </c>
      <c r="AD34" s="453" t="str">
        <f>'P-SBDP'!DQ32</f>
        <v xml:space="preserve">  </v>
      </c>
      <c r="AE34" s="453">
        <f>'KI-3'!AC29</f>
        <v>0</v>
      </c>
      <c r="AF34" s="453">
        <f>'P-PJOK'!D30</f>
        <v>0</v>
      </c>
      <c r="AG34" s="453" t="str">
        <f>'KI-3'!AE29</f>
        <v xml:space="preserve"> </v>
      </c>
      <c r="AH34" s="453" t="str">
        <f>'P-BJAWA'!AW32</f>
        <v xml:space="preserve">  </v>
      </c>
      <c r="AI34" s="39"/>
      <c r="AJ34" s="39"/>
      <c r="AL34" s="39" t="e">
        <f>#REF!</f>
        <v>#REF!</v>
      </c>
      <c r="AM34" s="39" t="e">
        <f>#REF!</f>
        <v>#REF!</v>
      </c>
      <c r="AN34" s="39" t="e">
        <f>#REF!</f>
        <v>#REF!</v>
      </c>
      <c r="AO34" s="39" t="e">
        <f>#REF!</f>
        <v>#REF!</v>
      </c>
      <c r="AP34" s="39" t="e">
        <f>#REF!</f>
        <v>#REF!</v>
      </c>
      <c r="AQ34" s="39" t="e">
        <f>#REF!</f>
        <v>#REF!</v>
      </c>
      <c r="AR34" s="39" t="e">
        <f>#REF!</f>
        <v>#REF!</v>
      </c>
      <c r="AS34" s="39" t="e">
        <f>#REF!</f>
        <v>#REF!</v>
      </c>
      <c r="AT34" s="39" t="e">
        <f>#REF!</f>
        <v>#REF!</v>
      </c>
      <c r="AU34" s="39" t="e">
        <f>#REF!</f>
        <v>#REF!</v>
      </c>
      <c r="AV34" s="39" t="e">
        <f>#REF!</f>
        <v>#REF!</v>
      </c>
      <c r="AW34" s="39" t="e">
        <f>#REF!</f>
        <v>#REF!</v>
      </c>
      <c r="AX34" s="39" t="e">
        <f>#REF!</f>
        <v>#REF!</v>
      </c>
      <c r="AY34" s="39" t="e">
        <f>#REF!</f>
        <v>#REF!</v>
      </c>
      <c r="AZ34" s="39" t="str">
        <f>'KI-4'!Q30</f>
        <v/>
      </c>
      <c r="BA34" s="39" t="str">
        <f>'KI-4'!R30</f>
        <v xml:space="preserve">  </v>
      </c>
      <c r="BB34" s="39" t="str">
        <f>'KI-4'!S30</f>
        <v/>
      </c>
      <c r="BC34" s="39" t="str">
        <f>'KI-4'!T30</f>
        <v xml:space="preserve">  </v>
      </c>
      <c r="BD34" s="39" t="str">
        <f>'KI-4'!U30</f>
        <v/>
      </c>
      <c r="BE34" s="39" t="str">
        <f>'KI-4'!V30</f>
        <v xml:space="preserve">  </v>
      </c>
      <c r="BF34" s="39" t="str">
        <f>'KI-4'!W30</f>
        <v/>
      </c>
      <c r="BG34" s="39" t="str">
        <f>'KI-4'!X30</f>
        <v xml:space="preserve">  </v>
      </c>
      <c r="BH34" s="39" t="str">
        <f>'KI-4'!Y30</f>
        <v/>
      </c>
      <c r="BI34" s="39" t="str">
        <f>'KI-4'!Z30</f>
        <v xml:space="preserve">  </v>
      </c>
      <c r="BJ34" s="39" t="str">
        <f>'KI-4'!AA30</f>
        <v/>
      </c>
      <c r="BK34" s="39" t="str">
        <f>'KI-4'!AB30</f>
        <v xml:space="preserve">  </v>
      </c>
      <c r="BL34" s="39">
        <f>'KI-4'!AC30</f>
        <v>0</v>
      </c>
      <c r="BM34" s="39">
        <f>'KI-4'!AD30</f>
        <v>0</v>
      </c>
      <c r="BN34" s="39" t="str">
        <f>'KI-4'!AE30</f>
        <v xml:space="preserve"> </v>
      </c>
      <c r="BO34" s="39" t="str">
        <f>'KI-4'!AF30</f>
        <v xml:space="preserve">  </v>
      </c>
      <c r="BP34" s="39"/>
      <c r="BQ34" s="39"/>
    </row>
    <row r="35" spans="1:69">
      <c r="A35" s="39">
        <v>26</v>
      </c>
      <c r="B35" s="66">
        <f>SISWA!B31</f>
        <v>0</v>
      </c>
      <c r="C35" s="66">
        <f>SISWA!C31</f>
        <v>0</v>
      </c>
      <c r="D35" s="66">
        <f>SISWA!D31</f>
        <v>0</v>
      </c>
      <c r="E35" s="587" t="e">
        <f>#REF!</f>
        <v>#REF!</v>
      </c>
      <c r="F35" s="587" t="e">
        <f>#REF!</f>
        <v>#REF!</v>
      </c>
      <c r="G35" s="587" t="e">
        <f>#REF!</f>
        <v>#REF!</v>
      </c>
      <c r="H35" s="587" t="e">
        <f>#REF!</f>
        <v>#REF!</v>
      </c>
      <c r="I35" s="587" t="e">
        <f>#REF!</f>
        <v>#REF!</v>
      </c>
      <c r="J35" s="587" t="e">
        <f>#REF!</f>
        <v>#REF!</v>
      </c>
      <c r="K35" s="587" t="e">
        <f>#REF!</f>
        <v>#REF!</v>
      </c>
      <c r="L35" s="587" t="e">
        <f>#REF!</f>
        <v>#REF!</v>
      </c>
      <c r="M35" s="587" t="e">
        <f>#REF!</f>
        <v>#REF!</v>
      </c>
      <c r="N35" s="587" t="e">
        <f>#REF!</f>
        <v>#REF!</v>
      </c>
      <c r="O35" s="587" t="e">
        <f>#REF!</f>
        <v>#REF!</v>
      </c>
      <c r="P35" s="587" t="e">
        <f>#REF!</f>
        <v>#REF!</v>
      </c>
      <c r="Q35" s="587" t="e">
        <f>#REF!</f>
        <v>#REF!</v>
      </c>
      <c r="R35" s="587" t="e">
        <f>#REF!</f>
        <v>#REF!</v>
      </c>
      <c r="S35" s="453" t="str">
        <f>'KI-3'!Q30</f>
        <v xml:space="preserve"> </v>
      </c>
      <c r="T35" s="453" t="str">
        <f>'P-pkn'!CD33</f>
        <v xml:space="preserve">  </v>
      </c>
      <c r="U35" s="453" t="str">
        <f>'KI-3'!S30</f>
        <v xml:space="preserve"> </v>
      </c>
      <c r="V35" s="453" t="str">
        <f>'P-BI'!DQ33</f>
        <v xml:space="preserve">  </v>
      </c>
      <c r="W35" s="453" t="str">
        <f>'KI-3'!U30</f>
        <v xml:space="preserve"> </v>
      </c>
      <c r="X35" s="453" t="str">
        <f>'P MTK'!FQ33</f>
        <v xml:space="preserve">  </v>
      </c>
      <c r="Y35" s="453" t="str">
        <f>'KI-3'!W30</f>
        <v xml:space="preserve"> </v>
      </c>
      <c r="Z35" s="453" t="str">
        <f>'P-IPA'!DQ33</f>
        <v xml:space="preserve">  </v>
      </c>
      <c r="AA35" s="453" t="str">
        <f>'KI-3'!Y30</f>
        <v xml:space="preserve"> </v>
      </c>
      <c r="AB35" s="453" t="str">
        <f>'P-IPS'!DQ33</f>
        <v xml:space="preserve">  </v>
      </c>
      <c r="AC35" s="453" t="str">
        <f>'KI-3'!AA30</f>
        <v xml:space="preserve"> </v>
      </c>
      <c r="AD35" s="453" t="str">
        <f>'P-SBDP'!DQ33</f>
        <v xml:space="preserve">  </v>
      </c>
      <c r="AE35" s="453">
        <f>'KI-3'!AC30</f>
        <v>0</v>
      </c>
      <c r="AF35" s="453">
        <f>'P-PJOK'!D31</f>
        <v>0</v>
      </c>
      <c r="AG35" s="453" t="str">
        <f>'KI-3'!AE30</f>
        <v xml:space="preserve"> </v>
      </c>
      <c r="AH35" s="453" t="str">
        <f>'P-BJAWA'!AW33</f>
        <v xml:space="preserve">  </v>
      </c>
      <c r="AI35" s="39"/>
      <c r="AJ35" s="39"/>
      <c r="AL35" s="39" t="e">
        <f>#REF!</f>
        <v>#REF!</v>
      </c>
      <c r="AM35" s="39" t="e">
        <f>#REF!</f>
        <v>#REF!</v>
      </c>
      <c r="AN35" s="39" t="e">
        <f>#REF!</f>
        <v>#REF!</v>
      </c>
      <c r="AO35" s="39" t="e">
        <f>#REF!</f>
        <v>#REF!</v>
      </c>
      <c r="AP35" s="39" t="e">
        <f>#REF!</f>
        <v>#REF!</v>
      </c>
      <c r="AQ35" s="39" t="e">
        <f>#REF!</f>
        <v>#REF!</v>
      </c>
      <c r="AR35" s="39" t="e">
        <f>#REF!</f>
        <v>#REF!</v>
      </c>
      <c r="AS35" s="39" t="e">
        <f>#REF!</f>
        <v>#REF!</v>
      </c>
      <c r="AT35" s="39" t="e">
        <f>#REF!</f>
        <v>#REF!</v>
      </c>
      <c r="AU35" s="39" t="e">
        <f>#REF!</f>
        <v>#REF!</v>
      </c>
      <c r="AV35" s="39" t="e">
        <f>#REF!</f>
        <v>#REF!</v>
      </c>
      <c r="AW35" s="39" t="e">
        <f>#REF!</f>
        <v>#REF!</v>
      </c>
      <c r="AX35" s="39" t="e">
        <f>#REF!</f>
        <v>#REF!</v>
      </c>
      <c r="AY35" s="39" t="e">
        <f>#REF!</f>
        <v>#REF!</v>
      </c>
      <c r="AZ35" s="39" t="str">
        <f>'KI-4'!Q31</f>
        <v/>
      </c>
      <c r="BA35" s="39" t="str">
        <f>'KI-4'!R31</f>
        <v xml:space="preserve">  </v>
      </c>
      <c r="BB35" s="39" t="str">
        <f>'KI-4'!S31</f>
        <v/>
      </c>
      <c r="BC35" s="39" t="str">
        <f>'KI-4'!T31</f>
        <v xml:space="preserve">  </v>
      </c>
      <c r="BD35" s="39" t="str">
        <f>'KI-4'!U31</f>
        <v/>
      </c>
      <c r="BE35" s="39" t="str">
        <f>'KI-4'!V31</f>
        <v xml:space="preserve">  </v>
      </c>
      <c r="BF35" s="39" t="str">
        <f>'KI-4'!W31</f>
        <v/>
      </c>
      <c r="BG35" s="39" t="str">
        <f>'KI-4'!X31</f>
        <v xml:space="preserve">  </v>
      </c>
      <c r="BH35" s="39" t="str">
        <f>'KI-4'!Y31</f>
        <v/>
      </c>
      <c r="BI35" s="39" t="str">
        <f>'KI-4'!Z31</f>
        <v xml:space="preserve">  </v>
      </c>
      <c r="BJ35" s="39" t="str">
        <f>'KI-4'!AA31</f>
        <v/>
      </c>
      <c r="BK35" s="39" t="str">
        <f>'KI-4'!AB31</f>
        <v xml:space="preserve">  </v>
      </c>
      <c r="BL35" s="39">
        <f>'KI-4'!AC31</f>
        <v>0</v>
      </c>
      <c r="BM35" s="39">
        <f>'KI-4'!AD31</f>
        <v>0</v>
      </c>
      <c r="BN35" s="39" t="str">
        <f>'KI-4'!AE31</f>
        <v xml:space="preserve"> </v>
      </c>
      <c r="BO35" s="39" t="str">
        <f>'KI-4'!AF31</f>
        <v xml:space="preserve">  </v>
      </c>
      <c r="BP35" s="39"/>
      <c r="BQ35" s="39"/>
    </row>
    <row r="36" spans="1:69">
      <c r="A36" s="39">
        <v>27</v>
      </c>
      <c r="B36" s="66">
        <f>SISWA!B32</f>
        <v>0</v>
      </c>
      <c r="C36" s="66">
        <f>SISWA!C32</f>
        <v>0</v>
      </c>
      <c r="D36" s="66">
        <f>SISWA!D32</f>
        <v>0</v>
      </c>
      <c r="E36" s="587" t="e">
        <f>#REF!</f>
        <v>#REF!</v>
      </c>
      <c r="F36" s="587" t="e">
        <f>#REF!</f>
        <v>#REF!</v>
      </c>
      <c r="G36" s="587" t="e">
        <f>#REF!</f>
        <v>#REF!</v>
      </c>
      <c r="H36" s="587" t="e">
        <f>#REF!</f>
        <v>#REF!</v>
      </c>
      <c r="I36" s="587" t="e">
        <f>#REF!</f>
        <v>#REF!</v>
      </c>
      <c r="J36" s="587" t="e">
        <f>#REF!</f>
        <v>#REF!</v>
      </c>
      <c r="K36" s="587" t="e">
        <f>#REF!</f>
        <v>#REF!</v>
      </c>
      <c r="L36" s="587" t="e">
        <f>#REF!</f>
        <v>#REF!</v>
      </c>
      <c r="M36" s="587" t="e">
        <f>#REF!</f>
        <v>#REF!</v>
      </c>
      <c r="N36" s="587" t="e">
        <f>#REF!</f>
        <v>#REF!</v>
      </c>
      <c r="O36" s="587" t="e">
        <f>#REF!</f>
        <v>#REF!</v>
      </c>
      <c r="P36" s="587" t="e">
        <f>#REF!</f>
        <v>#REF!</v>
      </c>
      <c r="Q36" s="587" t="e">
        <f>#REF!</f>
        <v>#REF!</v>
      </c>
      <c r="R36" s="587" t="e">
        <f>#REF!</f>
        <v>#REF!</v>
      </c>
      <c r="S36" s="453" t="str">
        <f>'KI-3'!Q31</f>
        <v xml:space="preserve"> </v>
      </c>
      <c r="T36" s="453" t="str">
        <f>'P-pkn'!CD34</f>
        <v xml:space="preserve">  </v>
      </c>
      <c r="U36" s="453" t="str">
        <f>'KI-3'!S31</f>
        <v xml:space="preserve"> </v>
      </c>
      <c r="V36" s="453" t="str">
        <f>'P-BI'!DQ34</f>
        <v xml:space="preserve">  </v>
      </c>
      <c r="W36" s="453" t="str">
        <f>'KI-3'!U31</f>
        <v xml:space="preserve"> </v>
      </c>
      <c r="X36" s="453" t="str">
        <f>'P MTK'!FQ34</f>
        <v xml:space="preserve">  </v>
      </c>
      <c r="Y36" s="453" t="str">
        <f>'KI-3'!W31</f>
        <v xml:space="preserve"> </v>
      </c>
      <c r="Z36" s="453" t="str">
        <f>'P-IPA'!DQ34</f>
        <v xml:space="preserve">  </v>
      </c>
      <c r="AA36" s="453" t="str">
        <f>'KI-3'!Y31</f>
        <v xml:space="preserve"> </v>
      </c>
      <c r="AB36" s="453" t="str">
        <f>'P-IPS'!DQ34</f>
        <v xml:space="preserve">  </v>
      </c>
      <c r="AC36" s="453" t="str">
        <f>'KI-3'!AA31</f>
        <v xml:space="preserve"> </v>
      </c>
      <c r="AD36" s="453" t="str">
        <f>'P-SBDP'!DQ34</f>
        <v xml:space="preserve">  </v>
      </c>
      <c r="AE36" s="453">
        <f>'KI-3'!AC31</f>
        <v>0</v>
      </c>
      <c r="AF36" s="453">
        <f>'P-PJOK'!D32</f>
        <v>0</v>
      </c>
      <c r="AG36" s="453" t="str">
        <f>'KI-3'!AE31</f>
        <v xml:space="preserve"> </v>
      </c>
      <c r="AH36" s="453" t="str">
        <f>'P-BJAWA'!AW34</f>
        <v xml:space="preserve">  </v>
      </c>
      <c r="AI36" s="39"/>
      <c r="AJ36" s="39"/>
      <c r="AL36" s="39" t="e">
        <f>#REF!</f>
        <v>#REF!</v>
      </c>
      <c r="AM36" s="39" t="e">
        <f>#REF!</f>
        <v>#REF!</v>
      </c>
      <c r="AN36" s="39" t="e">
        <f>#REF!</f>
        <v>#REF!</v>
      </c>
      <c r="AO36" s="39" t="e">
        <f>#REF!</f>
        <v>#REF!</v>
      </c>
      <c r="AP36" s="39" t="e">
        <f>#REF!</f>
        <v>#REF!</v>
      </c>
      <c r="AQ36" s="39" t="e">
        <f>#REF!</f>
        <v>#REF!</v>
      </c>
      <c r="AR36" s="39" t="e">
        <f>#REF!</f>
        <v>#REF!</v>
      </c>
      <c r="AS36" s="39" t="e">
        <f>#REF!</f>
        <v>#REF!</v>
      </c>
      <c r="AT36" s="39" t="e">
        <f>#REF!</f>
        <v>#REF!</v>
      </c>
      <c r="AU36" s="39" t="e">
        <f>#REF!</f>
        <v>#REF!</v>
      </c>
      <c r="AV36" s="39" t="e">
        <f>#REF!</f>
        <v>#REF!</v>
      </c>
      <c r="AW36" s="39" t="e">
        <f>#REF!</f>
        <v>#REF!</v>
      </c>
      <c r="AX36" s="39" t="e">
        <f>#REF!</f>
        <v>#REF!</v>
      </c>
      <c r="AY36" s="39" t="e">
        <f>#REF!</f>
        <v>#REF!</v>
      </c>
      <c r="AZ36" s="39" t="str">
        <f>'KI-4'!Q32</f>
        <v/>
      </c>
      <c r="BA36" s="39" t="str">
        <f>'KI-4'!R32</f>
        <v xml:space="preserve">  </v>
      </c>
      <c r="BB36" s="39" t="str">
        <f>'KI-4'!S32</f>
        <v/>
      </c>
      <c r="BC36" s="39" t="str">
        <f>'KI-4'!T32</f>
        <v xml:space="preserve">  </v>
      </c>
      <c r="BD36" s="39" t="str">
        <f>'KI-4'!U32</f>
        <v/>
      </c>
      <c r="BE36" s="39" t="str">
        <f>'KI-4'!V32</f>
        <v xml:space="preserve">  </v>
      </c>
      <c r="BF36" s="39" t="str">
        <f>'KI-4'!W32</f>
        <v/>
      </c>
      <c r="BG36" s="39" t="str">
        <f>'KI-4'!X32</f>
        <v xml:space="preserve">  </v>
      </c>
      <c r="BH36" s="39" t="str">
        <f>'KI-4'!Y32</f>
        <v/>
      </c>
      <c r="BI36" s="39" t="str">
        <f>'KI-4'!Z32</f>
        <v xml:space="preserve">  </v>
      </c>
      <c r="BJ36" s="39" t="str">
        <f>'KI-4'!AA32</f>
        <v/>
      </c>
      <c r="BK36" s="39" t="str">
        <f>'KI-4'!AB32</f>
        <v xml:space="preserve">  </v>
      </c>
      <c r="BL36" s="39">
        <f>'KI-4'!AC32</f>
        <v>0</v>
      </c>
      <c r="BM36" s="39">
        <f>'KI-4'!AD32</f>
        <v>0</v>
      </c>
      <c r="BN36" s="39" t="str">
        <f>'KI-4'!AE32</f>
        <v xml:space="preserve"> </v>
      </c>
      <c r="BO36" s="39" t="str">
        <f>'KI-4'!AF32</f>
        <v xml:space="preserve">  </v>
      </c>
      <c r="BP36" s="39"/>
      <c r="BQ36" s="39"/>
    </row>
    <row r="37" spans="1:69">
      <c r="A37" s="39">
        <v>28</v>
      </c>
      <c r="B37" s="66">
        <f>SISWA!B33</f>
        <v>0</v>
      </c>
      <c r="C37" s="66">
        <f>SISWA!C33</f>
        <v>0</v>
      </c>
      <c r="D37" s="66">
        <f>SISWA!D33</f>
        <v>0</v>
      </c>
      <c r="E37" s="587" t="e">
        <f>#REF!</f>
        <v>#REF!</v>
      </c>
      <c r="F37" s="587" t="e">
        <f>#REF!</f>
        <v>#REF!</v>
      </c>
      <c r="G37" s="587" t="e">
        <f>#REF!</f>
        <v>#REF!</v>
      </c>
      <c r="H37" s="587" t="e">
        <f>#REF!</f>
        <v>#REF!</v>
      </c>
      <c r="I37" s="587" t="e">
        <f>#REF!</f>
        <v>#REF!</v>
      </c>
      <c r="J37" s="587" t="e">
        <f>#REF!</f>
        <v>#REF!</v>
      </c>
      <c r="K37" s="587" t="e">
        <f>#REF!</f>
        <v>#REF!</v>
      </c>
      <c r="L37" s="587" t="e">
        <f>#REF!</f>
        <v>#REF!</v>
      </c>
      <c r="M37" s="587" t="e">
        <f>#REF!</f>
        <v>#REF!</v>
      </c>
      <c r="N37" s="587" t="e">
        <f>#REF!</f>
        <v>#REF!</v>
      </c>
      <c r="O37" s="587" t="e">
        <f>#REF!</f>
        <v>#REF!</v>
      </c>
      <c r="P37" s="587" t="e">
        <f>#REF!</f>
        <v>#REF!</v>
      </c>
      <c r="Q37" s="587" t="e">
        <f>#REF!</f>
        <v>#REF!</v>
      </c>
      <c r="R37" s="587" t="e">
        <f>#REF!</f>
        <v>#REF!</v>
      </c>
      <c r="S37" s="453" t="str">
        <f>'KI-3'!Q32</f>
        <v xml:space="preserve"> </v>
      </c>
      <c r="T37" s="453" t="str">
        <f>'P-pkn'!CD35</f>
        <v xml:space="preserve">  </v>
      </c>
      <c r="U37" s="453" t="str">
        <f>'KI-3'!S32</f>
        <v xml:space="preserve"> </v>
      </c>
      <c r="V37" s="453" t="str">
        <f>'P-BI'!DQ35</f>
        <v xml:space="preserve">  </v>
      </c>
      <c r="W37" s="453" t="str">
        <f>'KI-3'!U32</f>
        <v xml:space="preserve"> </v>
      </c>
      <c r="X37" s="453" t="str">
        <f>'P MTK'!FQ35</f>
        <v xml:space="preserve">  </v>
      </c>
      <c r="Y37" s="453" t="str">
        <f>'KI-3'!W32</f>
        <v xml:space="preserve"> </v>
      </c>
      <c r="Z37" s="453" t="str">
        <f>'P-IPA'!DQ35</f>
        <v xml:space="preserve">  </v>
      </c>
      <c r="AA37" s="453" t="str">
        <f>'KI-3'!Y32</f>
        <v xml:space="preserve"> </v>
      </c>
      <c r="AB37" s="453" t="str">
        <f>'P-IPS'!DQ35</f>
        <v xml:space="preserve">  </v>
      </c>
      <c r="AC37" s="453" t="str">
        <f>'KI-3'!AA32</f>
        <v xml:space="preserve"> </v>
      </c>
      <c r="AD37" s="453" t="str">
        <f>'P-SBDP'!DQ35</f>
        <v xml:space="preserve">  </v>
      </c>
      <c r="AE37" s="453">
        <f>'KI-3'!AC32</f>
        <v>0</v>
      </c>
      <c r="AF37" s="453">
        <f>'P-PJOK'!D33</f>
        <v>0</v>
      </c>
      <c r="AG37" s="453" t="str">
        <f>'KI-3'!AE32</f>
        <v xml:space="preserve"> </v>
      </c>
      <c r="AH37" s="453" t="str">
        <f>'P-BJAWA'!AW35</f>
        <v xml:space="preserve">  </v>
      </c>
      <c r="AI37" s="39"/>
      <c r="AJ37" s="39"/>
      <c r="AL37" s="39" t="e">
        <f>#REF!</f>
        <v>#REF!</v>
      </c>
      <c r="AM37" s="39" t="e">
        <f>#REF!</f>
        <v>#REF!</v>
      </c>
      <c r="AN37" s="39" t="e">
        <f>#REF!</f>
        <v>#REF!</v>
      </c>
      <c r="AO37" s="39" t="e">
        <f>#REF!</f>
        <v>#REF!</v>
      </c>
      <c r="AP37" s="39" t="e">
        <f>#REF!</f>
        <v>#REF!</v>
      </c>
      <c r="AQ37" s="39" t="e">
        <f>#REF!</f>
        <v>#REF!</v>
      </c>
      <c r="AR37" s="39" t="e">
        <f>#REF!</f>
        <v>#REF!</v>
      </c>
      <c r="AS37" s="39" t="e">
        <f>#REF!</f>
        <v>#REF!</v>
      </c>
      <c r="AT37" s="39" t="e">
        <f>#REF!</f>
        <v>#REF!</v>
      </c>
      <c r="AU37" s="39" t="e">
        <f>#REF!</f>
        <v>#REF!</v>
      </c>
      <c r="AV37" s="39" t="e">
        <f>#REF!</f>
        <v>#REF!</v>
      </c>
      <c r="AW37" s="39" t="e">
        <f>#REF!</f>
        <v>#REF!</v>
      </c>
      <c r="AX37" s="39" t="e">
        <f>#REF!</f>
        <v>#REF!</v>
      </c>
      <c r="AY37" s="39" t="e">
        <f>#REF!</f>
        <v>#REF!</v>
      </c>
      <c r="AZ37" s="39" t="str">
        <f>'KI-4'!Q33</f>
        <v/>
      </c>
      <c r="BA37" s="39" t="str">
        <f>'KI-4'!R33</f>
        <v xml:space="preserve">  </v>
      </c>
      <c r="BB37" s="39" t="str">
        <f>'KI-4'!S33</f>
        <v/>
      </c>
      <c r="BC37" s="39" t="str">
        <f>'KI-4'!T33</f>
        <v xml:space="preserve">  </v>
      </c>
      <c r="BD37" s="39" t="str">
        <f>'KI-4'!U33</f>
        <v/>
      </c>
      <c r="BE37" s="39" t="str">
        <f>'KI-4'!V33</f>
        <v xml:space="preserve">  </v>
      </c>
      <c r="BF37" s="39" t="str">
        <f>'KI-4'!W33</f>
        <v/>
      </c>
      <c r="BG37" s="39" t="str">
        <f>'KI-4'!X33</f>
        <v xml:space="preserve">  </v>
      </c>
      <c r="BH37" s="39" t="str">
        <f>'KI-4'!Y33</f>
        <v/>
      </c>
      <c r="BI37" s="39" t="str">
        <f>'KI-4'!Z33</f>
        <v xml:space="preserve">  </v>
      </c>
      <c r="BJ37" s="39" t="str">
        <f>'KI-4'!AA33</f>
        <v/>
      </c>
      <c r="BK37" s="39" t="str">
        <f>'KI-4'!AB33</f>
        <v xml:space="preserve">  </v>
      </c>
      <c r="BL37" s="39">
        <f>'KI-4'!AC33</f>
        <v>0</v>
      </c>
      <c r="BM37" s="39">
        <f>'KI-4'!AD33</f>
        <v>0</v>
      </c>
      <c r="BN37" s="39" t="str">
        <f>'KI-4'!AE33</f>
        <v xml:space="preserve"> </v>
      </c>
      <c r="BO37" s="39" t="str">
        <f>'KI-4'!AF33</f>
        <v xml:space="preserve">  </v>
      </c>
      <c r="BP37" s="39"/>
      <c r="BQ37" s="39"/>
    </row>
    <row r="38" spans="1:69">
      <c r="A38" s="39">
        <v>29</v>
      </c>
      <c r="B38" s="66">
        <f>SISWA!B34</f>
        <v>0</v>
      </c>
      <c r="C38" s="66">
        <f>SISWA!C34</f>
        <v>0</v>
      </c>
      <c r="D38" s="66">
        <f>SISWA!D34</f>
        <v>0</v>
      </c>
      <c r="E38" s="587" t="e">
        <f>#REF!</f>
        <v>#REF!</v>
      </c>
      <c r="F38" s="587" t="e">
        <f>#REF!</f>
        <v>#REF!</v>
      </c>
      <c r="G38" s="587" t="e">
        <f>#REF!</f>
        <v>#REF!</v>
      </c>
      <c r="H38" s="587" t="e">
        <f>#REF!</f>
        <v>#REF!</v>
      </c>
      <c r="I38" s="587" t="e">
        <f>#REF!</f>
        <v>#REF!</v>
      </c>
      <c r="J38" s="587" t="e">
        <f>#REF!</f>
        <v>#REF!</v>
      </c>
      <c r="K38" s="587" t="e">
        <f>#REF!</f>
        <v>#REF!</v>
      </c>
      <c r="L38" s="587" t="e">
        <f>#REF!</f>
        <v>#REF!</v>
      </c>
      <c r="M38" s="587" t="e">
        <f>#REF!</f>
        <v>#REF!</v>
      </c>
      <c r="N38" s="587" t="e">
        <f>#REF!</f>
        <v>#REF!</v>
      </c>
      <c r="O38" s="587" t="e">
        <f>#REF!</f>
        <v>#REF!</v>
      </c>
      <c r="P38" s="587" t="e">
        <f>#REF!</f>
        <v>#REF!</v>
      </c>
      <c r="Q38" s="587" t="e">
        <f>#REF!</f>
        <v>#REF!</v>
      </c>
      <c r="R38" s="587" t="e">
        <f>#REF!</f>
        <v>#REF!</v>
      </c>
      <c r="S38" s="453" t="str">
        <f>'KI-3'!Q33</f>
        <v xml:space="preserve"> </v>
      </c>
      <c r="T38" s="453" t="str">
        <f>'P-pkn'!CD36</f>
        <v xml:space="preserve">  </v>
      </c>
      <c r="U38" s="453" t="str">
        <f>'KI-3'!S33</f>
        <v xml:space="preserve"> </v>
      </c>
      <c r="V38" s="453" t="str">
        <f>'P-BI'!DQ36</f>
        <v xml:space="preserve">  </v>
      </c>
      <c r="W38" s="453" t="str">
        <f>'KI-3'!U33</f>
        <v xml:space="preserve"> </v>
      </c>
      <c r="X38" s="453" t="str">
        <f>'P MTK'!FQ36</f>
        <v xml:space="preserve">  </v>
      </c>
      <c r="Y38" s="453" t="str">
        <f>'KI-3'!W33</f>
        <v xml:space="preserve"> </v>
      </c>
      <c r="Z38" s="453" t="str">
        <f>'P-IPA'!DQ36</f>
        <v xml:space="preserve">  </v>
      </c>
      <c r="AA38" s="453" t="str">
        <f>'KI-3'!Y33</f>
        <v xml:space="preserve"> </v>
      </c>
      <c r="AB38" s="453" t="str">
        <f>'P-IPS'!DQ36</f>
        <v xml:space="preserve">  </v>
      </c>
      <c r="AC38" s="453" t="str">
        <f>'KI-3'!AA33</f>
        <v xml:space="preserve"> </v>
      </c>
      <c r="AD38" s="453" t="str">
        <f>'P-SBDP'!DQ36</f>
        <v xml:space="preserve">  </v>
      </c>
      <c r="AE38" s="453">
        <f>'KI-3'!AC33</f>
        <v>0</v>
      </c>
      <c r="AF38" s="453">
        <f>'P-PJOK'!D34</f>
        <v>0</v>
      </c>
      <c r="AG38" s="453" t="str">
        <f>'KI-3'!AE33</f>
        <v xml:space="preserve"> </v>
      </c>
      <c r="AH38" s="453" t="str">
        <f>'P-BJAWA'!AW36</f>
        <v xml:space="preserve">  </v>
      </c>
      <c r="AI38" s="39"/>
      <c r="AJ38" s="39"/>
      <c r="AL38" s="39" t="e">
        <f>#REF!</f>
        <v>#REF!</v>
      </c>
      <c r="AM38" s="39" t="e">
        <f>#REF!</f>
        <v>#REF!</v>
      </c>
      <c r="AN38" s="39" t="e">
        <f>#REF!</f>
        <v>#REF!</v>
      </c>
      <c r="AO38" s="39" t="e">
        <f>#REF!</f>
        <v>#REF!</v>
      </c>
      <c r="AP38" s="39" t="e">
        <f>#REF!</f>
        <v>#REF!</v>
      </c>
      <c r="AQ38" s="39" t="e">
        <f>#REF!</f>
        <v>#REF!</v>
      </c>
      <c r="AR38" s="39" t="e">
        <f>#REF!</f>
        <v>#REF!</v>
      </c>
      <c r="AS38" s="39" t="e">
        <f>#REF!</f>
        <v>#REF!</v>
      </c>
      <c r="AT38" s="39" t="e">
        <f>#REF!</f>
        <v>#REF!</v>
      </c>
      <c r="AU38" s="39" t="e">
        <f>#REF!</f>
        <v>#REF!</v>
      </c>
      <c r="AV38" s="39" t="e">
        <f>#REF!</f>
        <v>#REF!</v>
      </c>
      <c r="AW38" s="39" t="e">
        <f>#REF!</f>
        <v>#REF!</v>
      </c>
      <c r="AX38" s="39" t="e">
        <f>#REF!</f>
        <v>#REF!</v>
      </c>
      <c r="AY38" s="39" t="e">
        <f>#REF!</f>
        <v>#REF!</v>
      </c>
      <c r="AZ38" s="39" t="str">
        <f>'KI-4'!Q34</f>
        <v/>
      </c>
      <c r="BA38" s="39" t="str">
        <f>'KI-4'!R34</f>
        <v xml:space="preserve">  </v>
      </c>
      <c r="BB38" s="39" t="str">
        <f>'KI-4'!S34</f>
        <v/>
      </c>
      <c r="BC38" s="39" t="str">
        <f>'KI-4'!T34</f>
        <v xml:space="preserve">  </v>
      </c>
      <c r="BD38" s="39" t="str">
        <f>'KI-4'!U34</f>
        <v/>
      </c>
      <c r="BE38" s="39" t="str">
        <f>'KI-4'!V34</f>
        <v xml:space="preserve">  </v>
      </c>
      <c r="BF38" s="39" t="str">
        <f>'KI-4'!W34</f>
        <v/>
      </c>
      <c r="BG38" s="39" t="str">
        <f>'KI-4'!X34</f>
        <v xml:space="preserve">  </v>
      </c>
      <c r="BH38" s="39" t="str">
        <f>'KI-4'!Y34</f>
        <v/>
      </c>
      <c r="BI38" s="39" t="str">
        <f>'KI-4'!Z34</f>
        <v xml:space="preserve">  </v>
      </c>
      <c r="BJ38" s="39" t="str">
        <f>'KI-4'!AA34</f>
        <v/>
      </c>
      <c r="BK38" s="39" t="str">
        <f>'KI-4'!AB34</f>
        <v xml:space="preserve">  </v>
      </c>
      <c r="BL38" s="39">
        <f>'KI-4'!AC34</f>
        <v>0</v>
      </c>
      <c r="BM38" s="39">
        <f>'KI-4'!AD34</f>
        <v>0</v>
      </c>
      <c r="BN38" s="39" t="str">
        <f>'KI-4'!AE34</f>
        <v xml:space="preserve"> </v>
      </c>
      <c r="BO38" s="39" t="str">
        <f>'KI-4'!AF34</f>
        <v xml:space="preserve">  </v>
      </c>
      <c r="BP38" s="39"/>
      <c r="BQ38" s="39"/>
    </row>
    <row r="39" spans="1:69">
      <c r="A39" s="39">
        <v>30</v>
      </c>
      <c r="B39" s="66">
        <f>SISWA!B35</f>
        <v>0</v>
      </c>
      <c r="C39" s="66">
        <f>SISWA!C35</f>
        <v>0</v>
      </c>
      <c r="D39" s="66">
        <f>SISWA!D35</f>
        <v>0</v>
      </c>
      <c r="E39" s="587" t="e">
        <f>#REF!</f>
        <v>#REF!</v>
      </c>
      <c r="F39" s="587" t="e">
        <f>#REF!</f>
        <v>#REF!</v>
      </c>
      <c r="G39" s="587" t="e">
        <f>#REF!</f>
        <v>#REF!</v>
      </c>
      <c r="H39" s="587" t="e">
        <f>#REF!</f>
        <v>#REF!</v>
      </c>
      <c r="I39" s="587" t="e">
        <f>#REF!</f>
        <v>#REF!</v>
      </c>
      <c r="J39" s="587" t="e">
        <f>#REF!</f>
        <v>#REF!</v>
      </c>
      <c r="K39" s="587" t="e">
        <f>#REF!</f>
        <v>#REF!</v>
      </c>
      <c r="L39" s="587" t="e">
        <f>#REF!</f>
        <v>#REF!</v>
      </c>
      <c r="M39" s="587" t="e">
        <f>#REF!</f>
        <v>#REF!</v>
      </c>
      <c r="N39" s="587" t="e">
        <f>#REF!</f>
        <v>#REF!</v>
      </c>
      <c r="O39" s="587" t="e">
        <f>#REF!</f>
        <v>#REF!</v>
      </c>
      <c r="P39" s="587" t="e">
        <f>#REF!</f>
        <v>#REF!</v>
      </c>
      <c r="Q39" s="587" t="e">
        <f>#REF!</f>
        <v>#REF!</v>
      </c>
      <c r="R39" s="587" t="e">
        <f>#REF!</f>
        <v>#REF!</v>
      </c>
      <c r="S39" s="453" t="str">
        <f>'KI-3'!Q34</f>
        <v xml:space="preserve"> </v>
      </c>
      <c r="T39" s="453" t="str">
        <f>'P-pkn'!CD37</f>
        <v xml:space="preserve">  </v>
      </c>
      <c r="U39" s="453" t="str">
        <f>'KI-3'!S34</f>
        <v xml:space="preserve"> </v>
      </c>
      <c r="V39" s="453" t="str">
        <f>'P-BI'!DQ37</f>
        <v xml:space="preserve">  </v>
      </c>
      <c r="W39" s="453" t="str">
        <f>'KI-3'!U34</f>
        <v xml:space="preserve"> </v>
      </c>
      <c r="X39" s="453" t="str">
        <f>'P MTK'!FQ37</f>
        <v xml:space="preserve">  </v>
      </c>
      <c r="Y39" s="453" t="str">
        <f>'KI-3'!W34</f>
        <v xml:space="preserve"> </v>
      </c>
      <c r="Z39" s="453" t="str">
        <f>'P-IPA'!DQ37</f>
        <v xml:space="preserve">  </v>
      </c>
      <c r="AA39" s="453" t="str">
        <f>'KI-3'!Y34</f>
        <v xml:space="preserve"> </v>
      </c>
      <c r="AB39" s="453" t="str">
        <f>'P-IPS'!DQ37</f>
        <v xml:space="preserve">  </v>
      </c>
      <c r="AC39" s="453" t="str">
        <f>'KI-3'!AA34</f>
        <v xml:space="preserve"> </v>
      </c>
      <c r="AD39" s="453" t="str">
        <f>'P-SBDP'!DQ37</f>
        <v xml:space="preserve">  </v>
      </c>
      <c r="AE39" s="453">
        <f>'KI-3'!AC34</f>
        <v>0</v>
      </c>
      <c r="AF39" s="453">
        <f>'P-PJOK'!D35</f>
        <v>0</v>
      </c>
      <c r="AG39" s="453" t="str">
        <f>'KI-3'!AE34</f>
        <v xml:space="preserve"> </v>
      </c>
      <c r="AH39" s="453" t="str">
        <f>'P-BJAWA'!AW37</f>
        <v xml:space="preserve">  </v>
      </c>
      <c r="AI39" s="39"/>
      <c r="AJ39" s="39"/>
      <c r="AL39" s="39" t="e">
        <f>#REF!</f>
        <v>#REF!</v>
      </c>
      <c r="AM39" s="39" t="e">
        <f>#REF!</f>
        <v>#REF!</v>
      </c>
      <c r="AN39" s="39" t="e">
        <f>#REF!</f>
        <v>#REF!</v>
      </c>
      <c r="AO39" s="39" t="e">
        <f>#REF!</f>
        <v>#REF!</v>
      </c>
      <c r="AP39" s="39" t="e">
        <f>#REF!</f>
        <v>#REF!</v>
      </c>
      <c r="AQ39" s="39" t="e">
        <f>#REF!</f>
        <v>#REF!</v>
      </c>
      <c r="AR39" s="39" t="e">
        <f>#REF!</f>
        <v>#REF!</v>
      </c>
      <c r="AS39" s="39" t="e">
        <f>#REF!</f>
        <v>#REF!</v>
      </c>
      <c r="AT39" s="39" t="e">
        <f>#REF!</f>
        <v>#REF!</v>
      </c>
      <c r="AU39" s="39" t="e">
        <f>#REF!</f>
        <v>#REF!</v>
      </c>
      <c r="AV39" s="39" t="e">
        <f>#REF!</f>
        <v>#REF!</v>
      </c>
      <c r="AW39" s="39" t="e">
        <f>#REF!</f>
        <v>#REF!</v>
      </c>
      <c r="AX39" s="39" t="e">
        <f>#REF!</f>
        <v>#REF!</v>
      </c>
      <c r="AY39" s="39" t="e">
        <f>#REF!</f>
        <v>#REF!</v>
      </c>
      <c r="AZ39" s="39" t="str">
        <f>'KI-4'!Q35</f>
        <v/>
      </c>
      <c r="BA39" s="39" t="str">
        <f>'KI-4'!R35</f>
        <v xml:space="preserve">  </v>
      </c>
      <c r="BB39" s="39" t="str">
        <f>'KI-4'!S35</f>
        <v/>
      </c>
      <c r="BC39" s="39" t="str">
        <f>'KI-4'!T35</f>
        <v xml:space="preserve">  </v>
      </c>
      <c r="BD39" s="39" t="str">
        <f>'KI-4'!U35</f>
        <v/>
      </c>
      <c r="BE39" s="39" t="str">
        <f>'KI-4'!V35</f>
        <v xml:space="preserve">  </v>
      </c>
      <c r="BF39" s="39" t="str">
        <f>'KI-4'!W35</f>
        <v/>
      </c>
      <c r="BG39" s="39" t="str">
        <f>'KI-4'!X35</f>
        <v xml:space="preserve">  </v>
      </c>
      <c r="BH39" s="39" t="str">
        <f>'KI-4'!Y35</f>
        <v/>
      </c>
      <c r="BI39" s="39" t="str">
        <f>'KI-4'!Z35</f>
        <v xml:space="preserve">  </v>
      </c>
      <c r="BJ39" s="39" t="str">
        <f>'KI-4'!AA35</f>
        <v/>
      </c>
      <c r="BK39" s="39" t="str">
        <f>'KI-4'!AB35</f>
        <v xml:space="preserve">  </v>
      </c>
      <c r="BL39" s="39">
        <f>'KI-4'!AC35</f>
        <v>0</v>
      </c>
      <c r="BM39" s="39">
        <f>'KI-4'!AD35</f>
        <v>0</v>
      </c>
      <c r="BN39" s="39" t="str">
        <f>'KI-4'!AE35</f>
        <v xml:space="preserve"> </v>
      </c>
      <c r="BO39" s="39" t="str">
        <f>'KI-4'!AF35</f>
        <v xml:space="preserve">  </v>
      </c>
      <c r="BP39" s="39"/>
      <c r="BQ39" s="39"/>
    </row>
    <row r="40" spans="1:69">
      <c r="A40" s="39">
        <v>31</v>
      </c>
      <c r="B40" s="66">
        <f>SISWA!B36</f>
        <v>0</v>
      </c>
      <c r="C40" s="66">
        <f>SISWA!C36</f>
        <v>0</v>
      </c>
      <c r="D40" s="66">
        <f>SISWA!D36</f>
        <v>0</v>
      </c>
      <c r="E40" s="587" t="e">
        <f>#REF!</f>
        <v>#REF!</v>
      </c>
      <c r="F40" s="587" t="e">
        <f>#REF!</f>
        <v>#REF!</v>
      </c>
      <c r="G40" s="587" t="e">
        <f>#REF!</f>
        <v>#REF!</v>
      </c>
      <c r="H40" s="587" t="e">
        <f>#REF!</f>
        <v>#REF!</v>
      </c>
      <c r="I40" s="587" t="e">
        <f>#REF!</f>
        <v>#REF!</v>
      </c>
      <c r="J40" s="587" t="e">
        <f>#REF!</f>
        <v>#REF!</v>
      </c>
      <c r="K40" s="587" t="e">
        <f>#REF!</f>
        <v>#REF!</v>
      </c>
      <c r="L40" s="587" t="e">
        <f>#REF!</f>
        <v>#REF!</v>
      </c>
      <c r="M40" s="587" t="e">
        <f>#REF!</f>
        <v>#REF!</v>
      </c>
      <c r="N40" s="587" t="e">
        <f>#REF!</f>
        <v>#REF!</v>
      </c>
      <c r="O40" s="587" t="e">
        <f>#REF!</f>
        <v>#REF!</v>
      </c>
      <c r="P40" s="587" t="e">
        <f>#REF!</f>
        <v>#REF!</v>
      </c>
      <c r="Q40" s="587" t="e">
        <f>#REF!</f>
        <v>#REF!</v>
      </c>
      <c r="R40" s="587" t="e">
        <f>#REF!</f>
        <v>#REF!</v>
      </c>
      <c r="S40" s="453" t="str">
        <f>'KI-3'!Q35</f>
        <v xml:space="preserve"> </v>
      </c>
      <c r="T40" s="453" t="str">
        <f>'P-pkn'!CD38</f>
        <v xml:space="preserve">  </v>
      </c>
      <c r="U40" s="453" t="str">
        <f>'KI-3'!S35</f>
        <v xml:space="preserve"> </v>
      </c>
      <c r="V40" s="453" t="str">
        <f>'P-BI'!DQ38</f>
        <v xml:space="preserve">  </v>
      </c>
      <c r="W40" s="453" t="str">
        <f>'KI-3'!U35</f>
        <v xml:space="preserve"> </v>
      </c>
      <c r="X40" s="453" t="str">
        <f>'P MTK'!FQ38</f>
        <v xml:space="preserve">  </v>
      </c>
      <c r="Y40" s="453" t="str">
        <f>'KI-3'!W35</f>
        <v xml:space="preserve"> </v>
      </c>
      <c r="Z40" s="453" t="str">
        <f>'P-IPA'!DQ38</f>
        <v xml:space="preserve">  </v>
      </c>
      <c r="AA40" s="453" t="str">
        <f>'KI-3'!Y35</f>
        <v xml:space="preserve"> </v>
      </c>
      <c r="AB40" s="453" t="str">
        <f>'P-IPS'!DQ38</f>
        <v xml:space="preserve">  </v>
      </c>
      <c r="AC40" s="453" t="str">
        <f>'KI-3'!AA35</f>
        <v xml:space="preserve"> </v>
      </c>
      <c r="AD40" s="453" t="str">
        <f>'P-SBDP'!DQ38</f>
        <v xml:space="preserve">  </v>
      </c>
      <c r="AE40" s="453">
        <f>'KI-3'!AC35</f>
        <v>0</v>
      </c>
      <c r="AF40" s="453">
        <f>'P-PJOK'!D36</f>
        <v>0</v>
      </c>
      <c r="AG40" s="453" t="str">
        <f>'KI-3'!AE35</f>
        <v xml:space="preserve"> </v>
      </c>
      <c r="AH40" s="453" t="str">
        <f>'P-BJAWA'!AW38</f>
        <v xml:space="preserve">  </v>
      </c>
      <c r="AI40" s="39"/>
      <c r="AJ40" s="39"/>
      <c r="AL40" s="39" t="e">
        <f>#REF!</f>
        <v>#REF!</v>
      </c>
      <c r="AM40" s="39" t="e">
        <f>#REF!</f>
        <v>#REF!</v>
      </c>
      <c r="AN40" s="39" t="e">
        <f>#REF!</f>
        <v>#REF!</v>
      </c>
      <c r="AO40" s="39" t="e">
        <f>#REF!</f>
        <v>#REF!</v>
      </c>
      <c r="AP40" s="39" t="e">
        <f>#REF!</f>
        <v>#REF!</v>
      </c>
      <c r="AQ40" s="39" t="e">
        <f>#REF!</f>
        <v>#REF!</v>
      </c>
      <c r="AR40" s="39" t="e">
        <f>#REF!</f>
        <v>#REF!</v>
      </c>
      <c r="AS40" s="39" t="e">
        <f>#REF!</f>
        <v>#REF!</v>
      </c>
      <c r="AT40" s="39" t="e">
        <f>#REF!</f>
        <v>#REF!</v>
      </c>
      <c r="AU40" s="39" t="e">
        <f>#REF!</f>
        <v>#REF!</v>
      </c>
      <c r="AV40" s="39" t="e">
        <f>#REF!</f>
        <v>#REF!</v>
      </c>
      <c r="AW40" s="39" t="e">
        <f>#REF!</f>
        <v>#REF!</v>
      </c>
      <c r="AX40" s="39" t="e">
        <f>#REF!</f>
        <v>#REF!</v>
      </c>
      <c r="AY40" s="39" t="e">
        <f>#REF!</f>
        <v>#REF!</v>
      </c>
      <c r="AZ40" s="39" t="str">
        <f>'KI-4'!Q36</f>
        <v/>
      </c>
      <c r="BA40" s="39" t="str">
        <f>'KI-4'!R36</f>
        <v xml:space="preserve">  </v>
      </c>
      <c r="BB40" s="39" t="str">
        <f>'KI-4'!S36</f>
        <v/>
      </c>
      <c r="BC40" s="39" t="str">
        <f>'KI-4'!T36</f>
        <v xml:space="preserve">  </v>
      </c>
      <c r="BD40" s="39" t="str">
        <f>'KI-4'!U36</f>
        <v/>
      </c>
      <c r="BE40" s="39" t="str">
        <f>'KI-4'!V36</f>
        <v xml:space="preserve">  </v>
      </c>
      <c r="BF40" s="39" t="str">
        <f>'KI-4'!W36</f>
        <v/>
      </c>
      <c r="BG40" s="39" t="str">
        <f>'KI-4'!X36</f>
        <v xml:space="preserve">  </v>
      </c>
      <c r="BH40" s="39" t="str">
        <f>'KI-4'!Y36</f>
        <v/>
      </c>
      <c r="BI40" s="39" t="str">
        <f>'KI-4'!Z36</f>
        <v xml:space="preserve">  </v>
      </c>
      <c r="BJ40" s="39" t="str">
        <f>'KI-4'!AA36</f>
        <v/>
      </c>
      <c r="BK40" s="39" t="str">
        <f>'KI-4'!AB36</f>
        <v xml:space="preserve">  </v>
      </c>
      <c r="BL40" s="39">
        <f>'KI-4'!AC36</f>
        <v>0</v>
      </c>
      <c r="BM40" s="39">
        <f>'KI-4'!AD36</f>
        <v>0</v>
      </c>
      <c r="BN40" s="39" t="str">
        <f>'KI-4'!AE36</f>
        <v xml:space="preserve"> </v>
      </c>
      <c r="BO40" s="39" t="str">
        <f>'KI-4'!AF36</f>
        <v xml:space="preserve">  </v>
      </c>
      <c r="BP40" s="39"/>
      <c r="BQ40" s="39"/>
    </row>
    <row r="41" spans="1:69">
      <c r="A41" s="39">
        <v>32</v>
      </c>
      <c r="B41" s="66">
        <f>SISWA!B37</f>
        <v>0</v>
      </c>
      <c r="C41" s="66">
        <f>SISWA!C37</f>
        <v>0</v>
      </c>
      <c r="D41" s="66">
        <f>SISWA!D37</f>
        <v>0</v>
      </c>
      <c r="E41" s="587" t="e">
        <f>#REF!</f>
        <v>#REF!</v>
      </c>
      <c r="F41" s="587" t="e">
        <f>#REF!</f>
        <v>#REF!</v>
      </c>
      <c r="G41" s="587" t="e">
        <f>#REF!</f>
        <v>#REF!</v>
      </c>
      <c r="H41" s="587" t="e">
        <f>#REF!</f>
        <v>#REF!</v>
      </c>
      <c r="I41" s="587" t="e">
        <f>#REF!</f>
        <v>#REF!</v>
      </c>
      <c r="J41" s="587" t="e">
        <f>#REF!</f>
        <v>#REF!</v>
      </c>
      <c r="K41" s="587" t="e">
        <f>#REF!</f>
        <v>#REF!</v>
      </c>
      <c r="L41" s="587" t="e">
        <f>#REF!</f>
        <v>#REF!</v>
      </c>
      <c r="M41" s="587" t="e">
        <f>#REF!</f>
        <v>#REF!</v>
      </c>
      <c r="N41" s="587" t="e">
        <f>#REF!</f>
        <v>#REF!</v>
      </c>
      <c r="O41" s="587" t="e">
        <f>#REF!</f>
        <v>#REF!</v>
      </c>
      <c r="P41" s="587" t="e">
        <f>#REF!</f>
        <v>#REF!</v>
      </c>
      <c r="Q41" s="587" t="e">
        <f>#REF!</f>
        <v>#REF!</v>
      </c>
      <c r="R41" s="587" t="e">
        <f>#REF!</f>
        <v>#REF!</v>
      </c>
      <c r="S41" s="453" t="str">
        <f>'KI-3'!Q36</f>
        <v xml:space="preserve"> </v>
      </c>
      <c r="T41" s="453" t="str">
        <f>'P-pkn'!CD39</f>
        <v xml:space="preserve">  </v>
      </c>
      <c r="U41" s="453" t="str">
        <f>'KI-3'!S36</f>
        <v xml:space="preserve"> </v>
      </c>
      <c r="V41" s="453" t="str">
        <f>'P-BI'!DQ39</f>
        <v xml:space="preserve">  </v>
      </c>
      <c r="W41" s="453" t="str">
        <f>'KI-3'!U36</f>
        <v xml:space="preserve"> </v>
      </c>
      <c r="X41" s="453" t="str">
        <f>'P MTK'!FQ39</f>
        <v xml:space="preserve">  </v>
      </c>
      <c r="Y41" s="453" t="str">
        <f>'KI-3'!W36</f>
        <v xml:space="preserve"> </v>
      </c>
      <c r="Z41" s="453" t="str">
        <f>'P-IPA'!DQ39</f>
        <v xml:space="preserve">  </v>
      </c>
      <c r="AA41" s="453" t="str">
        <f>'KI-3'!Y36</f>
        <v xml:space="preserve"> </v>
      </c>
      <c r="AB41" s="453" t="str">
        <f>'P-IPS'!DQ39</f>
        <v xml:space="preserve">  </v>
      </c>
      <c r="AC41" s="453" t="str">
        <f>'KI-3'!AA36</f>
        <v xml:space="preserve"> </v>
      </c>
      <c r="AD41" s="453" t="str">
        <f>'P-SBDP'!DQ39</f>
        <v xml:space="preserve">  </v>
      </c>
      <c r="AE41" s="453">
        <f>'KI-3'!AC36</f>
        <v>0</v>
      </c>
      <c r="AF41" s="453">
        <f>'P-PJOK'!D37</f>
        <v>0</v>
      </c>
      <c r="AG41" s="453" t="str">
        <f>'KI-3'!AE36</f>
        <v xml:space="preserve"> </v>
      </c>
      <c r="AH41" s="453" t="str">
        <f>'P-BJAWA'!AW39</f>
        <v xml:space="preserve">  </v>
      </c>
      <c r="AI41" s="39"/>
      <c r="AJ41" s="39"/>
      <c r="AL41" s="39" t="e">
        <f>#REF!</f>
        <v>#REF!</v>
      </c>
      <c r="AM41" s="39" t="e">
        <f>#REF!</f>
        <v>#REF!</v>
      </c>
      <c r="AN41" s="39" t="e">
        <f>#REF!</f>
        <v>#REF!</v>
      </c>
      <c r="AO41" s="39" t="e">
        <f>#REF!</f>
        <v>#REF!</v>
      </c>
      <c r="AP41" s="39" t="e">
        <f>#REF!</f>
        <v>#REF!</v>
      </c>
      <c r="AQ41" s="39" t="e">
        <f>#REF!</f>
        <v>#REF!</v>
      </c>
      <c r="AR41" s="39" t="e">
        <f>#REF!</f>
        <v>#REF!</v>
      </c>
      <c r="AS41" s="39" t="e">
        <f>#REF!</f>
        <v>#REF!</v>
      </c>
      <c r="AT41" s="39" t="e">
        <f>#REF!</f>
        <v>#REF!</v>
      </c>
      <c r="AU41" s="39" t="e">
        <f>#REF!</f>
        <v>#REF!</v>
      </c>
      <c r="AV41" s="39" t="e">
        <f>#REF!</f>
        <v>#REF!</v>
      </c>
      <c r="AW41" s="39" t="e">
        <f>#REF!</f>
        <v>#REF!</v>
      </c>
      <c r="AX41" s="39" t="e">
        <f>#REF!</f>
        <v>#REF!</v>
      </c>
      <c r="AY41" s="39" t="e">
        <f>#REF!</f>
        <v>#REF!</v>
      </c>
      <c r="AZ41" s="39" t="str">
        <f>'KI-4'!Q37</f>
        <v/>
      </c>
      <c r="BA41" s="39" t="str">
        <f>'KI-4'!R37</f>
        <v xml:space="preserve">  </v>
      </c>
      <c r="BB41" s="39" t="str">
        <f>'KI-4'!S37</f>
        <v/>
      </c>
      <c r="BC41" s="39" t="str">
        <f>'KI-4'!T37</f>
        <v xml:space="preserve">  </v>
      </c>
      <c r="BD41" s="39" t="str">
        <f>'KI-4'!U37</f>
        <v/>
      </c>
      <c r="BE41" s="39" t="str">
        <f>'KI-4'!V37</f>
        <v xml:space="preserve">  </v>
      </c>
      <c r="BF41" s="39" t="str">
        <f>'KI-4'!W37</f>
        <v/>
      </c>
      <c r="BG41" s="39" t="str">
        <f>'KI-4'!X37</f>
        <v xml:space="preserve">  </v>
      </c>
      <c r="BH41" s="39" t="str">
        <f>'KI-4'!Y37</f>
        <v/>
      </c>
      <c r="BI41" s="39" t="str">
        <f>'KI-4'!Z37</f>
        <v xml:space="preserve">  </v>
      </c>
      <c r="BJ41" s="39" t="str">
        <f>'KI-4'!AA37</f>
        <v/>
      </c>
      <c r="BK41" s="39" t="str">
        <f>'KI-4'!AB37</f>
        <v xml:space="preserve">  </v>
      </c>
      <c r="BL41" s="39">
        <f>'KI-4'!AC37</f>
        <v>0</v>
      </c>
      <c r="BM41" s="39">
        <f>'KI-4'!AD37</f>
        <v>0</v>
      </c>
      <c r="BN41" s="39" t="str">
        <f>'KI-4'!AE37</f>
        <v xml:space="preserve"> </v>
      </c>
      <c r="BO41" s="39" t="str">
        <f>'KI-4'!AF37</f>
        <v xml:space="preserve">  </v>
      </c>
      <c r="BP41" s="39"/>
      <c r="BQ41" s="39"/>
    </row>
    <row r="42" spans="1:69">
      <c r="A42" s="39">
        <v>33</v>
      </c>
      <c r="B42" s="66">
        <f>SISWA!B38</f>
        <v>0</v>
      </c>
      <c r="C42" s="66">
        <f>SISWA!C38</f>
        <v>0</v>
      </c>
      <c r="D42" s="66">
        <f>SISWA!D38</f>
        <v>0</v>
      </c>
      <c r="E42" s="587" t="e">
        <f>#REF!</f>
        <v>#REF!</v>
      </c>
      <c r="F42" s="587" t="e">
        <f>#REF!</f>
        <v>#REF!</v>
      </c>
      <c r="G42" s="587" t="e">
        <f>#REF!</f>
        <v>#REF!</v>
      </c>
      <c r="H42" s="587" t="e">
        <f>#REF!</f>
        <v>#REF!</v>
      </c>
      <c r="I42" s="587" t="e">
        <f>#REF!</f>
        <v>#REF!</v>
      </c>
      <c r="J42" s="587" t="e">
        <f>#REF!</f>
        <v>#REF!</v>
      </c>
      <c r="K42" s="587" t="e">
        <f>#REF!</f>
        <v>#REF!</v>
      </c>
      <c r="L42" s="587" t="e">
        <f>#REF!</f>
        <v>#REF!</v>
      </c>
      <c r="M42" s="587" t="e">
        <f>#REF!</f>
        <v>#REF!</v>
      </c>
      <c r="N42" s="587" t="e">
        <f>#REF!</f>
        <v>#REF!</v>
      </c>
      <c r="O42" s="587" t="e">
        <f>#REF!</f>
        <v>#REF!</v>
      </c>
      <c r="P42" s="587" t="e">
        <f>#REF!</f>
        <v>#REF!</v>
      </c>
      <c r="Q42" s="587" t="e">
        <f>#REF!</f>
        <v>#REF!</v>
      </c>
      <c r="R42" s="587" t="e">
        <f>#REF!</f>
        <v>#REF!</v>
      </c>
      <c r="S42" s="453" t="str">
        <f>'KI-3'!Q37</f>
        <v xml:space="preserve"> </v>
      </c>
      <c r="T42" s="453" t="str">
        <f>'P-pkn'!CD40</f>
        <v xml:space="preserve">  </v>
      </c>
      <c r="U42" s="453" t="str">
        <f>'KI-3'!S37</f>
        <v xml:space="preserve"> </v>
      </c>
      <c r="V42" s="453" t="str">
        <f>'P-BI'!DQ40</f>
        <v xml:space="preserve">  </v>
      </c>
      <c r="W42" s="453" t="str">
        <f>'KI-3'!U37</f>
        <v xml:space="preserve"> </v>
      </c>
      <c r="X42" s="453" t="str">
        <f>'P MTK'!FQ40</f>
        <v xml:space="preserve">  </v>
      </c>
      <c r="Y42" s="453" t="str">
        <f>'KI-3'!W37</f>
        <v xml:space="preserve"> </v>
      </c>
      <c r="Z42" s="453" t="str">
        <f>'P-IPA'!DQ40</f>
        <v xml:space="preserve">  </v>
      </c>
      <c r="AA42" s="453" t="str">
        <f>'KI-3'!Y37</f>
        <v xml:space="preserve"> </v>
      </c>
      <c r="AB42" s="453" t="str">
        <f>'P-IPS'!DQ40</f>
        <v xml:space="preserve">  </v>
      </c>
      <c r="AC42" s="453" t="str">
        <f>'KI-3'!AA37</f>
        <v xml:space="preserve"> </v>
      </c>
      <c r="AD42" s="453" t="str">
        <f>'P-SBDP'!DQ40</f>
        <v xml:space="preserve">  </v>
      </c>
      <c r="AE42" s="453">
        <f>'KI-3'!AC37</f>
        <v>0</v>
      </c>
      <c r="AF42" s="453">
        <f>'P-PJOK'!D38</f>
        <v>0</v>
      </c>
      <c r="AG42" s="453" t="str">
        <f>'KI-3'!AE37</f>
        <v xml:space="preserve"> </v>
      </c>
      <c r="AH42" s="453" t="str">
        <f>'P-BJAWA'!AW40</f>
        <v xml:space="preserve">  </v>
      </c>
      <c r="AI42" s="39"/>
      <c r="AJ42" s="39"/>
      <c r="AL42" s="39" t="e">
        <f>#REF!</f>
        <v>#REF!</v>
      </c>
      <c r="AM42" s="39" t="e">
        <f>#REF!</f>
        <v>#REF!</v>
      </c>
      <c r="AN42" s="39" t="e">
        <f>#REF!</f>
        <v>#REF!</v>
      </c>
      <c r="AO42" s="39" t="e">
        <f>#REF!</f>
        <v>#REF!</v>
      </c>
      <c r="AP42" s="39" t="e">
        <f>#REF!</f>
        <v>#REF!</v>
      </c>
      <c r="AQ42" s="39" t="e">
        <f>#REF!</f>
        <v>#REF!</v>
      </c>
      <c r="AR42" s="39" t="e">
        <f>#REF!</f>
        <v>#REF!</v>
      </c>
      <c r="AS42" s="39" t="e">
        <f>#REF!</f>
        <v>#REF!</v>
      </c>
      <c r="AT42" s="39" t="e">
        <f>#REF!</f>
        <v>#REF!</v>
      </c>
      <c r="AU42" s="39" t="e">
        <f>#REF!</f>
        <v>#REF!</v>
      </c>
      <c r="AV42" s="39" t="e">
        <f>#REF!</f>
        <v>#REF!</v>
      </c>
      <c r="AW42" s="39" t="e">
        <f>#REF!</f>
        <v>#REF!</v>
      </c>
      <c r="AX42" s="39" t="e">
        <f>#REF!</f>
        <v>#REF!</v>
      </c>
      <c r="AY42" s="39" t="e">
        <f>#REF!</f>
        <v>#REF!</v>
      </c>
      <c r="AZ42" s="39" t="str">
        <f>'KI-4'!Q38</f>
        <v/>
      </c>
      <c r="BA42" s="39" t="str">
        <f>'KI-4'!R38</f>
        <v xml:space="preserve">  </v>
      </c>
      <c r="BB42" s="39" t="str">
        <f>'KI-4'!S38</f>
        <v/>
      </c>
      <c r="BC42" s="39" t="str">
        <f>'KI-4'!T38</f>
        <v xml:space="preserve">  </v>
      </c>
      <c r="BD42" s="39" t="str">
        <f>'KI-4'!U38</f>
        <v/>
      </c>
      <c r="BE42" s="39" t="str">
        <f>'KI-4'!V38</f>
        <v xml:space="preserve">  </v>
      </c>
      <c r="BF42" s="39" t="str">
        <f>'KI-4'!W38</f>
        <v/>
      </c>
      <c r="BG42" s="39" t="str">
        <f>'KI-4'!X38</f>
        <v xml:space="preserve">  </v>
      </c>
      <c r="BH42" s="39" t="str">
        <f>'KI-4'!Y38</f>
        <v/>
      </c>
      <c r="BI42" s="39" t="str">
        <f>'KI-4'!Z38</f>
        <v xml:space="preserve">  </v>
      </c>
      <c r="BJ42" s="39" t="str">
        <f>'KI-4'!AA38</f>
        <v/>
      </c>
      <c r="BK42" s="39" t="str">
        <f>'KI-4'!AB38</f>
        <v xml:space="preserve">  </v>
      </c>
      <c r="BL42" s="39">
        <f>'KI-4'!AC38</f>
        <v>0</v>
      </c>
      <c r="BM42" s="39">
        <f>'KI-4'!AD38</f>
        <v>0</v>
      </c>
      <c r="BN42" s="39" t="str">
        <f>'KI-4'!AE38</f>
        <v xml:space="preserve"> </v>
      </c>
      <c r="BO42" s="39" t="str">
        <f>'KI-4'!AF38</f>
        <v xml:space="preserve">  </v>
      </c>
      <c r="BP42" s="39"/>
      <c r="BQ42" s="39"/>
    </row>
    <row r="43" spans="1:69">
      <c r="A43" s="39">
        <v>34</v>
      </c>
      <c r="B43" s="66">
        <f>SISWA!B39</f>
        <v>0</v>
      </c>
      <c r="C43" s="66">
        <f>SISWA!C39</f>
        <v>0</v>
      </c>
      <c r="D43" s="66">
        <f>SISWA!D39</f>
        <v>0</v>
      </c>
      <c r="E43" s="587" t="e">
        <f>#REF!</f>
        <v>#REF!</v>
      </c>
      <c r="F43" s="587" t="e">
        <f>#REF!</f>
        <v>#REF!</v>
      </c>
      <c r="G43" s="587" t="e">
        <f>#REF!</f>
        <v>#REF!</v>
      </c>
      <c r="H43" s="587" t="e">
        <f>#REF!</f>
        <v>#REF!</v>
      </c>
      <c r="I43" s="587" t="e">
        <f>#REF!</f>
        <v>#REF!</v>
      </c>
      <c r="J43" s="587" t="e">
        <f>#REF!</f>
        <v>#REF!</v>
      </c>
      <c r="K43" s="587" t="e">
        <f>#REF!</f>
        <v>#REF!</v>
      </c>
      <c r="L43" s="587" t="e">
        <f>#REF!</f>
        <v>#REF!</v>
      </c>
      <c r="M43" s="587" t="e">
        <f>#REF!</f>
        <v>#REF!</v>
      </c>
      <c r="N43" s="587" t="e">
        <f>#REF!</f>
        <v>#REF!</v>
      </c>
      <c r="O43" s="587" t="e">
        <f>#REF!</f>
        <v>#REF!</v>
      </c>
      <c r="P43" s="587" t="e">
        <f>#REF!</f>
        <v>#REF!</v>
      </c>
      <c r="Q43" s="587" t="e">
        <f>#REF!</f>
        <v>#REF!</v>
      </c>
      <c r="R43" s="587" t="e">
        <f>#REF!</f>
        <v>#REF!</v>
      </c>
      <c r="S43" s="453" t="str">
        <f>'KI-3'!Q38</f>
        <v xml:space="preserve"> </v>
      </c>
      <c r="T43" s="453" t="str">
        <f>'P-pkn'!CD41</f>
        <v xml:space="preserve">  </v>
      </c>
      <c r="U43" s="453" t="str">
        <f>'KI-3'!S38</f>
        <v xml:space="preserve"> </v>
      </c>
      <c r="V43" s="453" t="str">
        <f>'P-BI'!DQ41</f>
        <v xml:space="preserve">  </v>
      </c>
      <c r="W43" s="453" t="str">
        <f>'KI-3'!U38</f>
        <v xml:space="preserve"> </v>
      </c>
      <c r="X43" s="453" t="str">
        <f>'P MTK'!FQ41</f>
        <v xml:space="preserve">  </v>
      </c>
      <c r="Y43" s="453" t="str">
        <f>'KI-3'!W38</f>
        <v xml:space="preserve"> </v>
      </c>
      <c r="Z43" s="453" t="str">
        <f>'P-IPA'!DQ41</f>
        <v xml:space="preserve">  </v>
      </c>
      <c r="AA43" s="453" t="str">
        <f>'KI-3'!Y38</f>
        <v xml:space="preserve"> </v>
      </c>
      <c r="AB43" s="453" t="str">
        <f>'P-IPS'!DQ41</f>
        <v xml:space="preserve">  </v>
      </c>
      <c r="AC43" s="453" t="str">
        <f>'KI-3'!AA38</f>
        <v xml:space="preserve"> </v>
      </c>
      <c r="AD43" s="453" t="str">
        <f>'P-SBDP'!DQ41</f>
        <v xml:space="preserve">  </v>
      </c>
      <c r="AE43" s="453">
        <f>'KI-3'!AC38</f>
        <v>0</v>
      </c>
      <c r="AF43" s="453">
        <f>'P-PJOK'!D39</f>
        <v>0</v>
      </c>
      <c r="AG43" s="453" t="str">
        <f>'KI-3'!AE38</f>
        <v xml:space="preserve"> </v>
      </c>
      <c r="AH43" s="453" t="str">
        <f>'P-BJAWA'!AW41</f>
        <v xml:space="preserve">  </v>
      </c>
      <c r="AI43" s="39"/>
      <c r="AJ43" s="39"/>
      <c r="AL43" s="39" t="e">
        <f>#REF!</f>
        <v>#REF!</v>
      </c>
      <c r="AM43" s="39" t="e">
        <f>#REF!</f>
        <v>#REF!</v>
      </c>
      <c r="AN43" s="39" t="e">
        <f>#REF!</f>
        <v>#REF!</v>
      </c>
      <c r="AO43" s="39" t="e">
        <f>#REF!</f>
        <v>#REF!</v>
      </c>
      <c r="AP43" s="39" t="e">
        <f>#REF!</f>
        <v>#REF!</v>
      </c>
      <c r="AQ43" s="39" t="e">
        <f>#REF!</f>
        <v>#REF!</v>
      </c>
      <c r="AR43" s="39" t="e">
        <f>#REF!</f>
        <v>#REF!</v>
      </c>
      <c r="AS43" s="39" t="e">
        <f>#REF!</f>
        <v>#REF!</v>
      </c>
      <c r="AT43" s="39" t="e">
        <f>#REF!</f>
        <v>#REF!</v>
      </c>
      <c r="AU43" s="39" t="e">
        <f>#REF!</f>
        <v>#REF!</v>
      </c>
      <c r="AV43" s="39" t="e">
        <f>#REF!</f>
        <v>#REF!</v>
      </c>
      <c r="AW43" s="39" t="e">
        <f>#REF!</f>
        <v>#REF!</v>
      </c>
      <c r="AX43" s="39" t="e">
        <f>#REF!</f>
        <v>#REF!</v>
      </c>
      <c r="AY43" s="39" t="e">
        <f>#REF!</f>
        <v>#REF!</v>
      </c>
      <c r="AZ43" s="39" t="str">
        <f>'KI-4'!Q39</f>
        <v/>
      </c>
      <c r="BA43" s="39" t="str">
        <f>'KI-4'!R39</f>
        <v xml:space="preserve">  </v>
      </c>
      <c r="BB43" s="39" t="str">
        <f>'KI-4'!S39</f>
        <v/>
      </c>
      <c r="BC43" s="39" t="str">
        <f>'KI-4'!T39</f>
        <v xml:space="preserve">  </v>
      </c>
      <c r="BD43" s="39" t="str">
        <f>'KI-4'!U39</f>
        <v/>
      </c>
      <c r="BE43" s="39" t="str">
        <f>'KI-4'!V39</f>
        <v xml:space="preserve">  </v>
      </c>
      <c r="BF43" s="39" t="str">
        <f>'KI-4'!W39</f>
        <v/>
      </c>
      <c r="BG43" s="39" t="str">
        <f>'KI-4'!X39</f>
        <v xml:space="preserve">  </v>
      </c>
      <c r="BH43" s="39" t="str">
        <f>'KI-4'!Y39</f>
        <v/>
      </c>
      <c r="BI43" s="39" t="str">
        <f>'KI-4'!Z39</f>
        <v xml:space="preserve">  </v>
      </c>
      <c r="BJ43" s="39" t="str">
        <f>'KI-4'!AA39</f>
        <v/>
      </c>
      <c r="BK43" s="39" t="str">
        <f>'KI-4'!AB39</f>
        <v xml:space="preserve">  </v>
      </c>
      <c r="BL43" s="39">
        <f>'KI-4'!AC39</f>
        <v>0</v>
      </c>
      <c r="BM43" s="39">
        <f>'KI-4'!AD39</f>
        <v>0</v>
      </c>
      <c r="BN43" s="39" t="str">
        <f>'KI-4'!AE39</f>
        <v xml:space="preserve"> </v>
      </c>
      <c r="BO43" s="39" t="str">
        <f>'KI-4'!AF39</f>
        <v xml:space="preserve">  </v>
      </c>
      <c r="BP43" s="39"/>
      <c r="BQ43" s="39"/>
    </row>
    <row r="44" spans="1:69">
      <c r="A44" s="39">
        <v>35</v>
      </c>
      <c r="B44" s="66">
        <f>SISWA!B40</f>
        <v>0</v>
      </c>
      <c r="C44" s="66">
        <f>SISWA!C40</f>
        <v>0</v>
      </c>
      <c r="D44" s="66">
        <f>SISWA!D40</f>
        <v>0</v>
      </c>
      <c r="E44" s="587" t="e">
        <f>#REF!</f>
        <v>#REF!</v>
      </c>
      <c r="F44" s="587" t="e">
        <f>#REF!</f>
        <v>#REF!</v>
      </c>
      <c r="G44" s="587" t="e">
        <f>#REF!</f>
        <v>#REF!</v>
      </c>
      <c r="H44" s="587" t="e">
        <f>#REF!</f>
        <v>#REF!</v>
      </c>
      <c r="I44" s="587" t="e">
        <f>#REF!</f>
        <v>#REF!</v>
      </c>
      <c r="J44" s="587" t="e">
        <f>#REF!</f>
        <v>#REF!</v>
      </c>
      <c r="K44" s="587" t="e">
        <f>#REF!</f>
        <v>#REF!</v>
      </c>
      <c r="L44" s="587" t="e">
        <f>#REF!</f>
        <v>#REF!</v>
      </c>
      <c r="M44" s="587" t="e">
        <f>#REF!</f>
        <v>#REF!</v>
      </c>
      <c r="N44" s="587" t="e">
        <f>#REF!</f>
        <v>#REF!</v>
      </c>
      <c r="O44" s="587" t="e">
        <f>#REF!</f>
        <v>#REF!</v>
      </c>
      <c r="P44" s="587" t="e">
        <f>#REF!</f>
        <v>#REF!</v>
      </c>
      <c r="Q44" s="587" t="e">
        <f>#REF!</f>
        <v>#REF!</v>
      </c>
      <c r="R44" s="587" t="e">
        <f>#REF!</f>
        <v>#REF!</v>
      </c>
      <c r="S44" s="453" t="str">
        <f>'KI-3'!Q39</f>
        <v xml:space="preserve"> </v>
      </c>
      <c r="T44" s="453" t="str">
        <f>'P-pkn'!CD42</f>
        <v xml:space="preserve">  </v>
      </c>
      <c r="U44" s="453" t="str">
        <f>'KI-3'!S39</f>
        <v xml:space="preserve"> </v>
      </c>
      <c r="V44" s="453" t="str">
        <f>'P-BI'!DQ42</f>
        <v xml:space="preserve">  </v>
      </c>
      <c r="W44" s="453" t="str">
        <f>'KI-3'!U39</f>
        <v xml:space="preserve"> </v>
      </c>
      <c r="X44" s="453" t="str">
        <f>'P MTK'!FQ42</f>
        <v xml:space="preserve">  </v>
      </c>
      <c r="Y44" s="453" t="str">
        <f>'KI-3'!W39</f>
        <v xml:space="preserve"> </v>
      </c>
      <c r="Z44" s="453" t="str">
        <f>'P-IPA'!DQ42</f>
        <v xml:space="preserve">  </v>
      </c>
      <c r="AA44" s="453" t="str">
        <f>'KI-3'!Y39</f>
        <v xml:space="preserve"> </v>
      </c>
      <c r="AB44" s="453" t="str">
        <f>'P-IPS'!DQ42</f>
        <v xml:space="preserve">  </v>
      </c>
      <c r="AC44" s="453" t="str">
        <f>'KI-3'!AA39</f>
        <v xml:space="preserve"> </v>
      </c>
      <c r="AD44" s="453" t="str">
        <f>'P-SBDP'!DQ42</f>
        <v xml:space="preserve">  </v>
      </c>
      <c r="AE44" s="453">
        <f>'KI-3'!AC39</f>
        <v>0</v>
      </c>
      <c r="AF44" s="453">
        <f>'P-PJOK'!D40</f>
        <v>0</v>
      </c>
      <c r="AG44" s="453" t="str">
        <f>'KI-3'!AE39</f>
        <v xml:space="preserve"> </v>
      </c>
      <c r="AH44" s="453" t="str">
        <f>'P-BJAWA'!AW42</f>
        <v xml:space="preserve">  </v>
      </c>
      <c r="AI44" s="39"/>
      <c r="AJ44" s="39"/>
      <c r="AL44" s="39" t="e">
        <f>#REF!</f>
        <v>#REF!</v>
      </c>
      <c r="AM44" s="39" t="e">
        <f>#REF!</f>
        <v>#REF!</v>
      </c>
      <c r="AN44" s="39" t="e">
        <f>#REF!</f>
        <v>#REF!</v>
      </c>
      <c r="AO44" s="39" t="e">
        <f>#REF!</f>
        <v>#REF!</v>
      </c>
      <c r="AP44" s="39" t="e">
        <f>#REF!</f>
        <v>#REF!</v>
      </c>
      <c r="AQ44" s="39" t="e">
        <f>#REF!</f>
        <v>#REF!</v>
      </c>
      <c r="AR44" s="39" t="e">
        <f>#REF!</f>
        <v>#REF!</v>
      </c>
      <c r="AS44" s="39" t="e">
        <f>#REF!</f>
        <v>#REF!</v>
      </c>
      <c r="AT44" s="39" t="e">
        <f>#REF!</f>
        <v>#REF!</v>
      </c>
      <c r="AU44" s="39" t="e">
        <f>#REF!</f>
        <v>#REF!</v>
      </c>
      <c r="AV44" s="39" t="e">
        <f>#REF!</f>
        <v>#REF!</v>
      </c>
      <c r="AW44" s="39" t="e">
        <f>#REF!</f>
        <v>#REF!</v>
      </c>
      <c r="AX44" s="39" t="e">
        <f>#REF!</f>
        <v>#REF!</v>
      </c>
      <c r="AY44" s="39" t="e">
        <f>#REF!</f>
        <v>#REF!</v>
      </c>
      <c r="AZ44" s="39" t="str">
        <f>'KI-4'!Q40</f>
        <v/>
      </c>
      <c r="BA44" s="39" t="str">
        <f>'KI-4'!R40</f>
        <v xml:space="preserve">  </v>
      </c>
      <c r="BB44" s="39">
        <f>'KI-4'!S40</f>
        <v>0</v>
      </c>
      <c r="BC44" s="39" t="str">
        <f>'KI-4'!T40</f>
        <v>A</v>
      </c>
      <c r="BD44" s="39" t="str">
        <f>'KI-4'!U40</f>
        <v/>
      </c>
      <c r="BE44" s="39" t="str">
        <f>'KI-4'!V40</f>
        <v xml:space="preserve">  </v>
      </c>
      <c r="BF44" s="39" t="str">
        <f>'KI-4'!W40</f>
        <v/>
      </c>
      <c r="BG44" s="39" t="str">
        <f>'KI-4'!X40</f>
        <v xml:space="preserve">  </v>
      </c>
      <c r="BH44" s="39" t="str">
        <f>'KI-4'!Y40</f>
        <v/>
      </c>
      <c r="BI44" s="39" t="str">
        <f>'KI-4'!Z40</f>
        <v xml:space="preserve">  </v>
      </c>
      <c r="BJ44" s="39" t="str">
        <f>'KI-4'!AA40</f>
        <v/>
      </c>
      <c r="BK44" s="39" t="str">
        <f>'KI-4'!AB40</f>
        <v xml:space="preserve">  </v>
      </c>
      <c r="BL44" s="39">
        <f>'KI-4'!AC40</f>
        <v>0</v>
      </c>
      <c r="BM44" s="39">
        <f>'KI-4'!AD40</f>
        <v>0</v>
      </c>
      <c r="BN44" s="39" t="str">
        <f>'KI-4'!AE40</f>
        <v xml:space="preserve"> </v>
      </c>
      <c r="BO44" s="39" t="str">
        <f>'KI-4'!AF40</f>
        <v xml:space="preserve">  </v>
      </c>
      <c r="BP44" s="39"/>
      <c r="BQ44" s="39"/>
    </row>
    <row r="45" spans="1:69">
      <c r="A45" s="39">
        <v>36</v>
      </c>
      <c r="B45" s="66" t="e">
        <f>SISWA!#REF!</f>
        <v>#REF!</v>
      </c>
      <c r="C45" s="66" t="e">
        <f>SISWA!#REF!</f>
        <v>#REF!</v>
      </c>
      <c r="D45" s="66" t="e">
        <f>SISWA!#REF!</f>
        <v>#REF!</v>
      </c>
      <c r="E45" s="587" t="e">
        <f>#REF!</f>
        <v>#REF!</v>
      </c>
      <c r="F45" s="587" t="e">
        <f>#REF!</f>
        <v>#REF!</v>
      </c>
      <c r="G45" s="587" t="e">
        <f>#REF!</f>
        <v>#REF!</v>
      </c>
      <c r="H45" s="587" t="e">
        <f>#REF!</f>
        <v>#REF!</v>
      </c>
      <c r="I45" s="587" t="e">
        <f>#REF!</f>
        <v>#REF!</v>
      </c>
      <c r="J45" s="587" t="e">
        <f>#REF!</f>
        <v>#REF!</v>
      </c>
      <c r="K45" s="587" t="e">
        <f>#REF!</f>
        <v>#REF!</v>
      </c>
      <c r="L45" s="587" t="e">
        <f>#REF!</f>
        <v>#REF!</v>
      </c>
      <c r="M45" s="587" t="e">
        <f>#REF!</f>
        <v>#REF!</v>
      </c>
      <c r="N45" s="587" t="e">
        <f>#REF!</f>
        <v>#REF!</v>
      </c>
      <c r="O45" s="587" t="e">
        <f>#REF!</f>
        <v>#REF!</v>
      </c>
      <c r="P45" s="587" t="e">
        <f>#REF!</f>
        <v>#REF!</v>
      </c>
      <c r="Q45" s="587" t="e">
        <f>#REF!</f>
        <v>#REF!</v>
      </c>
      <c r="R45" s="587" t="e">
        <f>#REF!</f>
        <v>#REF!</v>
      </c>
      <c r="S45" s="453" t="e">
        <f>'KI-3'!#REF!</f>
        <v>#REF!</v>
      </c>
      <c r="T45" s="453" t="e">
        <f>'P-pkn'!#REF!</f>
        <v>#REF!</v>
      </c>
      <c r="U45" s="453" t="e">
        <f>'KI-3'!#REF!</f>
        <v>#REF!</v>
      </c>
      <c r="V45" s="453" t="e">
        <f>'P-BI'!#REF!</f>
        <v>#REF!</v>
      </c>
      <c r="W45" s="453" t="e">
        <f>'KI-3'!#REF!</f>
        <v>#REF!</v>
      </c>
      <c r="X45" s="453" t="e">
        <f>'P MTK'!#REF!</f>
        <v>#REF!</v>
      </c>
      <c r="Y45" s="453" t="e">
        <f>'KI-3'!#REF!</f>
        <v>#REF!</v>
      </c>
      <c r="Z45" s="453" t="e">
        <f>'P-IPA'!#REF!</f>
        <v>#REF!</v>
      </c>
      <c r="AA45" s="453" t="e">
        <f>'KI-3'!#REF!</f>
        <v>#REF!</v>
      </c>
      <c r="AB45" s="453" t="e">
        <f>'P-IPS'!#REF!</f>
        <v>#REF!</v>
      </c>
      <c r="AC45" s="453" t="e">
        <f>'KI-3'!#REF!</f>
        <v>#REF!</v>
      </c>
      <c r="AD45" s="453" t="e">
        <f>'P-SBDP'!#REF!</f>
        <v>#REF!</v>
      </c>
      <c r="AE45" s="453" t="e">
        <f>'KI-3'!#REF!</f>
        <v>#REF!</v>
      </c>
      <c r="AF45" s="453">
        <f>'P-PJOK'!D41</f>
        <v>0</v>
      </c>
      <c r="AG45" s="453" t="e">
        <f>'KI-3'!#REF!</f>
        <v>#REF!</v>
      </c>
      <c r="AH45" s="453" t="e">
        <f>'P-BJAWA'!#REF!</f>
        <v>#REF!</v>
      </c>
      <c r="AI45" s="39"/>
      <c r="AJ45" s="39"/>
      <c r="AL45" s="39" t="e">
        <f>#REF!</f>
        <v>#REF!</v>
      </c>
      <c r="AM45" s="39" t="e">
        <f>#REF!</f>
        <v>#REF!</v>
      </c>
      <c r="AN45" s="39" t="e">
        <f>#REF!</f>
        <v>#REF!</v>
      </c>
      <c r="AO45" s="39" t="e">
        <f>#REF!</f>
        <v>#REF!</v>
      </c>
      <c r="AP45" s="39" t="e">
        <f>#REF!</f>
        <v>#REF!</v>
      </c>
      <c r="AQ45" s="39" t="e">
        <f>#REF!</f>
        <v>#REF!</v>
      </c>
      <c r="AR45" s="39" t="e">
        <f>#REF!</f>
        <v>#REF!</v>
      </c>
      <c r="AS45" s="39" t="e">
        <f>#REF!</f>
        <v>#REF!</v>
      </c>
      <c r="AT45" s="39" t="e">
        <f>#REF!</f>
        <v>#REF!</v>
      </c>
      <c r="AU45" s="39" t="e">
        <f>#REF!</f>
        <v>#REF!</v>
      </c>
      <c r="AV45" s="39" t="e">
        <f>#REF!</f>
        <v>#REF!</v>
      </c>
      <c r="AW45" s="39" t="e">
        <f>#REF!</f>
        <v>#REF!</v>
      </c>
      <c r="AX45" s="39" t="e">
        <f>#REF!</f>
        <v>#REF!</v>
      </c>
      <c r="AY45" s="39" t="e">
        <f>#REF!</f>
        <v>#REF!</v>
      </c>
      <c r="AZ45" s="39" t="e">
        <f>'KI-4'!#REF!</f>
        <v>#REF!</v>
      </c>
      <c r="BA45" s="39" t="e">
        <f>'KI-4'!#REF!</f>
        <v>#REF!</v>
      </c>
      <c r="BB45" s="39" t="e">
        <f>'KI-4'!#REF!</f>
        <v>#REF!</v>
      </c>
      <c r="BC45" s="39" t="e">
        <f>'KI-4'!#REF!</f>
        <v>#REF!</v>
      </c>
      <c r="BD45" s="39" t="e">
        <f>'KI-4'!#REF!</f>
        <v>#REF!</v>
      </c>
      <c r="BE45" s="39" t="e">
        <f>'KI-4'!#REF!</f>
        <v>#REF!</v>
      </c>
      <c r="BF45" s="39" t="e">
        <f>'KI-4'!#REF!</f>
        <v>#REF!</v>
      </c>
      <c r="BG45" s="39" t="e">
        <f>'KI-4'!#REF!</f>
        <v>#REF!</v>
      </c>
      <c r="BH45" s="39" t="e">
        <f>'KI-4'!#REF!</f>
        <v>#REF!</v>
      </c>
      <c r="BI45" s="39" t="e">
        <f>'KI-4'!#REF!</f>
        <v>#REF!</v>
      </c>
      <c r="BJ45" s="39" t="e">
        <f>'KI-4'!#REF!</f>
        <v>#REF!</v>
      </c>
      <c r="BK45" s="39" t="e">
        <f>'KI-4'!#REF!</f>
        <v>#REF!</v>
      </c>
      <c r="BL45" s="39" t="e">
        <f>'KI-4'!#REF!</f>
        <v>#REF!</v>
      </c>
      <c r="BM45" s="39" t="e">
        <f>'KI-4'!#REF!</f>
        <v>#REF!</v>
      </c>
      <c r="BN45" s="39" t="e">
        <f>'KI-4'!#REF!</f>
        <v>#REF!</v>
      </c>
      <c r="BO45" s="39" t="e">
        <f>'KI-4'!#REF!</f>
        <v>#REF!</v>
      </c>
      <c r="BP45" s="39"/>
      <c r="BQ45" s="39"/>
    </row>
    <row r="46" spans="1:69">
      <c r="A46" s="39">
        <v>37</v>
      </c>
      <c r="B46" s="66" t="e">
        <f>SISWA!#REF!</f>
        <v>#REF!</v>
      </c>
      <c r="C46" s="66" t="e">
        <f>SISWA!#REF!</f>
        <v>#REF!</v>
      </c>
      <c r="D46" s="66" t="e">
        <f>SISWA!#REF!</f>
        <v>#REF!</v>
      </c>
      <c r="E46" s="587" t="e">
        <f>#REF!</f>
        <v>#REF!</v>
      </c>
      <c r="F46" s="587" t="e">
        <f>#REF!</f>
        <v>#REF!</v>
      </c>
      <c r="G46" s="587" t="e">
        <f>#REF!</f>
        <v>#REF!</v>
      </c>
      <c r="H46" s="587" t="e">
        <f>#REF!</f>
        <v>#REF!</v>
      </c>
      <c r="I46" s="587" t="e">
        <f>#REF!</f>
        <v>#REF!</v>
      </c>
      <c r="J46" s="587" t="e">
        <f>#REF!</f>
        <v>#REF!</v>
      </c>
      <c r="K46" s="587" t="e">
        <f>#REF!</f>
        <v>#REF!</v>
      </c>
      <c r="L46" s="587" t="e">
        <f>#REF!</f>
        <v>#REF!</v>
      </c>
      <c r="M46" s="587" t="e">
        <f>#REF!</f>
        <v>#REF!</v>
      </c>
      <c r="N46" s="587" t="e">
        <f>#REF!</f>
        <v>#REF!</v>
      </c>
      <c r="O46" s="587" t="e">
        <f>#REF!</f>
        <v>#REF!</v>
      </c>
      <c r="P46" s="587" t="e">
        <f>#REF!</f>
        <v>#REF!</v>
      </c>
      <c r="Q46" s="587" t="e">
        <f>#REF!</f>
        <v>#REF!</v>
      </c>
      <c r="R46" s="587" t="e">
        <f>#REF!</f>
        <v>#REF!</v>
      </c>
      <c r="S46" s="453" t="e">
        <f>'KI-3'!#REF!</f>
        <v>#REF!</v>
      </c>
      <c r="T46" s="453" t="e">
        <f>'P-pkn'!#REF!</f>
        <v>#REF!</v>
      </c>
      <c r="U46" s="453" t="e">
        <f>'KI-3'!#REF!</f>
        <v>#REF!</v>
      </c>
      <c r="V46" s="453" t="e">
        <f>'P-BI'!#REF!</f>
        <v>#REF!</v>
      </c>
      <c r="W46" s="453" t="e">
        <f>'KI-3'!#REF!</f>
        <v>#REF!</v>
      </c>
      <c r="X46" s="453" t="e">
        <f>'P MTK'!#REF!</f>
        <v>#REF!</v>
      </c>
      <c r="Y46" s="453" t="e">
        <f>'KI-3'!#REF!</f>
        <v>#REF!</v>
      </c>
      <c r="Z46" s="453" t="e">
        <f>'P-IPA'!#REF!</f>
        <v>#REF!</v>
      </c>
      <c r="AA46" s="453" t="e">
        <f>'KI-3'!#REF!</f>
        <v>#REF!</v>
      </c>
      <c r="AB46" s="453" t="e">
        <f>'P-IPS'!#REF!</f>
        <v>#REF!</v>
      </c>
      <c r="AC46" s="453" t="e">
        <f>'KI-3'!#REF!</f>
        <v>#REF!</v>
      </c>
      <c r="AD46" s="453" t="e">
        <f>'P-SBDP'!#REF!</f>
        <v>#REF!</v>
      </c>
      <c r="AE46" s="453" t="e">
        <f>'KI-3'!#REF!</f>
        <v>#REF!</v>
      </c>
      <c r="AF46" s="453">
        <f>'P-PJOK'!D42</f>
        <v>0</v>
      </c>
      <c r="AG46" s="453" t="e">
        <f>'KI-3'!#REF!</f>
        <v>#REF!</v>
      </c>
      <c r="AH46" s="453" t="e">
        <f>'P-BJAWA'!#REF!</f>
        <v>#REF!</v>
      </c>
      <c r="AI46" s="39"/>
      <c r="AJ46" s="39"/>
      <c r="AL46" s="39" t="e">
        <f>#REF!</f>
        <v>#REF!</v>
      </c>
      <c r="AM46" s="39" t="e">
        <f>#REF!</f>
        <v>#REF!</v>
      </c>
      <c r="AN46" s="39" t="e">
        <f>#REF!</f>
        <v>#REF!</v>
      </c>
      <c r="AO46" s="39" t="e">
        <f>#REF!</f>
        <v>#REF!</v>
      </c>
      <c r="AP46" s="39" t="e">
        <f>#REF!</f>
        <v>#REF!</v>
      </c>
      <c r="AQ46" s="39" t="e">
        <f>#REF!</f>
        <v>#REF!</v>
      </c>
      <c r="AR46" s="39" t="e">
        <f>#REF!</f>
        <v>#REF!</v>
      </c>
      <c r="AS46" s="39" t="e">
        <f>#REF!</f>
        <v>#REF!</v>
      </c>
      <c r="AT46" s="39" t="e">
        <f>#REF!</f>
        <v>#REF!</v>
      </c>
      <c r="AU46" s="39" t="e">
        <f>#REF!</f>
        <v>#REF!</v>
      </c>
      <c r="AV46" s="39" t="e">
        <f>#REF!</f>
        <v>#REF!</v>
      </c>
      <c r="AW46" s="39" t="e">
        <f>#REF!</f>
        <v>#REF!</v>
      </c>
      <c r="AX46" s="39" t="e">
        <f>#REF!</f>
        <v>#REF!</v>
      </c>
      <c r="AY46" s="39" t="e">
        <f>#REF!</f>
        <v>#REF!</v>
      </c>
      <c r="AZ46" s="39" t="e">
        <f>'KI-4'!#REF!</f>
        <v>#REF!</v>
      </c>
      <c r="BA46" s="39" t="e">
        <f>'KI-4'!#REF!</f>
        <v>#REF!</v>
      </c>
      <c r="BB46" s="39" t="e">
        <f>'KI-4'!#REF!</f>
        <v>#REF!</v>
      </c>
      <c r="BC46" s="39" t="e">
        <f>'KI-4'!#REF!</f>
        <v>#REF!</v>
      </c>
      <c r="BD46" s="39" t="e">
        <f>'KI-4'!#REF!</f>
        <v>#REF!</v>
      </c>
      <c r="BE46" s="39" t="e">
        <f>'KI-4'!#REF!</f>
        <v>#REF!</v>
      </c>
      <c r="BF46" s="39" t="e">
        <f>'KI-4'!#REF!</f>
        <v>#REF!</v>
      </c>
      <c r="BG46" s="39" t="e">
        <f>'KI-4'!#REF!</f>
        <v>#REF!</v>
      </c>
      <c r="BH46" s="39" t="e">
        <f>'KI-4'!#REF!</f>
        <v>#REF!</v>
      </c>
      <c r="BI46" s="39" t="e">
        <f>'KI-4'!#REF!</f>
        <v>#REF!</v>
      </c>
      <c r="BJ46" s="39" t="e">
        <f>'KI-4'!#REF!</f>
        <v>#REF!</v>
      </c>
      <c r="BK46" s="39" t="e">
        <f>'KI-4'!#REF!</f>
        <v>#REF!</v>
      </c>
      <c r="BL46" s="39" t="e">
        <f>'KI-4'!#REF!</f>
        <v>#REF!</v>
      </c>
      <c r="BM46" s="39" t="e">
        <f>'KI-4'!#REF!</f>
        <v>#REF!</v>
      </c>
      <c r="BN46" s="39" t="e">
        <f>'KI-4'!#REF!</f>
        <v>#REF!</v>
      </c>
      <c r="BO46" s="39" t="e">
        <f>'KI-4'!#REF!</f>
        <v>#REF!</v>
      </c>
      <c r="BP46" s="39"/>
      <c r="BQ46" s="39"/>
    </row>
    <row r="47" spans="1:69">
      <c r="A47" s="39">
        <v>38</v>
      </c>
      <c r="B47" s="66" t="e">
        <f>SISWA!#REF!</f>
        <v>#REF!</v>
      </c>
      <c r="C47" s="66" t="e">
        <f>SISWA!#REF!</f>
        <v>#REF!</v>
      </c>
      <c r="D47" s="66" t="e">
        <f>SISWA!#REF!</f>
        <v>#REF!</v>
      </c>
      <c r="E47" s="587" t="e">
        <f>#REF!</f>
        <v>#REF!</v>
      </c>
      <c r="F47" s="587" t="e">
        <f>#REF!</f>
        <v>#REF!</v>
      </c>
      <c r="G47" s="587" t="e">
        <f>#REF!</f>
        <v>#REF!</v>
      </c>
      <c r="H47" s="587" t="e">
        <f>#REF!</f>
        <v>#REF!</v>
      </c>
      <c r="I47" s="587" t="e">
        <f>#REF!</f>
        <v>#REF!</v>
      </c>
      <c r="J47" s="587" t="e">
        <f>#REF!</f>
        <v>#REF!</v>
      </c>
      <c r="K47" s="587" t="e">
        <f>#REF!</f>
        <v>#REF!</v>
      </c>
      <c r="L47" s="587" t="e">
        <f>#REF!</f>
        <v>#REF!</v>
      </c>
      <c r="M47" s="587" t="e">
        <f>#REF!</f>
        <v>#REF!</v>
      </c>
      <c r="N47" s="587" t="e">
        <f>#REF!</f>
        <v>#REF!</v>
      </c>
      <c r="O47" s="587" t="e">
        <f>#REF!</f>
        <v>#REF!</v>
      </c>
      <c r="P47" s="587" t="e">
        <f>#REF!</f>
        <v>#REF!</v>
      </c>
      <c r="Q47" s="587" t="e">
        <f>#REF!</f>
        <v>#REF!</v>
      </c>
      <c r="R47" s="587" t="e">
        <f>#REF!</f>
        <v>#REF!</v>
      </c>
      <c r="S47" s="453" t="e">
        <f>'KI-3'!#REF!</f>
        <v>#REF!</v>
      </c>
      <c r="T47" s="453" t="e">
        <f>'P-pkn'!#REF!</f>
        <v>#REF!</v>
      </c>
      <c r="U47" s="453" t="e">
        <f>'KI-3'!#REF!</f>
        <v>#REF!</v>
      </c>
      <c r="V47" s="453" t="e">
        <f>'P-BI'!#REF!</f>
        <v>#REF!</v>
      </c>
      <c r="W47" s="453" t="e">
        <f>'KI-3'!#REF!</f>
        <v>#REF!</v>
      </c>
      <c r="X47" s="453" t="e">
        <f>'P MTK'!#REF!</f>
        <v>#REF!</v>
      </c>
      <c r="Y47" s="453" t="e">
        <f>'KI-3'!#REF!</f>
        <v>#REF!</v>
      </c>
      <c r="Z47" s="453" t="e">
        <f>'P-IPA'!#REF!</f>
        <v>#REF!</v>
      </c>
      <c r="AA47" s="453" t="e">
        <f>'KI-3'!#REF!</f>
        <v>#REF!</v>
      </c>
      <c r="AB47" s="453" t="e">
        <f>'P-IPS'!#REF!</f>
        <v>#REF!</v>
      </c>
      <c r="AC47" s="453" t="e">
        <f>'KI-3'!#REF!</f>
        <v>#REF!</v>
      </c>
      <c r="AD47" s="453" t="e">
        <f>'P-SBDP'!#REF!</f>
        <v>#REF!</v>
      </c>
      <c r="AE47" s="453" t="e">
        <f>'KI-3'!#REF!</f>
        <v>#REF!</v>
      </c>
      <c r="AF47" s="453">
        <f>'P-PJOK'!D43</f>
        <v>0</v>
      </c>
      <c r="AG47" s="453" t="e">
        <f>'KI-3'!#REF!</f>
        <v>#REF!</v>
      </c>
      <c r="AH47" s="453" t="e">
        <f>'P-BJAWA'!#REF!</f>
        <v>#REF!</v>
      </c>
      <c r="AI47" s="39"/>
      <c r="AJ47" s="39"/>
      <c r="AL47" s="39" t="e">
        <f>#REF!</f>
        <v>#REF!</v>
      </c>
      <c r="AM47" s="39" t="e">
        <f>#REF!</f>
        <v>#REF!</v>
      </c>
      <c r="AN47" s="39" t="e">
        <f>#REF!</f>
        <v>#REF!</v>
      </c>
      <c r="AO47" s="39" t="e">
        <f>#REF!</f>
        <v>#REF!</v>
      </c>
      <c r="AP47" s="39" t="e">
        <f>#REF!</f>
        <v>#REF!</v>
      </c>
      <c r="AQ47" s="39" t="e">
        <f>#REF!</f>
        <v>#REF!</v>
      </c>
      <c r="AR47" s="39" t="e">
        <f>#REF!</f>
        <v>#REF!</v>
      </c>
      <c r="AS47" s="39" t="e">
        <f>#REF!</f>
        <v>#REF!</v>
      </c>
      <c r="AT47" s="39" t="e">
        <f>#REF!</f>
        <v>#REF!</v>
      </c>
      <c r="AU47" s="39" t="e">
        <f>#REF!</f>
        <v>#REF!</v>
      </c>
      <c r="AV47" s="39" t="e">
        <f>#REF!</f>
        <v>#REF!</v>
      </c>
      <c r="AW47" s="39" t="e">
        <f>#REF!</f>
        <v>#REF!</v>
      </c>
      <c r="AX47" s="39" t="e">
        <f>#REF!</f>
        <v>#REF!</v>
      </c>
      <c r="AY47" s="39" t="e">
        <f>#REF!</f>
        <v>#REF!</v>
      </c>
      <c r="AZ47" s="39" t="e">
        <f>'KI-4'!#REF!</f>
        <v>#REF!</v>
      </c>
      <c r="BA47" s="39" t="e">
        <f>'KI-4'!#REF!</f>
        <v>#REF!</v>
      </c>
      <c r="BB47" s="39" t="e">
        <f>'KI-4'!#REF!</f>
        <v>#REF!</v>
      </c>
      <c r="BC47" s="39" t="e">
        <f>'KI-4'!#REF!</f>
        <v>#REF!</v>
      </c>
      <c r="BD47" s="39" t="e">
        <f>'KI-4'!#REF!</f>
        <v>#REF!</v>
      </c>
      <c r="BE47" s="39" t="e">
        <f>'KI-4'!#REF!</f>
        <v>#REF!</v>
      </c>
      <c r="BF47" s="39" t="e">
        <f>'KI-4'!#REF!</f>
        <v>#REF!</v>
      </c>
      <c r="BG47" s="39" t="e">
        <f>'KI-4'!#REF!</f>
        <v>#REF!</v>
      </c>
      <c r="BH47" s="39" t="e">
        <f>'KI-4'!#REF!</f>
        <v>#REF!</v>
      </c>
      <c r="BI47" s="39" t="e">
        <f>'KI-4'!#REF!</f>
        <v>#REF!</v>
      </c>
      <c r="BJ47" s="39" t="e">
        <f>'KI-4'!#REF!</f>
        <v>#REF!</v>
      </c>
      <c r="BK47" s="39" t="e">
        <f>'KI-4'!#REF!</f>
        <v>#REF!</v>
      </c>
      <c r="BL47" s="39" t="e">
        <f>'KI-4'!#REF!</f>
        <v>#REF!</v>
      </c>
      <c r="BM47" s="39" t="e">
        <f>'KI-4'!#REF!</f>
        <v>#REF!</v>
      </c>
      <c r="BN47" s="39" t="e">
        <f>'KI-4'!#REF!</f>
        <v>#REF!</v>
      </c>
      <c r="BO47" s="39" t="e">
        <f>'KI-4'!#REF!</f>
        <v>#REF!</v>
      </c>
      <c r="BP47" s="39"/>
      <c r="BQ47" s="39"/>
    </row>
    <row r="48" spans="1:69">
      <c r="A48" s="39">
        <v>39</v>
      </c>
      <c r="B48" s="66" t="e">
        <f>SISWA!#REF!</f>
        <v>#REF!</v>
      </c>
      <c r="C48" s="66" t="e">
        <f>SISWA!#REF!</f>
        <v>#REF!</v>
      </c>
      <c r="D48" s="66" t="e">
        <f>SISWA!#REF!</f>
        <v>#REF!</v>
      </c>
      <c r="E48" s="587" t="e">
        <f>#REF!</f>
        <v>#REF!</v>
      </c>
      <c r="F48" s="587" t="e">
        <f>#REF!</f>
        <v>#REF!</v>
      </c>
      <c r="G48" s="587" t="e">
        <f>#REF!</f>
        <v>#REF!</v>
      </c>
      <c r="H48" s="587" t="e">
        <f>#REF!</f>
        <v>#REF!</v>
      </c>
      <c r="I48" s="587" t="e">
        <f>#REF!</f>
        <v>#REF!</v>
      </c>
      <c r="J48" s="587" t="e">
        <f>#REF!</f>
        <v>#REF!</v>
      </c>
      <c r="K48" s="587" t="e">
        <f>#REF!</f>
        <v>#REF!</v>
      </c>
      <c r="L48" s="587" t="e">
        <f>#REF!</f>
        <v>#REF!</v>
      </c>
      <c r="M48" s="587" t="e">
        <f>#REF!</f>
        <v>#REF!</v>
      </c>
      <c r="N48" s="587" t="e">
        <f>#REF!</f>
        <v>#REF!</v>
      </c>
      <c r="O48" s="587" t="e">
        <f>#REF!</f>
        <v>#REF!</v>
      </c>
      <c r="P48" s="587" t="e">
        <f>#REF!</f>
        <v>#REF!</v>
      </c>
      <c r="Q48" s="587" t="e">
        <f>#REF!</f>
        <v>#REF!</v>
      </c>
      <c r="R48" s="587" t="e">
        <f>#REF!</f>
        <v>#REF!</v>
      </c>
      <c r="S48" s="453" t="e">
        <f>'KI-3'!#REF!</f>
        <v>#REF!</v>
      </c>
      <c r="T48" s="453" t="e">
        <f>'P-pkn'!#REF!</f>
        <v>#REF!</v>
      </c>
      <c r="U48" s="453" t="e">
        <f>'KI-3'!#REF!</f>
        <v>#REF!</v>
      </c>
      <c r="V48" s="453" t="e">
        <f>'P-BI'!#REF!</f>
        <v>#REF!</v>
      </c>
      <c r="W48" s="453" t="e">
        <f>'KI-3'!#REF!</f>
        <v>#REF!</v>
      </c>
      <c r="X48" s="453" t="e">
        <f>'P MTK'!#REF!</f>
        <v>#REF!</v>
      </c>
      <c r="Y48" s="453" t="e">
        <f>'KI-3'!#REF!</f>
        <v>#REF!</v>
      </c>
      <c r="Z48" s="453" t="e">
        <f>'P-IPA'!#REF!</f>
        <v>#REF!</v>
      </c>
      <c r="AA48" s="453" t="e">
        <f>'KI-3'!#REF!</f>
        <v>#REF!</v>
      </c>
      <c r="AB48" s="453" t="e">
        <f>'P-IPS'!#REF!</f>
        <v>#REF!</v>
      </c>
      <c r="AC48" s="453" t="e">
        <f>'KI-3'!#REF!</f>
        <v>#REF!</v>
      </c>
      <c r="AD48" s="453" t="e">
        <f>'P-SBDP'!#REF!</f>
        <v>#REF!</v>
      </c>
      <c r="AE48" s="453" t="e">
        <f>'KI-3'!#REF!</f>
        <v>#REF!</v>
      </c>
      <c r="AF48" s="453">
        <f>'P-PJOK'!D44</f>
        <v>0</v>
      </c>
      <c r="AG48" s="453" t="e">
        <f>'KI-3'!#REF!</f>
        <v>#REF!</v>
      </c>
      <c r="AH48" s="453" t="e">
        <f>'P-BJAWA'!#REF!</f>
        <v>#REF!</v>
      </c>
      <c r="AI48" s="39"/>
      <c r="AJ48" s="39"/>
      <c r="AL48" s="39" t="e">
        <f>#REF!</f>
        <v>#REF!</v>
      </c>
      <c r="AM48" s="39" t="e">
        <f>#REF!</f>
        <v>#REF!</v>
      </c>
      <c r="AN48" s="39" t="e">
        <f>#REF!</f>
        <v>#REF!</v>
      </c>
      <c r="AO48" s="39" t="e">
        <f>#REF!</f>
        <v>#REF!</v>
      </c>
      <c r="AP48" s="39" t="e">
        <f>#REF!</f>
        <v>#REF!</v>
      </c>
      <c r="AQ48" s="39" t="e">
        <f>#REF!</f>
        <v>#REF!</v>
      </c>
      <c r="AR48" s="39" t="e">
        <f>#REF!</f>
        <v>#REF!</v>
      </c>
      <c r="AS48" s="39" t="e">
        <f>#REF!</f>
        <v>#REF!</v>
      </c>
      <c r="AT48" s="39" t="e">
        <f>#REF!</f>
        <v>#REF!</v>
      </c>
      <c r="AU48" s="39" t="e">
        <f>#REF!</f>
        <v>#REF!</v>
      </c>
      <c r="AV48" s="39" t="e">
        <f>#REF!</f>
        <v>#REF!</v>
      </c>
      <c r="AW48" s="39" t="e">
        <f>#REF!</f>
        <v>#REF!</v>
      </c>
      <c r="AX48" s="39" t="e">
        <f>#REF!</f>
        <v>#REF!</v>
      </c>
      <c r="AY48" s="39" t="e">
        <f>#REF!</f>
        <v>#REF!</v>
      </c>
      <c r="AZ48" s="39" t="e">
        <f>'KI-4'!#REF!</f>
        <v>#REF!</v>
      </c>
      <c r="BA48" s="39" t="e">
        <f>'KI-4'!#REF!</f>
        <v>#REF!</v>
      </c>
      <c r="BB48" s="39" t="e">
        <f>'KI-4'!#REF!</f>
        <v>#REF!</v>
      </c>
      <c r="BC48" s="39" t="e">
        <f>'KI-4'!#REF!</f>
        <v>#REF!</v>
      </c>
      <c r="BD48" s="39" t="e">
        <f>'KI-4'!#REF!</f>
        <v>#REF!</v>
      </c>
      <c r="BE48" s="39" t="e">
        <f>'KI-4'!#REF!</f>
        <v>#REF!</v>
      </c>
      <c r="BF48" s="39" t="e">
        <f>'KI-4'!#REF!</f>
        <v>#REF!</v>
      </c>
      <c r="BG48" s="39" t="e">
        <f>'KI-4'!#REF!</f>
        <v>#REF!</v>
      </c>
      <c r="BH48" s="39" t="e">
        <f>'KI-4'!#REF!</f>
        <v>#REF!</v>
      </c>
      <c r="BI48" s="39" t="e">
        <f>'KI-4'!#REF!</f>
        <v>#REF!</v>
      </c>
      <c r="BJ48" s="39" t="e">
        <f>'KI-4'!#REF!</f>
        <v>#REF!</v>
      </c>
      <c r="BK48" s="39" t="e">
        <f>'KI-4'!#REF!</f>
        <v>#REF!</v>
      </c>
      <c r="BL48" s="39" t="e">
        <f>'KI-4'!#REF!</f>
        <v>#REF!</v>
      </c>
      <c r="BM48" s="39" t="e">
        <f>'KI-4'!#REF!</f>
        <v>#REF!</v>
      </c>
      <c r="BN48" s="39" t="e">
        <f>'KI-4'!#REF!</f>
        <v>#REF!</v>
      </c>
      <c r="BO48" s="39" t="e">
        <f>'KI-4'!#REF!</f>
        <v>#REF!</v>
      </c>
      <c r="BP48" s="39"/>
      <c r="BQ48" s="39"/>
    </row>
    <row r="49" spans="1:69">
      <c r="A49" s="39">
        <v>40</v>
      </c>
      <c r="B49" s="66" t="e">
        <f>SISWA!#REF!</f>
        <v>#REF!</v>
      </c>
      <c r="C49" s="66" t="e">
        <f>SISWA!#REF!</f>
        <v>#REF!</v>
      </c>
      <c r="D49" s="66" t="e">
        <f>SISWA!#REF!</f>
        <v>#REF!</v>
      </c>
      <c r="E49" s="587" t="e">
        <f>#REF!</f>
        <v>#REF!</v>
      </c>
      <c r="F49" s="587" t="e">
        <f>#REF!</f>
        <v>#REF!</v>
      </c>
      <c r="G49" s="587" t="e">
        <f>#REF!</f>
        <v>#REF!</v>
      </c>
      <c r="H49" s="587" t="e">
        <f>#REF!</f>
        <v>#REF!</v>
      </c>
      <c r="I49" s="587" t="e">
        <f>#REF!</f>
        <v>#REF!</v>
      </c>
      <c r="J49" s="587" t="e">
        <f>#REF!</f>
        <v>#REF!</v>
      </c>
      <c r="K49" s="587" t="e">
        <f>#REF!</f>
        <v>#REF!</v>
      </c>
      <c r="L49" s="587" t="e">
        <f>#REF!</f>
        <v>#REF!</v>
      </c>
      <c r="M49" s="587" t="e">
        <f>#REF!</f>
        <v>#REF!</v>
      </c>
      <c r="N49" s="587" t="e">
        <f>#REF!</f>
        <v>#REF!</v>
      </c>
      <c r="O49" s="587" t="e">
        <f>#REF!</f>
        <v>#REF!</v>
      </c>
      <c r="P49" s="587" t="e">
        <f>#REF!</f>
        <v>#REF!</v>
      </c>
      <c r="Q49" s="587" t="e">
        <f>#REF!</f>
        <v>#REF!</v>
      </c>
      <c r="R49" s="587" t="e">
        <f>#REF!</f>
        <v>#REF!</v>
      </c>
      <c r="S49" s="453" t="e">
        <f>'KI-3'!#REF!</f>
        <v>#REF!</v>
      </c>
      <c r="T49" s="453" t="e">
        <f>'P-pkn'!#REF!</f>
        <v>#REF!</v>
      </c>
      <c r="U49" s="453" t="e">
        <f>'KI-3'!#REF!</f>
        <v>#REF!</v>
      </c>
      <c r="V49" s="453" t="e">
        <f>'P-BI'!#REF!</f>
        <v>#REF!</v>
      </c>
      <c r="W49" s="453" t="e">
        <f>'KI-3'!#REF!</f>
        <v>#REF!</v>
      </c>
      <c r="X49" s="453" t="e">
        <f>'P MTK'!#REF!</f>
        <v>#REF!</v>
      </c>
      <c r="Y49" s="453" t="e">
        <f>'KI-3'!#REF!</f>
        <v>#REF!</v>
      </c>
      <c r="Z49" s="453" t="str">
        <f>'P-IPA'!DQ43</f>
        <v xml:space="preserve">  </v>
      </c>
      <c r="AA49" s="453" t="e">
        <f>'KI-3'!#REF!</f>
        <v>#REF!</v>
      </c>
      <c r="AB49" s="453" t="e">
        <f>'P-IPS'!#REF!</f>
        <v>#REF!</v>
      </c>
      <c r="AC49" s="453" t="e">
        <f>'KI-3'!#REF!</f>
        <v>#REF!</v>
      </c>
      <c r="AD49" s="453" t="e">
        <f>'P-SBDP'!#REF!</f>
        <v>#REF!</v>
      </c>
      <c r="AE49" s="453" t="e">
        <f>'KI-3'!#REF!</f>
        <v>#REF!</v>
      </c>
      <c r="AF49" s="453">
        <f>'P-PJOK'!D45</f>
        <v>0</v>
      </c>
      <c r="AG49" s="453" t="e">
        <f>'KI-3'!#REF!</f>
        <v>#REF!</v>
      </c>
      <c r="AH49" s="453" t="e">
        <f>'P-BJAWA'!#REF!</f>
        <v>#REF!</v>
      </c>
      <c r="AI49" s="39"/>
      <c r="AJ49" s="39"/>
      <c r="AL49" s="39" t="e">
        <f>#REF!</f>
        <v>#REF!</v>
      </c>
      <c r="AM49" s="39" t="e">
        <f>#REF!</f>
        <v>#REF!</v>
      </c>
      <c r="AN49" s="39" t="e">
        <f>#REF!</f>
        <v>#REF!</v>
      </c>
      <c r="AO49" s="39" t="e">
        <f>#REF!</f>
        <v>#REF!</v>
      </c>
      <c r="AP49" s="39" t="e">
        <f>#REF!</f>
        <v>#REF!</v>
      </c>
      <c r="AQ49" s="39" t="e">
        <f>#REF!</f>
        <v>#REF!</v>
      </c>
      <c r="AR49" s="39" t="e">
        <f>#REF!</f>
        <v>#REF!</v>
      </c>
      <c r="AS49" s="39" t="e">
        <f>#REF!</f>
        <v>#REF!</v>
      </c>
      <c r="AT49" s="39" t="e">
        <f>#REF!</f>
        <v>#REF!</v>
      </c>
      <c r="AU49" s="39" t="e">
        <f>#REF!</f>
        <v>#REF!</v>
      </c>
      <c r="AV49" s="39" t="e">
        <f>#REF!</f>
        <v>#REF!</v>
      </c>
      <c r="AW49" s="39" t="e">
        <f>#REF!</f>
        <v>#REF!</v>
      </c>
      <c r="AX49" s="39" t="e">
        <f>#REF!</f>
        <v>#REF!</v>
      </c>
      <c r="AY49" s="39" t="e">
        <f>#REF!</f>
        <v>#REF!</v>
      </c>
      <c r="AZ49" s="39" t="e">
        <f>'KI-4'!#REF!</f>
        <v>#REF!</v>
      </c>
      <c r="BA49" s="39" t="e">
        <f>'KI-4'!#REF!</f>
        <v>#REF!</v>
      </c>
      <c r="BB49" s="39" t="e">
        <f>'KI-4'!#REF!</f>
        <v>#REF!</v>
      </c>
      <c r="BC49" s="39" t="e">
        <f>'KI-4'!#REF!</f>
        <v>#REF!</v>
      </c>
      <c r="BD49" s="39" t="e">
        <f>'KI-4'!#REF!</f>
        <v>#REF!</v>
      </c>
      <c r="BE49" s="39" t="e">
        <f>'KI-4'!#REF!</f>
        <v>#REF!</v>
      </c>
      <c r="BF49" s="39" t="e">
        <f>'KI-4'!#REF!</f>
        <v>#REF!</v>
      </c>
      <c r="BG49" s="39" t="e">
        <f>'KI-4'!#REF!</f>
        <v>#REF!</v>
      </c>
      <c r="BH49" s="39" t="e">
        <f>'KI-4'!#REF!</f>
        <v>#REF!</v>
      </c>
      <c r="BI49" s="39" t="e">
        <f>'KI-4'!#REF!</f>
        <v>#REF!</v>
      </c>
      <c r="BJ49" s="39" t="e">
        <f>'KI-4'!#REF!</f>
        <v>#REF!</v>
      </c>
      <c r="BK49" s="39" t="e">
        <f>'KI-4'!#REF!</f>
        <v>#REF!</v>
      </c>
      <c r="BL49" s="39" t="e">
        <f>'KI-4'!#REF!</f>
        <v>#REF!</v>
      </c>
      <c r="BM49" s="39" t="e">
        <f>'KI-4'!#REF!</f>
        <v>#REF!</v>
      </c>
      <c r="BN49" s="39" t="e">
        <f>'KI-4'!#REF!</f>
        <v>#REF!</v>
      </c>
      <c r="BO49" s="39" t="e">
        <f>'KI-4'!#REF!</f>
        <v>#REF!</v>
      </c>
      <c r="BP49" s="39"/>
      <c r="BQ49" s="39"/>
    </row>
  </sheetData>
  <sheetProtection sheet="1" objects="1" scenarios="1"/>
  <mergeCells count="35">
    <mergeCell ref="BL8:BM8"/>
    <mergeCell ref="BN8:BO8"/>
    <mergeCell ref="BB8:BC8"/>
    <mergeCell ref="BD8:BE8"/>
    <mergeCell ref="BF8:BG8"/>
    <mergeCell ref="BH8:BI8"/>
    <mergeCell ref="BJ8:BK8"/>
    <mergeCell ref="K8:L8"/>
    <mergeCell ref="M8:N8"/>
    <mergeCell ref="O8:P8"/>
    <mergeCell ref="Q8:R8"/>
    <mergeCell ref="AZ8:BA8"/>
    <mergeCell ref="AL8:AM8"/>
    <mergeCell ref="AN8:AO8"/>
    <mergeCell ref="AP8:AQ8"/>
    <mergeCell ref="AR8:AS8"/>
    <mergeCell ref="AT8:AU8"/>
    <mergeCell ref="AV8:AW8"/>
    <mergeCell ref="AX8:AY8"/>
    <mergeCell ref="A8:A9"/>
    <mergeCell ref="B8:B9"/>
    <mergeCell ref="C8:C9"/>
    <mergeCell ref="E7:AJ7"/>
    <mergeCell ref="AL7:BQ7"/>
    <mergeCell ref="S8:T8"/>
    <mergeCell ref="E8:F8"/>
    <mergeCell ref="W8:X8"/>
    <mergeCell ref="Y8:Z8"/>
    <mergeCell ref="AA8:AB8"/>
    <mergeCell ref="AC8:AD8"/>
    <mergeCell ref="AE8:AF8"/>
    <mergeCell ref="AG8:AH8"/>
    <mergeCell ref="AI8:AJ8"/>
    <mergeCell ref="G8:H8"/>
    <mergeCell ref="I8:J8"/>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T44"/>
  <sheetViews>
    <sheetView showRowColHeaders="0" showZeros="0" topLeftCell="A9" workbookViewId="0">
      <selection activeCell="A10" sqref="A10"/>
    </sheetView>
  </sheetViews>
  <sheetFormatPr defaultRowHeight="15"/>
  <cols>
    <col min="1" max="1" width="4.7109375" customWidth="1"/>
    <col min="2" max="2" width="30.7109375" customWidth="1"/>
    <col min="3" max="4" width="8.28515625" customWidth="1"/>
    <col min="5" max="6" width="18.42578125" customWidth="1"/>
    <col min="7" max="33" width="18.28515625" customWidth="1"/>
    <col min="34" max="34" width="22.42578125" customWidth="1"/>
    <col min="35" max="35" width="16" customWidth="1"/>
    <col min="36" max="36" width="12.85546875" customWidth="1"/>
    <col min="37" max="39" width="5.28515625" customWidth="1"/>
    <col min="40" max="40" width="9.140625" customWidth="1"/>
  </cols>
  <sheetData>
    <row r="1" spans="1:46" ht="18.75">
      <c r="B1" s="160"/>
      <c r="C1" s="152" t="s">
        <v>110</v>
      </c>
      <c r="AH1" s="1"/>
    </row>
    <row r="2" spans="1:46">
      <c r="AH2" s="1"/>
    </row>
    <row r="3" spans="1:46">
      <c r="B3" t="s">
        <v>27</v>
      </c>
      <c r="C3" s="1" t="s">
        <v>35</v>
      </c>
      <c r="D3" s="1"/>
      <c r="E3" t="str">
        <f>MENU!N20</f>
        <v>V ( Lima )</v>
      </c>
      <c r="AH3" s="1"/>
    </row>
    <row r="4" spans="1:46">
      <c r="B4" t="s">
        <v>52</v>
      </c>
      <c r="C4" s="1" t="s">
        <v>35</v>
      </c>
      <c r="D4" s="1"/>
      <c r="E4" t="str">
        <f>MENU!N21</f>
        <v>1 ( satu )</v>
      </c>
      <c r="AH4" s="1"/>
    </row>
    <row r="5" spans="1:46">
      <c r="B5" t="s">
        <v>51</v>
      </c>
      <c r="C5" s="1" t="s">
        <v>35</v>
      </c>
      <c r="D5" s="1"/>
      <c r="E5" t="str">
        <f>MENU!M7</f>
        <v>SD MUHAMMADIYAH BENDO</v>
      </c>
      <c r="AH5" s="1"/>
    </row>
    <row r="6" spans="1:46">
      <c r="B6" t="s">
        <v>53</v>
      </c>
      <c r="C6" s="1" t="s">
        <v>35</v>
      </c>
      <c r="D6" s="1"/>
      <c r="E6" t="str">
        <f>MENU!N22</f>
        <v>2019/2020</v>
      </c>
      <c r="AH6" s="1"/>
    </row>
    <row r="7" spans="1:46">
      <c r="A7" s="30">
        <v>1</v>
      </c>
      <c r="B7" s="30">
        <v>2</v>
      </c>
      <c r="C7" s="30">
        <v>3</v>
      </c>
      <c r="D7" s="30">
        <v>4</v>
      </c>
      <c r="E7" s="30">
        <v>5</v>
      </c>
      <c r="F7" s="30">
        <v>6</v>
      </c>
      <c r="G7" s="30">
        <v>7</v>
      </c>
      <c r="H7" s="585">
        <v>8</v>
      </c>
      <c r="I7" s="585">
        <v>9</v>
      </c>
      <c r="J7" s="585">
        <v>10</v>
      </c>
      <c r="K7" s="585">
        <v>11</v>
      </c>
      <c r="L7" s="585">
        <v>12</v>
      </c>
      <c r="M7" s="585">
        <v>13</v>
      </c>
      <c r="N7" s="585">
        <v>14</v>
      </c>
      <c r="O7" s="585">
        <v>15</v>
      </c>
      <c r="P7" s="585">
        <v>16</v>
      </c>
      <c r="Q7" s="585">
        <v>17</v>
      </c>
      <c r="R7" s="585">
        <v>18</v>
      </c>
      <c r="S7" s="585">
        <v>19</v>
      </c>
      <c r="T7" s="585">
        <v>20</v>
      </c>
      <c r="U7" s="585">
        <v>21</v>
      </c>
      <c r="V7" s="585">
        <v>22</v>
      </c>
      <c r="W7" s="585">
        <v>23</v>
      </c>
      <c r="X7" s="585">
        <v>24</v>
      </c>
      <c r="Y7" s="585">
        <v>25</v>
      </c>
      <c r="Z7" s="585">
        <v>26</v>
      </c>
      <c r="AA7" s="585">
        <v>27</v>
      </c>
      <c r="AB7" s="585">
        <v>28</v>
      </c>
      <c r="AC7" s="585">
        <v>29</v>
      </c>
      <c r="AD7" s="585">
        <v>30</v>
      </c>
      <c r="AE7" s="585">
        <v>31</v>
      </c>
      <c r="AF7" s="585">
        <v>32</v>
      </c>
      <c r="AG7" s="585">
        <v>33</v>
      </c>
      <c r="AH7" s="585">
        <v>34</v>
      </c>
      <c r="AI7" s="585">
        <v>35</v>
      </c>
      <c r="AJ7" s="585">
        <v>36</v>
      </c>
      <c r="AK7" s="585">
        <v>46</v>
      </c>
      <c r="AL7" s="585">
        <v>47</v>
      </c>
      <c r="AM7" s="585">
        <v>48</v>
      </c>
      <c r="AN7" s="585">
        <v>49</v>
      </c>
      <c r="AO7" s="585">
        <v>50</v>
      </c>
      <c r="AP7" s="585">
        <v>51</v>
      </c>
      <c r="AQ7" s="585">
        <v>52</v>
      </c>
      <c r="AR7" s="585">
        <v>53</v>
      </c>
      <c r="AS7" s="585">
        <v>54</v>
      </c>
      <c r="AT7" s="585">
        <v>55</v>
      </c>
    </row>
    <row r="8" spans="1:46" ht="18.75">
      <c r="A8" s="1341" t="s">
        <v>9</v>
      </c>
      <c r="B8" s="1341" t="s">
        <v>111</v>
      </c>
      <c r="C8" s="1342" t="s">
        <v>112</v>
      </c>
      <c r="D8" s="161"/>
      <c r="E8" s="1356" t="s">
        <v>113</v>
      </c>
      <c r="F8" s="1357" t="s">
        <v>114</v>
      </c>
      <c r="G8" s="1355" t="s">
        <v>115</v>
      </c>
      <c r="H8" s="1355"/>
      <c r="I8" s="1355"/>
      <c r="J8" s="1355"/>
      <c r="K8" s="1355"/>
      <c r="L8" s="1355"/>
      <c r="M8" s="1355"/>
      <c r="N8" s="1355"/>
      <c r="O8" s="1355"/>
      <c r="P8" s="1355"/>
      <c r="Q8" s="1355"/>
      <c r="R8" s="1355"/>
      <c r="S8" s="1355"/>
      <c r="T8" s="1355"/>
      <c r="U8" s="1355"/>
      <c r="V8" s="1352" t="s">
        <v>116</v>
      </c>
      <c r="W8" s="1353"/>
      <c r="X8" s="1353"/>
      <c r="Y8" s="1353"/>
      <c r="Z8" s="1353"/>
      <c r="AA8" s="1353"/>
      <c r="AB8" s="1353"/>
      <c r="AC8" s="1353"/>
      <c r="AD8" s="1353"/>
      <c r="AE8" s="1353"/>
      <c r="AF8" s="1353"/>
      <c r="AG8" s="1353"/>
      <c r="AH8" s="1353"/>
      <c r="AI8" s="1353"/>
      <c r="AJ8" s="1354"/>
      <c r="AK8" s="1351" t="s">
        <v>117</v>
      </c>
      <c r="AL8" s="1351"/>
      <c r="AM8" s="1351"/>
    </row>
    <row r="9" spans="1:46" ht="18.75">
      <c r="A9" s="1341"/>
      <c r="B9" s="1341"/>
      <c r="C9" s="1343"/>
      <c r="D9" s="162" t="s">
        <v>118</v>
      </c>
      <c r="E9" s="1356"/>
      <c r="F9" s="1357"/>
      <c r="G9" s="163" t="s">
        <v>418</v>
      </c>
      <c r="H9" s="163" t="s">
        <v>419</v>
      </c>
      <c r="I9" s="163" t="s">
        <v>420</v>
      </c>
      <c r="J9" s="163" t="s">
        <v>421</v>
      </c>
      <c r="K9" s="163" t="s">
        <v>422</v>
      </c>
      <c r="L9" s="163" t="s">
        <v>413</v>
      </c>
      <c r="M9" s="163" t="s">
        <v>423</v>
      </c>
      <c r="N9" s="164" t="s">
        <v>119</v>
      </c>
      <c r="O9" s="164" t="s">
        <v>120</v>
      </c>
      <c r="P9" s="164" t="s">
        <v>121</v>
      </c>
      <c r="Q9" s="164" t="s">
        <v>208</v>
      </c>
      <c r="R9" s="164" t="s">
        <v>209</v>
      </c>
      <c r="S9" s="164" t="s">
        <v>122</v>
      </c>
      <c r="T9" s="164" t="s">
        <v>123</v>
      </c>
      <c r="U9" s="165" t="s">
        <v>124</v>
      </c>
      <c r="V9" s="166" t="s">
        <v>418</v>
      </c>
      <c r="W9" s="166" t="s">
        <v>419</v>
      </c>
      <c r="X9" s="166" t="s">
        <v>420</v>
      </c>
      <c r="Y9" s="166" t="s">
        <v>421</v>
      </c>
      <c r="Z9" s="166" t="s">
        <v>422</v>
      </c>
      <c r="AA9" s="166" t="s">
        <v>413</v>
      </c>
      <c r="AB9" s="166" t="s">
        <v>423</v>
      </c>
      <c r="AC9" s="166" t="s">
        <v>119</v>
      </c>
      <c r="AD9" s="166" t="s">
        <v>120</v>
      </c>
      <c r="AE9" s="166" t="s">
        <v>121</v>
      </c>
      <c r="AF9" s="166" t="s">
        <v>208</v>
      </c>
      <c r="AG9" s="166" t="s">
        <v>209</v>
      </c>
      <c r="AH9" s="167" t="s">
        <v>122</v>
      </c>
      <c r="AI9" s="167" t="s">
        <v>123</v>
      </c>
      <c r="AJ9" s="168" t="s">
        <v>124</v>
      </c>
      <c r="AK9" s="169" t="s">
        <v>126</v>
      </c>
      <c r="AL9" s="169" t="s">
        <v>127</v>
      </c>
      <c r="AM9" s="169" t="s">
        <v>128</v>
      </c>
    </row>
    <row r="10" spans="1:46">
      <c r="A10" s="39">
        <v>1</v>
      </c>
      <c r="B10" s="66" t="str">
        <f>SISWA!B6</f>
        <v>Afif Rafiudin</v>
      </c>
      <c r="C10" s="66">
        <f>SISWA!C6</f>
        <v>1279</v>
      </c>
      <c r="D10" s="66" t="str">
        <f>SISWA!D6</f>
        <v>0153278170</v>
      </c>
      <c r="E10" s="66" t="str">
        <f>'KI-1'!G8</f>
        <v xml:space="preserve">Ananda Afif baik dalam ketaatan beribadah, perilaku bersyukur, berdoa sebelum dan sesudah melakukan kegiatan, toleransi dalam beribadah, </v>
      </c>
      <c r="F10" s="66" t="str">
        <f>'KI-2'!I8</f>
        <v xml:space="preserve">Ananda Afif baik dalam sikap jujur, disiplin, tanggung jawab, sopan santun, kerja sama, </v>
      </c>
      <c r="G10" s="66" t="e">
        <f>#REF!</f>
        <v>#REF!</v>
      </c>
      <c r="H10" s="66" t="e">
        <f>#REF!</f>
        <v>#REF!</v>
      </c>
      <c r="I10" s="66" t="e">
        <f>#REF!</f>
        <v>#REF!</v>
      </c>
      <c r="J10" s="66" t="e">
        <f>#REF!</f>
        <v>#REF!</v>
      </c>
      <c r="K10" s="66" t="e">
        <f>#REF!</f>
        <v>#REF!</v>
      </c>
      <c r="L10" s="66" t="e">
        <f>#REF!</f>
        <v>#REF!</v>
      </c>
      <c r="M10" s="66" t="e">
        <f>#REF!</f>
        <v>#REF!</v>
      </c>
      <c r="N10" s="66" t="str">
        <f>'P-pkn'!CE8</f>
        <v>Ananda Afif  baik dalam mengidentifikasi nilai-nilai Pancasila dalam kehidupan sehari-hari, cukup dalam memahami hak, kewajiban dan tanggung jawab sebagai warga dalam kehidupan sehari-hari</v>
      </c>
      <c r="O10" s="66" t="str">
        <f>'P-BI'!DR8</f>
        <v>Ananda Afif baik dalam menggali isi dan amanat pantun yang disajikan secara lisan dan tulis dengan tujuan untuk kesenangan, cukup dalam menentukan pokok pikiran dalam teks lisan dan tulis</v>
      </c>
      <c r="P10" s="66" t="str">
        <f>'P MTK'!FR8</f>
        <v>Ananda Afif cukup dalam menjelaskan dan melakukan penjumlahan dan pengurangan dua pecahan dengan penyebut berbeda, cukup dalam menjelaskan dan melakukan perkalian dan pembagian pecahan dan desimal.</v>
      </c>
      <c r="Q10" s="66" t="str">
        <f>'P-IPA'!DR8</f>
        <v>Ananda Afif baik dalam menganalisis hubungan antar komponen ekosistem dan jaring-jaring makanan di lingkungan sekitar, cukup dalam menjelaskan organ pernafasan dan fungsinya pada hewan dan manusia, serta cara memelihara kesehatan organ pernapasan manusia</v>
      </c>
      <c r="R10" s="66" t="str">
        <f>'P-IPS'!DR8</f>
        <v>Ananda Afif cukup dalam menganalisis bentuk bentuk interaksi manusia dengan lingkungan dan pengaruhnya terhadap pembangunan sosial, budaya, dan ekonomi masyarakat Indonesia., cukup dalam menganalisis peran ekonomi dalam upaya menyejahterakan kehidupan masyarakat di bidang sosial dan budaya untuk memperkuat kesatuan dan persatuan bangsa.</v>
      </c>
      <c r="S10" s="66" t="str">
        <f>'P-SBDP'!DR8</f>
        <v>Ananda Afif baik dalam memahami pola lantai dalam tari kreasi daerah, cukup dalam memahami karya seni rupa daerah</v>
      </c>
      <c r="T10" s="66" t="str">
        <f>IFERROR('P-PJOK'!E6," ")</f>
        <v xml:space="preserve">Ananda Afif baik dalam memahami prosedur aktifitas latihan daya tahan jantung untuk pengembangan kebugaran jasmani, baik dalam memahami kombinasi gerak dasar lokomotor,nonlokomotor dan manipulatif. </v>
      </c>
      <c r="U10" s="66" t="str">
        <f>'P-BJAWA'!AX8</f>
        <v>Ananda Afif cukup dalam memahami tembang macapat Kinanthi, dan geguritan., cukup dalam memahami kata dan kalimat beraksara Jawa yang mengandung  pasangan.</v>
      </c>
      <c r="V10" s="66" t="e">
        <f>#REF!</f>
        <v>#REF!</v>
      </c>
      <c r="W10" s="66" t="e">
        <f>#REF!</f>
        <v>#REF!</v>
      </c>
      <c r="X10" s="66" t="e">
        <f>#REF!</f>
        <v>#REF!</v>
      </c>
      <c r="Y10" s="66" t="e">
        <f>#REF!</f>
        <v>#REF!</v>
      </c>
      <c r="Z10" s="66" t="e">
        <f>#REF!</f>
        <v>#REF!</v>
      </c>
      <c r="AA10" s="66" t="e">
        <f>#REF!</f>
        <v>#REF!</v>
      </c>
      <c r="AB10" s="66" t="e">
        <f>#REF!</f>
        <v>#REF!</v>
      </c>
      <c r="AC10" s="66" t="str">
        <f>'K-pkn'!DM8</f>
        <v>Ananda Afif baik dalam menjelaskan hak, kewajiban, dan tanggung jawab sebagai warga masyarakat dalam kehidupan sehari-hari, cukup dalam menyajikan hasil identifikasi nilai-nilai Pancasila dalam kehidupan sehari-hari.</v>
      </c>
      <c r="AD10" s="66" t="str">
        <f>'K-BI'!ES8</f>
        <v>Ananda Afif baik dalam melisankan pantun hasil karya pribadi dengan lafal, intonasi, dan ekspresi yang tepat sebagai bentuk ungkapan diri, cukup dalam memeragakan kembali informasi yang disampaikan paparan iklan dari media cetak atau elektronik dengan bantuan lisan, tulis, dan visual.</v>
      </c>
      <c r="AE10" s="66" t="str">
        <f>'K-MAT'!BA8</f>
        <v>Ananda Afif baik dalam menyelesaikan masalah yang berkaitan dengan skala pada denah, cukup dalam menyelesaikan masalah yang berkaitan dengan perbandingan dua besaran yang berbeda (kecepatan, debit).</v>
      </c>
      <c r="AF10" s="66" t="str">
        <f>'K-IPA'!ES8</f>
        <v>Ananda Afif baik dalam membuat model sederhana organ pernapasan manusia, cukup dalam menyajikan karya tentang konsep organ dan fungsi pencernaan pada hewan atau manusia..</v>
      </c>
      <c r="AG10" s="66" t="str">
        <f>'K-IPS'!DM8</f>
        <v>Ananda Afif baik dalam menyajikan hasil analisis tentang peran ekonomi dalam upaya menyejahterakan kehidupan masyarakat di bidang sosial dan budaya untuk memperkuat kesatuan dan persatuan bangsa., cukup dalam menyajikan hasil analisis tentang interaksi manusia dengan lingkungan dan pengaruhnya terhadap pembangunan sosial, budaya, dan ekonomi masyarakat Indonesia..</v>
      </c>
      <c r="AH10" s="66" t="str">
        <f>'K-SBDP'!DM8</f>
        <v>Ananda Afif baik dalam mempraktikkan pola lantai pada gerak tari kreasi dearah, cukup dalam menyanyikan lagu-lagu dalam berbagai tangga nada dengan iringan musik.</v>
      </c>
      <c r="AI10" s="66" t="str">
        <f>'K-PJOK'!E8</f>
        <v>Ananda Afif baik dalam mempraktikkan kombinasi gerak dasar lokomotor , nonlokomotor dan manipulatif serta baik dalam mempraktikkan aktifitas latihan daya jantung untuk pengembangan kebugaran jasmani.</v>
      </c>
      <c r="AJ10" s="66" t="str">
        <f>'K-BJAWA'!CR8</f>
        <v>Ananda Afif baik dalam menyampaikan teks deskriptif tentang peristiwa alam dan adat istiadat., cukup dalam melantunkan tembang macapat Kinanthi, dan menjelaskan  geguritan..</v>
      </c>
      <c r="AK10" s="66">
        <f>absen!C6</f>
        <v>2</v>
      </c>
      <c r="AL10" s="66">
        <f>absen!D6</f>
        <v>0</v>
      </c>
      <c r="AM10" s="66">
        <f>absen!E6</f>
        <v>0</v>
      </c>
    </row>
    <row r="11" spans="1:46">
      <c r="A11" s="39">
        <v>2</v>
      </c>
      <c r="B11" s="66" t="str">
        <f>SISWA!B7</f>
        <v>Ahmad Faiq Athaya</v>
      </c>
      <c r="C11" s="66">
        <f>SISWA!C7</f>
        <v>1355</v>
      </c>
      <c r="D11" s="66" t="str">
        <f>SISWA!D7</f>
        <v>088476284</v>
      </c>
      <c r="E11" s="66" t="str">
        <f>'KI-1'!G9</f>
        <v xml:space="preserve">Ananda Athaya baik dalam ketaatan beribadah, perilaku bersyukur, berdoa sebelum dan sesudah melakukan kegiatan, toleransi dalam beribadah, </v>
      </c>
      <c r="F11" s="66" t="str">
        <f>'KI-2'!I9</f>
        <v xml:space="preserve">Ananda Athaya baik dalam sikap jujur, disiplin, percaya diri, tanggung jawab, sopan santun, kerja sama, </v>
      </c>
      <c r="G11" s="66" t="e">
        <f>#REF!</f>
        <v>#REF!</v>
      </c>
      <c r="H11" s="66" t="e">
        <f>#REF!</f>
        <v>#REF!</v>
      </c>
      <c r="I11" s="66" t="e">
        <f>#REF!</f>
        <v>#REF!</v>
      </c>
      <c r="J11" s="66" t="e">
        <f>#REF!</f>
        <v>#REF!</v>
      </c>
      <c r="K11" s="66" t="e">
        <f>#REF!</f>
        <v>#REF!</v>
      </c>
      <c r="L11" s="66" t="e">
        <f>#REF!</f>
        <v>#REF!</v>
      </c>
      <c r="M11" s="66" t="e">
        <f>#REF!</f>
        <v>#REF!</v>
      </c>
      <c r="N11" s="66" t="str">
        <f>'P-pkn'!CE9</f>
        <v>Ananda Athaya  baik dalam menggali manfaat persatuan dan kesatuan untuk membangun kerukunan hidup, baik dalam mengidentifikasi nilai-nilai Pancasila dalam kehidupan sehari-hari</v>
      </c>
      <c r="O11" s="66" t="str">
        <f>'P-BI'!DR9</f>
        <v>Ananda Athaya baik dalam menguraikan konsep-konsep yang saling berkaitan pada teks nonfiksi, baik dalam menentukan pokok pikiran dalam teks lisan dan tulis</v>
      </c>
      <c r="P11" s="66" t="str">
        <f>'P MTK'!FR9</f>
        <v>Ananda Athaya  baik dalam menjelaskan dan melakukan penjumlahan dan pengurangan dua pecahan dengan penyebut berbeda, cukup dalam menjelaskan perbandingan dua besaran yang berbeda (kecepatan sebagai perbandingan jarak dengan waktu, debit sebagai perbandingan volume dan waktu).</v>
      </c>
      <c r="Q11" s="66" t="str">
        <f>'P-IPA'!DR9</f>
        <v>Ananda Athaya sangat baik dalam menganalisis hubungan antar komponen ekosistem dan jaring-jaring makanan di lingkungan sekitar, cukup dalam menjelaskan organ peredaran darah dan fungsinya pada hewan dan manusia serta cara memelihara kesehatan organ peredaran darah manusia</v>
      </c>
      <c r="R11" s="66" t="str">
        <f>'P-IPS'!DR9</f>
        <v xml:space="preserve">Ananda Athaya baik dalam menganalisis bentuk bentuk interaksi manusia dengan lingkungan dan pengaruhnya terhadap pembangunan sosial, budaya, dan ekonomi masyarakat Indonesia., baik dalam mengidentifikasi karakteristik geografis Indonesia sebagai negara kepulauan/maritim dan agraris serta pengaruhnya terhadap kehidupan ekonomi, sosial, budaya, komunikasi, serta transportasi. </v>
      </c>
      <c r="S11" s="66" t="str">
        <f>'P-SBDP'!DR9</f>
        <v>Ananda Athaya sangat baik dalam memahami karya seni rupa daerah, baik dalam memahami gambar cerita</v>
      </c>
      <c r="T11" s="66" t="str">
        <f>'P-PJOK'!E7</f>
        <v xml:space="preserve">Ananda Athaya baik dalam memahami prosedur aktifitas latihan daya tahan jantung untuk pengembangan kebugaran jasmani, baik dalam memahami kombinasi gerak dasar lokomotor,nonlokomotor dan manipulatif. </v>
      </c>
      <c r="U11" s="66" t="str">
        <f>'P-BJAWA'!AX9</f>
        <v>Ananda Athaya baik dalam memahami teks deskriptif tentang peristiwa alam dan adat istiadat., cukup dalam memahami unggah-ungguh basa untuk tanya jawab dan menyampaikan ajakan kepada orang lain.</v>
      </c>
      <c r="V11" s="66" t="e">
        <f>#REF!</f>
        <v>#REF!</v>
      </c>
      <c r="W11" s="66" t="e">
        <f>#REF!</f>
        <v>#REF!</v>
      </c>
      <c r="X11" s="66" t="e">
        <f>#REF!</f>
        <v>#REF!</v>
      </c>
      <c r="Y11" s="66" t="e">
        <f>#REF!</f>
        <v>#REF!</v>
      </c>
      <c r="Z11" s="66" t="e">
        <f>#REF!</f>
        <v>#REF!</v>
      </c>
      <c r="AA11" s="66" t="e">
        <f>#REF!</f>
        <v>#REF!</v>
      </c>
      <c r="AB11" s="66" t="e">
        <f>#REF!</f>
        <v>#REF!</v>
      </c>
      <c r="AC11" s="66" t="str">
        <f>'K-pkn'!DM9</f>
        <v>Ananda Athaya baik dalam menjelaskan hak, kewajiban, dan tanggung jawab sebagai warga masyarakat dalam kehidupan sehari-hari, baik dalam menyelenggarakan kegiatan yang mendukung keberagaman sosial budaya masyarakat.</v>
      </c>
      <c r="AD11" s="66" t="str">
        <f>'K-BI'!ES9</f>
        <v>Ananda Athaya baik dalam menyajikan hasil klasifikasi informasi yang didapat dari buku yang dikelompokkan dalam aspek: apa, di mana, kapan, siapa, mengapa, dan bagaimana , baik dalam melisankan pantun hasil karya pribadi dengan lafal, intonasi, dan ekspresi yang tepat sebagai bentuk ungkapan diri.</v>
      </c>
      <c r="AE11" s="66" t="str">
        <f>'K-MAT'!BA9</f>
        <v>Ananda Athaya baik dalam menyelesaikan masalah yang berkaitan dengan skala pada denah, cukup dalam menyelesaikan masalah yang berkaitan dengan perbandingan dua besaran yang berbeda (kecepatan, debit).</v>
      </c>
      <c r="AF11" s="66" t="str">
        <f>'K-IPA'!ES9</f>
        <v>Ananda Athaya baik dalam membuat model sederhana organ pernapasan manusia, baik dalam menyajikan karya tentang konsep organ dan fungsi pencernaan pada hewan atau manusia..</v>
      </c>
      <c r="AG11" s="66" t="str">
        <f>'K-IPS'!DM9</f>
        <v>Ananda Athaya baik dalam menyajikan hasil analisis tentang peran ekonomi dalam upaya menyejahterakan kehidupan masyarakat di bidang sosial dan budaya untuk memperkuat kesatuan dan persatuan bangsa., baik dalam menyajikan hasil analisis tentang interaksi manusia dengan lingkungan dan pengaruhnya terhadap pembangunan sosial, budaya, dan ekonomi masyarakat Indonesia..</v>
      </c>
      <c r="AH11" s="66" t="str">
        <f>'K-SBDP'!DM9</f>
        <v>Ananda Athaya baik dalam mempraktikkan pola lantai pada gerak tari kreasi dearah, cukup dalam membuat gambar cerita.</v>
      </c>
      <c r="AI11" s="66" t="str">
        <f>'K-PJOK'!E9</f>
        <v>Ananda Athaya baik dalam mempraktikkan kombinasi gerak dasar lokomotor , nonlokomotor dan manipulatif serta baik dalam mempraktikkan aktifitas latihan daya jantung untuk pengembangan kebugaran jasmani.</v>
      </c>
      <c r="AJ11" s="66" t="str">
        <f>'K-BJAWA'!CR9</f>
        <v>Ananda Athaya baik dalam menyampaikan teks deskriptif tentang peristiwa alam dan adat istiadat., baik dalam menceritakan wayang (Ramayana), pakaian tradisional, dan gamelan..</v>
      </c>
      <c r="AK11" s="66">
        <f>absen!C7</f>
        <v>3</v>
      </c>
      <c r="AL11" s="66">
        <f>absen!D7</f>
        <v>1</v>
      </c>
      <c r="AM11" s="66">
        <f>absen!E7</f>
        <v>0</v>
      </c>
    </row>
    <row r="12" spans="1:46">
      <c r="A12" s="39">
        <v>3</v>
      </c>
      <c r="B12" s="66" t="str">
        <f>SISWA!B8</f>
        <v>Amira Zerlinda</v>
      </c>
      <c r="C12" s="66">
        <f>SISWA!C8</f>
        <v>1356</v>
      </c>
      <c r="D12" s="66" t="str">
        <f>SISWA!D8</f>
        <v>083034124</v>
      </c>
      <c r="E12" s="66" t="str">
        <f>'KI-1'!G10</f>
        <v xml:space="preserve">Ananda Amira baik dalam ketaatan beribadah, perilaku bersyukur, berdoa sebelum dan sesudah melakukan kegiatan, toleransi dalam beribadah, </v>
      </c>
      <c r="F12" s="66" t="str">
        <f>'KI-2'!I10</f>
        <v xml:space="preserve">Ananda Amira baik dalam sikap jujur, disiplin, tanggung jawab, sopan santun, kerja sama, </v>
      </c>
      <c r="G12" s="66" t="e">
        <f>#REF!</f>
        <v>#REF!</v>
      </c>
      <c r="H12" s="66" t="e">
        <f>#REF!</f>
        <v>#REF!</v>
      </c>
      <c r="I12" s="66" t="e">
        <f>#REF!</f>
        <v>#REF!</v>
      </c>
      <c r="J12" s="66" t="e">
        <f>#REF!</f>
        <v>#REF!</v>
      </c>
      <c r="K12" s="66" t="e">
        <f>#REF!</f>
        <v>#REF!</v>
      </c>
      <c r="L12" s="66" t="e">
        <f>#REF!</f>
        <v>#REF!</v>
      </c>
      <c r="M12" s="66" t="e">
        <f>#REF!</f>
        <v>#REF!</v>
      </c>
      <c r="N12" s="66" t="str">
        <f>'P-pkn'!CE10</f>
        <v>Ananda Amira  baik dalam menelaah keberagaman sosial budaya masyarakat, dengan bimbingan dapat meningkatkan dalam menggali manfaat persatuan dan kesatuan untuk membangun kerukunan hidup</v>
      </c>
      <c r="O12" s="66" t="str">
        <f>'P-BI'!DR10</f>
        <v>Ananda Amira baik dalam menggali isi dan amanat pantun yang disajikan secara lisan dan tulis dengan tujuan untuk kesenangan, dengan bimbingan dapat meningkatkan dalam menguraikan konsep-konsep yang saling berkaitan pada teks nonfiksi</v>
      </c>
      <c r="P12" s="66" t="str">
        <f>'P MTK'!FR10</f>
        <v>Ananda Amira cukup dalam menjelaskan dan melakukan perkalian dan pembagian pecahan dan desimal, cukup dalam menjelaskan skala melalui denah.</v>
      </c>
      <c r="Q12" s="66" t="str">
        <f>'P-IPA'!DR10</f>
        <v>Ananda Amira baik dalam menjelaskan organ pencernaan dan fungsinya pada hewan dan manusia serta cara memelihara kesehatan organ pencernaan manusia, cukup dalam menganalisis hubungan antar komponen ekosistem dan jaring-jaring makanan di lingkungan sekitar</v>
      </c>
      <c r="R12" s="66" t="str">
        <f>'P-IPS'!DR10</f>
        <v xml:space="preserve">Ananda Amira baik dalam menganalisis bentuk bentuk interaksi manusia dengan lingkungan dan pengaruhnya terhadap pembangunan sosial, budaya, dan ekonomi masyarakat Indonesia., cukup dalam mengidentifikasi karakteristik geografis Indonesia sebagai negara kepulauan/maritim dan agraris serta pengaruhnya terhadap kehidupan ekonomi, sosial, budaya, komunikasi, serta transportasi. </v>
      </c>
      <c r="S12" s="66" t="str">
        <f>'P-SBDP'!DR10</f>
        <v>Ananda Amira cukup dalam memahami gambar cerita, cukup dalam memahami karya seni rupa daerah</v>
      </c>
      <c r="T12" s="66" t="str">
        <f>'P-PJOK'!E8</f>
        <v xml:space="preserve">Ananda Amira baik dalam memahami prosedur aktifitas latihan daya tahan jantung untuk pengembangan kebugaran jasmani, baik dalam memahami kombinasi gerak dasar lokomotor,nonlokomotor dan manipulatif. </v>
      </c>
      <c r="U12" s="66" t="str">
        <f>'P-BJAWA'!AX10</f>
        <v>Ananda Amira baik dalam memahami teks deskriptif tentang peristiwa alam dan adat istiadat., cukup dalam memahami tembang macapat Kinanthi, dan geguritan.</v>
      </c>
      <c r="V12" s="66" t="e">
        <f>#REF!</f>
        <v>#REF!</v>
      </c>
      <c r="W12" s="66" t="e">
        <f>#REF!</f>
        <v>#REF!</v>
      </c>
      <c r="X12" s="66" t="e">
        <f>#REF!</f>
        <v>#REF!</v>
      </c>
      <c r="Y12" s="66" t="e">
        <f>#REF!</f>
        <v>#REF!</v>
      </c>
      <c r="Z12" s="66" t="e">
        <f>#REF!</f>
        <v>#REF!</v>
      </c>
      <c r="AA12" s="66" t="e">
        <f>#REF!</f>
        <v>#REF!</v>
      </c>
      <c r="AB12" s="66" t="e">
        <f>#REF!</f>
        <v>#REF!</v>
      </c>
      <c r="AC12" s="66" t="str">
        <f>'K-pkn'!DM10</f>
        <v>Ananda Amira baik dalam menyelenggarakan kegiatan yang mendukung keberagaman sosial budaya masyarakat, baik dalam menyajikan hasil identifikasi nilai-nilai Pancasila dalam kehidupan sehari-hari.</v>
      </c>
      <c r="AD12" s="66" t="str">
        <f>'K-BI'!ES10</f>
        <v>Ananda Amira baik dalam melisankan pantun hasil karya pribadi dengan lafal, intonasi, dan ekspresi yang tepat sebagai bentuk ungkapan diri, cukup dalam menyajikan hasil klasifikasi informasi yang didapat dari buku yang dikelompokkan dalam aspek: apa, di mana, kapan, siapa, mengapa, dan bagaimana .</v>
      </c>
      <c r="AE12" s="66" t="str">
        <f>'K-MAT'!BA10</f>
        <v>Ananda Amira cukup dalam menyelesaikan masalah yang berkaitan dengan skala pada denah, cukup dalam menyelesaikan masalah yang berkaitan dengan perbandingan dua besaran yang berbeda (kecepatan, debit).</v>
      </c>
      <c r="AF12" s="66" t="str">
        <f>'K-IPA'!ES10</f>
        <v>Ananda Amira baik dalam menyajikan karya tentang organ peredaran darah pada manusia, cukup dalam membuat model sederhana alat gerak manusia atau hewan.</v>
      </c>
      <c r="AG12" s="66" t="str">
        <f>'K-IPS'!DM10</f>
        <v>Ananda Amira baik dalam menyajikan hasil analisis tentang interaksi manusia dengan lingkungan dan pengaruhnya terhadap pembangunan sosial, budaya, dan ekonomi masyarakat Indonesia., baik dalam menyajikan hasil analisis tentang peran ekonomi dalam upaya menyejahterakan kehidupan masyarakat di bidang sosial dan budaya untuk memperkuat kesatuan dan persatuan bangsa..</v>
      </c>
      <c r="AH12" s="66" t="str">
        <f>'K-SBDP'!DM10</f>
        <v>Ananda Amira baik dalam mempraktikkan pola lantai pada gerak tari kreasi dearah, baik dalam membuat gambar cerita.</v>
      </c>
      <c r="AI12" s="66" t="str">
        <f>'K-PJOK'!E10</f>
        <v>Ananda Amira baik dalam mempraktikkan kombinasi gerak dasar lokomotor , nonlokomotor dan manipulatif serta baik dalam mempraktikkan aktifitas latihan daya jantung untuk pengembangan kebugaran jasmani.</v>
      </c>
      <c r="AJ12" s="66" t="str">
        <f>'K-BJAWA'!CR10</f>
        <v>Ananda Amira cukup dalam menceritakan wayang (Ramayana), pakaian tradisional, dan gamelan., cukup dalam melantunkan tembang macapat Kinanthi, dan menjelaskan  geguritan..</v>
      </c>
      <c r="AK12" s="66">
        <f>absen!C8</f>
        <v>4</v>
      </c>
      <c r="AL12" s="66">
        <f>absen!D8</f>
        <v>1</v>
      </c>
      <c r="AM12" s="66">
        <f>absen!E8</f>
        <v>0</v>
      </c>
    </row>
    <row r="13" spans="1:46">
      <c r="A13" s="39">
        <v>4</v>
      </c>
      <c r="B13" s="66" t="str">
        <f>SISWA!B9</f>
        <v>Andrian Putra Pangestu</v>
      </c>
      <c r="C13" s="66">
        <f>SISWA!C9</f>
        <v>1255</v>
      </c>
      <c r="D13" s="66" t="str">
        <f>SISWA!D9</f>
        <v>0072961067</v>
      </c>
      <c r="E13" s="66" t="str">
        <f>'KI-1'!G11</f>
        <v xml:space="preserve">Ananda Andri baik dalam ketaatan beribadah, perilaku bersyukur, berdoa sebelum dan sesudah melakukan kegiatan, toleransi dalam beribadah, </v>
      </c>
      <c r="F13" s="66" t="str">
        <f>'KI-2'!I11</f>
        <v xml:space="preserve">Ananda Andri baik dalam sikap disiplin, tanggung jawab, sopan santun, kerja sama, </v>
      </c>
      <c r="G13" s="66" t="e">
        <f>#REF!</f>
        <v>#REF!</v>
      </c>
      <c r="H13" s="66" t="e">
        <f>#REF!</f>
        <v>#REF!</v>
      </c>
      <c r="I13" s="66" t="e">
        <f>#REF!</f>
        <v>#REF!</v>
      </c>
      <c r="J13" s="66" t="e">
        <f>#REF!</f>
        <v>#REF!</v>
      </c>
      <c r="K13" s="66" t="e">
        <f>#REF!</f>
        <v>#REF!</v>
      </c>
      <c r="L13" s="66" t="e">
        <f>#REF!</f>
        <v>#REF!</v>
      </c>
      <c r="M13" s="66" t="e">
        <f>#REF!</f>
        <v>#REF!</v>
      </c>
      <c r="N13" s="66" t="str">
        <f>'P-pkn'!CE11</f>
        <v>Ananda Andri  cukup dalam memahami hak, kewajiban dan tanggung jawab sebagai warga dalam kehidupan sehari-hari, cukup dalam menelaah keberagaman sosial budaya masyarakat</v>
      </c>
      <c r="O13" s="66" t="str">
        <f>'P-BI'!DR11</f>
        <v>Ananda Andri cukup dalam mengklasifikasi informasi yang didapat dari buku ke dalam aspek: apa, di mana, kapan, siapa, mengapa, dan bagaimana, cukup dalam menguraikan konsep-konsep yang saling berkaitan pada teks nonfiksi</v>
      </c>
      <c r="P13" s="66" t="str">
        <f>'P MTK'!FR11</f>
        <v>Ananda Andri cukup dalam menjelaskan perbandingan dua besaran yang berbeda (kecepatan sebagai perbandingan jarak dengan waktu, debit sebagai perbandingan volume dan waktu), cukup dalam menjelaskan dan melakukan perkalian dan pembagian pecahan dan desimal.</v>
      </c>
      <c r="Q13" s="66" t="str">
        <f>'P-IPA'!DR11</f>
        <v>Ananda Andri cukup dalam menganalisis hubungan antar komponen ekosistem dan jaring-jaring makanan di lingkungan sekitar, cukup dalam menganalisis hubungan antar komponen ekosistem dan jaring-jaring makanan di lingkungan sekitar</v>
      </c>
      <c r="R13" s="66" t="str">
        <f>'P-IPS'!DR11</f>
        <v>Ananda Andri cukup dalam menganalisis peran ekonomi dalam upaya menyejahterakan kehidupan masyarakat di bidang sosial dan budaya untuk memperkuat kesatuan dan persatuan bangsa., cukup dalam menganalisis peran ekonomi dalam upaya menyejahterakan kehidupan masyarakat di bidang sosial dan budaya untuk memperkuat kesatuan dan persatuan bangsa.</v>
      </c>
      <c r="S13" s="66" t="str">
        <f>'P-SBDP'!DR11</f>
        <v>Ananda Andri cukup dalam memahami gambar cerita, cukup dalam memahami karya seni rupa daerah</v>
      </c>
      <c r="T13" s="66" t="str">
        <f>'P-PJOK'!E9</f>
        <v xml:space="preserve">Ananda Andri baik dalam memahami prosedur aktifitas latihan daya tahan jantung untuk pengembangan kebugaran jasmani, baik dalam memahami kombinasi gerak dasar lokomotor,nonlokomotor dan manipulatif. </v>
      </c>
      <c r="U13" s="66" t="str">
        <f>'P-BJAWA'!AX11</f>
        <v>Ananda Andri cukup dalam memahami unggah-ungguh basa untuk tanya jawab dan menyampaikan ajakan kepada orang lain., cukup dalam memahami  wayang (Ramayana), pakaian tradisional, dan gamelan.</v>
      </c>
      <c r="V13" s="66" t="e">
        <f>#REF!</f>
        <v>#REF!</v>
      </c>
      <c r="W13" s="66" t="e">
        <f>#REF!</f>
        <v>#REF!</v>
      </c>
      <c r="X13" s="66" t="e">
        <f>#REF!</f>
        <v>#REF!</v>
      </c>
      <c r="Y13" s="66" t="e">
        <f>#REF!</f>
        <v>#REF!</v>
      </c>
      <c r="Z13" s="66" t="e">
        <f>#REF!</f>
        <v>#REF!</v>
      </c>
      <c r="AA13" s="66" t="e">
        <f>#REF!</f>
        <v>#REF!</v>
      </c>
      <c r="AB13" s="66" t="e">
        <f>#REF!</f>
        <v>#REF!</v>
      </c>
      <c r="AC13" s="66" t="str">
        <f>'K-pkn'!DM11</f>
        <v>Ananda Andri cukup dalam menyajikan hasil penggalian tentang manfaat persatuan dan kesatuan untuk membangun kerukunan., cukup dalam menyelenggarakan kegiatan yang mendukung keberagaman sosial budaya masyarakat.</v>
      </c>
      <c r="AD13" s="66" t="str">
        <f>'K-BI'!ES11</f>
        <v>Ananda Andri cukup dalam menyajikan konsep-konsep yang saling berkaitan pada teks nonfiksi ke dalam tulisan dengan bahasa sendiri, cukup dalam melisankan pantun hasil karya pribadi dengan lafal, intonasi, dan ekspresi yang tepat sebagai bentuk ungkapan diri.</v>
      </c>
      <c r="AE13" s="66" t="str">
        <f>'K-MAT'!BA11</f>
        <v>Ananda Andri cukup dalam menyelesaikan masalah yang berkaitan dengan skala pada denah, cukup dalam menyelesaikan masalah yang berkaitan dengan perbandingan dua besaran yang berbeda (kecepatan, debit).</v>
      </c>
      <c r="AF13" s="66" t="str">
        <f>'K-IPA'!ES11</f>
        <v>Ananda Andri cukup dalam menyajikan karya tentang organ peredaran darah pada manusia, cukup dalam menyajikan karya tentang konsep organ dan fungsi pencernaan pada hewan atau manusia..</v>
      </c>
      <c r="AG13" s="66" t="str">
        <f>'K-IPS'!DM11</f>
        <v>Ananda Andri cukup dalam menyajikan hasil identifikasi karakteristik geografis Indonesia sebagai negara kepulauan/maritim dan agraris serta pengaruhnya terhadap kehidupan ekonomi, sosial, budaya, komunikasi, serta transportasi., cukup dalam menyajikan hasil analisis tentang peran ekonomi dalam upaya menyejahterakan kehidupan masyarakat di bidang sosial dan budaya untuk memperkuat kesatuan dan persatuan bangsa..</v>
      </c>
      <c r="AH13" s="66" t="str">
        <f>'K-SBDP'!DM11</f>
        <v>Ananda Andri cukup dalam menyanyikan lagu-lagu dalam berbagai tangga nada dengan iringan musik, cukup dalam mempraktikkan pola lantai pada gerak tari kreasi dearah.</v>
      </c>
      <c r="AI13" s="66" t="str">
        <f>'K-PJOK'!E11</f>
        <v>Ananda Andri baik dalam mempraktikkan kombinasi gerak dasar lokomotor , nonlokomotor dan manipulatif serta baik dalam mempraktikkan aktifitas latihan daya jantung untuk pengembangan kebugaran jasmani.</v>
      </c>
      <c r="AJ13" s="66" t="str">
        <f>'K-BJAWA'!CR11</f>
        <v>Ananda Andri baik dalam menyampaikan teks deskriptif tentang peristiwa alam dan adat istiadat., cukup dalam menceritakan wayang (Ramayana), pakaian tradisional, dan gamelan..</v>
      </c>
      <c r="AK13" s="66">
        <f>absen!C9</f>
        <v>2</v>
      </c>
      <c r="AL13" s="66">
        <f>absen!D9</f>
        <v>0</v>
      </c>
      <c r="AM13" s="66">
        <f>absen!E9</f>
        <v>0</v>
      </c>
    </row>
    <row r="14" spans="1:46">
      <c r="A14" s="39">
        <v>5</v>
      </c>
      <c r="B14" s="66" t="str">
        <f>SISWA!B10</f>
        <v>Gresiya Suma Safitri</v>
      </c>
      <c r="C14" s="66">
        <f>SISWA!C10</f>
        <v>1274</v>
      </c>
      <c r="D14" s="66" t="str">
        <f>SISWA!D10</f>
        <v>0086534500</v>
      </c>
      <c r="E14" s="66" t="str">
        <f>'KI-1'!G12</f>
        <v xml:space="preserve">Ananda Gresia baik dalam ketaatan beribadah, perilaku bersyukur, berdoa sebelum dan sesudah melakukan kegiatan, toleransi dalam beribadah, </v>
      </c>
      <c r="F14" s="66" t="str">
        <f>'KI-2'!I12</f>
        <v xml:space="preserve">Ananda Gresia baik dalam sikap jujur, disiplin, tanggung jawab, sopan santun, kerja sama, </v>
      </c>
      <c r="G14" s="66" t="e">
        <f>#REF!</f>
        <v>#REF!</v>
      </c>
      <c r="H14" s="66" t="e">
        <f>#REF!</f>
        <v>#REF!</v>
      </c>
      <c r="I14" s="66" t="e">
        <f>#REF!</f>
        <v>#REF!</v>
      </c>
      <c r="J14" s="66" t="e">
        <f>#REF!</f>
        <v>#REF!</v>
      </c>
      <c r="K14" s="66" t="e">
        <f>#REF!</f>
        <v>#REF!</v>
      </c>
      <c r="L14" s="66" t="e">
        <f>#REF!</f>
        <v>#REF!</v>
      </c>
      <c r="M14" s="66" t="e">
        <f>#REF!</f>
        <v>#REF!</v>
      </c>
      <c r="N14" s="66" t="str">
        <f>'P-pkn'!CE12</f>
        <v>Ananda Gresia  baik dalam menelaah keberagaman sosial budaya masyarakat, cukup dalam mengidentifikasi nilai-nilai Pancasila dalam kehidupan sehari-hari</v>
      </c>
      <c r="O14" s="66" t="str">
        <f>'P-BI'!DR12</f>
        <v>Ananda Gresia baik dalam menguraikan konsep-konsep yang saling berkaitan pada teks nonfiksi, cukup dalam menggali isi dan amanat pantun yang disajikan secara lisan dan tulis dengan tujuan untuk kesenangan</v>
      </c>
      <c r="P14" s="66" t="str">
        <f>'P MTK'!FR12</f>
        <v>Ananda Gresia cukup dalam menjelaskan dan melakukan perkalian dan pembagian pecahan dan desimal, cukup dalam menjelaskan dan melakukan penjumlahan dan pengurangan dua pecahan dengan penyebut berbeda.</v>
      </c>
      <c r="Q14" s="66" t="str">
        <f>'P-IPA'!DR12</f>
        <v>Ananda Gresia baik dalam menjelaskan organ peredaran darah dan fungsinya pada hewan dan manusia serta cara memelihara kesehatan organ peredaran darah manusia, cukup dalam menjelaskan organ pencernaan dan fungsinya pada hewan dan manusia serta cara memelihara kesehatan organ pencernaan manusia</v>
      </c>
      <c r="R14" s="66" t="str">
        <f>'P-IPS'!DR12</f>
        <v>Ananda Gresia cukup dalam mengidentifikasi karakteristik geografis Indonesia sebagai negara kepulauan/maritim dan agraris serta pengaruhnya terhadap kehidupan ekonomi, sosial, budaya, komunikasi, serta transportasi. , cukup dalam menganalisis peran ekonomi dalam upaya menyejahterakan kehidupan masyarakat di bidang sosial dan budaya untuk memperkuat kesatuan dan persatuan bangsa.</v>
      </c>
      <c r="S14" s="66" t="str">
        <f>'P-SBDP'!DR12</f>
        <v>Ananda Gresia sangat baik dalam memahami karya seni rupa daerah, cukup dalam memahami tangga nada</v>
      </c>
      <c r="T14" s="66" t="str">
        <f>'P-PJOK'!E10</f>
        <v xml:space="preserve">Ananda Gresia baik dalam memahami prosedur aktifitas latihan daya tahan jantung untuk pengembangan kebugaran jasmani, baik dalam memahami kombinasi gerak dasar lokomotor,nonlokomotor dan manipulatif. </v>
      </c>
      <c r="U14" s="66" t="str">
        <f>'P-BJAWA'!AX12</f>
        <v>Ananda Gresia cukup dalam memahami teks deskriptif tentang peristiwa alam dan adat istiadat., cukup dalam memahami kata dan kalimat beraksara Jawa yang mengandung  pasangan.</v>
      </c>
      <c r="V14" s="66" t="e">
        <f>#REF!</f>
        <v>#REF!</v>
      </c>
      <c r="W14" s="66" t="e">
        <f>#REF!</f>
        <v>#REF!</v>
      </c>
      <c r="X14" s="66" t="e">
        <f>#REF!</f>
        <v>#REF!</v>
      </c>
      <c r="Y14" s="66" t="e">
        <f>#REF!</f>
        <v>#REF!</v>
      </c>
      <c r="Z14" s="66" t="e">
        <f>#REF!</f>
        <v>#REF!</v>
      </c>
      <c r="AA14" s="66" t="e">
        <f>#REF!</f>
        <v>#REF!</v>
      </c>
      <c r="AB14" s="66" t="e">
        <f>#REF!</f>
        <v>#REF!</v>
      </c>
      <c r="AC14" s="66" t="str">
        <f>'K-pkn'!DM12</f>
        <v>Ananda Gresia baik dalam menyajikan hasil penggalian tentang manfaat persatuan dan kesatuan untuk membangun kerukunan., cukup dalam menyelenggarakan kegiatan yang mendukung keberagaman sosial budaya masyarakat.</v>
      </c>
      <c r="AD14" s="66" t="str">
        <f>'K-BI'!ES12</f>
        <v>Ananda Gresia cukup dalam menyajikan konsep-konsep yang saling berkaitan pada teks nonfiksi ke dalam tulisan dengan bahasa sendiri, cukup dalam menyajikan hasil klasifikasi informasi yang didapat dari buku yang dikelompokkan dalam aspek: apa, di mana, kapan, siapa, mengapa, dan bagaimana .</v>
      </c>
      <c r="AE14" s="66" t="str">
        <f>'K-MAT'!BA12</f>
        <v>Ananda Gresia baik dalam menyelesaikan masalah yang berkaitan dengan skala pada denah, cukup dalam menyelesaikan masalah yang berkaitan dengan perkalian dan pembagian pecahan dan desimal.</v>
      </c>
      <c r="AF14" s="66" t="str">
        <f>'K-IPA'!ES12</f>
        <v>Ananda Gresia baik dalam membuat model sederhana organ pernapasan manusia, baik dalam menyajikan karya tentang organ peredaran darah pada manusia.</v>
      </c>
      <c r="AG14" s="66" t="str">
        <f>'K-IPS'!DM12</f>
        <v>Ananda Gresia baik dalam menyajikan hasil analisis tentang peran ekonomi dalam upaya menyejahterakan kehidupan masyarakat di bidang sosial dan budaya untuk memperkuat kesatuan dan persatuan bangsa., cukup dalam menyajikan hasil analisis tentang interaksi manusia dengan lingkungan dan pengaruhnya terhadap pembangunan sosial, budaya, dan ekonomi masyarakat Indonesia..</v>
      </c>
      <c r="AH14" s="66" t="str">
        <f>'K-SBDP'!DM12</f>
        <v>Ananda Gresia baik dalam mempraktikkan pola lantai pada gerak tari kreasi dearah, cukup dalam membuat gambar cerita.</v>
      </c>
      <c r="AI14" s="66" t="str">
        <f>'K-PJOK'!E12</f>
        <v>Ananda Gresia baik dalam mempraktikkan kombinasi gerak dasar lokomotor , nonlokomotor dan manipulatif serta baik dalam mempraktikkan aktifitas latihan daya jantung untuk pengembangan kebugaran jasmani.</v>
      </c>
      <c r="AJ14" s="66" t="str">
        <f>'K-BJAWA'!CR12</f>
        <v>Ananda Gresia baik dalam menyampaikan teks deskriptif tentang peristiwa alam dan adat istiadat., baik dalam menceritakan wayang (Ramayana), pakaian tradisional, dan gamelan..</v>
      </c>
      <c r="AK14" s="66">
        <f>absen!C10</f>
        <v>5</v>
      </c>
      <c r="AL14" s="66">
        <f>absen!D10</f>
        <v>1</v>
      </c>
      <c r="AM14" s="66">
        <f>absen!E10</f>
        <v>0</v>
      </c>
    </row>
    <row r="15" spans="1:46">
      <c r="A15" s="39">
        <v>6</v>
      </c>
      <c r="B15" s="66" t="str">
        <f>SISWA!B11</f>
        <v>Hasna Fathitya Sabrina</v>
      </c>
      <c r="C15" s="66">
        <f>SISWA!C11</f>
        <v>1280</v>
      </c>
      <c r="D15" s="66" t="str">
        <f>SISWA!D11</f>
        <v>0095912960</v>
      </c>
      <c r="E15" s="66" t="str">
        <f>'KI-1'!G13</f>
        <v xml:space="preserve">Ananda Hasna baik dalam ketaatan beribadah, perilaku bersyukur, berdoa sebelum dan sesudah melakukan kegiatan, toleransi dalam beribadah, </v>
      </c>
      <c r="F15" s="66" t="str">
        <f>'KI-2'!I13</f>
        <v xml:space="preserve">Ananda Hasna baik dalam sikap jujur, disiplin, tanggung jawab, sopan santun, kerja sama, </v>
      </c>
      <c r="G15" s="66" t="e">
        <f>#REF!</f>
        <v>#REF!</v>
      </c>
      <c r="H15" s="66" t="e">
        <f>#REF!</f>
        <v>#REF!</v>
      </c>
      <c r="I15" s="66" t="e">
        <f>#REF!</f>
        <v>#REF!</v>
      </c>
      <c r="J15" s="66" t="e">
        <f>#REF!</f>
        <v>#REF!</v>
      </c>
      <c r="K15" s="66" t="e">
        <f>#REF!</f>
        <v>#REF!</v>
      </c>
      <c r="L15" s="66" t="e">
        <f>#REF!</f>
        <v>#REF!</v>
      </c>
      <c r="M15" s="66" t="e">
        <f>#REF!</f>
        <v>#REF!</v>
      </c>
      <c r="N15" s="66" t="str">
        <f>'P-pkn'!CE13</f>
        <v>Ananda Hasna  baik dalam memahami hak, kewajiban dan tanggung jawab sebagai warga dalam kehidupan sehari-hari, cukup dalam menggali manfaat persatuan dan kesatuan untuk membangun kerukunan hidup</v>
      </c>
      <c r="O15" s="66" t="str">
        <f>'P-BI'!DR13</f>
        <v>Ananda Hasna baik dalam menentukan pokok pikiran dalam teks lisan dan tulis, cukup dalam enganalisis informasi yang disampaikan paparan iklan dari media cetak atau elektronik</v>
      </c>
      <c r="P15" s="66" t="str">
        <f>'P MTK'!FR13</f>
        <v>Ananda Hasna cukup dalam menjelaskan perbandingan dua besaran yang berbeda (kecepatan sebagai perbandingan jarak dengan waktu, debit sebagai perbandingan volume dan waktu), cukup dalam menjelaskan skala melalui denah.</v>
      </c>
      <c r="Q15" s="66" t="str">
        <f>'P-IPA'!DR13</f>
        <v>Ananda Hasna baik dalam menjelaskan organ pencernaan dan fungsinya pada hewan dan manusia serta cara memelihara kesehatan organ pencernaan manusia, cukup dalam menjelaskan organ peredaran darah dan fungsinya pada hewan dan manusia serta cara memelihara kesehatan organ peredaran darah manusia</v>
      </c>
      <c r="R15" s="66" t="str">
        <f>'P-IPS'!DR13</f>
        <v xml:space="preserve">Ananda Hasna cukup dalam menganalisis peran ekonomi dalam upaya menyejahterakan kehidupan masyarakat di bidang sosial dan budaya untuk memperkuat kesatuan dan persatuan bangsa., cukup dalam mengidentifikasi karakteristik geografis Indonesia sebagai negara kepulauan/maritim dan agraris serta pengaruhnya terhadap kehidupan ekonomi, sosial, budaya, komunikasi, serta transportasi. </v>
      </c>
      <c r="S15" s="66" t="str">
        <f>'P-SBDP'!DR13</f>
        <v>Ananda Hasna baik dalam memahami gambar cerita, cukup dalam memahami karya seni rupa daerah</v>
      </c>
      <c r="T15" s="66" t="str">
        <f>'P-PJOK'!E11</f>
        <v xml:space="preserve">Ananda Hasna baik dalam memahami prosedur aktifitas latihan daya tahan jantung untuk pengembangan kebugaran jasmani, baik dalam memahami kombinasi gerak dasar lokomotor,nonlokomotor dan manipulatif. </v>
      </c>
      <c r="U15" s="66" t="str">
        <f>'P-BJAWA'!AX13</f>
        <v>Ananda Hasna baik dalam memahami teks deskriptif tentang peristiwa alam dan adat istiadat., cukup dalam memahami kata dan kalimat beraksara Jawa yang mengandung  pasangan.</v>
      </c>
      <c r="V15" s="66" t="e">
        <f>#REF!</f>
        <v>#REF!</v>
      </c>
      <c r="W15" s="66" t="e">
        <f>#REF!</f>
        <v>#REF!</v>
      </c>
      <c r="X15" s="66" t="e">
        <f>#REF!</f>
        <v>#REF!</v>
      </c>
      <c r="Y15" s="66" t="e">
        <f>#REF!</f>
        <v>#REF!</v>
      </c>
      <c r="Z15" s="66" t="e">
        <f>#REF!</f>
        <v>#REF!</v>
      </c>
      <c r="AA15" s="66" t="e">
        <f>#REF!</f>
        <v>#REF!</v>
      </c>
      <c r="AB15" s="66" t="e">
        <f>#REF!</f>
        <v>#REF!</v>
      </c>
      <c r="AC15" s="66" t="str">
        <f>'K-pkn'!DM13</f>
        <v>Ananda Hasna baik dalam menyelenggarakan kegiatan yang mendukung keberagaman sosial budaya masyarakat, cukup dalam menyajikan hasil penggalian tentang manfaat persatuan dan kesatuan untuk membangun kerukunan..</v>
      </c>
      <c r="AD15" s="66" t="str">
        <f>'K-BI'!ES13</f>
        <v>Ananda Hasna baik dalam menyajikan hasil identifikasi pokok pikiran dalam teks tulis dan lisan secara lisan, tulis, dan visual, cukup dalam menyajikan konsep-konsep yang saling berkaitan pada teks nonfiksi ke dalam tulisan dengan bahasa sendiri.</v>
      </c>
      <c r="AE15" s="66" t="str">
        <f>'K-MAT'!BA13</f>
        <v>Ananda Hasna baik dalam menyelesaikan masalah yang berkaitan dengan skala pada denah, cukup dalam menyelesaikan masalah yang berkaitan dengan perbandingan dua besaran yang berbeda (kecepatan, debit).</v>
      </c>
      <c r="AF15" s="66" t="str">
        <f>'K-IPA'!ES13</f>
        <v>Ananda Hasna baik dalam membuat model sederhana alat gerak manusia atau hewan, baik dalam menyajikan karya tentang konsep organ dan fungsi pencernaan pada hewan atau manusia..</v>
      </c>
      <c r="AG15" s="66" t="str">
        <f>'K-IPS'!DM13</f>
        <v>Ananda Hasna baik dalam menyajikan hasil analisis tentang peran ekonomi dalam upaya menyejahterakan kehidupan masyarakat di bidang sosial dan budaya untuk memperkuat kesatuan dan persatuan bangsa., baik dalam menyajikan hasil analisis tentang interaksi manusia dengan lingkungan dan pengaruhnya terhadap pembangunan sosial, budaya, dan ekonomi masyarakat Indonesia..</v>
      </c>
      <c r="AH15" s="66" t="str">
        <f>'K-SBDP'!DM13</f>
        <v>Ananda Hasna baik dalam mempraktikkan pola lantai pada gerak tari kreasi dearah, baik dalam membuat gambar cerita.</v>
      </c>
      <c r="AI15" s="66" t="str">
        <f>'K-PJOK'!E13</f>
        <v>Ananda Hasna baik dalam mempraktikkan kombinasi gerak dasar lokomotor , nonlokomotor dan manipulatif serta baik dalam mempraktikkan aktifitas latihan daya jantung untuk pengembangan kebugaran jasmani.</v>
      </c>
      <c r="AJ15" s="66" t="str">
        <f>'K-BJAWA'!CR13</f>
        <v>Ananda Hasna baik dalam menyampaikan teks deskriptif tentang peristiwa alam dan adat istiadat., cukup dalam menceritakan wayang (Ramayana), pakaian tradisional, dan gamelan..</v>
      </c>
      <c r="AK15" s="66">
        <f>absen!C11</f>
        <v>4</v>
      </c>
      <c r="AL15" s="66">
        <f>absen!D11</f>
        <v>0</v>
      </c>
      <c r="AM15" s="66">
        <f>absen!E11</f>
        <v>0</v>
      </c>
    </row>
    <row r="16" spans="1:46">
      <c r="A16" s="39">
        <v>7</v>
      </c>
      <c r="B16" s="66" t="str">
        <f>SISWA!B12</f>
        <v>Indah Fitria Ningrum</v>
      </c>
      <c r="C16" s="66">
        <f>SISWA!C12</f>
        <v>1273</v>
      </c>
      <c r="D16" s="66" t="str">
        <f>SISWA!D12</f>
        <v>0083313497</v>
      </c>
      <c r="E16" s="66" t="str">
        <f>'KI-1'!G14</f>
        <v xml:space="preserve">Ananda Indah baik dalam ketaatan beribadah, perilaku bersyukur, berdoa sebelum dan sesudah melakukan kegiatan, toleransi dalam beribadah, </v>
      </c>
      <c r="F16" s="66" t="str">
        <f>'KI-2'!I14</f>
        <v xml:space="preserve">Ananda Indah baik dalam sikap jujur, disiplin, tanggung jawab, sopan santun, kerja sama, </v>
      </c>
      <c r="G16" s="66" t="e">
        <f>#REF!</f>
        <v>#REF!</v>
      </c>
      <c r="H16" s="66" t="e">
        <f>#REF!</f>
        <v>#REF!</v>
      </c>
      <c r="I16" s="66" t="e">
        <f>#REF!</f>
        <v>#REF!</v>
      </c>
      <c r="J16" s="66" t="e">
        <f>#REF!</f>
        <v>#REF!</v>
      </c>
      <c r="K16" s="66" t="e">
        <f>#REF!</f>
        <v>#REF!</v>
      </c>
      <c r="L16" s="66" t="e">
        <f>#REF!</f>
        <v>#REF!</v>
      </c>
      <c r="M16" s="66" t="e">
        <f>#REF!</f>
        <v>#REF!</v>
      </c>
      <c r="N16" s="66" t="str">
        <f>'P-pkn'!CE14</f>
        <v>Ananda Indah  sangat baik dalam menelaah keberagaman sosial budaya masyarakat, cukup dalam menggali manfaat persatuan dan kesatuan untuk membangun kerukunan hidup</v>
      </c>
      <c r="O16" s="66" t="str">
        <f>'P-BI'!DR14</f>
        <v>Ananda Indah baik dalam menguraikan konsep-konsep yang saling berkaitan pada teks nonfiksi, cukup dalam menggali isi dan amanat pantun yang disajikan secara lisan dan tulis dengan tujuan untuk kesenangan</v>
      </c>
      <c r="P16" s="66" t="str">
        <f>'P MTK'!FR14</f>
        <v>Ananda Indah cukup dalam menjelaskan dan melakukan penjumlahan dan pengurangan dua pecahan dengan penyebut berbeda, cukup dalam menjelaskan skala melalui denah.</v>
      </c>
      <c r="Q16" s="66" t="str">
        <f>'P-IPA'!DR14</f>
        <v>Ananda Indah baik dalam menjelaskan organ peredaran darah dan fungsinya pada hewan dan manusia serta cara memelihara kesehatan organ peredaran darah manusia, cukup dalam menjelaskan alat gerak dan fungsinya pada hewan dan manusia serta cara memelihara kesehatan alat gerak manusia</v>
      </c>
      <c r="R16" s="66" t="str">
        <f>'P-IPS'!DR14</f>
        <v xml:space="preserve">Ananda Indah baik dalam menganalisis bentuk bentuk interaksi manusia dengan lingkungan dan pengaruhnya terhadap pembangunan sosial, budaya, dan ekonomi masyarakat Indonesia., cukup dalam mengidentifikasi karakteristik geografis Indonesia sebagai negara kepulauan/maritim dan agraris serta pengaruhnya terhadap kehidupan ekonomi, sosial, budaya, komunikasi, serta transportasi. </v>
      </c>
      <c r="S16" s="66" t="str">
        <f>'P-SBDP'!DR14</f>
        <v>Ananda Indah sangat baik dalam memahami tangga nada, baik dalam memahami pola lantai dalam tari kreasi daerah</v>
      </c>
      <c r="T16" s="66" t="str">
        <f>'P-PJOK'!E12</f>
        <v xml:space="preserve">Ananda Indah baik dalam memahami prosedur aktifitas latihan daya tahan jantung untuk pengembangan kebugaran jasmani, baik dalam memahami kombinasi gerak dasar lokomotor,nonlokomotor dan manipulatif. </v>
      </c>
      <c r="U16" s="66" t="str">
        <f>'P-BJAWA'!AX14</f>
        <v>Ananda Indah baik dalam memahami teks deskriptif tentang peristiwa alam dan adat istiadat., cukup dalam memahami unggah-ungguh basa untuk tanya jawab dan menyampaikan ajakan kepada orang lain.</v>
      </c>
      <c r="V16" s="66" t="e">
        <f>#REF!</f>
        <v>#REF!</v>
      </c>
      <c r="W16" s="66" t="e">
        <f>#REF!</f>
        <v>#REF!</v>
      </c>
      <c r="X16" s="66" t="e">
        <f>#REF!</f>
        <v>#REF!</v>
      </c>
      <c r="Y16" s="66" t="e">
        <f>#REF!</f>
        <v>#REF!</v>
      </c>
      <c r="Z16" s="66" t="e">
        <f>#REF!</f>
        <v>#REF!</v>
      </c>
      <c r="AA16" s="66" t="e">
        <f>#REF!</f>
        <v>#REF!</v>
      </c>
      <c r="AB16" s="66" t="e">
        <f>#REF!</f>
        <v>#REF!</v>
      </c>
      <c r="AC16" s="66" t="str">
        <f>'K-pkn'!DM14</f>
        <v>Ananda Indah baik dalam menjelaskan hak, kewajiban, dan tanggung jawab sebagai warga masyarakat dalam kehidupan sehari-hari, baik dalam menyelenggarakan kegiatan yang mendukung keberagaman sosial budaya masyarakat.</v>
      </c>
      <c r="AD16" s="66" t="str">
        <f>'K-BI'!ES14</f>
        <v>Ananda Indah baik dalam menyajikan konsep-konsep yang saling berkaitan pada teks nonfiksi ke dalam tulisan dengan bahasa sendiri, cukup dalam menyajikan hasil identifikasi pokok pikiran dalam teks tulis dan lisan secara lisan, tulis, dan visual.</v>
      </c>
      <c r="AE16" s="66" t="str">
        <f>'K-MAT'!BA14</f>
        <v>Ananda Indah baik dalam menyelesaikan masalah yang berkaitan dengan skala pada denah, cukup dalam menyelesaikan masalah yang berkaitan dengan penjumlahan dan pengurangan dua pecahan dengan penyebut berbeda.</v>
      </c>
      <c r="AF16" s="66" t="str">
        <f>'K-IPA'!ES14</f>
        <v>Ananda Indah baik dalam membuat model sederhana alat gerak manusia atau hewan, baik dalam menyajikan karya tentang konsep organ dan fungsi pencernaan pada hewan atau manusia..</v>
      </c>
      <c r="AG16" s="66" t="str">
        <f>'K-IPS'!DM14</f>
        <v>Ananda Indah baik dalam menyajikan hasil analisis tentang peran ekonomi dalam upaya menyejahterakan kehidupan masyarakat di bidang sosial dan budaya untuk memperkuat kesatuan dan persatuan bangsa., baik dalam menyajikan hasil analisis tentang interaksi manusia dengan lingkungan dan pengaruhnya terhadap pembangunan sosial, budaya, dan ekonomi masyarakat Indonesia..</v>
      </c>
      <c r="AH16" s="66" t="str">
        <f>'K-SBDP'!DM14</f>
        <v>Ananda Indah baik dalam mempraktikkan pola lantai pada gerak tari kreasi dearah, cukup dalam membuat gambar cerita.</v>
      </c>
      <c r="AI16" s="66" t="str">
        <f>'K-PJOK'!E14</f>
        <v>Ananda Indah baik dalam mempraktikkan kombinasi gerak dasar lokomotor , nonlokomotor dan manipulatif serta baik dalam mempraktikkan aktifitas latihan daya jantung untuk pengembangan kebugaran jasmani.</v>
      </c>
      <c r="AJ16" s="66" t="str">
        <f>'K-BJAWA'!CR14</f>
        <v>Ananda Indah baik dalam menceritakan wayang (Ramayana), pakaian tradisional, dan gamelan., baik dalam menceritakan wayang (Ramayana), pakaian tradisional, dan gamelan..</v>
      </c>
      <c r="AK16" s="66">
        <f>absen!C12</f>
        <v>2</v>
      </c>
      <c r="AL16" s="66">
        <f>absen!D12</f>
        <v>1</v>
      </c>
      <c r="AM16" s="66">
        <f>absen!E12</f>
        <v>0</v>
      </c>
    </row>
    <row r="17" spans="1:39">
      <c r="A17" s="39">
        <v>8</v>
      </c>
      <c r="B17" s="66" t="str">
        <f>SISWA!B13</f>
        <v>Muhammad Ilham Sarifuddin</v>
      </c>
      <c r="C17" s="66">
        <f>SISWA!C13</f>
        <v>1263</v>
      </c>
      <c r="D17" s="66" t="str">
        <f>SISWA!D13</f>
        <v>0087301623</v>
      </c>
      <c r="E17" s="66" t="str">
        <f>'KI-1'!G15</f>
        <v xml:space="preserve">Ananda Ilham baik dalam ketaatan beribadah, perilaku bersyukur, berdoa sebelum dan sesudah melakukan kegiatan, toleransi dalam beribadah, </v>
      </c>
      <c r="F17" s="66" t="str">
        <f>'KI-2'!I15</f>
        <v xml:space="preserve">Ananda Ilham baik dalam sikap jujur, disiplin, tanggung jawab, sopan santun, kerja sama, </v>
      </c>
      <c r="G17" s="66" t="e">
        <f>#REF!</f>
        <v>#REF!</v>
      </c>
      <c r="H17" s="66" t="e">
        <f>#REF!</f>
        <v>#REF!</v>
      </c>
      <c r="I17" s="66" t="e">
        <f>#REF!</f>
        <v>#REF!</v>
      </c>
      <c r="J17" s="66" t="e">
        <f>#REF!</f>
        <v>#REF!</v>
      </c>
      <c r="K17" s="66" t="e">
        <f>#REF!</f>
        <v>#REF!</v>
      </c>
      <c r="L17" s="66" t="e">
        <f>#REF!</f>
        <v>#REF!</v>
      </c>
      <c r="M17" s="66" t="e">
        <f>#REF!</f>
        <v>#REF!</v>
      </c>
      <c r="N17" s="66" t="str">
        <f>'P-pkn'!CE15</f>
        <v>Ananda Ilham  baik dalam mengidentifikasi nilai-nilai Pancasila dalam kehidupan sehari-hari, cukup dalam menggali manfaat persatuan dan kesatuan untuk membangun kerukunan hidup</v>
      </c>
      <c r="O17" s="66" t="str">
        <f>'P-BI'!DR15</f>
        <v>Ananda Ilham baik dalam menentukan pokok pikiran dalam teks lisan dan tulis, cukup dalam enganalisis informasi yang disampaikan paparan iklan dari media cetak atau elektronik</v>
      </c>
      <c r="P17" s="66" t="str">
        <f>'P MTK'!FR15</f>
        <v>Ananda Ilham cukup dalam menjelaskan dan melakukan penjumlahan dan pengurangan dua pecahan dengan penyebut berbeda, cukup dalam menjelaskan skala melalui denah.</v>
      </c>
      <c r="Q17" s="66" t="str">
        <f>'P-IPA'!DR15</f>
        <v>Ananda Ilham cukup dalam menganalisis hubungan antar komponen ekosistem dan jaring-jaring makanan di lingkungan sekitar, cukup dalam menjelaskan organ peredaran darah dan fungsinya pada hewan dan manusia serta cara memelihara kesehatan organ peredaran darah manusia</v>
      </c>
      <c r="R17" s="66" t="str">
        <f>'P-IPS'!DR15</f>
        <v>Ananda Ilham cukup dalam mengidentifikasi karakteristik geografis Indonesia sebagai negara kepulauan/maritim dan agraris serta pengaruhnya terhadap kehidupan ekonomi, sosial, budaya, komunikasi, serta transportasi. , cukup dalam menganalisis peran ekonomi dalam upaya menyejahterakan kehidupan masyarakat di bidang sosial dan budaya untuk memperkuat kesatuan dan persatuan bangsa.</v>
      </c>
      <c r="S17" s="66" t="str">
        <f>'P-SBDP'!DR15</f>
        <v>Ananda Ilham baik dalam memahami gambar cerita, cukup dalam memahami tangga nada</v>
      </c>
      <c r="T17" s="66" t="str">
        <f>'P-PJOK'!E13</f>
        <v xml:space="preserve">Ananda Ilham baik dalam memahami prosedur aktifitas latihan daya tahan jantung untuk pengembangan kebugaran jasmani, baik dalam memahami kombinasi gerak dasar lokomotor,nonlokomotor dan manipulatif. </v>
      </c>
      <c r="U17" s="66" t="str">
        <f>'P-BJAWA'!AX15</f>
        <v>Ananda Ilham cukup dalam memahami teks deskriptif tentang peristiwa alam dan adat istiadat., cukup dalam memahami unggah-ungguh basa untuk tanya jawab dan menyampaikan ajakan kepada orang lain.</v>
      </c>
      <c r="V17" s="66" t="e">
        <f>#REF!</f>
        <v>#REF!</v>
      </c>
      <c r="W17" s="66" t="e">
        <f>#REF!</f>
        <v>#REF!</v>
      </c>
      <c r="X17" s="66" t="e">
        <f>#REF!</f>
        <v>#REF!</v>
      </c>
      <c r="Y17" s="66" t="e">
        <f>#REF!</f>
        <v>#REF!</v>
      </c>
      <c r="Z17" s="66" t="e">
        <f>#REF!</f>
        <v>#REF!</v>
      </c>
      <c r="AA17" s="66" t="e">
        <f>#REF!</f>
        <v>#REF!</v>
      </c>
      <c r="AB17" s="66" t="e">
        <f>#REF!</f>
        <v>#REF!</v>
      </c>
      <c r="AC17" s="66" t="str">
        <f>'K-pkn'!DM15</f>
        <v>Ananda Ilham baik dalam menjelaskan hak, kewajiban, dan tanggung jawab sebagai warga masyarakat dalam kehidupan sehari-hari, cukup dalam menyelenggarakan kegiatan yang mendukung keberagaman sosial budaya masyarakat.</v>
      </c>
      <c r="AD17" s="66" t="str">
        <f>'K-BI'!ES15</f>
        <v>Ananda Ilham baik dalam melisankan pantun hasil karya pribadi dengan lafal, intonasi, dan ekspresi yang tepat sebagai bentuk ungkapan diri, cukup dalam menyajikan konsep-konsep yang saling berkaitan pada teks nonfiksi ke dalam tulisan dengan bahasa sendiri.</v>
      </c>
      <c r="AE17" s="66" t="str">
        <f>'K-MAT'!BA15</f>
        <v>Ananda Ilham cukup dalam menyelesaikan masalah yang berkaitan dengan skala pada denah, cukup dalam menyelesaikan masalah yang berkaitan dengan perbandingan dua besaran yang berbeda (kecepatan, debit).</v>
      </c>
      <c r="AF17" s="66" t="str">
        <f>'K-IPA'!ES15</f>
        <v>Ananda Ilham cukup dalam membuat model sederhana alat gerak manusia atau hewan, cukup dalam menyajikan karya tentang organ peredaran darah pada manusia.</v>
      </c>
      <c r="AG17" s="66" t="str">
        <f>'K-IPS'!DM15</f>
        <v>Ananda Ilham baik dalam menyajikan hasil analisis tentang peran ekonomi dalam upaya menyejahterakan kehidupan masyarakat di bidang sosial dan budaya untuk memperkuat kesatuan dan persatuan bangsa., cukup dalam menyajikan hasil analisis tentang interaksi manusia dengan lingkungan dan pengaruhnya terhadap pembangunan sosial, budaya, dan ekonomi masyarakat Indonesia..</v>
      </c>
      <c r="AH17" s="66" t="str">
        <f>'K-SBDP'!DM15</f>
        <v>Ananda Ilham baik dalam menyanyikan lagu-lagu dalam berbagai tangga nada dengan iringan musik, cukup dalam mempraktikkan pola lantai pada gerak tari kreasi dearah.</v>
      </c>
      <c r="AI17" s="66" t="str">
        <f>'K-PJOK'!E15</f>
        <v>Ananda Ilham baik dalam mempraktikkan kombinasi gerak dasar lokomotor , nonlokomotor dan manipulatif serta baik dalam mempraktikkan aktifitas latihan daya jantung untuk pengembangan kebugaran jasmani.</v>
      </c>
      <c r="AJ17" s="66" t="str">
        <f>'K-BJAWA'!CR15</f>
        <v>Ananda Ilham baik dalam menyampaikan teks deskriptif tentang peristiwa alam dan adat istiadat., cukup dalam menceritakan wayang (Ramayana), pakaian tradisional, dan gamelan..</v>
      </c>
      <c r="AK17" s="66">
        <f>absen!C13</f>
        <v>1</v>
      </c>
      <c r="AL17" s="66">
        <f>absen!D13</f>
        <v>0</v>
      </c>
      <c r="AM17" s="66">
        <f>absen!E13</f>
        <v>0</v>
      </c>
    </row>
    <row r="18" spans="1:39">
      <c r="A18" s="39">
        <v>9</v>
      </c>
      <c r="B18" s="66" t="str">
        <f>SISWA!B14</f>
        <v>Muhammad Raditya Ainul Yaqin</v>
      </c>
      <c r="C18" s="66">
        <f>SISWA!C14</f>
        <v>1269</v>
      </c>
      <c r="D18" s="66" t="str">
        <f>SISWA!D14</f>
        <v>0155408388</v>
      </c>
      <c r="E18" s="66" t="str">
        <f>'KI-1'!G16</f>
        <v xml:space="preserve">Ananda Radit baik dalam ketaatan beribadah, perilaku bersyukur, berdoa sebelum dan sesudah melakukan kegiatan, toleransi dalam beribadah, </v>
      </c>
      <c r="F18" s="66" t="str">
        <f>'KI-2'!I16</f>
        <v xml:space="preserve">Ananda Radit baik dalam sikap jujur, tanggung jawab, sopan santun, kerja sama, </v>
      </c>
      <c r="G18" s="66" t="e">
        <f>#REF!</f>
        <v>#REF!</v>
      </c>
      <c r="H18" s="66" t="e">
        <f>#REF!</f>
        <v>#REF!</v>
      </c>
      <c r="I18" s="66" t="e">
        <f>#REF!</f>
        <v>#REF!</v>
      </c>
      <c r="J18" s="66" t="e">
        <f>#REF!</f>
        <v>#REF!</v>
      </c>
      <c r="K18" s="66" t="e">
        <f>#REF!</f>
        <v>#REF!</v>
      </c>
      <c r="L18" s="66" t="e">
        <f>#REF!</f>
        <v>#REF!</v>
      </c>
      <c r="M18" s="66" t="e">
        <f>#REF!</f>
        <v>#REF!</v>
      </c>
      <c r="N18" s="66" t="str">
        <f>'P-pkn'!CE16</f>
        <v>Ananda Radit  baik dalam mengidentifikasi nilai-nilai Pancasila dalam kehidupan sehari-hari, cukup dalam menggali manfaat persatuan dan kesatuan untuk membangun kerukunan hidup</v>
      </c>
      <c r="O18" s="66" t="str">
        <f>'P-BI'!DR16</f>
        <v>Ananda Radit cukup dalam mengklasifikasi informasi yang didapat dari buku ke dalam aspek: apa, di mana, kapan, siapa, mengapa, dan bagaimana, cukup dalam menentukan pokok pikiran dalam teks lisan dan tulis</v>
      </c>
      <c r="P18" s="66" t="str">
        <f>'P MTK'!FR16</f>
        <v>Ananda Radit cukup dalam menjelaskan dan melakukan penjumlahan dan pengurangan dua pecahan dengan penyebut berbeda, cukup dalam menjelaskan perbandingan dua besaran yang berbeda (kecepatan sebagai perbandingan jarak dengan waktu, debit sebagai perbandingan volume dan waktu).</v>
      </c>
      <c r="Q18" s="66" t="str">
        <f>'P-IPA'!DR16</f>
        <v>Ananda Radit cukup dalam menganalisis hubungan antar komponen ekosistem dan jaring-jaring makanan di lingkungan sekitar, cukup dalam menjelaskan organ pencernaan dan fungsinya pada hewan dan manusia serta cara memelihara kesehatan organ pencernaan manusia</v>
      </c>
      <c r="R18" s="66" t="str">
        <f>'P-IPS'!DR16</f>
        <v>Ananda Radit cukup dalam mengidentifikasi karakteristik geografis Indonesia sebagai negara kepulauan/maritim dan agraris serta pengaruhnya terhadap kehidupan ekonomi, sosial, budaya, komunikasi, serta transportasi. , cukup dalam menganalisis bentuk bentuk interaksi manusia dengan lingkungan dan pengaruhnya terhadap pembangunan sosial, budaya, dan ekonomi masyarakat Indonesia.</v>
      </c>
      <c r="S18" s="66" t="str">
        <f>'P-SBDP'!DR16</f>
        <v>Ananda Radit cukup dalam memahami tangga nada, cukup dalam memahami karya seni rupa daerah</v>
      </c>
      <c r="T18" s="66" t="str">
        <f>'P-PJOK'!E14</f>
        <v xml:space="preserve">Ananda Radit baik dalam memahami prosedur aktifitas latihan daya tahan jantung untuk pengembangan kebugaran jasmani, baik dalam memahami kombinasi gerak dasar lokomotor,nonlokomotor dan manipulatif. </v>
      </c>
      <c r="U18" s="66" t="str">
        <f>'P-BJAWA'!AX16</f>
        <v>Ananda Radit baik dalam memahami teks deskriptif tentang peristiwa alam dan adat istiadat., cukup dalam memahami  wayang (Ramayana), pakaian tradisional, dan gamelan.</v>
      </c>
      <c r="V18" s="66" t="e">
        <f>#REF!</f>
        <v>#REF!</v>
      </c>
      <c r="W18" s="66" t="e">
        <f>#REF!</f>
        <v>#REF!</v>
      </c>
      <c r="X18" s="66" t="e">
        <f>#REF!</f>
        <v>#REF!</v>
      </c>
      <c r="Y18" s="66" t="e">
        <f>#REF!</f>
        <v>#REF!</v>
      </c>
      <c r="Z18" s="66" t="e">
        <f>#REF!</f>
        <v>#REF!</v>
      </c>
      <c r="AA18" s="66" t="e">
        <f>#REF!</f>
        <v>#REF!</v>
      </c>
      <c r="AB18" s="66" t="e">
        <f>#REF!</f>
        <v>#REF!</v>
      </c>
      <c r="AC18" s="66" t="str">
        <f>'K-pkn'!DM16</f>
        <v>Ananda Radit baik dalam menjelaskan hak, kewajiban, dan tanggung jawab sebagai warga masyarakat dalam kehidupan sehari-hari, cukup dalam menyajikan hasil penggalian tentang manfaat persatuan dan kesatuan untuk membangun kerukunan..</v>
      </c>
      <c r="AD18" s="66" t="str">
        <f>'K-BI'!ES16</f>
        <v>Ananda Radit baik dalam melisankan pantun hasil karya pribadi dengan lafal, intonasi, dan ekspresi yang tepat sebagai bentuk ungkapan diri, cukup dalam menyajikan konsep-konsep yang saling berkaitan pada teks nonfiksi ke dalam tulisan dengan bahasa sendiri.</v>
      </c>
      <c r="AE18" s="66" t="str">
        <f>'K-MAT'!BA16</f>
        <v>Ananda Radit cukup dalam menyelesaikan masalah yang berkaitan dengan skala pada denah, cukup dalam menyelesaikan masalah yang berkaitan dengan perkalian dan pembagian pecahan dan desimal.</v>
      </c>
      <c r="AF18" s="66" t="str">
        <f>'K-IPA'!ES16</f>
        <v>Ananda Radit baik dalam membuat model sederhana organ pernapasan manusia, cukup dalam menyajikan karya tentang konsep organ dan fungsi pencernaan pada hewan atau manusia..</v>
      </c>
      <c r="AG18" s="66" t="str">
        <f>'K-IPS'!DM16</f>
        <v>Ananda Radit baik dalam menyajikan hasil identifikasi karakteristik geografis Indonesia sebagai negara kepulauan/maritim dan agraris serta pengaruhnya terhadap kehidupan ekonomi, sosial, budaya, komunikasi, serta transportasi., cukup dalam menyajikan hasil analisis tentang interaksi manusia dengan lingkungan dan pengaruhnya terhadap pembangunan sosial, budaya, dan ekonomi masyarakat Indonesia..</v>
      </c>
      <c r="AH18" s="66" t="str">
        <f>'K-SBDP'!DM16</f>
        <v>Ananda Radit baik dalam menyanyikan lagu-lagu dalam berbagai tangga nada dengan iringan musik, cukup dalam mempraktikkan pola lantai pada gerak tari kreasi dearah.</v>
      </c>
      <c r="AI18" s="66" t="str">
        <f>'K-PJOK'!E16</f>
        <v>Ananda Radit baik dalam mempraktikkan kombinasi gerak dasar lokomotor , nonlokomotor dan manipulatif serta baik dalam mempraktikkan aktifitas latihan daya jantung untuk pengembangan kebugaran jasmani.</v>
      </c>
      <c r="AJ18" s="66" t="str">
        <f>'K-BJAWA'!CR16</f>
        <v>Ananda Radit baik dalam menyampaikan teks deskriptif tentang peristiwa alam dan adat istiadat., cukup dalam menceritakan wayang (Ramayana), pakaian tradisional, dan gamelan..</v>
      </c>
      <c r="AK18" s="66">
        <f>absen!C14</f>
        <v>1</v>
      </c>
      <c r="AL18" s="66">
        <f>absen!D14</f>
        <v>1</v>
      </c>
      <c r="AM18" s="66">
        <f>absen!E14</f>
        <v>0</v>
      </c>
    </row>
    <row r="19" spans="1:39">
      <c r="A19" s="39">
        <v>10</v>
      </c>
      <c r="B19" s="66" t="str">
        <f>SISWA!B15</f>
        <v>Muhammad Shulhan Al-farisi</v>
      </c>
      <c r="C19" s="66">
        <f>SISWA!C15</f>
        <v>1278</v>
      </c>
      <c r="D19" s="66" t="str">
        <f>SISWA!D15</f>
        <v>0095231681</v>
      </c>
      <c r="E19" s="66" t="str">
        <f>'KI-1'!G17</f>
        <v xml:space="preserve">Ananda Shulhan baik dalam ketaatan beribadah, perilaku bersyukur, berdoa sebelum dan sesudah melakukan kegiatan, toleransi dalam beribadah, </v>
      </c>
      <c r="F19" s="66" t="str">
        <f>'KI-2'!I17</f>
        <v xml:space="preserve">Ananda Shulhan baik dalam sikap jujur, percaya diri, tanggung jawab, kerja sama, </v>
      </c>
      <c r="G19" s="66" t="e">
        <f>#REF!</f>
        <v>#REF!</v>
      </c>
      <c r="H19" s="66" t="e">
        <f>#REF!</f>
        <v>#REF!</v>
      </c>
      <c r="I19" s="66" t="e">
        <f>#REF!</f>
        <v>#REF!</v>
      </c>
      <c r="J19" s="66" t="e">
        <f>#REF!</f>
        <v>#REF!</v>
      </c>
      <c r="K19" s="66" t="e">
        <f>#REF!</f>
        <v>#REF!</v>
      </c>
      <c r="L19" s="66" t="e">
        <f>#REF!</f>
        <v>#REF!</v>
      </c>
      <c r="M19" s="66" t="e">
        <f>#REF!</f>
        <v>#REF!</v>
      </c>
      <c r="N19" s="66" t="str">
        <f>'P-pkn'!CE17</f>
        <v>Ananda Shulhan  baik dalam mengidentifikasi nilai-nilai Pancasila dalam kehidupan sehari-hari, cukup dalam menggali manfaat persatuan dan kesatuan untuk membangun kerukunan hidup</v>
      </c>
      <c r="O19" s="66" t="str">
        <f>'P-BI'!DR17</f>
        <v>Ananda Shulhan baik dalam mengklasifikasi informasi yang didapat dari buku ke dalam aspek: apa, di mana, kapan, siapa, mengapa, dan bagaimana, cukup dalam menggali isi dan amanat pantun yang disajikan secara lisan dan tulis dengan tujuan untuk kesenangan</v>
      </c>
      <c r="P19" s="66" t="str">
        <f>'P MTK'!FR17</f>
        <v>Ananda Shulhan  baik dalam menjelaskan dan melakukan penjumlahan dan pengurangan dua pecahan dengan penyebut berbeda, cukup dalam menjelaskan perbandingan dua besaran yang berbeda (kecepatan sebagai perbandingan jarak dengan waktu, debit sebagai perbandingan volume dan waktu).</v>
      </c>
      <c r="Q19" s="66" t="str">
        <f>'P-IPA'!DR17</f>
        <v>Ananda Shulhan baik dalam menjelaskan organ peredaran darah dan fungsinya pada hewan dan manusia serta cara memelihara kesehatan organ peredaran darah manusia, cukup dalam menjelaskan organ pencernaan dan fungsinya pada hewan dan manusia serta cara memelihara kesehatan organ pencernaan manusia</v>
      </c>
      <c r="R19" s="66" t="str">
        <f>'P-IPS'!DR17</f>
        <v xml:space="preserve">Ananda Shulhan baik dalam menganalisis bentuk bentuk interaksi manusia dengan lingkungan dan pengaruhnya terhadap pembangunan sosial, budaya, dan ekonomi masyarakat Indonesia., cukup dalam mengidentifikasi karakteristik geografis Indonesia sebagai negara kepulauan/maritim dan agraris serta pengaruhnya terhadap kehidupan ekonomi, sosial, budaya, komunikasi, serta transportasi. </v>
      </c>
      <c r="S19" s="66" t="str">
        <f>'P-SBDP'!DR17</f>
        <v>Ananda Shulhan baik dalam memahami tangga nada, cukup dalam memahami karya seni rupa daerah</v>
      </c>
      <c r="T19" s="66" t="str">
        <f>'P-PJOK'!E15</f>
        <v xml:space="preserve">Ananda Shulhan baik dalam memahami prosedur aktifitas latihan daya tahan jantung untuk pengembangan kebugaran jasmani, baik dalam memahami kombinasi gerak dasar lokomotor,nonlokomotor dan manipulatif. </v>
      </c>
      <c r="U19" s="66" t="str">
        <f>'P-BJAWA'!AX17</f>
        <v>Ananda Shulhan baik dalam memahami teks deskriptif tentang peristiwa alam dan adat istiadat., cukup dalam memahami unggah-ungguh basa untuk tanya jawab dan menyampaikan ajakan kepada orang lain.</v>
      </c>
      <c r="V19" s="66" t="e">
        <f>#REF!</f>
        <v>#REF!</v>
      </c>
      <c r="W19" s="66" t="e">
        <f>#REF!</f>
        <v>#REF!</v>
      </c>
      <c r="X19" s="66" t="e">
        <f>#REF!</f>
        <v>#REF!</v>
      </c>
      <c r="Y19" s="66" t="e">
        <f>#REF!</f>
        <v>#REF!</v>
      </c>
      <c r="Z19" s="66" t="e">
        <f>#REF!</f>
        <v>#REF!</v>
      </c>
      <c r="AA19" s="66" t="e">
        <f>#REF!</f>
        <v>#REF!</v>
      </c>
      <c r="AB19" s="66" t="e">
        <f>#REF!</f>
        <v>#REF!</v>
      </c>
      <c r="AC19" s="66" t="str">
        <f>'K-pkn'!DM17</f>
        <v>Ananda Shulhan baik dalam menjelaskan hak, kewajiban, dan tanggung jawab sebagai warga masyarakat dalam kehidupan sehari-hari, cukup dalam menyajikan hasil penggalian tentang manfaat persatuan dan kesatuan untuk membangun kerukunan..</v>
      </c>
      <c r="AD19" s="66" t="str">
        <f>'K-BI'!ES17</f>
        <v>Ananda Shulhan baik dalam menyajikan hasil identifikasi pokok pikiran dalam teks tulis dan lisan secara lisan, tulis, dan visual, cukup dalam menyajikan hasil klasifikasi informasi yang didapat dari buku yang dikelompokkan dalam aspek: apa, di mana, kapan, siapa, mengapa, dan bagaimana .</v>
      </c>
      <c r="AE19" s="66" t="str">
        <f>'K-MAT'!BA17</f>
        <v>Ananda Shulhan baik dalam menyelesaikan masalah yang berkaitan dengan skala pada denah, cukup dalam menyelesaikan masalah yang berkaitan dengan perbandingan dua besaran yang berbeda (kecepatan, debit).</v>
      </c>
      <c r="AF19" s="66" t="str">
        <f>'K-IPA'!ES17</f>
        <v>Ananda Shulhan baik dalam membuat model sederhana organ pernapasan manusia, cukup dalam menyajikan karya tentang konsep organ dan fungsi pencernaan pada hewan atau manusia..</v>
      </c>
      <c r="AG19" s="66" t="str">
        <f>'K-IPS'!DM17</f>
        <v>Ananda Shulhan baik dalam menyajikan hasil analisis tentang peran ekonomi dalam upaya menyejahterakan kehidupan masyarakat di bidang sosial dan budaya untuk memperkuat kesatuan dan persatuan bangsa., baik dalam menyajikan hasil analisis tentang interaksi manusia dengan lingkungan dan pengaruhnya terhadap pembangunan sosial, budaya, dan ekonomi masyarakat Indonesia..</v>
      </c>
      <c r="AH19" s="66" t="str">
        <f>'K-SBDP'!DM17</f>
        <v>Ananda Shulhan baik dalam menyanyikan lagu-lagu dalam berbagai tangga nada dengan iringan musik, cukup dalam mempraktikkan pola lantai pada gerak tari kreasi dearah.</v>
      </c>
      <c r="AI19" s="66" t="str">
        <f>'K-PJOK'!E17</f>
        <v>Ananda Shulhan baik dalam mempraktikkan kombinasi gerak dasar lokomotor , nonlokomotor dan manipulatif serta baik dalam mempraktikkan aktifitas latihan daya jantung untuk pengembangan kebugaran jasmani.</v>
      </c>
      <c r="AJ19" s="66" t="str">
        <f>'K-BJAWA'!CR17</f>
        <v>Ananda Shulhan baik dalam menceritakan wayang (Ramayana), pakaian tradisional, dan gamelan., cukup dalam menyampaikan teks deskriptif tentang peristiwa alam dan adat istiadat..</v>
      </c>
      <c r="AK19" s="66">
        <f>absen!C15</f>
        <v>3</v>
      </c>
      <c r="AL19" s="66">
        <f>absen!D15</f>
        <v>1</v>
      </c>
      <c r="AM19" s="66">
        <f>absen!E15</f>
        <v>0</v>
      </c>
    </row>
    <row r="20" spans="1:39">
      <c r="A20" s="39">
        <v>11</v>
      </c>
      <c r="B20" s="66" t="str">
        <f>SISWA!B16</f>
        <v>Novaris Dwi Firmansyah</v>
      </c>
      <c r="C20" s="66">
        <f>SISWA!C16</f>
        <v>1275</v>
      </c>
      <c r="D20" s="66" t="str">
        <f>SISWA!D16</f>
        <v>0153200473</v>
      </c>
      <c r="E20" s="66" t="str">
        <f>'KI-1'!G18</f>
        <v xml:space="preserve">Ananda Varis baik dalam ketaatan beribadah, perilaku bersyukur, berdoa sebelum dan sesudah melakukan kegiatan, toleransi dalam beribadah, </v>
      </c>
      <c r="F20" s="66" t="str">
        <f>'KI-2'!I18</f>
        <v xml:space="preserve">Ananda Varis baik dalam sikap jujur, disiplin, tanggung jawab, kerja sama, </v>
      </c>
      <c r="G20" s="66" t="e">
        <f>#REF!</f>
        <v>#REF!</v>
      </c>
      <c r="H20" s="66" t="e">
        <f>#REF!</f>
        <v>#REF!</v>
      </c>
      <c r="I20" s="66" t="e">
        <f>#REF!</f>
        <v>#REF!</v>
      </c>
      <c r="J20" s="66" t="e">
        <f>#REF!</f>
        <v>#REF!</v>
      </c>
      <c r="K20" s="66" t="e">
        <f>#REF!</f>
        <v>#REF!</v>
      </c>
      <c r="L20" s="66" t="e">
        <f>#REF!</f>
        <v>#REF!</v>
      </c>
      <c r="M20" s="66" t="e">
        <f>#REF!</f>
        <v>#REF!</v>
      </c>
      <c r="N20" s="66" t="str">
        <f>'P-pkn'!CE18</f>
        <v>Ananda Varis  baik dalam memahami hak, kewajiban dan tanggung jawab sebagai warga dalam kehidupan sehari-hari, cukup dalam mengidentifikasi nilai-nilai Pancasila dalam kehidupan sehari-hari</v>
      </c>
      <c r="O20" s="66" t="str">
        <f>'P-BI'!DR18</f>
        <v>Ananda Varis baik dalam mengklasifikasi informasi yang didapat dari buku ke dalam aspek: apa, di mana, kapan, siapa, mengapa, dan bagaimana, cukup dalam menentukan pokok pikiran dalam teks lisan dan tulis</v>
      </c>
      <c r="P20" s="66" t="str">
        <f>'P MTK'!FR18</f>
        <v>Ananda Varis  baik dalam menjelaskan dan melakukan penjumlahan dan pengurangan dua pecahan dengan penyebut berbeda, cukup dalam menjelaskan skala melalui denah.</v>
      </c>
      <c r="Q20" s="66" t="str">
        <f>'P-IPA'!DR18</f>
        <v>Ananda Varis baik dalam menjelaskan organ pencernaan dan fungsinya pada hewan dan manusia serta cara memelihara kesehatan organ pencernaan manusia, cukup dalam menjelaskan alat gerak dan fungsinya pada hewan dan manusia serta cara memelihara kesehatan alat gerak manusia</v>
      </c>
      <c r="R20" s="66" t="str">
        <f>'P-IPS'!DR18</f>
        <v xml:space="preserve">Ananda Varis cukup dalam menganalisis bentuk bentuk interaksi manusia dengan lingkungan dan pengaruhnya terhadap pembangunan sosial, budaya, dan ekonomi masyarakat Indonesia., cukup dalam mengidentifikasi karakteristik geografis Indonesia sebagai negara kepulauan/maritim dan agraris serta pengaruhnya terhadap kehidupan ekonomi, sosial, budaya, komunikasi, serta transportasi. </v>
      </c>
      <c r="S20" s="66" t="str">
        <f>'P-SBDP'!DR18</f>
        <v>Ananda Varis cukup dalam memahami tangga nada, cukup dalam memahami pola lantai dalam tari kreasi daerah</v>
      </c>
      <c r="T20" s="66" t="str">
        <f>'P-PJOK'!E16</f>
        <v xml:space="preserve">Ananda Varis baik dalam memahami prosedur aktifitas latihan daya tahan jantung untuk pengembangan kebugaran jasmani, baik dalam memahami kombinasi gerak dasar lokomotor,nonlokomotor dan manipulatif. </v>
      </c>
      <c r="U20" s="66" t="str">
        <f>'P-BJAWA'!AX18</f>
        <v>Ananda Varis cukup dalam memahami  wayang (Ramayana), pakaian tradisional, dan gamelan., cukup dalam memahami unggah-ungguh basa untuk tanya jawab dan menyampaikan ajakan kepada orang lain.</v>
      </c>
      <c r="V20" s="66" t="e">
        <f>#REF!</f>
        <v>#REF!</v>
      </c>
      <c r="W20" s="66" t="e">
        <f>#REF!</f>
        <v>#REF!</v>
      </c>
      <c r="X20" s="66" t="e">
        <f>#REF!</f>
        <v>#REF!</v>
      </c>
      <c r="Y20" s="66" t="e">
        <f>#REF!</f>
        <v>#REF!</v>
      </c>
      <c r="Z20" s="66" t="e">
        <f>#REF!</f>
        <v>#REF!</v>
      </c>
      <c r="AA20" s="66" t="e">
        <f>#REF!</f>
        <v>#REF!</v>
      </c>
      <c r="AB20" s="66" t="e">
        <f>#REF!</f>
        <v>#REF!</v>
      </c>
      <c r="AC20" s="66" t="str">
        <f>'K-pkn'!DM18</f>
        <v>Ananda Varis baik dalam menjelaskan hak, kewajiban, dan tanggung jawab sebagai warga masyarakat dalam kehidupan sehari-hari, cukup dalam menyelenggarakan kegiatan yang mendukung keberagaman sosial budaya masyarakat.</v>
      </c>
      <c r="AD20" s="66" t="str">
        <f>'K-BI'!ES18</f>
        <v>Ananda Varis baik dalam melisankan pantun hasil karya pribadi dengan lafal, intonasi, dan ekspresi yang tepat sebagai bentuk ungkapan diri, cukup dalam menyajikan hasil klasifikasi informasi yang didapat dari buku yang dikelompokkan dalam aspek: apa, di mana, kapan, siapa, mengapa, dan bagaimana .</v>
      </c>
      <c r="AE20" s="66" t="str">
        <f>'K-MAT'!BA18</f>
        <v>Ananda Varis baik dalam menyelesaikan masalah yang berkaitan dengan skala pada denah, cukup dalam menyelesaikan masalah yang berkaitan dengan perbandingan dua besaran yang berbeda (kecepatan, debit).</v>
      </c>
      <c r="AF20" s="66" t="str">
        <f>'K-IPA'!ES18</f>
        <v>Ananda Varis baik dalam membuat model sederhana organ pernapasan manusia, cukup dalam menyajikan karya tentang konsep organ dan fungsi pencernaan pada hewan atau manusia..</v>
      </c>
      <c r="AG20" s="66" t="str">
        <f>'K-IPS'!DM18</f>
        <v>Ananda Varis baik dalam menyajikan hasil identifikasi karakteristik geografis Indonesia sebagai negara kepulauan/maritim dan agraris serta pengaruhnya terhadap kehidupan ekonomi, sosial, budaya, komunikasi, serta transportasi., cukup dalam menyajikan hasil analisis tentang interaksi manusia dengan lingkungan dan pengaruhnya terhadap pembangunan sosial, budaya, dan ekonomi masyarakat Indonesia..</v>
      </c>
      <c r="AH20" s="66" t="str">
        <f>'K-SBDP'!DM18</f>
        <v>Ananda Varis baik dalam menyanyikan lagu-lagu dalam berbagai tangga nada dengan iringan musik, cukup dalam membuat gambar cerita.</v>
      </c>
      <c r="AI20" s="66" t="str">
        <f>'K-PJOK'!E18</f>
        <v>Ananda Varis baik dalam mempraktikkan kombinasi gerak dasar lokomotor , nonlokomotor dan manipulatif serta baik dalam mempraktikkan aktifitas latihan daya jantung untuk pengembangan kebugaran jasmani.</v>
      </c>
      <c r="AJ20" s="66" t="str">
        <f>'K-BJAWA'!CR18</f>
        <v>Ananda Varis cukup dalam menceritakan wayang (Ramayana), pakaian tradisional, dan gamelan., cukup dalam menceritakan wayang (Ramayana), pakaian tradisional, dan gamelan..</v>
      </c>
      <c r="AK20" s="66">
        <f>absen!C16</f>
        <v>3</v>
      </c>
      <c r="AL20" s="66">
        <f>absen!D16</f>
        <v>0</v>
      </c>
      <c r="AM20" s="66">
        <f>absen!E16</f>
        <v>0</v>
      </c>
    </row>
    <row r="21" spans="1:39">
      <c r="A21" s="39">
        <v>12</v>
      </c>
      <c r="B21" s="66" t="str">
        <f>SISWA!B17</f>
        <v>Oktafiya Duwi Safitri</v>
      </c>
      <c r="C21" s="66">
        <f>SISWA!C17</f>
        <v>1281</v>
      </c>
      <c r="D21" s="66" t="str">
        <f>SISWA!D17</f>
        <v>0072706748</v>
      </c>
      <c r="E21" s="66" t="str">
        <f>'KI-1'!G19</f>
        <v xml:space="preserve">Ananda Fitri baik dalam ketaatan beribadah, perilaku bersyukur, berdoa sebelum dan sesudah melakukan kegiatan, toleransi dalam beribadah, </v>
      </c>
      <c r="F21" s="66" t="str">
        <f>'KI-2'!I19</f>
        <v xml:space="preserve">Ananda Fitri baik dalam sikap jujur, disiplin, tanggung jawab, sopan santun, kerja sama, </v>
      </c>
      <c r="G21" s="66" t="e">
        <f>#REF!</f>
        <v>#REF!</v>
      </c>
      <c r="H21" s="66" t="e">
        <f>#REF!</f>
        <v>#REF!</v>
      </c>
      <c r="I21" s="66" t="e">
        <f>#REF!</f>
        <v>#REF!</v>
      </c>
      <c r="J21" s="66" t="e">
        <f>#REF!</f>
        <v>#REF!</v>
      </c>
      <c r="K21" s="66" t="e">
        <f>#REF!</f>
        <v>#REF!</v>
      </c>
      <c r="L21" s="66" t="e">
        <f>#REF!</f>
        <v>#REF!</v>
      </c>
      <c r="M21" s="66" t="e">
        <f>#REF!</f>
        <v>#REF!</v>
      </c>
      <c r="N21" s="66" t="str">
        <f>'P-pkn'!CE19</f>
        <v>Ananda Fitri  cukup dalam menelaah keberagaman sosial budaya masyarakat, cukup dalam menggali manfaat persatuan dan kesatuan untuk membangun kerukunan hidup</v>
      </c>
      <c r="O21" s="66" t="str">
        <f>'P-BI'!DR19</f>
        <v>Ananda Fitri cukup dalam menggali isi dan amanat pantun yang disajikan secara lisan dan tulis dengan tujuan untuk kesenangan, cukup dalam menguraikan konsep-konsep yang saling berkaitan pada teks nonfiksi</v>
      </c>
      <c r="P21" s="66" t="str">
        <f>'P MTK'!FR19</f>
        <v>Ananda Fitri cukup dalam menjelaskan perbandingan dua besaran yang berbeda (kecepatan sebagai perbandingan jarak dengan waktu, debit sebagai perbandingan volume dan waktu), cukup dalam menjelaskan dan melakukan perkalian dan pembagian pecahan dan desimal.</v>
      </c>
      <c r="Q21" s="66" t="str">
        <f>'P-IPA'!DR19</f>
        <v>Ananda Fitri cukup dalam menjelaskan organ pencernaan dan fungsinya pada hewan dan manusia serta cara memelihara kesehatan organ pencernaan manusia, cukup dalam menganalisis hubungan antar komponen ekosistem dan jaring-jaring makanan di lingkungan sekitar</v>
      </c>
      <c r="R21" s="66" t="str">
        <f>'P-IPS'!DR19</f>
        <v>Ananda Fitri cukup dalam menganalisis peran ekonomi dalam upaya menyejahterakan kehidupan masyarakat di bidang sosial dan budaya untuk memperkuat kesatuan dan persatuan bangsa., cukup dalam menganalisis bentuk bentuk interaksi manusia dengan lingkungan dan pengaruhnya terhadap pembangunan sosial, budaya, dan ekonomi masyarakat Indonesia.</v>
      </c>
      <c r="S21" s="66" t="str">
        <f>'P-SBDP'!DR19</f>
        <v>Ananda Fitri cukup dalam memahami gambar cerita, cukup dalam memahami karya seni rupa daerah</v>
      </c>
      <c r="T21" s="66" t="str">
        <f>'P-PJOK'!E17</f>
        <v xml:space="preserve">Ananda Fitri baik dalam memahami prosedur aktifitas latihan daya tahan jantung untuk pengembangan kebugaran jasmani, baik dalam memahami kombinasi gerak dasar lokomotor,nonlokomotor dan manipulatif. </v>
      </c>
      <c r="U21" s="66" t="str">
        <f>'P-BJAWA'!AX19</f>
        <v>Ananda Fitri cukup dalam memahami tembang macapat Kinanthi, dan geguritan., cukup dalam memahami kata dan kalimat beraksara Jawa yang mengandung  pasangan.</v>
      </c>
      <c r="V21" s="66" t="e">
        <f>#REF!</f>
        <v>#REF!</v>
      </c>
      <c r="W21" s="66" t="e">
        <f>#REF!</f>
        <v>#REF!</v>
      </c>
      <c r="X21" s="66" t="e">
        <f>#REF!</f>
        <v>#REF!</v>
      </c>
      <c r="Y21" s="66" t="e">
        <f>#REF!</f>
        <v>#REF!</v>
      </c>
      <c r="Z21" s="66" t="e">
        <f>#REF!</f>
        <v>#REF!</v>
      </c>
      <c r="AA21" s="66" t="e">
        <f>#REF!</f>
        <v>#REF!</v>
      </c>
      <c r="AB21" s="66" t="e">
        <f>#REF!</f>
        <v>#REF!</v>
      </c>
      <c r="AC21" s="66" t="str">
        <f>'K-pkn'!DM19</f>
        <v>Ananda Fitri cukup dalam menyelenggarakan kegiatan yang mendukung keberagaman sosial budaya masyarakat, cukup dalam menjelaskan hak, kewajiban, dan tanggung jawab sebagai warga masyarakat dalam kehidupan sehari-hari.</v>
      </c>
      <c r="AD21" s="66" t="str">
        <f>'K-BI'!ES19</f>
        <v>Ananda Fitri cukup dalam menyajikan hasil identifikasi pokok pikiran dalam teks tulis dan lisan secara lisan, tulis, dan visual, cukup dalam menyajikan konsep-konsep yang saling berkaitan pada teks nonfiksi ke dalam tulisan dengan bahasa sendiri.</v>
      </c>
      <c r="AE21" s="66" t="str">
        <f>'K-MAT'!BA19</f>
        <v>Ananda Fitri cukup dalam menyelesaikan masalah yang berkaitan dengan perbandingan dua besaran yang berbeda (kecepatan, debit), cukup dalam menyelesaikan masalah yang berkaitan dengan skala pada denah.</v>
      </c>
      <c r="AF21" s="66" t="str">
        <f>'K-IPA'!ES19</f>
        <v>Ananda Fitri cukup dalam membuat model sederhana alat gerak manusia atau hewan, cukup dalam menyajikan karya tentang organ peredaran darah pada manusia.</v>
      </c>
      <c r="AG21" s="66" t="str">
        <f>'K-IPS'!DM19</f>
        <v>Ananda Fitri cukup dalam menyajikan hasil identifikasi karakteristik geografis Indonesia sebagai negara kepulauan/maritim dan agraris serta pengaruhnya terhadap kehidupan ekonomi, sosial, budaya, komunikasi, serta transportasi., cukup dalam menyajikan hasil analisis tentang peran ekonomi dalam upaya menyejahterakan kehidupan masyarakat di bidang sosial dan budaya untuk memperkuat kesatuan dan persatuan bangsa..</v>
      </c>
      <c r="AH21" s="66" t="str">
        <f>'K-SBDP'!DM19</f>
        <v>Ananda Fitri cukup dalam menyanyikan lagu-lagu dalam berbagai tangga nada dengan iringan musik, cukup dalam membuat gambar cerita.</v>
      </c>
      <c r="AI21" s="66" t="str">
        <f>'K-PJOK'!E19</f>
        <v>Ananda Fitri baik dalam mempraktikkan kombinasi gerak dasar lokomotor , nonlokomotor dan manipulatif serta baik dalam mempraktikkan aktifitas latihan daya jantung untuk pengembangan kebugaran jasmani.</v>
      </c>
      <c r="AJ21" s="66" t="str">
        <f>'K-BJAWA'!CR19</f>
        <v>Ananda Fitri cukup dalam menceritakan wayang (Ramayana), pakaian tradisional, dan gamelan., cukup dalam melantunkan tembang macapat Kinanthi, dan menjelaskan  geguritan..</v>
      </c>
      <c r="AK21" s="66">
        <f>absen!C17</f>
        <v>2</v>
      </c>
      <c r="AL21" s="66">
        <f>absen!D17</f>
        <v>0</v>
      </c>
      <c r="AM21" s="66">
        <f>absen!E17</f>
        <v>0</v>
      </c>
    </row>
    <row r="22" spans="1:39">
      <c r="A22" s="39">
        <v>13</v>
      </c>
      <c r="B22" s="66" t="str">
        <f>SISWA!B18</f>
        <v>Prastika Guntur Firmansyah</v>
      </c>
      <c r="C22" s="66">
        <f>SISWA!C18</f>
        <v>1268</v>
      </c>
      <c r="D22" s="66" t="str">
        <f>SISWA!D18</f>
        <v>0083690882</v>
      </c>
      <c r="E22" s="66" t="str">
        <f>'KI-1'!G20</f>
        <v xml:space="preserve">Ananda Pras baik dalam ketaatan beribadah, perilaku bersyukur, berdoa sebelum dan sesudah melakukan kegiatan, toleransi dalam beribadah, </v>
      </c>
      <c r="F22" s="66" t="str">
        <f>'KI-2'!I20</f>
        <v xml:space="preserve">Ananda Pras baik dalam sikap jujur, disiplin, percaya diri, tanggung jawab, sopan santun, kerja sama, </v>
      </c>
      <c r="G22" s="66" t="e">
        <f>#REF!</f>
        <v>#REF!</v>
      </c>
      <c r="H22" s="66" t="e">
        <f>#REF!</f>
        <v>#REF!</v>
      </c>
      <c r="I22" s="66" t="e">
        <f>#REF!</f>
        <v>#REF!</v>
      </c>
      <c r="J22" s="66" t="e">
        <f>#REF!</f>
        <v>#REF!</v>
      </c>
      <c r="K22" s="66" t="e">
        <f>#REF!</f>
        <v>#REF!</v>
      </c>
      <c r="L22" s="66" t="e">
        <f>#REF!</f>
        <v>#REF!</v>
      </c>
      <c r="M22" s="66" t="e">
        <f>#REF!</f>
        <v>#REF!</v>
      </c>
      <c r="N22" s="66" t="str">
        <f>'P-pkn'!CE20</f>
        <v>Ananda Pras  baik dalam mengidentifikasi nilai-nilai Pancasila dalam kehidupan sehari-hari, cukup dalam menelaah keberagaman sosial budaya masyarakat</v>
      </c>
      <c r="O22" s="66" t="str">
        <f>'P-BI'!DR20</f>
        <v>Ananda Pras baik dalam menentukan pokok pikiran dalam teks lisan dan tulis, cukup dalam enganalisis informasi yang disampaikan paparan iklan dari media cetak atau elektronik</v>
      </c>
      <c r="P22" s="66" t="str">
        <f>'P MTK'!FR20</f>
        <v>Ananda Pras cukup dalam menjelaskan perbandingan dua besaran yang berbeda (kecepatan sebagai perbandingan jarak dengan waktu, debit sebagai perbandingan volume dan waktu), cukup dalam menjelaskan dan melakukan perkalian dan pembagian pecahan dan desimal.</v>
      </c>
      <c r="Q22" s="66" t="str">
        <f>'P-IPA'!DR20</f>
        <v>Ananda Pras baik dalam menganalisis hubungan antar komponen ekosistem dan jaring-jaring makanan di lingkungan sekitar, cukup dalam menjelaskan organ pencernaan dan fungsinya pada hewan dan manusia serta cara memelihara kesehatan organ pencernaan manusia</v>
      </c>
      <c r="R22" s="66" t="str">
        <f>'P-IPS'!DR20</f>
        <v>Ananda Pras cukup dalam menganalisis peran ekonomi dalam upaya menyejahterakan kehidupan masyarakat di bidang sosial dan budaya untuk memperkuat kesatuan dan persatuan bangsa., cukup dalam menganalisis bentuk bentuk interaksi manusia dengan lingkungan dan pengaruhnya terhadap pembangunan sosial, budaya, dan ekonomi masyarakat Indonesia.</v>
      </c>
      <c r="S22" s="66" t="str">
        <f>'P-SBDP'!DR20</f>
        <v>Ananda Pras baik dalam memahami karya seni rupa daerah, cukup dalam memahami gambar cerita</v>
      </c>
      <c r="T22" s="66" t="str">
        <f>'P-PJOK'!E18</f>
        <v xml:space="preserve">Ananda Pras baik dalam memahami prosedur aktifitas latihan daya tahan jantung untuk pengembangan kebugaran jasmani, baik dalam memahami kombinasi gerak dasar lokomotor,nonlokomotor dan manipulatif. </v>
      </c>
      <c r="U22" s="66" t="str">
        <f>'P-BJAWA'!AX20</f>
        <v>Ananda Pras cukup dalam memahami teks deskriptif tentang peristiwa alam dan adat istiadat., cukup dalam memahami  wayang (Ramayana), pakaian tradisional, dan gamelan.</v>
      </c>
      <c r="V22" s="66" t="e">
        <f>#REF!</f>
        <v>#REF!</v>
      </c>
      <c r="W22" s="66" t="e">
        <f>#REF!</f>
        <v>#REF!</v>
      </c>
      <c r="X22" s="66" t="e">
        <f>#REF!</f>
        <v>#REF!</v>
      </c>
      <c r="Y22" s="66" t="e">
        <f>#REF!</f>
        <v>#REF!</v>
      </c>
      <c r="Z22" s="66" t="e">
        <f>#REF!</f>
        <v>#REF!</v>
      </c>
      <c r="AA22" s="66" t="e">
        <f>#REF!</f>
        <v>#REF!</v>
      </c>
      <c r="AB22" s="66" t="e">
        <f>#REF!</f>
        <v>#REF!</v>
      </c>
      <c r="AC22" s="66" t="str">
        <f>'K-pkn'!DM20</f>
        <v>Ananda Pras baik dalam menjelaskan hak, kewajiban, dan tanggung jawab sebagai warga masyarakat dalam kehidupan sehari-hari, cukup dalam menyelenggarakan kegiatan yang mendukung keberagaman sosial budaya masyarakat.</v>
      </c>
      <c r="AD22" s="66" t="str">
        <f>'K-BI'!ES20</f>
        <v>Ananda Pras baik dalam menyajikan hasil identifikasi pokok pikiran dalam teks tulis dan lisan secara lisan, tulis, dan visual, cukup dalam memeragakan kembali informasi yang disampaikan paparan iklan dari media cetak atau elektronik dengan bantuan lisan, tulis, dan visual.</v>
      </c>
      <c r="AE22" s="66" t="str">
        <f>'K-MAT'!BA20</f>
        <v>Ananda Pras baik dalam menyelesaikan masalah yang berkaitan dengan skala pada denah, cukup dalam menyelesaikan masalah yang berkaitan dengan penjumlahan dan pengurangan dua pecahan dengan penyebut berbeda.</v>
      </c>
      <c r="AF22" s="66" t="str">
        <f>'K-IPA'!ES20</f>
        <v>Ananda Pras baik dalam membuat model sederhana alat gerak manusia atau hewan, cukup dalam menyajikan karya tentang konsep organ dan fungsi pencernaan pada hewan atau manusia..</v>
      </c>
      <c r="AG22" s="66" t="str">
        <f>'K-IPS'!DM20</f>
        <v>Ananda Pras baik dalam menyajikan hasil identifikasi karakteristik geografis Indonesia sebagai negara kepulauan/maritim dan agraris serta pengaruhnya terhadap kehidupan ekonomi, sosial, budaya, komunikasi, serta transportasi., cukup dalam menyajikan hasil analisis tentang peran ekonomi dalam upaya menyejahterakan kehidupan masyarakat di bidang sosial dan budaya untuk memperkuat kesatuan dan persatuan bangsa..</v>
      </c>
      <c r="AH22" s="66" t="str">
        <f>'K-SBDP'!DM20</f>
        <v>Ananda Pras baik dalam membuat gambar cerita, cukup dalam mempraktikkan pola lantai pada gerak tari kreasi dearah.</v>
      </c>
      <c r="AI22" s="66" t="str">
        <f>'K-PJOK'!E20</f>
        <v>Ananda Pras baik dalam mempraktikkan kombinasi gerak dasar lokomotor , nonlokomotor dan manipulatif serta baik dalam mempraktikkan aktifitas latihan daya jantung untuk pengembangan kebugaran jasmani.</v>
      </c>
      <c r="AJ22" s="66" t="str">
        <f>'K-BJAWA'!CR20</f>
        <v>Ananda Pras baik dalam menyampaikan teks deskriptif tentang peristiwa alam dan adat istiadat., baik dalam menceritakan wayang (Ramayana), pakaian tradisional, dan gamelan..</v>
      </c>
      <c r="AK22" s="66">
        <f>absen!C18</f>
        <v>3</v>
      </c>
      <c r="AL22" s="66">
        <f>absen!D18</f>
        <v>0</v>
      </c>
      <c r="AM22" s="66">
        <f>absen!E18</f>
        <v>0</v>
      </c>
    </row>
    <row r="23" spans="1:39">
      <c r="A23" s="39">
        <v>14</v>
      </c>
      <c r="B23" s="66" t="str">
        <f>SISWA!B19</f>
        <v>Siti Musyafiani</v>
      </c>
      <c r="C23" s="66">
        <f>SISWA!C19</f>
        <v>1277</v>
      </c>
      <c r="D23" s="66" t="str">
        <f>SISWA!D19</f>
        <v>0098488467</v>
      </c>
      <c r="E23" s="66" t="str">
        <f>'KI-1'!G21</f>
        <v xml:space="preserve">Ananda Fifi baik dalam ketaatan beribadah, perilaku bersyukur, berdoa sebelum dan sesudah melakukan kegiatan, toleransi dalam beribadah, </v>
      </c>
      <c r="F23" s="66" t="str">
        <f>'KI-2'!I21</f>
        <v xml:space="preserve">Ananda Fifi baik dalam sikap jujur, disiplin, tanggung jawab, sopan santun, kerja sama, </v>
      </c>
      <c r="G23" s="66" t="e">
        <f>#REF!</f>
        <v>#REF!</v>
      </c>
      <c r="H23" s="66" t="e">
        <f>#REF!</f>
        <v>#REF!</v>
      </c>
      <c r="I23" s="66" t="e">
        <f>#REF!</f>
        <v>#REF!</v>
      </c>
      <c r="J23" s="66" t="e">
        <f>#REF!</f>
        <v>#REF!</v>
      </c>
      <c r="K23" s="66" t="e">
        <f>#REF!</f>
        <v>#REF!</v>
      </c>
      <c r="L23" s="66" t="e">
        <f>#REF!</f>
        <v>#REF!</v>
      </c>
      <c r="M23" s="66" t="e">
        <f>#REF!</f>
        <v>#REF!</v>
      </c>
      <c r="N23" s="66" t="str">
        <f>'P-pkn'!CE21</f>
        <v>Ananda Fifi  baik dalam menelaah keberagaman sosial budaya masyarakat, cukup dalam menggali manfaat persatuan dan kesatuan untuk membangun kerukunan hidup</v>
      </c>
      <c r="O23" s="66" t="str">
        <f>'P-BI'!DR21</f>
        <v>Ananda Fifi baik dalam menggali isi dan amanat pantun yang disajikan secara lisan dan tulis dengan tujuan untuk kesenangan, cukup dalam menguraikan konsep-konsep yang saling berkaitan pada teks nonfiksi</v>
      </c>
      <c r="P23" s="66" t="str">
        <f>'P MTK'!FR21</f>
        <v>Ananda Fifi cukup dalam menjelaskan dan melakukan perkalian dan pembagian pecahan dan desimal, cukup dalam menjelaskan skala melalui denah.</v>
      </c>
      <c r="Q23" s="66" t="str">
        <f>'P-IPA'!DR21</f>
        <v>Ananda Fifi cukup dalam menjelaskan organ pencernaan dan fungsinya pada hewan dan manusia serta cara memelihara kesehatan organ pencernaan manusia, cukup dalam menganalisis hubungan antar komponen ekosistem dan jaring-jaring makanan di lingkungan sekitar</v>
      </c>
      <c r="R23" s="66" t="str">
        <f>'P-IPS'!DR21</f>
        <v xml:space="preserve">Ananda Fifi cukup dalam menganalisis bentuk bentuk interaksi manusia dengan lingkungan dan pengaruhnya terhadap pembangunan sosial, budaya, dan ekonomi masyarakat Indonesia., cukup dalam mengidentifikasi karakteristik geografis Indonesia sebagai negara kepulauan/maritim dan agraris serta pengaruhnya terhadap kehidupan ekonomi, sosial, budaya, komunikasi, serta transportasi. </v>
      </c>
      <c r="S23" s="66" t="str">
        <f>'P-SBDP'!DR21</f>
        <v>Ananda Fifi baik dalam memahami karya seni rupa daerah, cukup dalam memahami pola lantai dalam tari kreasi daerah</v>
      </c>
      <c r="T23" s="66" t="str">
        <f>'P-PJOK'!E19</f>
        <v xml:space="preserve">Ananda Fifi baik dalam memahami prosedur aktifitas latihan daya tahan jantung untuk pengembangan kebugaran jasmani, baik dalam memahami kombinasi gerak dasar lokomotor,nonlokomotor dan manipulatif. </v>
      </c>
      <c r="U23" s="66" t="str">
        <f>'P-BJAWA'!AX21</f>
        <v>Ananda Fifi baik dalam memahami teks deskriptif tentang peristiwa alam dan adat istiadat., cukup dalam memahami kata dan kalimat beraksara Jawa yang mengandung  pasangan.</v>
      </c>
      <c r="V23" s="66" t="e">
        <f>#REF!</f>
        <v>#REF!</v>
      </c>
      <c r="W23" s="66" t="e">
        <f>#REF!</f>
        <v>#REF!</v>
      </c>
      <c r="X23" s="66" t="e">
        <f>#REF!</f>
        <v>#REF!</v>
      </c>
      <c r="Y23" s="66" t="e">
        <f>#REF!</f>
        <v>#REF!</v>
      </c>
      <c r="Z23" s="66" t="e">
        <f>#REF!</f>
        <v>#REF!</v>
      </c>
      <c r="AA23" s="66" t="e">
        <f>#REF!</f>
        <v>#REF!</v>
      </c>
      <c r="AB23" s="66" t="e">
        <f>#REF!</f>
        <v>#REF!</v>
      </c>
      <c r="AC23" s="66" t="str">
        <f>'K-pkn'!DM21</f>
        <v>Ananda Fifi baik dalam menjelaskan hak, kewajiban, dan tanggung jawab sebagai warga masyarakat dalam kehidupan sehari-hari, cukup dalam menyajikan hasil penggalian tentang manfaat persatuan dan kesatuan untuk membangun kerukunan..</v>
      </c>
      <c r="AD23" s="66" t="str">
        <f>'K-BI'!ES21</f>
        <v>Ananda Fifi baik dalam menyajikan hasil identifikasi pokok pikiran dalam teks tulis dan lisan secara lisan, tulis, dan visual, cukup dalam menyajikan hasil klasifikasi informasi yang didapat dari buku yang dikelompokkan dalam aspek: apa, di mana, kapan, siapa, mengapa, dan bagaimana .</v>
      </c>
      <c r="AE23" s="66" t="str">
        <f>'K-MAT'!BA21</f>
        <v>Ananda Fifi cukup dalam menyelesaikan masalah yang berkaitan dengan skala pada denah, cukup dalam menyelesaikan masalah yang berkaitan dengan perbandingan dua besaran yang berbeda (kecepatan, debit).</v>
      </c>
      <c r="AF23" s="66" t="str">
        <f>'K-IPA'!ES21</f>
        <v>Ananda Fifi baik dalam membuat model sederhana organ pernapasan manusia, cukup dalam menyajikan karya tentang organ peredaran darah pada manusia.</v>
      </c>
      <c r="AG23" s="66" t="str">
        <f>'K-IPS'!DM21</f>
        <v>Ananda Fifi baik dalam menyajikan hasil analisis tentang peran ekonomi dalam upaya menyejahterakan kehidupan masyarakat di bidang sosial dan budaya untuk memperkuat kesatuan dan persatuan bangsa., baik dalam menyajikan hasil analisis tentang interaksi manusia dengan lingkungan dan pengaruhnya terhadap pembangunan sosial, budaya, dan ekonomi masyarakat Indonesia..</v>
      </c>
      <c r="AH23" s="66" t="str">
        <f>'K-SBDP'!DM21</f>
        <v>Ananda Fifi baik dalam mempraktikkan pola lantai pada gerak tari kreasi dearah, cukup dalam membuat gambar cerita.</v>
      </c>
      <c r="AI23" s="66" t="str">
        <f>'K-PJOK'!E21</f>
        <v>Ananda Fifi baik dalam mempraktikkan kombinasi gerak dasar lokomotor , nonlokomotor dan manipulatif serta baik dalam mempraktikkan aktifitas latihan daya jantung untuk pengembangan kebugaran jasmani.</v>
      </c>
      <c r="AJ23" s="66" t="str">
        <f>'K-BJAWA'!CR21</f>
        <v>Ananda Fifi baik dalam menyampaikan teks deskriptif tentang peristiwa alam dan adat istiadat., cukup dalam melantunkan tembang macapat Kinanthi, dan menjelaskan  geguritan..</v>
      </c>
      <c r="AK23" s="66">
        <f>absen!C19</f>
        <v>1</v>
      </c>
      <c r="AL23" s="66">
        <f>absen!D19</f>
        <v>0</v>
      </c>
      <c r="AM23" s="66">
        <f>absen!E19</f>
        <v>0</v>
      </c>
    </row>
    <row r="24" spans="1:39">
      <c r="A24" s="39">
        <v>15</v>
      </c>
      <c r="B24" s="66" t="str">
        <f>SISWA!B20</f>
        <v>Tegar Arya Pangestu</v>
      </c>
      <c r="C24" s="66">
        <f>SISWA!C20</f>
        <v>1270</v>
      </c>
      <c r="D24" s="66" t="str">
        <f>SISWA!D20</f>
        <v>0158891388</v>
      </c>
      <c r="E24" s="66" t="str">
        <f>'KI-1'!G22</f>
        <v xml:space="preserve">Ananda Tegar baik dalam ketaatan beribadah, perilaku bersyukur, berdoa sebelum dan sesudah melakukan kegiatan, toleransi dalam beribadah, </v>
      </c>
      <c r="F24" s="66" t="str">
        <f>'KI-2'!I22</f>
        <v xml:space="preserve">Ananda Tegar baik dalam sikap jujur, disiplin, tanggung jawab, sopan santun, kerja sama, </v>
      </c>
      <c r="G24" s="66" t="e">
        <f>#REF!</f>
        <v>#REF!</v>
      </c>
      <c r="H24" s="66" t="e">
        <f>#REF!</f>
        <v>#REF!</v>
      </c>
      <c r="I24" s="66" t="e">
        <f>#REF!</f>
        <v>#REF!</v>
      </c>
      <c r="J24" s="66" t="e">
        <f>#REF!</f>
        <v>#REF!</v>
      </c>
      <c r="K24" s="66" t="e">
        <f>#REF!</f>
        <v>#REF!</v>
      </c>
      <c r="L24" s="66" t="e">
        <f>#REF!</f>
        <v>#REF!</v>
      </c>
      <c r="M24" s="66" t="e">
        <f>#REF!</f>
        <v>#REF!</v>
      </c>
      <c r="N24" s="66" t="str">
        <f>'P-pkn'!CE22</f>
        <v>Ananda Tegar  baik dalam menelaah keberagaman sosial budaya masyarakat, cukup dalam menggali manfaat persatuan dan kesatuan untuk membangun kerukunan hidup</v>
      </c>
      <c r="O24" s="66" t="str">
        <f>'P-BI'!DR22</f>
        <v>Ananda Tegar baik dalam menentukan pokok pikiran dalam teks lisan dan tulis, cukup dalam mengklasifikasi informasi yang didapat dari buku ke dalam aspek: apa, di mana, kapan, siapa, mengapa, dan bagaimana</v>
      </c>
      <c r="P24" s="66" t="str">
        <f>'P MTK'!FR22</f>
        <v>Ananda Tegar cukup dalam menjelaskan skala melalui denah, cukup dalam menjelaskan dan melakukan penjumlahan dan pengurangan dua pecahan dengan penyebut berbeda.</v>
      </c>
      <c r="Q24" s="66" t="str">
        <f>'P-IPA'!DR22</f>
        <v>Ananda Tegar baik dalam menjelaskan organ pencernaan dan fungsinya pada hewan dan manusia serta cara memelihara kesehatan organ pencernaan manusia, cukup dalam menjelaskan organ peredaran darah dan fungsinya pada hewan dan manusia serta cara memelihara kesehatan organ peredaran darah manusia</v>
      </c>
      <c r="R24" s="66" t="str">
        <f>'P-IPS'!DR22</f>
        <v xml:space="preserve">Ananda Tegar cukup dalam menganalisis peran ekonomi dalam upaya menyejahterakan kehidupan masyarakat di bidang sosial dan budaya untuk memperkuat kesatuan dan persatuan bangsa., cukup dalam mengidentifikasi karakteristik geografis Indonesia sebagai negara kepulauan/maritim dan agraris serta pengaruhnya terhadap kehidupan ekonomi, sosial, budaya, komunikasi, serta transportasi. </v>
      </c>
      <c r="S24" s="66" t="str">
        <f>'P-SBDP'!DR22</f>
        <v>Ananda Tegar baik dalam memahami karya seni rupa daerah, cukup dalam memahami gambar cerita</v>
      </c>
      <c r="T24" s="66" t="str">
        <f>'P-PJOK'!E20</f>
        <v xml:space="preserve">Ananda Tegar baik dalam memahami prosedur aktifitas latihan daya tahan jantung untuk pengembangan kebugaran jasmani, baik dalam memahami kombinasi gerak dasar lokomotor,nonlokomotor dan manipulatif. </v>
      </c>
      <c r="U24" s="66" t="str">
        <f>'P-BJAWA'!AX22</f>
        <v>Ananda Tegar cukup dalam memahami teks deskriptif tentang peristiwa alam dan adat istiadat., cukup dalam memahami kata dan kalimat beraksara Jawa yang mengandung  pasangan.</v>
      </c>
      <c r="V24" s="66" t="e">
        <f>#REF!</f>
        <v>#REF!</v>
      </c>
      <c r="W24" s="66" t="e">
        <f>#REF!</f>
        <v>#REF!</v>
      </c>
      <c r="X24" s="66" t="e">
        <f>#REF!</f>
        <v>#REF!</v>
      </c>
      <c r="Y24" s="66" t="e">
        <f>#REF!</f>
        <v>#REF!</v>
      </c>
      <c r="Z24" s="66" t="e">
        <f>#REF!</f>
        <v>#REF!</v>
      </c>
      <c r="AA24" s="66" t="e">
        <f>#REF!</f>
        <v>#REF!</v>
      </c>
      <c r="AB24" s="66" t="e">
        <f>#REF!</f>
        <v>#REF!</v>
      </c>
      <c r="AC24" s="66" t="str">
        <f>'K-pkn'!DM22</f>
        <v>Ananda Tegar baik dalam menjelaskan hak, kewajiban, dan tanggung jawab sebagai warga masyarakat dalam kehidupan sehari-hari, cukup dalam menyajikan hasil identifikasi nilai-nilai Pancasila dalam kehidupan sehari-hari.</v>
      </c>
      <c r="AD24" s="66" t="str">
        <f>'K-BI'!ES22</f>
        <v>Ananda Tegar baik dalam menyajikan konsep-konsep yang saling berkaitan pada teks nonfiksi ke dalam tulisan dengan bahasa sendiri, baik dalam memeragakan kembali informasi yang disampaikan paparan iklan dari media cetak atau elektronik dengan bantuan lisan, tulis, dan visual.</v>
      </c>
      <c r="AE24" s="66" t="str">
        <f>'K-MAT'!BA22</f>
        <v>Ananda Tegar baik dalam menyelesaikan masalah yang berkaitan dengan skala pada denah, cukup dalam menyelesaikan masalah yang berkaitan dengan perkalian dan pembagian pecahan dan desimal.</v>
      </c>
      <c r="AF24" s="66" t="str">
        <f>'K-IPA'!ES22</f>
        <v>Ananda Tegar baik dalam membuat model sederhana organ pernapasan manusia, cukup dalam menyajikan karya tentang organ peredaran darah pada manusia.</v>
      </c>
      <c r="AG24" s="66" t="str">
        <f>'K-IPS'!DM22</f>
        <v>Ananda Tegar baik dalam menyajikan hasil identifikasi karakteristik geografis Indonesia sebagai negara kepulauan/maritim dan agraris serta pengaruhnya terhadap kehidupan ekonomi, sosial, budaya, komunikasi, serta transportasi., baik dalam menyajikan hasil analisis tentang peran ekonomi dalam upaya menyejahterakan kehidupan masyarakat di bidang sosial dan budaya untuk memperkuat kesatuan dan persatuan bangsa..</v>
      </c>
      <c r="AH24" s="66" t="str">
        <f>'K-SBDP'!DM22</f>
        <v>Ananda Tegar baik dalam mempraktikkan pola lantai pada gerak tari kreasi dearah, cukup dalam membuat gambar cerita.</v>
      </c>
      <c r="AI24" s="66" t="str">
        <f>'K-PJOK'!E22</f>
        <v>Ananda Tegar baik dalam mempraktikkan kombinasi gerak dasar lokomotor , nonlokomotor dan manipulatif serta baik dalam mempraktikkan aktifitas latihan daya jantung untuk pengembangan kebugaran jasmani.</v>
      </c>
      <c r="AJ24" s="66" t="str">
        <f>'K-BJAWA'!CR22</f>
        <v>Ananda Tegar baik dalam menyampaikan teks deskriptif tentang peristiwa alam dan adat istiadat., cukup dalam menceritakan wayang (Ramayana), pakaian tradisional, dan gamelan..</v>
      </c>
      <c r="AK24" s="66">
        <f>absen!C20</f>
        <v>3</v>
      </c>
      <c r="AL24" s="66">
        <f>absen!D20</f>
        <v>0</v>
      </c>
      <c r="AM24" s="66">
        <f>absen!E20</f>
        <v>0</v>
      </c>
    </row>
    <row r="25" spans="1:39">
      <c r="A25" s="39">
        <v>16</v>
      </c>
      <c r="B25" s="66">
        <f>SISWA!B21</f>
        <v>0</v>
      </c>
      <c r="C25" s="66">
        <f>SISWA!C21</f>
        <v>0</v>
      </c>
      <c r="D25" s="66">
        <f>SISWA!D21</f>
        <v>0</v>
      </c>
      <c r="E25" s="66" t="str">
        <f>'KI-1'!G23</f>
        <v xml:space="preserve"> </v>
      </c>
      <c r="F25" s="66" t="str">
        <f>'KI-2'!I23</f>
        <v xml:space="preserve"> </v>
      </c>
      <c r="G25" s="66" t="e">
        <f>#REF!</f>
        <v>#REF!</v>
      </c>
      <c r="H25" s="66" t="e">
        <f>#REF!</f>
        <v>#REF!</v>
      </c>
      <c r="I25" s="66" t="e">
        <f>#REF!</f>
        <v>#REF!</v>
      </c>
      <c r="J25" s="66" t="e">
        <f>#REF!</f>
        <v>#REF!</v>
      </c>
      <c r="K25" s="66" t="e">
        <f>#REF!</f>
        <v>#REF!</v>
      </c>
      <c r="L25" s="66" t="e">
        <f>#REF!</f>
        <v>#REF!</v>
      </c>
      <c r="M25" s="66" t="e">
        <f>#REF!</f>
        <v>#REF!</v>
      </c>
      <c r="N25" s="66" t="str">
        <f>'P-pkn'!CE23</f>
        <v xml:space="preserve"> </v>
      </c>
      <c r="O25" s="66" t="str">
        <f>'P-BI'!DR23</f>
        <v xml:space="preserve"> </v>
      </c>
      <c r="P25" s="66" t="str">
        <f>'P MTK'!FR23</f>
        <v xml:space="preserve"> </v>
      </c>
      <c r="Q25" s="66" t="str">
        <f>'P-IPA'!DR23</f>
        <v xml:space="preserve"> </v>
      </c>
      <c r="R25" s="66" t="str">
        <f>'P-IPS'!DR23</f>
        <v xml:space="preserve"> </v>
      </c>
      <c r="S25" s="66" t="str">
        <f>'P-SBDP'!DR23</f>
        <v xml:space="preserve"> </v>
      </c>
      <c r="T25" s="66">
        <f>'P-PJOK'!E21</f>
        <v>0</v>
      </c>
      <c r="U25" s="66" t="str">
        <f>'P-BJAWA'!AX23</f>
        <v xml:space="preserve"> </v>
      </c>
      <c r="V25" s="66" t="e">
        <f>#REF!</f>
        <v>#REF!</v>
      </c>
      <c r="W25" s="66" t="e">
        <f>#REF!</f>
        <v>#REF!</v>
      </c>
      <c r="X25" s="66" t="e">
        <f>#REF!</f>
        <v>#REF!</v>
      </c>
      <c r="Y25" s="66" t="e">
        <f>#REF!</f>
        <v>#REF!</v>
      </c>
      <c r="Z25" s="66" t="e">
        <f>#REF!</f>
        <v>#REF!</v>
      </c>
      <c r="AA25" s="66" t="e">
        <f>#REF!</f>
        <v>#REF!</v>
      </c>
      <c r="AB25" s="66" t="e">
        <f>#REF!</f>
        <v>#REF!</v>
      </c>
      <c r="AC25" s="66" t="str">
        <f>'K-pkn'!DM23</f>
        <v xml:space="preserve"> </v>
      </c>
      <c r="AD25" s="66" t="str">
        <f>'K-BI'!ES23</f>
        <v xml:space="preserve"> </v>
      </c>
      <c r="AE25" s="66" t="str">
        <f>'K-MAT'!BA23</f>
        <v xml:space="preserve"> </v>
      </c>
      <c r="AF25" s="66" t="str">
        <f>'K-IPA'!ES23</f>
        <v xml:space="preserve"> </v>
      </c>
      <c r="AG25" s="66" t="str">
        <f>'K-IPS'!DM23</f>
        <v xml:space="preserve"> </v>
      </c>
      <c r="AH25" s="66" t="str">
        <f>'K-SBDP'!DM23</f>
        <v xml:space="preserve"> </v>
      </c>
      <c r="AI25" s="66">
        <f>'K-PJOK'!E23</f>
        <v>0</v>
      </c>
      <c r="AJ25" s="66" t="str">
        <f>'K-BJAWA'!CR23</f>
        <v xml:space="preserve"> </v>
      </c>
      <c r="AK25" s="66">
        <f>absen!C21</f>
        <v>0</v>
      </c>
      <c r="AL25" s="66">
        <f>absen!D21</f>
        <v>0</v>
      </c>
      <c r="AM25" s="66">
        <f>absen!E21</f>
        <v>0</v>
      </c>
    </row>
    <row r="26" spans="1:39">
      <c r="A26" s="39">
        <v>17</v>
      </c>
      <c r="B26" s="66">
        <f>SISWA!B22</f>
        <v>0</v>
      </c>
      <c r="C26" s="66">
        <f>SISWA!C22</f>
        <v>0</v>
      </c>
      <c r="D26" s="66">
        <f>SISWA!D22</f>
        <v>0</v>
      </c>
      <c r="E26" s="66" t="str">
        <f>'KI-1'!G24</f>
        <v xml:space="preserve"> </v>
      </c>
      <c r="F26" s="66" t="str">
        <f>'KI-2'!I24</f>
        <v xml:space="preserve"> </v>
      </c>
      <c r="G26" s="66" t="e">
        <f>#REF!</f>
        <v>#REF!</v>
      </c>
      <c r="H26" s="66" t="e">
        <f>#REF!</f>
        <v>#REF!</v>
      </c>
      <c r="I26" s="66" t="e">
        <f>#REF!</f>
        <v>#REF!</v>
      </c>
      <c r="J26" s="66" t="e">
        <f>#REF!</f>
        <v>#REF!</v>
      </c>
      <c r="K26" s="66" t="e">
        <f>#REF!</f>
        <v>#REF!</v>
      </c>
      <c r="L26" s="66" t="e">
        <f>#REF!</f>
        <v>#REF!</v>
      </c>
      <c r="M26" s="66" t="e">
        <f>#REF!</f>
        <v>#REF!</v>
      </c>
      <c r="N26" s="66" t="str">
        <f>'P-pkn'!CE24</f>
        <v xml:space="preserve"> </v>
      </c>
      <c r="O26" s="66" t="str">
        <f>'P-BI'!DR24</f>
        <v xml:space="preserve"> </v>
      </c>
      <c r="P26" s="66" t="str">
        <f>'P MTK'!FR24</f>
        <v xml:space="preserve"> </v>
      </c>
      <c r="Q26" s="66" t="str">
        <f>'P-IPA'!DR24</f>
        <v xml:space="preserve"> </v>
      </c>
      <c r="R26" s="66" t="str">
        <f>'P-IPS'!DR24</f>
        <v xml:space="preserve"> </v>
      </c>
      <c r="S26" s="66" t="str">
        <f>'P-SBDP'!DR24</f>
        <v xml:space="preserve"> </v>
      </c>
      <c r="T26" s="66">
        <f>'P-PJOK'!E22</f>
        <v>0</v>
      </c>
      <c r="U26" s="66" t="str">
        <f>'P-BJAWA'!AX24</f>
        <v xml:space="preserve"> </v>
      </c>
      <c r="V26" s="66" t="e">
        <f>#REF!</f>
        <v>#REF!</v>
      </c>
      <c r="W26" s="66" t="e">
        <f>#REF!</f>
        <v>#REF!</v>
      </c>
      <c r="X26" s="66" t="e">
        <f>#REF!</f>
        <v>#REF!</v>
      </c>
      <c r="Y26" s="66" t="e">
        <f>#REF!</f>
        <v>#REF!</v>
      </c>
      <c r="Z26" s="66" t="e">
        <f>#REF!</f>
        <v>#REF!</v>
      </c>
      <c r="AA26" s="66" t="e">
        <f>#REF!</f>
        <v>#REF!</v>
      </c>
      <c r="AB26" s="66" t="e">
        <f>#REF!</f>
        <v>#REF!</v>
      </c>
      <c r="AC26" s="66" t="str">
        <f>'K-pkn'!DM24</f>
        <v xml:space="preserve"> </v>
      </c>
      <c r="AD26" s="66" t="str">
        <f>'K-BI'!ES24</f>
        <v xml:space="preserve"> </v>
      </c>
      <c r="AE26" s="66" t="str">
        <f>'K-MAT'!BA24</f>
        <v xml:space="preserve"> </v>
      </c>
      <c r="AF26" s="66" t="str">
        <f>'K-IPA'!ES24</f>
        <v xml:space="preserve"> </v>
      </c>
      <c r="AG26" s="66" t="str">
        <f>'K-IPS'!DM24</f>
        <v xml:space="preserve"> </v>
      </c>
      <c r="AH26" s="66" t="str">
        <f>'K-SBDP'!DM24</f>
        <v xml:space="preserve"> </v>
      </c>
      <c r="AI26" s="66">
        <f>'K-PJOK'!E24</f>
        <v>0</v>
      </c>
      <c r="AJ26" s="66" t="str">
        <f>'K-BJAWA'!CR24</f>
        <v xml:space="preserve"> </v>
      </c>
      <c r="AK26" s="66">
        <f>absen!C22</f>
        <v>0</v>
      </c>
      <c r="AL26" s="66">
        <f>absen!D22</f>
        <v>0</v>
      </c>
      <c r="AM26" s="66">
        <f>absen!E22</f>
        <v>0</v>
      </c>
    </row>
    <row r="27" spans="1:39">
      <c r="A27" s="39">
        <v>18</v>
      </c>
      <c r="B27" s="66">
        <f>SISWA!B23</f>
        <v>0</v>
      </c>
      <c r="C27" s="66">
        <f>SISWA!C23</f>
        <v>0</v>
      </c>
      <c r="D27" s="66">
        <f>SISWA!D23</f>
        <v>0</v>
      </c>
      <c r="E27" s="66" t="str">
        <f>'KI-1'!G25</f>
        <v xml:space="preserve"> </v>
      </c>
      <c r="F27" s="66" t="str">
        <f>'KI-2'!I25</f>
        <v xml:space="preserve"> </v>
      </c>
      <c r="G27" s="66" t="e">
        <f>#REF!</f>
        <v>#REF!</v>
      </c>
      <c r="H27" s="66" t="e">
        <f>#REF!</f>
        <v>#REF!</v>
      </c>
      <c r="I27" s="66" t="e">
        <f>#REF!</f>
        <v>#REF!</v>
      </c>
      <c r="J27" s="66" t="e">
        <f>#REF!</f>
        <v>#REF!</v>
      </c>
      <c r="K27" s="66" t="e">
        <f>#REF!</f>
        <v>#REF!</v>
      </c>
      <c r="L27" s="66" t="e">
        <f>#REF!</f>
        <v>#REF!</v>
      </c>
      <c r="M27" s="66" t="e">
        <f>#REF!</f>
        <v>#REF!</v>
      </c>
      <c r="N27" s="66" t="str">
        <f>'P-pkn'!CE25</f>
        <v xml:space="preserve"> </v>
      </c>
      <c r="O27" s="66" t="str">
        <f>'P-BI'!DR25</f>
        <v xml:space="preserve"> </v>
      </c>
      <c r="P27" s="66" t="str">
        <f>'P MTK'!FR25</f>
        <v xml:space="preserve"> </v>
      </c>
      <c r="Q27" s="66" t="str">
        <f>'P-IPA'!DR25</f>
        <v xml:space="preserve"> </v>
      </c>
      <c r="R27" s="66" t="str">
        <f>'P-IPS'!DR25</f>
        <v xml:space="preserve"> </v>
      </c>
      <c r="S27" s="66" t="str">
        <f>'P-SBDP'!DR25</f>
        <v xml:space="preserve"> </v>
      </c>
      <c r="T27" s="66">
        <f>'P-PJOK'!E23</f>
        <v>0</v>
      </c>
      <c r="U27" s="66" t="str">
        <f>'P-BJAWA'!AX25</f>
        <v xml:space="preserve"> </v>
      </c>
      <c r="V27" s="66" t="e">
        <f>#REF!</f>
        <v>#REF!</v>
      </c>
      <c r="W27" s="66" t="e">
        <f>#REF!</f>
        <v>#REF!</v>
      </c>
      <c r="X27" s="66" t="e">
        <f>#REF!</f>
        <v>#REF!</v>
      </c>
      <c r="Y27" s="66" t="e">
        <f>#REF!</f>
        <v>#REF!</v>
      </c>
      <c r="Z27" s="66" t="e">
        <f>#REF!</f>
        <v>#REF!</v>
      </c>
      <c r="AA27" s="66" t="e">
        <f>#REF!</f>
        <v>#REF!</v>
      </c>
      <c r="AB27" s="66" t="e">
        <f>#REF!</f>
        <v>#REF!</v>
      </c>
      <c r="AC27" s="66" t="str">
        <f>'K-pkn'!DM25</f>
        <v xml:space="preserve"> </v>
      </c>
      <c r="AD27" s="66" t="str">
        <f>'K-BI'!ES25</f>
        <v xml:space="preserve"> </v>
      </c>
      <c r="AE27" s="66" t="str">
        <f>'K-MAT'!BA25</f>
        <v xml:space="preserve"> </v>
      </c>
      <c r="AF27" s="66" t="str">
        <f>'K-IPA'!ES25</f>
        <v xml:space="preserve"> </v>
      </c>
      <c r="AG27" s="66" t="str">
        <f>'K-IPS'!DM25</f>
        <v xml:space="preserve"> </v>
      </c>
      <c r="AH27" s="66" t="str">
        <f>'K-SBDP'!DM25</f>
        <v xml:space="preserve"> </v>
      </c>
      <c r="AI27" s="66">
        <f>'K-PJOK'!E25</f>
        <v>0</v>
      </c>
      <c r="AJ27" s="66" t="str">
        <f>'K-BJAWA'!CR25</f>
        <v xml:space="preserve"> </v>
      </c>
      <c r="AK27" s="66">
        <f>absen!C23</f>
        <v>0</v>
      </c>
      <c r="AL27" s="66">
        <f>absen!D23</f>
        <v>0</v>
      </c>
      <c r="AM27" s="66">
        <f>absen!E23</f>
        <v>0</v>
      </c>
    </row>
    <row r="28" spans="1:39">
      <c r="A28" s="39">
        <v>19</v>
      </c>
      <c r="B28" s="66">
        <f>SISWA!B24</f>
        <v>0</v>
      </c>
      <c r="C28" s="66">
        <f>SISWA!C24</f>
        <v>0</v>
      </c>
      <c r="D28" s="66">
        <f>SISWA!D24</f>
        <v>0</v>
      </c>
      <c r="E28" s="66" t="str">
        <f>'KI-1'!G26</f>
        <v xml:space="preserve"> </v>
      </c>
      <c r="F28" s="66" t="str">
        <f>'KI-2'!I26</f>
        <v xml:space="preserve"> </v>
      </c>
      <c r="G28" s="66" t="e">
        <f>#REF!</f>
        <v>#REF!</v>
      </c>
      <c r="H28" s="66" t="e">
        <f>#REF!</f>
        <v>#REF!</v>
      </c>
      <c r="I28" s="66" t="e">
        <f>#REF!</f>
        <v>#REF!</v>
      </c>
      <c r="J28" s="66" t="e">
        <f>#REF!</f>
        <v>#REF!</v>
      </c>
      <c r="K28" s="66" t="e">
        <f>#REF!</f>
        <v>#REF!</v>
      </c>
      <c r="L28" s="66" t="e">
        <f>#REF!</f>
        <v>#REF!</v>
      </c>
      <c r="M28" s="66" t="e">
        <f>#REF!</f>
        <v>#REF!</v>
      </c>
      <c r="N28" s="66" t="str">
        <f>'P-pkn'!CE26</f>
        <v xml:space="preserve"> </v>
      </c>
      <c r="O28" s="66" t="str">
        <f>'P-BI'!DR26</f>
        <v xml:space="preserve"> </v>
      </c>
      <c r="P28" s="66" t="str">
        <f>'P MTK'!FR26</f>
        <v xml:space="preserve"> </v>
      </c>
      <c r="Q28" s="66" t="str">
        <f>'P-IPA'!DR26</f>
        <v xml:space="preserve"> </v>
      </c>
      <c r="R28" s="66" t="str">
        <f>'P-IPS'!DR26</f>
        <v xml:space="preserve"> </v>
      </c>
      <c r="S28" s="66" t="str">
        <f>'P-SBDP'!DR26</f>
        <v xml:space="preserve"> </v>
      </c>
      <c r="T28" s="66">
        <f>'P-PJOK'!E24</f>
        <v>0</v>
      </c>
      <c r="U28" s="66" t="str">
        <f>'P-BJAWA'!AX26</f>
        <v xml:space="preserve"> </v>
      </c>
      <c r="V28" s="66" t="e">
        <f>#REF!</f>
        <v>#REF!</v>
      </c>
      <c r="W28" s="66" t="e">
        <f>#REF!</f>
        <v>#REF!</v>
      </c>
      <c r="X28" s="66" t="e">
        <f>#REF!</f>
        <v>#REF!</v>
      </c>
      <c r="Y28" s="66" t="e">
        <f>#REF!</f>
        <v>#REF!</v>
      </c>
      <c r="Z28" s="66" t="e">
        <f>#REF!</f>
        <v>#REF!</v>
      </c>
      <c r="AA28" s="66" t="e">
        <f>#REF!</f>
        <v>#REF!</v>
      </c>
      <c r="AB28" s="66" t="e">
        <f>#REF!</f>
        <v>#REF!</v>
      </c>
      <c r="AC28" s="66" t="str">
        <f>'K-pkn'!DM26</f>
        <v xml:space="preserve"> </v>
      </c>
      <c r="AD28" s="66" t="str">
        <f>'K-BI'!ES26</f>
        <v xml:space="preserve"> </v>
      </c>
      <c r="AE28" s="66" t="str">
        <f>'K-MAT'!BA26</f>
        <v xml:space="preserve"> </v>
      </c>
      <c r="AF28" s="66" t="str">
        <f>'K-IPA'!ES26</f>
        <v xml:space="preserve"> </v>
      </c>
      <c r="AG28" s="66" t="str">
        <f>'K-IPS'!DM26</f>
        <v xml:space="preserve"> </v>
      </c>
      <c r="AH28" s="66" t="str">
        <f>'K-SBDP'!DM26</f>
        <v xml:space="preserve"> </v>
      </c>
      <c r="AI28" s="66">
        <f>'K-PJOK'!E26</f>
        <v>0</v>
      </c>
      <c r="AJ28" s="66" t="str">
        <f>'K-BJAWA'!CR26</f>
        <v xml:space="preserve"> </v>
      </c>
      <c r="AK28" s="66">
        <f>absen!C24</f>
        <v>0</v>
      </c>
      <c r="AL28" s="66">
        <f>absen!D24</f>
        <v>0</v>
      </c>
      <c r="AM28" s="66">
        <f>absen!E24</f>
        <v>0</v>
      </c>
    </row>
    <row r="29" spans="1:39">
      <c r="A29" s="39">
        <v>20</v>
      </c>
      <c r="B29" s="66">
        <f>SISWA!B25</f>
        <v>0</v>
      </c>
      <c r="C29" s="66">
        <f>SISWA!C25</f>
        <v>0</v>
      </c>
      <c r="D29" s="66">
        <f>SISWA!D25</f>
        <v>0</v>
      </c>
      <c r="E29" s="66" t="str">
        <f>'KI-1'!G27</f>
        <v xml:space="preserve"> </v>
      </c>
      <c r="F29" s="66" t="str">
        <f>'KI-2'!I27</f>
        <v xml:space="preserve"> </v>
      </c>
      <c r="G29" s="66" t="e">
        <f>#REF!</f>
        <v>#REF!</v>
      </c>
      <c r="H29" s="66" t="e">
        <f>#REF!</f>
        <v>#REF!</v>
      </c>
      <c r="I29" s="66" t="e">
        <f>#REF!</f>
        <v>#REF!</v>
      </c>
      <c r="J29" s="66" t="e">
        <f>#REF!</f>
        <v>#REF!</v>
      </c>
      <c r="K29" s="66" t="e">
        <f>#REF!</f>
        <v>#REF!</v>
      </c>
      <c r="L29" s="66" t="e">
        <f>#REF!</f>
        <v>#REF!</v>
      </c>
      <c r="M29" s="66" t="e">
        <f>#REF!</f>
        <v>#REF!</v>
      </c>
      <c r="N29" s="66" t="str">
        <f>'P-pkn'!CE27</f>
        <v xml:space="preserve"> </v>
      </c>
      <c r="O29" s="66" t="str">
        <f>'P-BI'!DR27</f>
        <v xml:space="preserve"> </v>
      </c>
      <c r="P29" s="66" t="str">
        <f>'P MTK'!FR27</f>
        <v xml:space="preserve"> </v>
      </c>
      <c r="Q29" s="66" t="str">
        <f>'P-IPA'!DR27</f>
        <v xml:space="preserve"> </v>
      </c>
      <c r="R29" s="66" t="str">
        <f>'P-IPS'!DR27</f>
        <v xml:space="preserve"> </v>
      </c>
      <c r="S29" s="66" t="str">
        <f>'P-SBDP'!DR27</f>
        <v xml:space="preserve"> </v>
      </c>
      <c r="T29" s="66">
        <f>'P-PJOK'!E25</f>
        <v>0</v>
      </c>
      <c r="U29" s="66" t="str">
        <f>'P-BJAWA'!AX27</f>
        <v xml:space="preserve"> </v>
      </c>
      <c r="V29" s="66" t="e">
        <f>#REF!</f>
        <v>#REF!</v>
      </c>
      <c r="W29" s="66" t="e">
        <f>#REF!</f>
        <v>#REF!</v>
      </c>
      <c r="X29" s="66" t="e">
        <f>#REF!</f>
        <v>#REF!</v>
      </c>
      <c r="Y29" s="66" t="e">
        <f>#REF!</f>
        <v>#REF!</v>
      </c>
      <c r="Z29" s="66" t="e">
        <f>#REF!</f>
        <v>#REF!</v>
      </c>
      <c r="AA29" s="66" t="e">
        <f>#REF!</f>
        <v>#REF!</v>
      </c>
      <c r="AB29" s="66" t="e">
        <f>#REF!</f>
        <v>#REF!</v>
      </c>
      <c r="AC29" s="66" t="str">
        <f>'K-pkn'!DM27</f>
        <v xml:space="preserve"> </v>
      </c>
      <c r="AD29" s="66" t="str">
        <f>'K-BI'!ES27</f>
        <v xml:space="preserve"> </v>
      </c>
      <c r="AE29" s="66" t="str">
        <f>'K-MAT'!BA27</f>
        <v xml:space="preserve"> </v>
      </c>
      <c r="AF29" s="66" t="str">
        <f>'K-IPA'!ES27</f>
        <v xml:space="preserve"> </v>
      </c>
      <c r="AG29" s="66" t="str">
        <f>'K-IPS'!DM27</f>
        <v xml:space="preserve"> </v>
      </c>
      <c r="AH29" s="66" t="str">
        <f>'K-SBDP'!DM27</f>
        <v xml:space="preserve"> </v>
      </c>
      <c r="AI29" s="66">
        <f>'K-PJOK'!E27</f>
        <v>0</v>
      </c>
      <c r="AJ29" s="66" t="str">
        <f>'K-BJAWA'!CR27</f>
        <v xml:space="preserve"> </v>
      </c>
      <c r="AK29" s="66">
        <f>absen!C25</f>
        <v>0</v>
      </c>
      <c r="AL29" s="66">
        <f>absen!D25</f>
        <v>0</v>
      </c>
      <c r="AM29" s="66">
        <f>absen!E25</f>
        <v>0</v>
      </c>
    </row>
    <row r="30" spans="1:39">
      <c r="A30" s="39">
        <v>21</v>
      </c>
      <c r="B30" s="66">
        <f>SISWA!B26</f>
        <v>0</v>
      </c>
      <c r="C30" s="66">
        <f>SISWA!C26</f>
        <v>0</v>
      </c>
      <c r="D30" s="66">
        <f>SISWA!D26</f>
        <v>0</v>
      </c>
      <c r="E30" s="66" t="str">
        <f>'KI-1'!G28</f>
        <v xml:space="preserve"> </v>
      </c>
      <c r="F30" s="66" t="str">
        <f>'KI-2'!I28</f>
        <v xml:space="preserve"> </v>
      </c>
      <c r="G30" s="66" t="e">
        <f>#REF!</f>
        <v>#REF!</v>
      </c>
      <c r="H30" s="66" t="e">
        <f>#REF!</f>
        <v>#REF!</v>
      </c>
      <c r="I30" s="66" t="e">
        <f>#REF!</f>
        <v>#REF!</v>
      </c>
      <c r="J30" s="66" t="e">
        <f>#REF!</f>
        <v>#REF!</v>
      </c>
      <c r="K30" s="66" t="e">
        <f>#REF!</f>
        <v>#REF!</v>
      </c>
      <c r="L30" s="66" t="e">
        <f>#REF!</f>
        <v>#REF!</v>
      </c>
      <c r="M30" s="66" t="e">
        <f>#REF!</f>
        <v>#REF!</v>
      </c>
      <c r="N30" s="66" t="str">
        <f>'P-pkn'!CE28</f>
        <v xml:space="preserve"> </v>
      </c>
      <c r="O30" s="66" t="str">
        <f>'P-BI'!DR28</f>
        <v xml:space="preserve"> </v>
      </c>
      <c r="P30" s="66" t="str">
        <f>'P MTK'!FR28</f>
        <v xml:space="preserve"> </v>
      </c>
      <c r="Q30" s="66" t="str">
        <f>'P-IPA'!DR28</f>
        <v xml:space="preserve"> </v>
      </c>
      <c r="R30" s="66" t="str">
        <f>'P-IPS'!DR28</f>
        <v xml:space="preserve"> </v>
      </c>
      <c r="S30" s="66" t="str">
        <f>'P-SBDP'!DR28</f>
        <v xml:space="preserve"> </v>
      </c>
      <c r="T30" s="66">
        <f>'P-PJOK'!E26</f>
        <v>0</v>
      </c>
      <c r="U30" s="66" t="str">
        <f>'P-BJAWA'!AX28</f>
        <v xml:space="preserve"> </v>
      </c>
      <c r="V30" s="66" t="e">
        <f>#REF!</f>
        <v>#REF!</v>
      </c>
      <c r="W30" s="66" t="e">
        <f>#REF!</f>
        <v>#REF!</v>
      </c>
      <c r="X30" s="66" t="e">
        <f>#REF!</f>
        <v>#REF!</v>
      </c>
      <c r="Y30" s="66" t="e">
        <f>#REF!</f>
        <v>#REF!</v>
      </c>
      <c r="Z30" s="66" t="e">
        <f>#REF!</f>
        <v>#REF!</v>
      </c>
      <c r="AA30" s="66" t="e">
        <f>#REF!</f>
        <v>#REF!</v>
      </c>
      <c r="AB30" s="66" t="e">
        <f>#REF!</f>
        <v>#REF!</v>
      </c>
      <c r="AC30" s="66" t="str">
        <f>'K-pkn'!DM28</f>
        <v xml:space="preserve"> </v>
      </c>
      <c r="AD30" s="66" t="str">
        <f>'K-BI'!ES28</f>
        <v xml:space="preserve"> </v>
      </c>
      <c r="AE30" s="66" t="str">
        <f>'K-MAT'!BA28</f>
        <v xml:space="preserve"> </v>
      </c>
      <c r="AF30" s="66" t="str">
        <f>'K-IPA'!ES28</f>
        <v xml:space="preserve"> </v>
      </c>
      <c r="AG30" s="66" t="str">
        <f>'K-IPS'!DM28</f>
        <v xml:space="preserve"> </v>
      </c>
      <c r="AH30" s="66" t="str">
        <f>'K-SBDP'!DM28</f>
        <v xml:space="preserve"> </v>
      </c>
      <c r="AI30" s="66">
        <f>'K-PJOK'!E28</f>
        <v>0</v>
      </c>
      <c r="AJ30" s="66" t="str">
        <f>'K-BJAWA'!CR28</f>
        <v xml:space="preserve"> </v>
      </c>
      <c r="AK30" s="66">
        <f>absen!C26</f>
        <v>0</v>
      </c>
      <c r="AL30" s="66">
        <f>absen!D26</f>
        <v>0</v>
      </c>
      <c r="AM30" s="66">
        <f>absen!E26</f>
        <v>0</v>
      </c>
    </row>
    <row r="31" spans="1:39">
      <c r="A31" s="39">
        <v>22</v>
      </c>
      <c r="B31" s="66">
        <f>SISWA!B27</f>
        <v>0</v>
      </c>
      <c r="C31" s="66">
        <f>SISWA!C27</f>
        <v>0</v>
      </c>
      <c r="D31" s="66">
        <f>SISWA!D27</f>
        <v>0</v>
      </c>
      <c r="E31" s="66" t="str">
        <f>'KI-1'!G29</f>
        <v xml:space="preserve"> </v>
      </c>
      <c r="F31" s="66" t="str">
        <f>'KI-2'!I29</f>
        <v xml:space="preserve"> </v>
      </c>
      <c r="G31" s="66" t="e">
        <f>#REF!</f>
        <v>#REF!</v>
      </c>
      <c r="H31" s="66" t="e">
        <f>#REF!</f>
        <v>#REF!</v>
      </c>
      <c r="I31" s="66" t="e">
        <f>#REF!</f>
        <v>#REF!</v>
      </c>
      <c r="J31" s="66" t="e">
        <f>#REF!</f>
        <v>#REF!</v>
      </c>
      <c r="K31" s="66" t="e">
        <f>#REF!</f>
        <v>#REF!</v>
      </c>
      <c r="L31" s="66" t="e">
        <f>#REF!</f>
        <v>#REF!</v>
      </c>
      <c r="M31" s="66" t="e">
        <f>#REF!</f>
        <v>#REF!</v>
      </c>
      <c r="N31" s="66" t="str">
        <f>'P-pkn'!CE29</f>
        <v xml:space="preserve"> </v>
      </c>
      <c r="O31" s="66" t="str">
        <f>'P-BI'!DR29</f>
        <v xml:space="preserve"> </v>
      </c>
      <c r="P31" s="66" t="str">
        <f>'P MTK'!FR29</f>
        <v xml:space="preserve"> </v>
      </c>
      <c r="Q31" s="66" t="str">
        <f>'P-IPA'!DR29</f>
        <v xml:space="preserve"> </v>
      </c>
      <c r="R31" s="66" t="str">
        <f>'P-IPS'!DR29</f>
        <v xml:space="preserve"> </v>
      </c>
      <c r="S31" s="66" t="str">
        <f>'P-SBDP'!DR29</f>
        <v xml:space="preserve"> </v>
      </c>
      <c r="T31" s="66">
        <f>'P-PJOK'!E27</f>
        <v>0</v>
      </c>
      <c r="U31" s="66" t="str">
        <f>'P-BJAWA'!AX29</f>
        <v xml:space="preserve"> </v>
      </c>
      <c r="V31" s="66" t="e">
        <f>#REF!</f>
        <v>#REF!</v>
      </c>
      <c r="W31" s="66" t="e">
        <f>#REF!</f>
        <v>#REF!</v>
      </c>
      <c r="X31" s="66" t="e">
        <f>#REF!</f>
        <v>#REF!</v>
      </c>
      <c r="Y31" s="66" t="e">
        <f>#REF!</f>
        <v>#REF!</v>
      </c>
      <c r="Z31" s="66" t="e">
        <f>#REF!</f>
        <v>#REF!</v>
      </c>
      <c r="AA31" s="66" t="e">
        <f>#REF!</f>
        <v>#REF!</v>
      </c>
      <c r="AB31" s="66" t="e">
        <f>#REF!</f>
        <v>#REF!</v>
      </c>
      <c r="AC31" s="66" t="str">
        <f>'K-pkn'!DM29</f>
        <v xml:space="preserve"> </v>
      </c>
      <c r="AD31" s="66" t="str">
        <f>'K-BI'!ES29</f>
        <v xml:space="preserve"> </v>
      </c>
      <c r="AE31" s="66" t="str">
        <f>'K-MAT'!BA29</f>
        <v xml:space="preserve"> </v>
      </c>
      <c r="AF31" s="66" t="str">
        <f>'K-IPA'!ES29</f>
        <v xml:space="preserve"> </v>
      </c>
      <c r="AG31" s="66" t="str">
        <f>'K-IPS'!DM29</f>
        <v xml:space="preserve"> </v>
      </c>
      <c r="AH31" s="66" t="str">
        <f>'K-SBDP'!DM29</f>
        <v xml:space="preserve"> </v>
      </c>
      <c r="AI31" s="66">
        <f>'K-PJOK'!E29</f>
        <v>0</v>
      </c>
      <c r="AJ31" s="66" t="str">
        <f>'K-BJAWA'!CR29</f>
        <v xml:space="preserve"> </v>
      </c>
      <c r="AK31" s="66">
        <f>absen!C27</f>
        <v>0</v>
      </c>
      <c r="AL31" s="66">
        <f>absen!D27</f>
        <v>0</v>
      </c>
      <c r="AM31" s="66">
        <f>absen!E27</f>
        <v>0</v>
      </c>
    </row>
    <row r="32" spans="1:39">
      <c r="A32" s="39">
        <v>23</v>
      </c>
      <c r="B32" s="66">
        <f>SISWA!B28</f>
        <v>0</v>
      </c>
      <c r="C32" s="66">
        <f>SISWA!C28</f>
        <v>0</v>
      </c>
      <c r="D32" s="66">
        <f>SISWA!D28</f>
        <v>0</v>
      </c>
      <c r="E32" s="66" t="str">
        <f>'KI-1'!G30</f>
        <v xml:space="preserve"> </v>
      </c>
      <c r="F32" s="66" t="str">
        <f>'KI-2'!I30</f>
        <v xml:space="preserve"> </v>
      </c>
      <c r="G32" s="66" t="e">
        <f>#REF!</f>
        <v>#REF!</v>
      </c>
      <c r="H32" s="66" t="e">
        <f>#REF!</f>
        <v>#REF!</v>
      </c>
      <c r="I32" s="66" t="e">
        <f>#REF!</f>
        <v>#REF!</v>
      </c>
      <c r="J32" s="66" t="e">
        <f>#REF!</f>
        <v>#REF!</v>
      </c>
      <c r="K32" s="66" t="e">
        <f>#REF!</f>
        <v>#REF!</v>
      </c>
      <c r="L32" s="66" t="e">
        <f>#REF!</f>
        <v>#REF!</v>
      </c>
      <c r="M32" s="66" t="e">
        <f>#REF!</f>
        <v>#REF!</v>
      </c>
      <c r="N32" s="66" t="str">
        <f>'P-pkn'!CE30</f>
        <v xml:space="preserve"> </v>
      </c>
      <c r="O32" s="66" t="str">
        <f>'P-BI'!DR30</f>
        <v xml:space="preserve"> </v>
      </c>
      <c r="P32" s="66" t="str">
        <f>'P MTK'!FR30</f>
        <v xml:space="preserve"> </v>
      </c>
      <c r="Q32" s="66" t="str">
        <f>'P-IPA'!DR30</f>
        <v xml:space="preserve"> </v>
      </c>
      <c r="R32" s="66" t="str">
        <f>'P-IPS'!DR30</f>
        <v xml:space="preserve"> </v>
      </c>
      <c r="S32" s="66" t="str">
        <f>'P-SBDP'!DR30</f>
        <v xml:space="preserve"> </v>
      </c>
      <c r="T32" s="66">
        <f>'P-PJOK'!E28</f>
        <v>0</v>
      </c>
      <c r="U32" s="66" t="str">
        <f>'P-BJAWA'!AX30</f>
        <v xml:space="preserve"> </v>
      </c>
      <c r="V32" s="66" t="e">
        <f>#REF!</f>
        <v>#REF!</v>
      </c>
      <c r="W32" s="66" t="e">
        <f>#REF!</f>
        <v>#REF!</v>
      </c>
      <c r="X32" s="66" t="e">
        <f>#REF!</f>
        <v>#REF!</v>
      </c>
      <c r="Y32" s="66" t="e">
        <f>#REF!</f>
        <v>#REF!</v>
      </c>
      <c r="Z32" s="66" t="e">
        <f>#REF!</f>
        <v>#REF!</v>
      </c>
      <c r="AA32" s="66" t="e">
        <f>#REF!</f>
        <v>#REF!</v>
      </c>
      <c r="AB32" s="66" t="e">
        <f>#REF!</f>
        <v>#REF!</v>
      </c>
      <c r="AC32" s="66" t="str">
        <f>'K-pkn'!DM30</f>
        <v xml:space="preserve"> </v>
      </c>
      <c r="AD32" s="66" t="str">
        <f>'K-BI'!ES30</f>
        <v xml:space="preserve"> </v>
      </c>
      <c r="AE32" s="66" t="str">
        <f>'K-MAT'!BA30</f>
        <v xml:space="preserve"> </v>
      </c>
      <c r="AF32" s="66" t="str">
        <f>'K-IPA'!ES30</f>
        <v xml:space="preserve"> </v>
      </c>
      <c r="AG32" s="66" t="str">
        <f>'K-IPS'!DM30</f>
        <v xml:space="preserve"> </v>
      </c>
      <c r="AH32" s="66" t="str">
        <f>'K-SBDP'!DM30</f>
        <v xml:space="preserve"> </v>
      </c>
      <c r="AI32" s="66">
        <f>'K-PJOK'!E30</f>
        <v>0</v>
      </c>
      <c r="AJ32" s="66" t="str">
        <f>'K-BJAWA'!CR30</f>
        <v xml:space="preserve"> </v>
      </c>
      <c r="AK32" s="66">
        <f>absen!C28</f>
        <v>0</v>
      </c>
      <c r="AL32" s="66">
        <f>absen!D28</f>
        <v>0</v>
      </c>
      <c r="AM32" s="66">
        <f>absen!E28</f>
        <v>0</v>
      </c>
    </row>
    <row r="33" spans="1:39">
      <c r="A33" s="39">
        <v>24</v>
      </c>
      <c r="B33" s="66">
        <f>SISWA!B29</f>
        <v>0</v>
      </c>
      <c r="C33" s="66">
        <f>SISWA!C29</f>
        <v>0</v>
      </c>
      <c r="D33" s="66">
        <f>SISWA!D29</f>
        <v>0</v>
      </c>
      <c r="E33" s="66" t="str">
        <f>'KI-1'!G31</f>
        <v xml:space="preserve"> </v>
      </c>
      <c r="F33" s="66" t="str">
        <f>'KI-2'!I31</f>
        <v xml:space="preserve"> </v>
      </c>
      <c r="G33" s="66" t="e">
        <f>#REF!</f>
        <v>#REF!</v>
      </c>
      <c r="H33" s="66" t="e">
        <f>#REF!</f>
        <v>#REF!</v>
      </c>
      <c r="I33" s="66" t="e">
        <f>#REF!</f>
        <v>#REF!</v>
      </c>
      <c r="J33" s="66" t="e">
        <f>#REF!</f>
        <v>#REF!</v>
      </c>
      <c r="K33" s="66" t="e">
        <f>#REF!</f>
        <v>#REF!</v>
      </c>
      <c r="L33" s="66" t="e">
        <f>#REF!</f>
        <v>#REF!</v>
      </c>
      <c r="M33" s="66" t="e">
        <f>#REF!</f>
        <v>#REF!</v>
      </c>
      <c r="N33" s="66" t="str">
        <f>'P-pkn'!CE31</f>
        <v xml:space="preserve"> </v>
      </c>
      <c r="O33" s="66" t="str">
        <f>'P-BI'!DR31</f>
        <v xml:space="preserve"> </v>
      </c>
      <c r="P33" s="66" t="str">
        <f>'P MTK'!FR31</f>
        <v xml:space="preserve"> </v>
      </c>
      <c r="Q33" s="66" t="str">
        <f>'P-IPA'!DR31</f>
        <v xml:space="preserve"> </v>
      </c>
      <c r="R33" s="66" t="str">
        <f>'P-IPS'!DR31</f>
        <v xml:space="preserve"> </v>
      </c>
      <c r="S33" s="66" t="str">
        <f>'P-SBDP'!DR31</f>
        <v xml:space="preserve"> </v>
      </c>
      <c r="T33" s="66">
        <f>'P-PJOK'!E29</f>
        <v>0</v>
      </c>
      <c r="U33" s="66" t="str">
        <f>'P-BJAWA'!AX31</f>
        <v xml:space="preserve"> </v>
      </c>
      <c r="V33" s="66" t="e">
        <f>#REF!</f>
        <v>#REF!</v>
      </c>
      <c r="W33" s="66" t="e">
        <f>#REF!</f>
        <v>#REF!</v>
      </c>
      <c r="X33" s="66" t="e">
        <f>#REF!</f>
        <v>#REF!</v>
      </c>
      <c r="Y33" s="66" t="e">
        <f>#REF!</f>
        <v>#REF!</v>
      </c>
      <c r="Z33" s="66" t="e">
        <f>#REF!</f>
        <v>#REF!</v>
      </c>
      <c r="AA33" s="66" t="e">
        <f>#REF!</f>
        <v>#REF!</v>
      </c>
      <c r="AB33" s="66" t="e">
        <f>#REF!</f>
        <v>#REF!</v>
      </c>
      <c r="AC33" s="66" t="str">
        <f>'K-pkn'!DM31</f>
        <v xml:space="preserve"> </v>
      </c>
      <c r="AD33" s="66" t="str">
        <f>'K-BI'!ES31</f>
        <v xml:space="preserve"> </v>
      </c>
      <c r="AE33" s="66" t="str">
        <f>'K-MAT'!BA31</f>
        <v xml:space="preserve"> </v>
      </c>
      <c r="AF33" s="66" t="str">
        <f>'K-IPA'!ES31</f>
        <v xml:space="preserve"> </v>
      </c>
      <c r="AG33" s="66" t="str">
        <f>'K-IPS'!DM31</f>
        <v xml:space="preserve"> </v>
      </c>
      <c r="AH33" s="66" t="str">
        <f>'K-SBDP'!DM31</f>
        <v xml:space="preserve"> </v>
      </c>
      <c r="AI33" s="66">
        <f>'K-PJOK'!E31</f>
        <v>0</v>
      </c>
      <c r="AJ33" s="66" t="str">
        <f>'K-BJAWA'!CR31</f>
        <v xml:space="preserve"> </v>
      </c>
      <c r="AK33" s="66">
        <f>absen!C29</f>
        <v>0</v>
      </c>
      <c r="AL33" s="66">
        <f>absen!D29</f>
        <v>0</v>
      </c>
      <c r="AM33" s="66">
        <f>absen!E29</f>
        <v>0</v>
      </c>
    </row>
    <row r="34" spans="1:39">
      <c r="A34" s="39">
        <v>25</v>
      </c>
      <c r="B34" s="66">
        <f>SISWA!B30</f>
        <v>0</v>
      </c>
      <c r="C34" s="66">
        <f>SISWA!C30</f>
        <v>0</v>
      </c>
      <c r="D34" s="66">
        <f>SISWA!D30</f>
        <v>0</v>
      </c>
      <c r="E34" s="66" t="str">
        <f>'KI-1'!G32</f>
        <v xml:space="preserve"> </v>
      </c>
      <c r="F34" s="66" t="str">
        <f>'KI-2'!I32</f>
        <v xml:space="preserve"> </v>
      </c>
      <c r="G34" s="66" t="e">
        <f>#REF!</f>
        <v>#REF!</v>
      </c>
      <c r="H34" s="66" t="e">
        <f>#REF!</f>
        <v>#REF!</v>
      </c>
      <c r="I34" s="66" t="e">
        <f>#REF!</f>
        <v>#REF!</v>
      </c>
      <c r="J34" s="66" t="e">
        <f>#REF!</f>
        <v>#REF!</v>
      </c>
      <c r="K34" s="66" t="e">
        <f>#REF!</f>
        <v>#REF!</v>
      </c>
      <c r="L34" s="66" t="e">
        <f>#REF!</f>
        <v>#REF!</v>
      </c>
      <c r="M34" s="66" t="e">
        <f>#REF!</f>
        <v>#REF!</v>
      </c>
      <c r="N34" s="66" t="str">
        <f>'P-pkn'!CE32</f>
        <v xml:space="preserve"> </v>
      </c>
      <c r="O34" s="66" t="str">
        <f>'P-BI'!DR32</f>
        <v xml:space="preserve"> </v>
      </c>
      <c r="P34" s="66" t="str">
        <f>'P MTK'!FR32</f>
        <v xml:space="preserve"> </v>
      </c>
      <c r="Q34" s="66" t="str">
        <f>'P-IPA'!DR32</f>
        <v xml:space="preserve"> </v>
      </c>
      <c r="R34" s="66" t="str">
        <f>'P-IPS'!DR32</f>
        <v xml:space="preserve"> </v>
      </c>
      <c r="S34" s="66" t="str">
        <f>'P-SBDP'!DR32</f>
        <v xml:space="preserve"> </v>
      </c>
      <c r="T34" s="66">
        <f>'P-PJOK'!E30</f>
        <v>0</v>
      </c>
      <c r="U34" s="66" t="str">
        <f>'P-BJAWA'!AX32</f>
        <v xml:space="preserve"> </v>
      </c>
      <c r="V34" s="66" t="e">
        <f>#REF!</f>
        <v>#REF!</v>
      </c>
      <c r="W34" s="66" t="e">
        <f>#REF!</f>
        <v>#REF!</v>
      </c>
      <c r="X34" s="66" t="e">
        <f>#REF!</f>
        <v>#REF!</v>
      </c>
      <c r="Y34" s="66" t="e">
        <f>#REF!</f>
        <v>#REF!</v>
      </c>
      <c r="Z34" s="66" t="e">
        <f>#REF!</f>
        <v>#REF!</v>
      </c>
      <c r="AA34" s="66" t="e">
        <f>#REF!</f>
        <v>#REF!</v>
      </c>
      <c r="AB34" s="66" t="e">
        <f>#REF!</f>
        <v>#REF!</v>
      </c>
      <c r="AC34" s="66" t="str">
        <f>'K-pkn'!DM32</f>
        <v xml:space="preserve"> </v>
      </c>
      <c r="AD34" s="66" t="str">
        <f>'K-BI'!ES32</f>
        <v xml:space="preserve"> </v>
      </c>
      <c r="AE34" s="66" t="str">
        <f>'K-MAT'!BA32</f>
        <v xml:space="preserve"> </v>
      </c>
      <c r="AF34" s="66" t="str">
        <f>'K-IPA'!ES32</f>
        <v xml:space="preserve"> </v>
      </c>
      <c r="AG34" s="66" t="str">
        <f>'K-IPS'!DM32</f>
        <v xml:space="preserve"> </v>
      </c>
      <c r="AH34" s="66" t="str">
        <f>'K-SBDP'!DM32</f>
        <v xml:space="preserve"> </v>
      </c>
      <c r="AI34" s="66">
        <f>'K-PJOK'!E32</f>
        <v>0</v>
      </c>
      <c r="AJ34" s="66" t="str">
        <f>'K-BJAWA'!CR32</f>
        <v xml:space="preserve"> </v>
      </c>
      <c r="AK34" s="66">
        <f>absen!C30</f>
        <v>0</v>
      </c>
      <c r="AL34" s="66">
        <f>absen!D30</f>
        <v>0</v>
      </c>
      <c r="AM34" s="66">
        <f>absen!E30</f>
        <v>0</v>
      </c>
    </row>
    <row r="35" spans="1:39">
      <c r="A35" s="39">
        <v>26</v>
      </c>
      <c r="B35" s="66">
        <f>SISWA!B31</f>
        <v>0</v>
      </c>
      <c r="C35" s="66">
        <f>SISWA!C31</f>
        <v>0</v>
      </c>
      <c r="D35" s="66">
        <f>SISWA!D31</f>
        <v>0</v>
      </c>
      <c r="E35" s="66" t="str">
        <f>'KI-1'!G33</f>
        <v xml:space="preserve"> </v>
      </c>
      <c r="F35" s="66" t="str">
        <f>'KI-2'!I33</f>
        <v xml:space="preserve"> </v>
      </c>
      <c r="G35" s="66" t="e">
        <f>#REF!</f>
        <v>#REF!</v>
      </c>
      <c r="H35" s="66" t="e">
        <f>#REF!</f>
        <v>#REF!</v>
      </c>
      <c r="I35" s="66" t="e">
        <f>#REF!</f>
        <v>#REF!</v>
      </c>
      <c r="J35" s="66" t="e">
        <f>#REF!</f>
        <v>#REF!</v>
      </c>
      <c r="K35" s="66" t="e">
        <f>#REF!</f>
        <v>#REF!</v>
      </c>
      <c r="L35" s="66" t="e">
        <f>#REF!</f>
        <v>#REF!</v>
      </c>
      <c r="M35" s="66" t="e">
        <f>#REF!</f>
        <v>#REF!</v>
      </c>
      <c r="N35" s="66" t="str">
        <f>'P-pkn'!CE33</f>
        <v xml:space="preserve"> </v>
      </c>
      <c r="O35" s="66" t="str">
        <f>'P-BI'!DR33</f>
        <v xml:space="preserve"> </v>
      </c>
      <c r="P35" s="66" t="str">
        <f>'P MTK'!FR33</f>
        <v xml:space="preserve"> </v>
      </c>
      <c r="Q35" s="66" t="str">
        <f>'P-IPA'!DR33</f>
        <v xml:space="preserve"> </v>
      </c>
      <c r="R35" s="66" t="str">
        <f>'P-IPS'!DR33</f>
        <v xml:space="preserve"> </v>
      </c>
      <c r="S35" s="66" t="str">
        <f>'P-SBDP'!DR33</f>
        <v xml:space="preserve"> </v>
      </c>
      <c r="T35" s="66">
        <f>'P-PJOK'!E31</f>
        <v>0</v>
      </c>
      <c r="U35" s="66" t="str">
        <f>'P-BJAWA'!AX33</f>
        <v xml:space="preserve"> </v>
      </c>
      <c r="V35" s="66" t="e">
        <f>#REF!</f>
        <v>#REF!</v>
      </c>
      <c r="W35" s="66" t="e">
        <f>#REF!</f>
        <v>#REF!</v>
      </c>
      <c r="X35" s="66" t="e">
        <f>#REF!</f>
        <v>#REF!</v>
      </c>
      <c r="Y35" s="66" t="e">
        <f>#REF!</f>
        <v>#REF!</v>
      </c>
      <c r="Z35" s="66" t="e">
        <f>#REF!</f>
        <v>#REF!</v>
      </c>
      <c r="AA35" s="66" t="e">
        <f>#REF!</f>
        <v>#REF!</v>
      </c>
      <c r="AB35" s="66" t="e">
        <f>#REF!</f>
        <v>#REF!</v>
      </c>
      <c r="AC35" s="66" t="str">
        <f>'K-pkn'!DM33</f>
        <v xml:space="preserve"> </v>
      </c>
      <c r="AD35" s="66" t="str">
        <f>'K-BI'!ES33</f>
        <v xml:space="preserve"> </v>
      </c>
      <c r="AE35" s="66" t="str">
        <f>'K-MAT'!BA33</f>
        <v xml:space="preserve"> </v>
      </c>
      <c r="AF35" s="66" t="str">
        <f>'K-IPA'!ES33</f>
        <v xml:space="preserve"> </v>
      </c>
      <c r="AG35" s="66" t="str">
        <f>'K-IPS'!DM33</f>
        <v xml:space="preserve"> </v>
      </c>
      <c r="AH35" s="66" t="str">
        <f>'K-SBDP'!DM33</f>
        <v xml:space="preserve"> </v>
      </c>
      <c r="AI35" s="66">
        <f>'K-PJOK'!E33</f>
        <v>0</v>
      </c>
      <c r="AJ35" s="66" t="str">
        <f>'K-BJAWA'!CR33</f>
        <v xml:space="preserve"> </v>
      </c>
      <c r="AK35" s="66">
        <f>absen!C31</f>
        <v>0</v>
      </c>
      <c r="AL35" s="66">
        <f>absen!D31</f>
        <v>0</v>
      </c>
      <c r="AM35" s="66">
        <f>absen!E31</f>
        <v>0</v>
      </c>
    </row>
    <row r="36" spans="1:39">
      <c r="A36" s="39">
        <v>27</v>
      </c>
      <c r="B36" s="66">
        <f>SISWA!B32</f>
        <v>0</v>
      </c>
      <c r="C36" s="66">
        <f>SISWA!C32</f>
        <v>0</v>
      </c>
      <c r="D36" s="66">
        <f>SISWA!D32</f>
        <v>0</v>
      </c>
      <c r="E36" s="66" t="str">
        <f>'KI-1'!G34</f>
        <v xml:space="preserve"> </v>
      </c>
      <c r="F36" s="66" t="str">
        <f>'KI-2'!I34</f>
        <v xml:space="preserve"> </v>
      </c>
      <c r="G36" s="66" t="e">
        <f>#REF!</f>
        <v>#REF!</v>
      </c>
      <c r="H36" s="66" t="e">
        <f>#REF!</f>
        <v>#REF!</v>
      </c>
      <c r="I36" s="66" t="e">
        <f>#REF!</f>
        <v>#REF!</v>
      </c>
      <c r="J36" s="66" t="e">
        <f>#REF!</f>
        <v>#REF!</v>
      </c>
      <c r="K36" s="66" t="e">
        <f>#REF!</f>
        <v>#REF!</v>
      </c>
      <c r="L36" s="66" t="e">
        <f>#REF!</f>
        <v>#REF!</v>
      </c>
      <c r="M36" s="66" t="e">
        <f>#REF!</f>
        <v>#REF!</v>
      </c>
      <c r="N36" s="66" t="str">
        <f>'P-pkn'!CE34</f>
        <v xml:space="preserve"> </v>
      </c>
      <c r="O36" s="66" t="str">
        <f>'P-BI'!DR34</f>
        <v xml:space="preserve"> </v>
      </c>
      <c r="P36" s="66" t="str">
        <f>'P MTK'!FR34</f>
        <v xml:space="preserve"> </v>
      </c>
      <c r="Q36" s="66" t="str">
        <f>'P-IPA'!DR34</f>
        <v xml:space="preserve"> </v>
      </c>
      <c r="R36" s="66" t="str">
        <f>'P-IPS'!DR34</f>
        <v xml:space="preserve"> </v>
      </c>
      <c r="S36" s="66" t="str">
        <f>'P-SBDP'!DR34</f>
        <v xml:space="preserve"> </v>
      </c>
      <c r="T36" s="66">
        <f>'P-PJOK'!E32</f>
        <v>0</v>
      </c>
      <c r="U36" s="66" t="str">
        <f>'P-BJAWA'!AX34</f>
        <v xml:space="preserve"> </v>
      </c>
      <c r="V36" s="66" t="e">
        <f>#REF!</f>
        <v>#REF!</v>
      </c>
      <c r="W36" s="66" t="e">
        <f>#REF!</f>
        <v>#REF!</v>
      </c>
      <c r="X36" s="66" t="e">
        <f>#REF!</f>
        <v>#REF!</v>
      </c>
      <c r="Y36" s="66" t="e">
        <f>#REF!</f>
        <v>#REF!</v>
      </c>
      <c r="Z36" s="66" t="e">
        <f>#REF!</f>
        <v>#REF!</v>
      </c>
      <c r="AA36" s="66" t="e">
        <f>#REF!</f>
        <v>#REF!</v>
      </c>
      <c r="AB36" s="66" t="e">
        <f>#REF!</f>
        <v>#REF!</v>
      </c>
      <c r="AC36" s="66" t="str">
        <f>'K-pkn'!DM34</f>
        <v xml:space="preserve"> </v>
      </c>
      <c r="AD36" s="66" t="str">
        <f>'K-BI'!ES34</f>
        <v xml:space="preserve"> </v>
      </c>
      <c r="AE36" s="66" t="str">
        <f>'K-MAT'!BA34</f>
        <v xml:space="preserve"> </v>
      </c>
      <c r="AF36" s="66" t="str">
        <f>'K-IPA'!ES34</f>
        <v xml:space="preserve"> </v>
      </c>
      <c r="AG36" s="66" t="str">
        <f>'K-IPS'!DM34</f>
        <v xml:space="preserve"> </v>
      </c>
      <c r="AH36" s="66" t="str">
        <f>'K-SBDP'!DM34</f>
        <v xml:space="preserve"> </v>
      </c>
      <c r="AI36" s="66">
        <f>'K-PJOK'!E34</f>
        <v>0</v>
      </c>
      <c r="AJ36" s="66" t="str">
        <f>'K-BJAWA'!CR34</f>
        <v xml:space="preserve"> </v>
      </c>
      <c r="AK36" s="66">
        <f>absen!C32</f>
        <v>0</v>
      </c>
      <c r="AL36" s="66">
        <f>absen!D32</f>
        <v>0</v>
      </c>
      <c r="AM36" s="66">
        <f>absen!E32</f>
        <v>0</v>
      </c>
    </row>
    <row r="37" spans="1:39">
      <c r="A37" s="39">
        <v>28</v>
      </c>
      <c r="B37" s="66">
        <f>SISWA!B33</f>
        <v>0</v>
      </c>
      <c r="C37" s="66">
        <f>SISWA!C33</f>
        <v>0</v>
      </c>
      <c r="D37" s="66">
        <f>SISWA!D33</f>
        <v>0</v>
      </c>
      <c r="E37" s="66" t="str">
        <f>'KI-1'!G35</f>
        <v xml:space="preserve"> </v>
      </c>
      <c r="F37" s="66" t="str">
        <f>'KI-2'!I35</f>
        <v xml:space="preserve"> </v>
      </c>
      <c r="G37" s="66" t="e">
        <f>#REF!</f>
        <v>#REF!</v>
      </c>
      <c r="H37" s="66" t="e">
        <f>#REF!</f>
        <v>#REF!</v>
      </c>
      <c r="I37" s="66" t="e">
        <f>#REF!</f>
        <v>#REF!</v>
      </c>
      <c r="J37" s="66" t="e">
        <f>#REF!</f>
        <v>#REF!</v>
      </c>
      <c r="K37" s="66" t="e">
        <f>#REF!</f>
        <v>#REF!</v>
      </c>
      <c r="L37" s="66" t="e">
        <f>#REF!</f>
        <v>#REF!</v>
      </c>
      <c r="M37" s="66" t="e">
        <f>#REF!</f>
        <v>#REF!</v>
      </c>
      <c r="N37" s="66" t="str">
        <f>'P-pkn'!CE35</f>
        <v xml:space="preserve"> </v>
      </c>
      <c r="O37" s="66" t="str">
        <f>'P-BI'!DR35</f>
        <v xml:space="preserve"> </v>
      </c>
      <c r="P37" s="66" t="str">
        <f>'P MTK'!FR35</f>
        <v xml:space="preserve"> </v>
      </c>
      <c r="Q37" s="66" t="str">
        <f>'P-IPA'!DR35</f>
        <v xml:space="preserve"> </v>
      </c>
      <c r="R37" s="66" t="str">
        <f>'P-IPS'!DR35</f>
        <v xml:space="preserve"> </v>
      </c>
      <c r="S37" s="66" t="str">
        <f>'P-SBDP'!DR35</f>
        <v xml:space="preserve"> </v>
      </c>
      <c r="T37" s="66">
        <f>'P-PJOK'!E33</f>
        <v>0</v>
      </c>
      <c r="U37" s="66" t="str">
        <f>'P-BJAWA'!AX35</f>
        <v xml:space="preserve"> </v>
      </c>
      <c r="V37" s="66" t="e">
        <f>#REF!</f>
        <v>#REF!</v>
      </c>
      <c r="W37" s="66" t="e">
        <f>#REF!</f>
        <v>#REF!</v>
      </c>
      <c r="X37" s="66" t="e">
        <f>#REF!</f>
        <v>#REF!</v>
      </c>
      <c r="Y37" s="66" t="e">
        <f>#REF!</f>
        <v>#REF!</v>
      </c>
      <c r="Z37" s="66" t="e">
        <f>#REF!</f>
        <v>#REF!</v>
      </c>
      <c r="AA37" s="66" t="e">
        <f>#REF!</f>
        <v>#REF!</v>
      </c>
      <c r="AB37" s="66" t="e">
        <f>#REF!</f>
        <v>#REF!</v>
      </c>
      <c r="AC37" s="66" t="str">
        <f>'K-pkn'!DM35</f>
        <v xml:space="preserve"> </v>
      </c>
      <c r="AD37" s="66" t="str">
        <f>'K-BI'!ES35</f>
        <v xml:space="preserve"> </v>
      </c>
      <c r="AE37" s="66" t="str">
        <f>'K-MAT'!BA35</f>
        <v xml:space="preserve"> </v>
      </c>
      <c r="AF37" s="66" t="str">
        <f>'K-IPA'!ES35</f>
        <v xml:space="preserve"> </v>
      </c>
      <c r="AG37" s="66" t="str">
        <f>'K-IPS'!DM35</f>
        <v xml:space="preserve"> </v>
      </c>
      <c r="AH37" s="66" t="str">
        <f>'K-SBDP'!DM35</f>
        <v xml:space="preserve"> </v>
      </c>
      <c r="AI37" s="66">
        <f>'K-PJOK'!E35</f>
        <v>0</v>
      </c>
      <c r="AJ37" s="66" t="str">
        <f>'K-BJAWA'!CR35</f>
        <v xml:space="preserve"> </v>
      </c>
      <c r="AK37" s="66">
        <f>absen!C33</f>
        <v>0</v>
      </c>
      <c r="AL37" s="66">
        <f>absen!D33</f>
        <v>0</v>
      </c>
      <c r="AM37" s="66">
        <f>absen!E33</f>
        <v>0</v>
      </c>
    </row>
    <row r="38" spans="1:39">
      <c r="A38" s="39">
        <v>29</v>
      </c>
      <c r="B38" s="66">
        <f>SISWA!B34</f>
        <v>0</v>
      </c>
      <c r="C38" s="66">
        <f>SISWA!C34</f>
        <v>0</v>
      </c>
      <c r="D38" s="66">
        <f>SISWA!D34</f>
        <v>0</v>
      </c>
      <c r="E38" s="66" t="str">
        <f>'KI-1'!G36</f>
        <v xml:space="preserve"> </v>
      </c>
      <c r="F38" s="66" t="str">
        <f>'KI-2'!I36</f>
        <v xml:space="preserve"> </v>
      </c>
      <c r="G38" s="66" t="e">
        <f>#REF!</f>
        <v>#REF!</v>
      </c>
      <c r="H38" s="66" t="e">
        <f>#REF!</f>
        <v>#REF!</v>
      </c>
      <c r="I38" s="66" t="e">
        <f>#REF!</f>
        <v>#REF!</v>
      </c>
      <c r="J38" s="66" t="e">
        <f>#REF!</f>
        <v>#REF!</v>
      </c>
      <c r="K38" s="66" t="e">
        <f>#REF!</f>
        <v>#REF!</v>
      </c>
      <c r="L38" s="66" t="e">
        <f>#REF!</f>
        <v>#REF!</v>
      </c>
      <c r="M38" s="66" t="e">
        <f>#REF!</f>
        <v>#REF!</v>
      </c>
      <c r="N38" s="66" t="str">
        <f>'P-pkn'!CE36</f>
        <v xml:space="preserve"> </v>
      </c>
      <c r="O38" s="66" t="str">
        <f>'P-BI'!DR36</f>
        <v xml:space="preserve"> </v>
      </c>
      <c r="P38" s="66" t="str">
        <f>'P MTK'!FR36</f>
        <v xml:space="preserve"> </v>
      </c>
      <c r="Q38" s="66" t="str">
        <f>'P-IPA'!DR36</f>
        <v xml:space="preserve"> </v>
      </c>
      <c r="R38" s="66" t="str">
        <f>'P-IPS'!DR36</f>
        <v xml:space="preserve"> </v>
      </c>
      <c r="S38" s="66" t="str">
        <f>'P-SBDP'!DR36</f>
        <v xml:space="preserve"> </v>
      </c>
      <c r="T38" s="66">
        <f>'P-PJOK'!E34</f>
        <v>0</v>
      </c>
      <c r="U38" s="66" t="str">
        <f>'P-BJAWA'!AX36</f>
        <v xml:space="preserve"> </v>
      </c>
      <c r="V38" s="66" t="e">
        <f>#REF!</f>
        <v>#REF!</v>
      </c>
      <c r="W38" s="66" t="e">
        <f>#REF!</f>
        <v>#REF!</v>
      </c>
      <c r="X38" s="66" t="e">
        <f>#REF!</f>
        <v>#REF!</v>
      </c>
      <c r="Y38" s="66" t="e">
        <f>#REF!</f>
        <v>#REF!</v>
      </c>
      <c r="Z38" s="66" t="e">
        <f>#REF!</f>
        <v>#REF!</v>
      </c>
      <c r="AA38" s="66" t="e">
        <f>#REF!</f>
        <v>#REF!</v>
      </c>
      <c r="AB38" s="66" t="e">
        <f>#REF!</f>
        <v>#REF!</v>
      </c>
      <c r="AC38" s="66" t="str">
        <f>'K-pkn'!DM36</f>
        <v xml:space="preserve"> </v>
      </c>
      <c r="AD38" s="66" t="str">
        <f>'K-BI'!ES36</f>
        <v xml:space="preserve"> </v>
      </c>
      <c r="AE38" s="66" t="str">
        <f>'K-MAT'!BA36</f>
        <v xml:space="preserve"> </v>
      </c>
      <c r="AF38" s="66" t="str">
        <f>'K-IPA'!ES36</f>
        <v xml:space="preserve"> </v>
      </c>
      <c r="AG38" s="66" t="str">
        <f>'K-IPS'!DM36</f>
        <v xml:space="preserve"> </v>
      </c>
      <c r="AH38" s="66" t="str">
        <f>'K-SBDP'!DM36</f>
        <v xml:space="preserve"> </v>
      </c>
      <c r="AI38" s="66">
        <f>'K-PJOK'!E36</f>
        <v>0</v>
      </c>
      <c r="AJ38" s="66" t="str">
        <f>'K-BJAWA'!CR36</f>
        <v xml:space="preserve"> </v>
      </c>
      <c r="AK38" s="66">
        <f>absen!C34</f>
        <v>0</v>
      </c>
      <c r="AL38" s="66">
        <f>absen!D34</f>
        <v>0</v>
      </c>
      <c r="AM38" s="66">
        <f>absen!E34</f>
        <v>0</v>
      </c>
    </row>
    <row r="39" spans="1:39">
      <c r="A39" s="39">
        <v>30</v>
      </c>
      <c r="B39" s="66">
        <f>SISWA!B35</f>
        <v>0</v>
      </c>
      <c r="C39" s="66">
        <f>SISWA!C35</f>
        <v>0</v>
      </c>
      <c r="D39" s="66">
        <f>SISWA!D35</f>
        <v>0</v>
      </c>
      <c r="E39" s="66" t="str">
        <f>'KI-1'!G37</f>
        <v xml:space="preserve"> </v>
      </c>
      <c r="F39" s="66" t="str">
        <f>'KI-2'!I37</f>
        <v xml:space="preserve"> </v>
      </c>
      <c r="G39" s="66" t="e">
        <f>#REF!</f>
        <v>#REF!</v>
      </c>
      <c r="H39" s="66" t="e">
        <f>#REF!</f>
        <v>#REF!</v>
      </c>
      <c r="I39" s="66" t="e">
        <f>#REF!</f>
        <v>#REF!</v>
      </c>
      <c r="J39" s="66" t="e">
        <f>#REF!</f>
        <v>#REF!</v>
      </c>
      <c r="K39" s="66" t="e">
        <f>#REF!</f>
        <v>#REF!</v>
      </c>
      <c r="L39" s="66" t="e">
        <f>#REF!</f>
        <v>#REF!</v>
      </c>
      <c r="M39" s="66" t="e">
        <f>#REF!</f>
        <v>#REF!</v>
      </c>
      <c r="N39" s="66" t="str">
        <f>'P-pkn'!CE37</f>
        <v xml:space="preserve"> </v>
      </c>
      <c r="O39" s="66" t="str">
        <f>'P-BI'!DR37</f>
        <v xml:space="preserve"> </v>
      </c>
      <c r="P39" s="66" t="str">
        <f>'P MTK'!FR37</f>
        <v xml:space="preserve"> </v>
      </c>
      <c r="Q39" s="66" t="str">
        <f>'P-IPA'!DR37</f>
        <v xml:space="preserve"> </v>
      </c>
      <c r="R39" s="66" t="str">
        <f>'P-IPS'!DR37</f>
        <v xml:space="preserve"> </v>
      </c>
      <c r="S39" s="66" t="str">
        <f>'P-SBDP'!DR37</f>
        <v xml:space="preserve"> </v>
      </c>
      <c r="T39" s="66">
        <f>'P-PJOK'!E35</f>
        <v>0</v>
      </c>
      <c r="U39" s="66" t="str">
        <f>'P-BJAWA'!AX37</f>
        <v xml:space="preserve"> </v>
      </c>
      <c r="V39" s="66" t="e">
        <f>#REF!</f>
        <v>#REF!</v>
      </c>
      <c r="W39" s="66" t="e">
        <f>#REF!</f>
        <v>#REF!</v>
      </c>
      <c r="X39" s="66" t="e">
        <f>#REF!</f>
        <v>#REF!</v>
      </c>
      <c r="Y39" s="66" t="e">
        <f>#REF!</f>
        <v>#REF!</v>
      </c>
      <c r="Z39" s="66" t="e">
        <f>#REF!</f>
        <v>#REF!</v>
      </c>
      <c r="AA39" s="66" t="e">
        <f>#REF!</f>
        <v>#REF!</v>
      </c>
      <c r="AB39" s="66" t="e">
        <f>#REF!</f>
        <v>#REF!</v>
      </c>
      <c r="AC39" s="66" t="str">
        <f>'K-pkn'!DM37</f>
        <v xml:space="preserve"> </v>
      </c>
      <c r="AD39" s="66" t="str">
        <f>'K-BI'!ES37</f>
        <v xml:space="preserve"> </v>
      </c>
      <c r="AE39" s="66" t="str">
        <f>'K-MAT'!BA37</f>
        <v xml:space="preserve"> </v>
      </c>
      <c r="AF39" s="66" t="str">
        <f>'K-IPA'!ES37</f>
        <v xml:space="preserve"> </v>
      </c>
      <c r="AG39" s="66" t="str">
        <f>'K-IPS'!DM37</f>
        <v xml:space="preserve"> </v>
      </c>
      <c r="AH39" s="66" t="str">
        <f>'K-SBDP'!DM37</f>
        <v xml:space="preserve"> </v>
      </c>
      <c r="AI39" s="66">
        <f>'K-PJOK'!E37</f>
        <v>0</v>
      </c>
      <c r="AJ39" s="66" t="str">
        <f>'K-BJAWA'!CR37</f>
        <v xml:space="preserve"> </v>
      </c>
      <c r="AK39" s="66">
        <f>absen!C35</f>
        <v>0</v>
      </c>
      <c r="AL39" s="66">
        <f>absen!D35</f>
        <v>0</v>
      </c>
      <c r="AM39" s="66">
        <f>absen!E35</f>
        <v>0</v>
      </c>
    </row>
    <row r="40" spans="1:39">
      <c r="A40" s="39">
        <v>31</v>
      </c>
      <c r="B40" s="66">
        <f>SISWA!B36</f>
        <v>0</v>
      </c>
      <c r="C40" s="66">
        <f>SISWA!C36</f>
        <v>0</v>
      </c>
      <c r="D40" s="66">
        <f>SISWA!D36</f>
        <v>0</v>
      </c>
      <c r="E40" s="66" t="str">
        <f>'KI-1'!G38</f>
        <v xml:space="preserve"> </v>
      </c>
      <c r="F40" s="66" t="str">
        <f>'KI-2'!I38</f>
        <v xml:space="preserve"> </v>
      </c>
      <c r="G40" s="66" t="e">
        <f>#REF!</f>
        <v>#REF!</v>
      </c>
      <c r="H40" s="66" t="e">
        <f>#REF!</f>
        <v>#REF!</v>
      </c>
      <c r="I40" s="66" t="e">
        <f>#REF!</f>
        <v>#REF!</v>
      </c>
      <c r="J40" s="66" t="e">
        <f>#REF!</f>
        <v>#REF!</v>
      </c>
      <c r="K40" s="66" t="e">
        <f>#REF!</f>
        <v>#REF!</v>
      </c>
      <c r="L40" s="66" t="e">
        <f>#REF!</f>
        <v>#REF!</v>
      </c>
      <c r="M40" s="66" t="e">
        <f>#REF!</f>
        <v>#REF!</v>
      </c>
      <c r="N40" s="66" t="str">
        <f>'P-pkn'!CE38</f>
        <v xml:space="preserve"> </v>
      </c>
      <c r="O40" s="66" t="str">
        <f>'P-BI'!DR38</f>
        <v xml:space="preserve"> </v>
      </c>
      <c r="P40" s="66" t="str">
        <f>'P MTK'!FR38</f>
        <v xml:space="preserve"> </v>
      </c>
      <c r="Q40" s="66" t="str">
        <f>'P-IPA'!DR38</f>
        <v xml:space="preserve"> </v>
      </c>
      <c r="R40" s="66" t="str">
        <f>'P-IPS'!DR38</f>
        <v xml:space="preserve"> </v>
      </c>
      <c r="S40" s="66" t="str">
        <f>'P-SBDP'!DR38</f>
        <v xml:space="preserve"> </v>
      </c>
      <c r="T40" s="66">
        <f>'P-PJOK'!E36</f>
        <v>0</v>
      </c>
      <c r="U40" s="66" t="str">
        <f>'P-BJAWA'!AX38</f>
        <v xml:space="preserve"> </v>
      </c>
      <c r="V40" s="66" t="e">
        <f>#REF!</f>
        <v>#REF!</v>
      </c>
      <c r="W40" s="66" t="e">
        <f>#REF!</f>
        <v>#REF!</v>
      </c>
      <c r="X40" s="66" t="e">
        <f>#REF!</f>
        <v>#REF!</v>
      </c>
      <c r="Y40" s="66" t="e">
        <f>#REF!</f>
        <v>#REF!</v>
      </c>
      <c r="Z40" s="66" t="e">
        <f>#REF!</f>
        <v>#REF!</v>
      </c>
      <c r="AA40" s="66" t="e">
        <f>#REF!</f>
        <v>#REF!</v>
      </c>
      <c r="AB40" s="66" t="e">
        <f>#REF!</f>
        <v>#REF!</v>
      </c>
      <c r="AC40" s="66" t="str">
        <f>'K-pkn'!DM38</f>
        <v xml:space="preserve"> </v>
      </c>
      <c r="AD40" s="66" t="str">
        <f>'K-BI'!ES38</f>
        <v xml:space="preserve"> </v>
      </c>
      <c r="AE40" s="66" t="str">
        <f>'K-MAT'!BA38</f>
        <v xml:space="preserve"> </v>
      </c>
      <c r="AF40" s="66" t="str">
        <f>'K-IPA'!ES38</f>
        <v xml:space="preserve"> </v>
      </c>
      <c r="AG40" s="66" t="str">
        <f>'K-IPS'!DM38</f>
        <v xml:space="preserve"> </v>
      </c>
      <c r="AH40" s="66" t="str">
        <f>'K-SBDP'!DM38</f>
        <v xml:space="preserve"> </v>
      </c>
      <c r="AI40" s="66">
        <f>'K-PJOK'!E38</f>
        <v>0</v>
      </c>
      <c r="AJ40" s="66" t="str">
        <f>'K-BJAWA'!CR38</f>
        <v xml:space="preserve"> </v>
      </c>
      <c r="AK40" s="66">
        <f>absen!C36</f>
        <v>0</v>
      </c>
      <c r="AL40" s="66">
        <f>absen!D36</f>
        <v>0</v>
      </c>
      <c r="AM40" s="66">
        <f>absen!E36</f>
        <v>0</v>
      </c>
    </row>
    <row r="41" spans="1:39">
      <c r="A41" s="39">
        <v>32</v>
      </c>
      <c r="B41" s="66">
        <f>SISWA!B37</f>
        <v>0</v>
      </c>
      <c r="C41" s="66">
        <f>SISWA!C37</f>
        <v>0</v>
      </c>
      <c r="D41" s="66">
        <f>SISWA!D37</f>
        <v>0</v>
      </c>
      <c r="E41" s="66" t="str">
        <f>'KI-1'!G39</f>
        <v xml:space="preserve"> </v>
      </c>
      <c r="F41" s="66" t="str">
        <f>'KI-2'!I39</f>
        <v xml:space="preserve"> </v>
      </c>
      <c r="G41" s="66" t="e">
        <f>#REF!</f>
        <v>#REF!</v>
      </c>
      <c r="H41" s="66" t="e">
        <f>#REF!</f>
        <v>#REF!</v>
      </c>
      <c r="I41" s="66" t="e">
        <f>#REF!</f>
        <v>#REF!</v>
      </c>
      <c r="J41" s="66" t="e">
        <f>#REF!</f>
        <v>#REF!</v>
      </c>
      <c r="K41" s="66" t="e">
        <f>#REF!</f>
        <v>#REF!</v>
      </c>
      <c r="L41" s="66" t="e">
        <f>#REF!</f>
        <v>#REF!</v>
      </c>
      <c r="M41" s="66" t="e">
        <f>#REF!</f>
        <v>#REF!</v>
      </c>
      <c r="N41" s="66" t="str">
        <f>'P-pkn'!CE39</f>
        <v xml:space="preserve"> </v>
      </c>
      <c r="O41" s="66" t="str">
        <f>'P-BI'!DR39</f>
        <v xml:space="preserve"> </v>
      </c>
      <c r="P41" s="66" t="str">
        <f>'P MTK'!FR39</f>
        <v xml:space="preserve"> </v>
      </c>
      <c r="Q41" s="66" t="str">
        <f>'P-IPA'!DR39</f>
        <v xml:space="preserve"> </v>
      </c>
      <c r="R41" s="66" t="str">
        <f>'P-IPS'!DR39</f>
        <v xml:space="preserve"> </v>
      </c>
      <c r="S41" s="66" t="str">
        <f>'P-SBDP'!DR39</f>
        <v xml:space="preserve"> </v>
      </c>
      <c r="T41" s="66">
        <f>'P-PJOK'!E37</f>
        <v>0</v>
      </c>
      <c r="U41" s="66" t="str">
        <f>'P-BJAWA'!AX39</f>
        <v xml:space="preserve"> </v>
      </c>
      <c r="V41" s="66" t="e">
        <f>#REF!</f>
        <v>#REF!</v>
      </c>
      <c r="W41" s="66" t="e">
        <f>#REF!</f>
        <v>#REF!</v>
      </c>
      <c r="X41" s="66" t="e">
        <f>#REF!</f>
        <v>#REF!</v>
      </c>
      <c r="Y41" s="66" t="e">
        <f>#REF!</f>
        <v>#REF!</v>
      </c>
      <c r="Z41" s="66" t="e">
        <f>#REF!</f>
        <v>#REF!</v>
      </c>
      <c r="AA41" s="66" t="e">
        <f>#REF!</f>
        <v>#REF!</v>
      </c>
      <c r="AB41" s="66" t="e">
        <f>#REF!</f>
        <v>#REF!</v>
      </c>
      <c r="AC41" s="66" t="str">
        <f>'K-pkn'!DM39</f>
        <v xml:space="preserve"> </v>
      </c>
      <c r="AD41" s="66" t="str">
        <f>'K-BI'!ES39</f>
        <v xml:space="preserve"> </v>
      </c>
      <c r="AE41" s="66" t="str">
        <f>'K-MAT'!BA39</f>
        <v xml:space="preserve"> </v>
      </c>
      <c r="AF41" s="66" t="str">
        <f>'K-IPA'!ES39</f>
        <v xml:space="preserve"> </v>
      </c>
      <c r="AG41" s="66" t="str">
        <f>'K-IPS'!DM39</f>
        <v xml:space="preserve"> </v>
      </c>
      <c r="AH41" s="66" t="str">
        <f>'K-SBDP'!DM39</f>
        <v xml:space="preserve"> </v>
      </c>
      <c r="AI41" s="66">
        <f>'K-PJOK'!E39</f>
        <v>0</v>
      </c>
      <c r="AJ41" s="66" t="str">
        <f>'K-BJAWA'!CR39</f>
        <v xml:space="preserve"> </v>
      </c>
      <c r="AK41" s="66">
        <f>absen!C37</f>
        <v>0</v>
      </c>
      <c r="AL41" s="66">
        <f>absen!D37</f>
        <v>0</v>
      </c>
      <c r="AM41" s="66">
        <f>absen!E37</f>
        <v>0</v>
      </c>
    </row>
    <row r="42" spans="1:39">
      <c r="A42" s="39">
        <v>33</v>
      </c>
      <c r="B42" s="66">
        <f>SISWA!B38</f>
        <v>0</v>
      </c>
      <c r="C42" s="66">
        <f>SISWA!C38</f>
        <v>0</v>
      </c>
      <c r="D42" s="66">
        <f>SISWA!D38</f>
        <v>0</v>
      </c>
      <c r="E42" s="66" t="str">
        <f>'KI-1'!G40</f>
        <v xml:space="preserve"> </v>
      </c>
      <c r="F42" s="66" t="str">
        <f>'KI-2'!I40</f>
        <v xml:space="preserve"> </v>
      </c>
      <c r="G42" s="66" t="e">
        <f>#REF!</f>
        <v>#REF!</v>
      </c>
      <c r="H42" s="66" t="e">
        <f>#REF!</f>
        <v>#REF!</v>
      </c>
      <c r="I42" s="66" t="e">
        <f>#REF!</f>
        <v>#REF!</v>
      </c>
      <c r="J42" s="66" t="e">
        <f>#REF!</f>
        <v>#REF!</v>
      </c>
      <c r="K42" s="66" t="e">
        <f>#REF!</f>
        <v>#REF!</v>
      </c>
      <c r="L42" s="66" t="e">
        <f>#REF!</f>
        <v>#REF!</v>
      </c>
      <c r="M42" s="66" t="e">
        <f>#REF!</f>
        <v>#REF!</v>
      </c>
      <c r="N42" s="66" t="str">
        <f>'P-pkn'!CE40</f>
        <v xml:space="preserve"> </v>
      </c>
      <c r="O42" s="66" t="str">
        <f>'P-BI'!DR40</f>
        <v xml:space="preserve"> </v>
      </c>
      <c r="P42" s="66" t="str">
        <f>'P MTK'!FR40</f>
        <v xml:space="preserve"> </v>
      </c>
      <c r="Q42" s="66" t="str">
        <f>'P-IPA'!DR40</f>
        <v xml:space="preserve"> </v>
      </c>
      <c r="R42" s="66" t="str">
        <f>'P-IPS'!DR40</f>
        <v xml:space="preserve"> </v>
      </c>
      <c r="S42" s="66" t="str">
        <f>'P-SBDP'!DR40</f>
        <v xml:space="preserve"> </v>
      </c>
      <c r="T42" s="66">
        <f>'P-PJOK'!E38</f>
        <v>0</v>
      </c>
      <c r="U42" s="66" t="str">
        <f>'P-BJAWA'!AX40</f>
        <v xml:space="preserve"> </v>
      </c>
      <c r="V42" s="66" t="e">
        <f>#REF!</f>
        <v>#REF!</v>
      </c>
      <c r="W42" s="66" t="e">
        <f>#REF!</f>
        <v>#REF!</v>
      </c>
      <c r="X42" s="66" t="e">
        <f>#REF!</f>
        <v>#REF!</v>
      </c>
      <c r="Y42" s="66" t="e">
        <f>#REF!</f>
        <v>#REF!</v>
      </c>
      <c r="Z42" s="66" t="e">
        <f>#REF!</f>
        <v>#REF!</v>
      </c>
      <c r="AA42" s="66" t="e">
        <f>#REF!</f>
        <v>#REF!</v>
      </c>
      <c r="AB42" s="66" t="e">
        <f>#REF!</f>
        <v>#REF!</v>
      </c>
      <c r="AC42" s="66" t="str">
        <f>'K-pkn'!DM40</f>
        <v xml:space="preserve"> </v>
      </c>
      <c r="AD42" s="66" t="str">
        <f>'K-BI'!ES40</f>
        <v xml:space="preserve"> </v>
      </c>
      <c r="AE42" s="66" t="str">
        <f>'K-MAT'!BA40</f>
        <v xml:space="preserve"> </v>
      </c>
      <c r="AF42" s="66" t="str">
        <f>'K-IPA'!ES40</f>
        <v xml:space="preserve"> </v>
      </c>
      <c r="AG42" s="66" t="str">
        <f>'K-IPS'!DM40</f>
        <v xml:space="preserve"> </v>
      </c>
      <c r="AH42" s="66" t="str">
        <f>'K-SBDP'!DM40</f>
        <v xml:space="preserve"> </v>
      </c>
      <c r="AI42" s="66">
        <f>'K-PJOK'!E40</f>
        <v>0</v>
      </c>
      <c r="AJ42" s="66" t="str">
        <f>'K-BJAWA'!CR40</f>
        <v xml:space="preserve"> </v>
      </c>
      <c r="AK42" s="66">
        <f>absen!C38</f>
        <v>0</v>
      </c>
      <c r="AL42" s="66">
        <f>absen!D38</f>
        <v>0</v>
      </c>
      <c r="AM42" s="66">
        <f>absen!E38</f>
        <v>0</v>
      </c>
    </row>
    <row r="43" spans="1:39">
      <c r="A43" s="39">
        <v>34</v>
      </c>
      <c r="B43" s="66">
        <f>SISWA!B39</f>
        <v>0</v>
      </c>
      <c r="C43" s="66">
        <f>SISWA!C39</f>
        <v>0</v>
      </c>
      <c r="D43" s="66">
        <f>SISWA!D39</f>
        <v>0</v>
      </c>
      <c r="E43" s="66" t="str">
        <f>'KI-1'!G41</f>
        <v xml:space="preserve"> </v>
      </c>
      <c r="F43" s="66" t="str">
        <f>'KI-2'!I41</f>
        <v xml:space="preserve"> </v>
      </c>
      <c r="G43" s="66" t="e">
        <f>#REF!</f>
        <v>#REF!</v>
      </c>
      <c r="H43" s="66" t="e">
        <f>#REF!</f>
        <v>#REF!</v>
      </c>
      <c r="I43" s="66" t="e">
        <f>#REF!</f>
        <v>#REF!</v>
      </c>
      <c r="J43" s="66" t="e">
        <f>#REF!</f>
        <v>#REF!</v>
      </c>
      <c r="K43" s="66" t="e">
        <f>#REF!</f>
        <v>#REF!</v>
      </c>
      <c r="L43" s="66" t="e">
        <f>#REF!</f>
        <v>#REF!</v>
      </c>
      <c r="M43" s="66" t="e">
        <f>#REF!</f>
        <v>#REF!</v>
      </c>
      <c r="N43" s="66" t="str">
        <f>'P-pkn'!CE41</f>
        <v xml:space="preserve"> </v>
      </c>
      <c r="O43" s="66" t="str">
        <f>'P-BI'!DR41</f>
        <v xml:space="preserve"> </v>
      </c>
      <c r="P43" s="66" t="str">
        <f>'P MTK'!FR41</f>
        <v xml:space="preserve"> </v>
      </c>
      <c r="Q43" s="66" t="str">
        <f>'P-IPA'!DR41</f>
        <v xml:space="preserve"> </v>
      </c>
      <c r="R43" s="66" t="str">
        <f>'P-IPS'!DR41</f>
        <v xml:space="preserve"> </v>
      </c>
      <c r="S43" s="66" t="str">
        <f>'P-SBDP'!DR41</f>
        <v xml:space="preserve"> </v>
      </c>
      <c r="T43" s="66">
        <f>'P-PJOK'!E39</f>
        <v>0</v>
      </c>
      <c r="U43" s="66" t="str">
        <f>'P-BJAWA'!AX41</f>
        <v xml:space="preserve"> </v>
      </c>
      <c r="V43" s="66" t="e">
        <f>#REF!</f>
        <v>#REF!</v>
      </c>
      <c r="W43" s="66" t="e">
        <f>#REF!</f>
        <v>#REF!</v>
      </c>
      <c r="X43" s="66" t="e">
        <f>#REF!</f>
        <v>#REF!</v>
      </c>
      <c r="Y43" s="66" t="e">
        <f>#REF!</f>
        <v>#REF!</v>
      </c>
      <c r="Z43" s="66" t="e">
        <f>#REF!</f>
        <v>#REF!</v>
      </c>
      <c r="AA43" s="66" t="e">
        <f>#REF!</f>
        <v>#REF!</v>
      </c>
      <c r="AB43" s="66" t="e">
        <f>#REF!</f>
        <v>#REF!</v>
      </c>
      <c r="AC43" s="66" t="str">
        <f>'K-pkn'!DM41</f>
        <v xml:space="preserve"> </v>
      </c>
      <c r="AD43" s="66" t="str">
        <f>'K-BI'!ES41</f>
        <v xml:space="preserve"> </v>
      </c>
      <c r="AE43" s="66" t="str">
        <f>'K-MAT'!BA41</f>
        <v xml:space="preserve"> </v>
      </c>
      <c r="AF43" s="66" t="str">
        <f>'K-IPA'!ES41</f>
        <v xml:space="preserve"> </v>
      </c>
      <c r="AG43" s="66" t="str">
        <f>'K-IPS'!DM41</f>
        <v xml:space="preserve"> </v>
      </c>
      <c r="AH43" s="66" t="str">
        <f>'K-SBDP'!DM41</f>
        <v xml:space="preserve"> </v>
      </c>
      <c r="AI43" s="66">
        <f>'K-PJOK'!E41</f>
        <v>0</v>
      </c>
      <c r="AJ43" s="66" t="str">
        <f>'K-BJAWA'!CR41</f>
        <v xml:space="preserve"> </v>
      </c>
      <c r="AK43" s="66">
        <f>absen!C39</f>
        <v>0</v>
      </c>
      <c r="AL43" s="66">
        <f>absen!D39</f>
        <v>0</v>
      </c>
      <c r="AM43" s="66">
        <f>absen!E39</f>
        <v>0</v>
      </c>
    </row>
    <row r="44" spans="1:39">
      <c r="A44" s="39">
        <v>35</v>
      </c>
      <c r="B44" s="66">
        <f>SISWA!B40</f>
        <v>0</v>
      </c>
      <c r="C44" s="66">
        <f>SISWA!C40</f>
        <v>0</v>
      </c>
      <c r="D44" s="66">
        <f>SISWA!D40</f>
        <v>0</v>
      </c>
      <c r="E44" s="66" t="str">
        <f>'KI-1'!G42</f>
        <v xml:space="preserve"> </v>
      </c>
      <c r="F44" s="66" t="str">
        <f>'KI-2'!I42</f>
        <v xml:space="preserve"> </v>
      </c>
      <c r="G44" s="66" t="e">
        <f>#REF!</f>
        <v>#REF!</v>
      </c>
      <c r="H44" s="66" t="e">
        <f>#REF!</f>
        <v>#REF!</v>
      </c>
      <c r="I44" s="66" t="e">
        <f>#REF!</f>
        <v>#REF!</v>
      </c>
      <c r="J44" s="66" t="e">
        <f>#REF!</f>
        <v>#REF!</v>
      </c>
      <c r="K44" s="66" t="e">
        <f>#REF!</f>
        <v>#REF!</v>
      </c>
      <c r="L44" s="66" t="e">
        <f>#REF!</f>
        <v>#REF!</v>
      </c>
      <c r="M44" s="66" t="e">
        <f>#REF!</f>
        <v>#REF!</v>
      </c>
      <c r="N44" s="66" t="str">
        <f>'P-pkn'!CE42</f>
        <v xml:space="preserve"> </v>
      </c>
      <c r="O44" s="66" t="str">
        <f>'P-BI'!DR42</f>
        <v xml:space="preserve"> </v>
      </c>
      <c r="P44" s="66" t="str">
        <f>'P MTK'!FR42</f>
        <v xml:space="preserve"> </v>
      </c>
      <c r="Q44" s="66" t="str">
        <f>'P-IPA'!DR42</f>
        <v xml:space="preserve"> </v>
      </c>
      <c r="R44" s="66" t="str">
        <f>'P-IPS'!DR42</f>
        <v xml:space="preserve"> </v>
      </c>
      <c r="S44" s="66" t="str">
        <f>'P-SBDP'!DR42</f>
        <v xml:space="preserve"> </v>
      </c>
      <c r="T44" s="66">
        <f>'P-PJOK'!E40</f>
        <v>0</v>
      </c>
      <c r="U44" s="66" t="str">
        <f>'P-BJAWA'!AX42</f>
        <v xml:space="preserve"> </v>
      </c>
      <c r="V44" s="66" t="e">
        <f>#REF!</f>
        <v>#REF!</v>
      </c>
      <c r="W44" s="66" t="e">
        <f>#REF!</f>
        <v>#REF!</v>
      </c>
      <c r="X44" s="66" t="e">
        <f>#REF!</f>
        <v>#REF!</v>
      </c>
      <c r="Y44" s="66" t="e">
        <f>#REF!</f>
        <v>#REF!</v>
      </c>
      <c r="Z44" s="66" t="e">
        <f>#REF!</f>
        <v>#REF!</v>
      </c>
      <c r="AA44" s="66" t="e">
        <f>#REF!</f>
        <v>#REF!</v>
      </c>
      <c r="AB44" s="66" t="e">
        <f>#REF!</f>
        <v>#REF!</v>
      </c>
      <c r="AC44" s="66" t="str">
        <f>'K-pkn'!DM42</f>
        <v xml:space="preserve"> </v>
      </c>
      <c r="AD44" s="66">
        <f>'K-BI'!ES42</f>
        <v>0</v>
      </c>
      <c r="AE44" s="66" t="str">
        <f>'K-MAT'!BA42</f>
        <v xml:space="preserve"> </v>
      </c>
      <c r="AF44" s="66" t="str">
        <f>'K-IPA'!ES42</f>
        <v xml:space="preserve"> </v>
      </c>
      <c r="AG44" s="66" t="str">
        <f>'K-IPS'!DM42</f>
        <v xml:space="preserve"> </v>
      </c>
      <c r="AH44" s="66" t="str">
        <f>'K-SBDP'!DM42</f>
        <v xml:space="preserve"> </v>
      </c>
      <c r="AI44" s="66">
        <f>'K-PJOK'!E42</f>
        <v>0</v>
      </c>
      <c r="AJ44" s="66" t="str">
        <f>'K-BJAWA'!CR42</f>
        <v xml:space="preserve"> </v>
      </c>
      <c r="AK44" s="66">
        <f>absen!C40</f>
        <v>0</v>
      </c>
      <c r="AL44" s="66">
        <f>absen!D40</f>
        <v>0</v>
      </c>
      <c r="AM44" s="66">
        <f>absen!E40</f>
        <v>0</v>
      </c>
    </row>
  </sheetData>
  <sheetProtection sheet="1" objects="1" scenarios="1" selectLockedCells="1" selectUnlockedCells="1"/>
  <mergeCells count="8">
    <mergeCell ref="AK8:AM8"/>
    <mergeCell ref="V8:AJ8"/>
    <mergeCell ref="G8:U8"/>
    <mergeCell ref="A8:A9"/>
    <mergeCell ref="B8:B9"/>
    <mergeCell ref="C8:C9"/>
    <mergeCell ref="E8:E9"/>
    <mergeCell ref="F8:F9"/>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6"/>
  <sheetViews>
    <sheetView workbookViewId="0">
      <pane ySplit="3" topLeftCell="A4" activePane="bottomLeft" state="frozen"/>
      <selection pane="bottomLeft"/>
    </sheetView>
  </sheetViews>
  <sheetFormatPr defaultColWidth="0" defaultRowHeight="15" customHeight="1" zeroHeight="1"/>
  <cols>
    <col min="1" max="1" width="5.7109375" style="684" customWidth="1"/>
    <col min="2" max="17" width="4.7109375" customWidth="1"/>
    <col min="18" max="18" width="5.140625" customWidth="1"/>
    <col min="19" max="19" width="5" customWidth="1"/>
    <col min="20" max="27" width="9.140625" customWidth="1"/>
    <col min="28" max="34" width="9.140625" hidden="1" customWidth="1"/>
    <col min="35" max="16384" width="9.140625" hidden="1"/>
  </cols>
  <sheetData>
    <row r="1" spans="1:27"/>
    <row r="2" spans="1:27" ht="26.25">
      <c r="E2" s="692" t="s">
        <v>473</v>
      </c>
    </row>
    <row r="3" spans="1:27"/>
    <row r="4" spans="1:27"/>
    <row r="5" spans="1:27" s="696" customFormat="1" ht="18.75">
      <c r="A5" s="693">
        <v>1</v>
      </c>
      <c r="B5" s="694" t="s">
        <v>474</v>
      </c>
      <c r="C5" s="695"/>
      <c r="D5" s="695"/>
      <c r="E5" s="695"/>
      <c r="F5" s="695"/>
      <c r="G5" s="695"/>
      <c r="H5" s="695"/>
      <c r="I5" s="695"/>
      <c r="J5" s="695"/>
      <c r="K5" s="695"/>
      <c r="L5" s="695"/>
      <c r="M5" s="695"/>
      <c r="N5" s="695"/>
      <c r="O5" s="695"/>
      <c r="P5" s="695"/>
      <c r="Q5" s="695"/>
      <c r="R5" s="695"/>
      <c r="S5" s="695"/>
      <c r="T5" s="695"/>
      <c r="U5" s="695"/>
      <c r="V5" s="695"/>
      <c r="W5" s="695"/>
      <c r="X5" s="695"/>
      <c r="Y5" s="695"/>
      <c r="Z5" s="695"/>
      <c r="AA5" s="695"/>
    </row>
    <row r="6" spans="1:27" s="696" customFormat="1" ht="18.75">
      <c r="A6" s="693">
        <v>2</v>
      </c>
      <c r="B6" s="1361" t="s">
        <v>475</v>
      </c>
      <c r="C6" s="1361"/>
      <c r="D6" s="1361"/>
      <c r="E6" s="1361"/>
      <c r="F6" s="1361"/>
      <c r="G6" s="1361"/>
      <c r="H6" s="1361"/>
      <c r="I6" s="1361"/>
      <c r="J6" s="1361"/>
      <c r="K6" s="1361"/>
      <c r="L6" s="1361"/>
      <c r="M6" s="1361"/>
      <c r="N6" s="1361"/>
      <c r="O6" s="1361"/>
      <c r="P6" s="1361"/>
      <c r="Q6" s="1361"/>
      <c r="R6" s="1361"/>
      <c r="S6" s="1361"/>
      <c r="T6" s="1361"/>
      <c r="U6" s="1361"/>
      <c r="V6" s="1361"/>
      <c r="W6" s="1361"/>
      <c r="X6" s="1361"/>
      <c r="Y6" s="1361"/>
      <c r="Z6" s="1361"/>
      <c r="AA6" s="1361"/>
    </row>
    <row r="7" spans="1:27" s="696" customFormat="1" ht="18.75">
      <c r="A7" s="693">
        <v>3</v>
      </c>
      <c r="B7" s="1362" t="s">
        <v>476</v>
      </c>
      <c r="C7" s="1362"/>
      <c r="D7" s="1362"/>
      <c r="E7" s="1362"/>
      <c r="F7" s="1362"/>
      <c r="G7" s="1362"/>
      <c r="H7" s="1362"/>
      <c r="I7" s="1362"/>
      <c r="J7" s="1362"/>
      <c r="K7" s="1362"/>
      <c r="L7" s="1362"/>
      <c r="M7" s="1362"/>
      <c r="N7" s="1362"/>
      <c r="O7" s="1362"/>
      <c r="P7" s="1362"/>
      <c r="Q7" s="1362"/>
      <c r="R7" s="1362"/>
      <c r="S7" s="1362"/>
      <c r="T7" s="1362"/>
      <c r="U7" s="1362"/>
      <c r="V7" s="1362"/>
      <c r="W7" s="1362"/>
      <c r="X7" s="1362"/>
      <c r="Y7" s="1362"/>
      <c r="Z7" s="1362"/>
      <c r="AA7" s="1362"/>
    </row>
    <row r="8" spans="1:27" s="696" customFormat="1" ht="18.75">
      <c r="A8" s="693"/>
      <c r="B8" s="697" t="s">
        <v>477</v>
      </c>
      <c r="C8" s="698"/>
      <c r="D8" s="698"/>
      <c r="E8" s="698"/>
      <c r="F8" s="698"/>
      <c r="G8" s="698"/>
      <c r="H8" s="698"/>
      <c r="I8" s="698"/>
      <c r="J8" s="698"/>
      <c r="K8" s="698"/>
      <c r="L8" s="698"/>
      <c r="M8" s="698"/>
      <c r="N8" s="698"/>
      <c r="O8" s="698"/>
      <c r="P8" s="698"/>
      <c r="Q8" s="698"/>
    </row>
    <row r="9" spans="1:27" s="696" customFormat="1" ht="18.75">
      <c r="A9" s="693">
        <v>4</v>
      </c>
      <c r="B9" s="1361" t="s">
        <v>478</v>
      </c>
      <c r="C9" s="1361"/>
      <c r="D9" s="1361"/>
      <c r="E9" s="1361"/>
      <c r="F9" s="1361"/>
      <c r="G9" s="1361"/>
      <c r="H9" s="1361"/>
      <c r="I9" s="1361"/>
      <c r="J9" s="1361"/>
      <c r="K9" s="1361"/>
      <c r="L9" s="1361"/>
      <c r="M9" s="1361"/>
      <c r="N9" s="1361"/>
      <c r="O9" s="1361"/>
      <c r="P9" s="1361"/>
      <c r="Q9" s="1361"/>
      <c r="R9" s="1361"/>
      <c r="S9" s="1361"/>
      <c r="T9" s="1361"/>
      <c r="U9" s="1361"/>
      <c r="V9" s="1361"/>
      <c r="W9" s="1361"/>
      <c r="X9" s="1361"/>
      <c r="Y9" s="1361"/>
      <c r="Z9" s="1361"/>
      <c r="AA9" s="1361"/>
    </row>
    <row r="10" spans="1:27" s="696" customFormat="1" ht="18.75">
      <c r="A10" s="693">
        <v>5</v>
      </c>
      <c r="B10" s="1358" t="s">
        <v>479</v>
      </c>
      <c r="C10" s="1359"/>
      <c r="D10" s="1359"/>
      <c r="E10" s="1359"/>
      <c r="F10" s="1359"/>
      <c r="G10" s="1359"/>
      <c r="H10" s="1359"/>
      <c r="I10" s="1359"/>
      <c r="J10" s="1359"/>
      <c r="K10" s="1359"/>
      <c r="L10" s="1359"/>
      <c r="M10" s="1359"/>
      <c r="N10" s="1359"/>
      <c r="O10" s="1359"/>
      <c r="P10" s="1359"/>
      <c r="Q10" s="1359"/>
      <c r="R10" s="1359"/>
      <c r="S10" s="1359"/>
      <c r="T10" s="1359"/>
      <c r="U10" s="1359"/>
      <c r="V10" s="1359"/>
      <c r="W10" s="1359"/>
      <c r="X10" s="1359"/>
      <c r="Y10" s="1359"/>
      <c r="Z10" s="1359"/>
      <c r="AA10" s="1360"/>
    </row>
    <row r="11" spans="1:27" s="696" customFormat="1" ht="18.75">
      <c r="A11" s="693">
        <v>6</v>
      </c>
      <c r="B11" s="1363" t="s">
        <v>480</v>
      </c>
      <c r="C11" s="1364"/>
      <c r="D11" s="1364"/>
      <c r="E11" s="1364"/>
      <c r="F11" s="1364"/>
      <c r="G11" s="1364"/>
      <c r="H11" s="1364"/>
      <c r="I11" s="1364"/>
      <c r="J11" s="1364"/>
      <c r="K11" s="1364"/>
      <c r="L11" s="1364"/>
      <c r="M11" s="1364"/>
      <c r="N11" s="1364"/>
      <c r="O11" s="1364"/>
      <c r="P11" s="1364"/>
      <c r="Q11" s="1364"/>
      <c r="R11" s="1364"/>
      <c r="S11" s="1364"/>
      <c r="T11" s="1364"/>
      <c r="U11" s="1364"/>
      <c r="V11" s="1364"/>
      <c r="W11" s="1364"/>
      <c r="X11" s="1364"/>
      <c r="Y11" s="1364"/>
      <c r="Z11" s="1364"/>
      <c r="AA11" s="1365"/>
    </row>
    <row r="12" spans="1:27" s="696" customFormat="1" ht="18.75">
      <c r="A12" s="693">
        <v>7</v>
      </c>
      <c r="B12" s="1358" t="s">
        <v>481</v>
      </c>
      <c r="C12" s="1359"/>
      <c r="D12" s="1359"/>
      <c r="E12" s="1359"/>
      <c r="F12" s="1359"/>
      <c r="G12" s="1359"/>
      <c r="H12" s="1359"/>
      <c r="I12" s="1359"/>
      <c r="J12" s="1359"/>
      <c r="K12" s="1359"/>
      <c r="L12" s="1359"/>
      <c r="M12" s="1359"/>
      <c r="N12" s="1359"/>
      <c r="O12" s="1359"/>
      <c r="P12" s="1359"/>
      <c r="Q12" s="1359"/>
      <c r="R12" s="1359"/>
      <c r="S12" s="1359"/>
      <c r="T12" s="1359"/>
      <c r="U12" s="1359"/>
      <c r="V12" s="1359"/>
      <c r="W12" s="1359"/>
      <c r="X12" s="1359"/>
      <c r="Y12" s="1359"/>
      <c r="Z12" s="1359"/>
      <c r="AA12" s="1360"/>
    </row>
    <row r="13" spans="1:27" s="696" customFormat="1" ht="18.75">
      <c r="A13" s="693">
        <v>8</v>
      </c>
      <c r="B13" s="1358" t="s">
        <v>482</v>
      </c>
      <c r="C13" s="1359"/>
      <c r="D13" s="1359"/>
      <c r="E13" s="1359"/>
      <c r="F13" s="1359"/>
      <c r="G13" s="1359"/>
      <c r="H13" s="1359"/>
      <c r="I13" s="1359"/>
      <c r="J13" s="1359"/>
      <c r="K13" s="1359"/>
      <c r="L13" s="1359"/>
      <c r="M13" s="1359"/>
      <c r="N13" s="1359"/>
      <c r="O13" s="1359"/>
      <c r="P13" s="1359"/>
      <c r="Q13" s="1359"/>
      <c r="R13" s="1359"/>
      <c r="S13" s="1359"/>
      <c r="T13" s="1359"/>
      <c r="U13" s="1359"/>
      <c r="V13" s="1359"/>
      <c r="W13" s="1359"/>
      <c r="X13" s="1359"/>
      <c r="Y13" s="1359"/>
      <c r="Z13" s="1359"/>
      <c r="AA13" s="1360"/>
    </row>
    <row r="14" spans="1:27" s="696" customFormat="1" ht="18.75">
      <c r="A14" s="693">
        <v>9</v>
      </c>
      <c r="B14" s="1366" t="s">
        <v>483</v>
      </c>
      <c r="C14" s="1367"/>
      <c r="D14" s="1367"/>
      <c r="E14" s="1367"/>
      <c r="F14" s="1367"/>
      <c r="G14" s="1367"/>
      <c r="H14" s="1367"/>
      <c r="I14" s="1367"/>
      <c r="J14" s="1367"/>
      <c r="K14" s="1367"/>
      <c r="L14" s="1367"/>
      <c r="M14" s="1367"/>
      <c r="N14" s="1367"/>
      <c r="O14" s="1367"/>
      <c r="P14" s="1367"/>
      <c r="Q14" s="1367"/>
      <c r="R14" s="1367"/>
      <c r="S14" s="1367"/>
      <c r="T14" s="1367"/>
      <c r="U14" s="1367"/>
      <c r="V14" s="1367"/>
      <c r="W14" s="1367"/>
      <c r="X14" s="1367"/>
      <c r="Y14" s="1367"/>
      <c r="Z14" s="1367"/>
      <c r="AA14" s="1368"/>
    </row>
    <row r="15" spans="1:27" s="696" customFormat="1" ht="18.75">
      <c r="A15" s="693">
        <v>10</v>
      </c>
      <c r="B15" s="1369" t="s">
        <v>484</v>
      </c>
      <c r="C15" s="1370"/>
      <c r="D15" s="1370"/>
      <c r="E15" s="1370"/>
      <c r="F15" s="1370"/>
      <c r="G15" s="1370"/>
      <c r="H15" s="1370"/>
      <c r="I15" s="1370"/>
      <c r="J15" s="1370"/>
      <c r="K15" s="1370"/>
      <c r="L15" s="1370"/>
      <c r="M15" s="1370"/>
      <c r="N15" s="1370"/>
      <c r="O15" s="1370"/>
      <c r="P15" s="1370"/>
      <c r="Q15" s="1370"/>
      <c r="R15" s="1370"/>
      <c r="S15" s="1370"/>
      <c r="T15" s="1370"/>
      <c r="U15" s="1370"/>
      <c r="V15" s="1370"/>
      <c r="W15" s="1370"/>
      <c r="X15" s="1370"/>
      <c r="Y15" s="1370"/>
      <c r="Z15" s="1370"/>
      <c r="AA15" s="1371"/>
    </row>
    <row r="16" spans="1:27" s="1367" customFormat="1" ht="18.75">
      <c r="A16" s="693">
        <v>11</v>
      </c>
      <c r="B16" s="1366" t="s">
        <v>485</v>
      </c>
    </row>
    <row r="17" spans="1:27" s="696" customFormat="1" ht="18.75">
      <c r="A17" s="693">
        <v>12</v>
      </c>
      <c r="B17" s="1366" t="s">
        <v>486</v>
      </c>
      <c r="C17" s="1367"/>
      <c r="D17" s="1367"/>
      <c r="E17" s="1367"/>
      <c r="F17" s="1367"/>
      <c r="G17" s="1367"/>
      <c r="H17" s="1367"/>
      <c r="I17" s="1367"/>
      <c r="J17" s="1367"/>
      <c r="K17" s="1367"/>
      <c r="L17" s="1367"/>
      <c r="M17" s="1367"/>
      <c r="N17" s="1367"/>
      <c r="O17" s="1367"/>
      <c r="P17" s="1367"/>
      <c r="Q17" s="1367"/>
      <c r="R17" s="1367"/>
      <c r="S17" s="1367"/>
      <c r="T17" s="1367"/>
      <c r="U17" s="1367"/>
      <c r="V17" s="1367"/>
      <c r="W17" s="1367"/>
      <c r="X17" s="1367"/>
      <c r="Y17" s="1367"/>
      <c r="Z17" s="1367"/>
      <c r="AA17" s="1368"/>
    </row>
    <row r="18" spans="1:27" s="696" customFormat="1" ht="18.75">
      <c r="A18" s="693">
        <v>13</v>
      </c>
      <c r="B18" s="1372" t="s">
        <v>487</v>
      </c>
      <c r="C18" s="1373"/>
      <c r="D18" s="1373"/>
      <c r="E18" s="1373"/>
      <c r="F18" s="1373"/>
      <c r="G18" s="1373"/>
      <c r="H18" s="1373"/>
      <c r="I18" s="1373"/>
      <c r="J18" s="1373"/>
      <c r="K18" s="1373"/>
      <c r="L18" s="1373"/>
      <c r="M18" s="1373"/>
      <c r="N18" s="1373"/>
      <c r="O18" s="1373"/>
      <c r="P18" s="1373"/>
      <c r="Q18" s="1373"/>
      <c r="R18" s="1373"/>
      <c r="S18" s="1373"/>
      <c r="T18" s="1373"/>
      <c r="U18" s="1373"/>
      <c r="V18" s="1373"/>
      <c r="W18" s="1373"/>
      <c r="X18" s="1373"/>
      <c r="Y18" s="1373"/>
      <c r="Z18" s="1373"/>
      <c r="AA18" s="1374"/>
    </row>
    <row r="19" spans="1:27" s="694" customFormat="1" ht="18.75">
      <c r="A19" s="693"/>
      <c r="R19" s="696"/>
    </row>
    <row r="20" spans="1:27" s="694" customFormat="1" ht="18.75">
      <c r="A20" s="693"/>
      <c r="J20" s="694" t="s">
        <v>494</v>
      </c>
      <c r="R20" s="696"/>
    </row>
    <row r="21" spans="1:27" s="694" customFormat="1" ht="18.75">
      <c r="A21" s="693"/>
      <c r="J21" s="694" t="s">
        <v>493</v>
      </c>
      <c r="R21" s="696"/>
    </row>
    <row r="22" spans="1:27" s="694" customFormat="1" ht="18.75">
      <c r="A22" s="693"/>
      <c r="R22" s="696"/>
    </row>
    <row r="23" spans="1:27" s="694" customFormat="1" ht="18.75">
      <c r="A23" s="693"/>
      <c r="R23" s="696"/>
    </row>
    <row r="24" spans="1:27" s="694" customFormat="1" ht="18.75">
      <c r="A24" s="693"/>
    </row>
    <row r="25" spans="1:27" s="694" customFormat="1" ht="18.75">
      <c r="A25" s="693">
        <v>14</v>
      </c>
      <c r="B25" s="699" t="s">
        <v>488</v>
      </c>
      <c r="C25" s="700"/>
      <c r="D25" s="700"/>
      <c r="E25" s="700"/>
      <c r="F25" s="700"/>
      <c r="G25" s="700"/>
      <c r="H25" s="700"/>
      <c r="I25" s="700"/>
      <c r="J25" s="700"/>
      <c r="K25" s="700"/>
      <c r="L25" s="700"/>
      <c r="M25" s="700"/>
      <c r="N25" s="700"/>
      <c r="O25" s="700"/>
      <c r="P25" s="700"/>
      <c r="Q25" s="700"/>
      <c r="R25" s="700"/>
      <c r="S25" s="701"/>
      <c r="T25" s="701"/>
      <c r="U25" s="701"/>
      <c r="V25" s="701"/>
      <c r="W25" s="701"/>
      <c r="X25" s="701"/>
      <c r="Y25" s="702"/>
      <c r="Z25" s="702"/>
      <c r="AA25" s="703"/>
    </row>
    <row r="26" spans="1:27" s="694" customFormat="1" ht="18.75">
      <c r="A26" s="693">
        <v>15</v>
      </c>
      <c r="B26" s="1366" t="s">
        <v>489</v>
      </c>
      <c r="C26" s="1367"/>
      <c r="D26" s="1367"/>
      <c r="E26" s="1367"/>
      <c r="F26" s="1367"/>
      <c r="G26" s="1367"/>
      <c r="H26" s="1367"/>
      <c r="I26" s="1367"/>
      <c r="J26" s="1367"/>
      <c r="K26" s="1367"/>
      <c r="L26" s="1367"/>
      <c r="M26" s="1367"/>
      <c r="N26" s="1367"/>
      <c r="O26" s="1367"/>
      <c r="P26" s="1367"/>
      <c r="Q26" s="1367"/>
      <c r="R26" s="1367"/>
      <c r="S26" s="1367"/>
      <c r="T26" s="1367"/>
      <c r="U26" s="1367"/>
      <c r="V26" s="1367"/>
      <c r="W26" s="1367"/>
      <c r="X26" s="1367"/>
      <c r="Y26" s="1367"/>
      <c r="Z26" s="1367"/>
      <c r="AA26" s="1368"/>
    </row>
    <row r="27" spans="1:27" s="694" customFormat="1" ht="18.75">
      <c r="A27" s="693">
        <v>16</v>
      </c>
      <c r="B27" s="696" t="s">
        <v>490</v>
      </c>
      <c r="C27" s="696"/>
      <c r="D27" s="696"/>
      <c r="E27" s="696"/>
      <c r="F27" s="696"/>
      <c r="G27" s="696"/>
      <c r="H27" s="696"/>
      <c r="I27" s="696"/>
      <c r="J27" s="696"/>
      <c r="K27" s="696"/>
      <c r="L27" s="696"/>
      <c r="M27" s="696"/>
      <c r="N27" s="696"/>
      <c r="O27" s="696"/>
      <c r="P27" s="696"/>
      <c r="Q27" s="696"/>
      <c r="R27" s="696"/>
    </row>
    <row r="28" spans="1:27" s="694" customFormat="1" ht="18.75">
      <c r="A28" s="693"/>
    </row>
    <row r="29" spans="1:27" s="694" customFormat="1" ht="18.75">
      <c r="A29" s="693"/>
      <c r="R29" s="696" t="s">
        <v>491</v>
      </c>
    </row>
    <row r="30" spans="1:27" s="694" customFormat="1" ht="18.75">
      <c r="A30" s="693"/>
    </row>
    <row r="31" spans="1:27" s="694" customFormat="1" ht="18.75">
      <c r="A31" s="693"/>
    </row>
    <row r="32" spans="1:27" s="694" customFormat="1" ht="18.75">
      <c r="A32" s="693"/>
    </row>
    <row r="33" spans="1:26" s="694" customFormat="1" ht="18.75">
      <c r="A33" s="693"/>
    </row>
    <row r="34" spans="1:26" s="694" customFormat="1" ht="18.75">
      <c r="A34" s="693"/>
    </row>
    <row r="35" spans="1:26" s="694" customFormat="1" ht="18.75">
      <c r="A35" s="693"/>
    </row>
    <row r="36" spans="1:26" s="694" customFormat="1" ht="18.75">
      <c r="A36" s="693"/>
    </row>
    <row r="37" spans="1:26" s="694" customFormat="1" ht="18.75">
      <c r="A37"/>
      <c r="B37"/>
      <c r="C37"/>
      <c r="D37"/>
      <c r="E37"/>
      <c r="F37"/>
      <c r="G37"/>
      <c r="H37"/>
      <c r="I37"/>
      <c r="J37"/>
      <c r="K37"/>
      <c r="L37"/>
      <c r="M37"/>
      <c r="N37"/>
      <c r="O37"/>
      <c r="P37"/>
      <c r="Q37"/>
      <c r="R37"/>
      <c r="S37"/>
      <c r="T37"/>
      <c r="U37"/>
      <c r="V37"/>
      <c r="W37"/>
      <c r="X37"/>
      <c r="Y37"/>
      <c r="Z37"/>
    </row>
    <row r="38" spans="1:26" s="694" customFormat="1" ht="18.75">
      <c r="A38"/>
      <c r="B38"/>
      <c r="C38"/>
      <c r="D38"/>
      <c r="E38"/>
      <c r="F38"/>
      <c r="G38"/>
      <c r="H38"/>
      <c r="I38"/>
      <c r="J38"/>
      <c r="K38"/>
      <c r="L38"/>
      <c r="M38"/>
      <c r="N38"/>
      <c r="O38"/>
      <c r="P38"/>
      <c r="Q38"/>
      <c r="R38"/>
      <c r="S38"/>
      <c r="T38"/>
      <c r="U38"/>
      <c r="V38"/>
      <c r="W38"/>
      <c r="X38"/>
      <c r="Y38"/>
      <c r="Z38"/>
    </row>
    <row r="39" spans="1:26" s="694" customFormat="1" ht="18.75">
      <c r="A39" s="693"/>
    </row>
    <row r="40" spans="1:26" s="694" customFormat="1" ht="18.75">
      <c r="A40" s="693"/>
    </row>
    <row r="41" spans="1:26" s="705" customFormat="1">
      <c r="A41" s="704"/>
    </row>
    <row r="42" spans="1:26" s="705" customFormat="1">
      <c r="A42" s="704"/>
    </row>
    <row r="43" spans="1:26" s="705" customFormat="1">
      <c r="A43" s="704"/>
    </row>
    <row r="44" spans="1:26" s="705" customFormat="1" ht="18.75">
      <c r="A44" s="704"/>
      <c r="M44" s="696" t="s">
        <v>492</v>
      </c>
    </row>
    <row r="45" spans="1:26" s="706" customFormat="1">
      <c r="A45" s="487"/>
    </row>
    <row r="46" spans="1:26" s="706" customFormat="1">
      <c r="A46" s="487"/>
    </row>
  </sheetData>
  <sheetProtection sheet="1" objects="1" scenarios="1"/>
  <mergeCells count="13">
    <mergeCell ref="B26:AA26"/>
    <mergeCell ref="B13:AA13"/>
    <mergeCell ref="B14:AA14"/>
    <mergeCell ref="B15:AA15"/>
    <mergeCell ref="B16:XFD16"/>
    <mergeCell ref="B17:AA17"/>
    <mergeCell ref="B18:AA18"/>
    <mergeCell ref="B12:AA12"/>
    <mergeCell ref="B6:AA6"/>
    <mergeCell ref="B7:AA7"/>
    <mergeCell ref="B9:AA9"/>
    <mergeCell ref="B10:AA10"/>
    <mergeCell ref="B11:AA11"/>
  </mergeCells>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17</vt:i4>
      </vt:variant>
    </vt:vector>
  </HeadingPairs>
  <TitlesOfParts>
    <vt:vector size="54" baseType="lpstr">
      <vt:lpstr>MENU</vt:lpstr>
      <vt:lpstr>sampul</vt:lpstr>
      <vt:lpstr>KKM</vt:lpstr>
      <vt:lpstr>SISWA</vt:lpstr>
      <vt:lpstr>KI-1</vt:lpstr>
      <vt:lpstr>KI-2</vt:lpstr>
      <vt:lpstr>KI-3</vt:lpstr>
      <vt:lpstr>KI-4</vt:lpstr>
      <vt:lpstr>K-pkn</vt:lpstr>
      <vt:lpstr>P-pkn</vt:lpstr>
      <vt:lpstr>RAPOT</vt:lpstr>
      <vt:lpstr>fisik</vt:lpstr>
      <vt:lpstr>saran</vt:lpstr>
      <vt:lpstr>ekskul</vt:lpstr>
      <vt:lpstr>penget</vt:lpstr>
      <vt:lpstr>ketramp</vt:lpstr>
      <vt:lpstr>absen</vt:lpstr>
      <vt:lpstr>P-BI</vt:lpstr>
      <vt:lpstr>P MTK</vt:lpstr>
      <vt:lpstr>P-SBDP</vt:lpstr>
      <vt:lpstr>P-BJAWA</vt:lpstr>
      <vt:lpstr>P-PJOK</vt:lpstr>
      <vt:lpstr>K-BI</vt:lpstr>
      <vt:lpstr>K-MAT</vt:lpstr>
      <vt:lpstr>K-SBDP</vt:lpstr>
      <vt:lpstr>K-BJAWA</vt:lpstr>
      <vt:lpstr>K-PJOK</vt:lpstr>
      <vt:lpstr>KDKI-4</vt:lpstr>
      <vt:lpstr>KDKI-3</vt:lpstr>
      <vt:lpstr>P-IPA</vt:lpstr>
      <vt:lpstr>K-IPA</vt:lpstr>
      <vt:lpstr>P-IPS</vt:lpstr>
      <vt:lpstr>K-IPS</vt:lpstr>
      <vt:lpstr>rbaru</vt:lpstr>
      <vt:lpstr>lbaru</vt:lpstr>
      <vt:lpstr>LEGER</vt:lpstr>
      <vt:lpstr>JUK</vt:lpstr>
      <vt:lpstr>A</vt:lpstr>
      <vt:lpstr>d</vt:lpstr>
      <vt:lpstr>da</vt:lpstr>
      <vt:lpstr>fisik</vt:lpstr>
      <vt:lpstr>k</vt:lpstr>
      <vt:lpstr>kul</vt:lpstr>
      <vt:lpstr>N</vt:lpstr>
      <vt:lpstr>nilai</vt:lpstr>
      <vt:lpstr>p</vt:lpstr>
      <vt:lpstr>'KI-3'!Print_Area</vt:lpstr>
      <vt:lpstr>'KI-4'!Print_Area</vt:lpstr>
      <vt:lpstr>RAPOT!Print_Area</vt:lpstr>
      <vt:lpstr>rbaru!Print_Area</vt:lpstr>
      <vt:lpstr>sampul!Print_Area</vt:lpstr>
      <vt:lpstr>s</vt:lpstr>
      <vt:lpstr>siswa</vt:lpstr>
      <vt:lpstr>x</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Rumah</dc:creator>
  <cp:lastModifiedBy>Asus</cp:lastModifiedBy>
  <cp:lastPrinted>2019-12-17T05:19:10Z</cp:lastPrinted>
  <dcterms:created xsi:type="dcterms:W3CDTF">2015-05-19T13:13:25Z</dcterms:created>
  <dcterms:modified xsi:type="dcterms:W3CDTF">2021-02-18T09:06:11Z</dcterms:modified>
</cp:coreProperties>
</file>